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2" windowHeight="8016" firstSheet="1" activeTab="6"/>
  </bookViews>
  <sheets>
    <sheet name="Inventory" sheetId="1" state="hidden" r:id="rId1"/>
    <sheet name="Stock-2017" sheetId="4" r:id="rId2"/>
    <sheet name="Stock - 2018" sheetId="10" r:id="rId3"/>
    <sheet name="Stock - 2019" sheetId="11" r:id="rId4"/>
    <sheet name="All Deliveries" sheetId="5" state="hidden" r:id="rId5"/>
    <sheet name="Loan-Order" sheetId="7" state="hidden" r:id="rId6"/>
    <sheet name="Dashboard" sheetId="8" r:id="rId7"/>
    <sheet name="Working sheet" sheetId="9" r:id="rId8"/>
  </sheets>
  <definedNames>
    <definedName name="_xlnm._FilterDatabase" localSheetId="4" hidden="1">'All Deliveries'!$A$1:$AAH$1098</definedName>
    <definedName name="_xlnm._FilterDatabase" localSheetId="0" hidden="1">Inventory!$A$1:$AM$130</definedName>
    <definedName name="_xlnm._FilterDatabase" localSheetId="1" hidden="1">'Stock-2017'!$A$1:$AE$453</definedName>
    <definedName name="_xlnm.Print_Area" localSheetId="0">Inventory!$A$1:$AM$133</definedName>
    <definedName name="_xlnm.Print_Area" localSheetId="1">'Stock-2017'!$A$1:$AE$462</definedName>
    <definedName name="_xlnm.Print_Titles" localSheetId="0">Inventory!$1:$1</definedName>
    <definedName name="_xlnm.Print_Titles" localSheetId="1">'Stock-2017'!$1:$1</definedName>
  </definedNames>
  <calcPr calcId="144525"/>
</workbook>
</file>

<file path=xl/calcChain.xml><?xml version="1.0" encoding="utf-8"?>
<calcChain xmlns="http://schemas.openxmlformats.org/spreadsheetml/2006/main">
  <c r="D461" i="4" l="1"/>
  <c r="K19" i="9" l="1"/>
  <c r="G44" i="8" s="1"/>
  <c r="A10" i="8" l="1"/>
  <c r="C11" i="9" l="1"/>
  <c r="C13" i="9" l="1"/>
  <c r="B13" i="8"/>
  <c r="B40" i="8"/>
  <c r="F33" i="8"/>
  <c r="N40" i="8"/>
  <c r="B17" i="8"/>
  <c r="D11" i="9"/>
  <c r="H21" i="9" s="1"/>
  <c r="J40" i="8" s="1"/>
  <c r="P10" i="8"/>
  <c r="R10" i="8"/>
  <c r="N10" i="8"/>
  <c r="N8" i="8"/>
  <c r="D20" i="9"/>
  <c r="B21" i="8"/>
  <c r="F17" i="9"/>
  <c r="H19" i="9" l="1"/>
  <c r="K48" i="8" s="1"/>
  <c r="K53" i="8"/>
  <c r="G1070" i="5"/>
  <c r="F40" i="8" l="1"/>
  <c r="L8" i="9"/>
  <c r="H25" i="9"/>
  <c r="Z124" i="4"/>
  <c r="N1082" i="5" l="1"/>
  <c r="H1082" i="5"/>
  <c r="M1081" i="5" l="1"/>
  <c r="H1081" i="5"/>
  <c r="E1085" i="5" l="1"/>
  <c r="O1087" i="5"/>
  <c r="AB3" i="4" l="1"/>
  <c r="AB6" i="4" l="1"/>
  <c r="AB401" i="4" l="1"/>
  <c r="AB7" i="4"/>
  <c r="AB41" i="4"/>
  <c r="AB29" i="4"/>
  <c r="N1081" i="5" l="1"/>
  <c r="N1080" i="5"/>
  <c r="N1079" i="5"/>
  <c r="N1078" i="5"/>
  <c r="N1077" i="5"/>
  <c r="N1076" i="5"/>
  <c r="H1080" i="5"/>
  <c r="H1079" i="5" l="1"/>
  <c r="H1078" i="5"/>
  <c r="H1077" i="5"/>
  <c r="H1076" i="5"/>
  <c r="AB12" i="4" l="1"/>
  <c r="N1074" i="5" l="1"/>
  <c r="M1075" i="5"/>
  <c r="N1075" i="5" s="1"/>
  <c r="H1075" i="5"/>
  <c r="H1074" i="5"/>
  <c r="AB270" i="4" l="1"/>
  <c r="N1073" i="5"/>
  <c r="N1072" i="5"/>
  <c r="N1071" i="5"/>
  <c r="N1070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AB40" i="4" l="1"/>
  <c r="N1069" i="5"/>
  <c r="N1068" i="5"/>
  <c r="AB20" i="4"/>
  <c r="AB30" i="4"/>
  <c r="AB26" i="4"/>
  <c r="AB19" i="4"/>
  <c r="AB305" i="4"/>
  <c r="N1067" i="5" l="1"/>
  <c r="N1066" i="5"/>
  <c r="N1065" i="5"/>
  <c r="N1064" i="5"/>
  <c r="N1063" i="5"/>
  <c r="N1062" i="5"/>
  <c r="N1061" i="5"/>
  <c r="N1060" i="5"/>
  <c r="AB25" i="4" l="1"/>
  <c r="AB17" i="4"/>
  <c r="N1059" i="5" l="1"/>
  <c r="N1058" i="5"/>
  <c r="N1057" i="5"/>
  <c r="N1056" i="5"/>
  <c r="AB49" i="4" l="1"/>
  <c r="AB11" i="4" l="1"/>
  <c r="AB18" i="4" l="1"/>
  <c r="AB43" i="4"/>
  <c r="H1053" i="5" l="1"/>
  <c r="N1055" i="5" l="1"/>
  <c r="N1054" i="5" l="1"/>
  <c r="N1053" i="5"/>
  <c r="N1052" i="5" l="1"/>
  <c r="N1051" i="5"/>
  <c r="N1050" i="5"/>
  <c r="N1049" i="5"/>
  <c r="N1048" i="5"/>
  <c r="N1047" i="5"/>
  <c r="N1044" i="5" l="1"/>
  <c r="N1043" i="5"/>
  <c r="N1042" i="5"/>
  <c r="N1041" i="5"/>
  <c r="N1040" i="5"/>
  <c r="N1039" i="5"/>
  <c r="N1038" i="5"/>
  <c r="N1037" i="5"/>
  <c r="N1036" i="5"/>
  <c r="N1035" i="5"/>
  <c r="N1034" i="5"/>
  <c r="N1033" i="5"/>
  <c r="N1032" i="5"/>
  <c r="N1031" i="5"/>
  <c r="N1030" i="5"/>
  <c r="N1029" i="5"/>
  <c r="N1028" i="5"/>
  <c r="N1027" i="5"/>
  <c r="N1026" i="5"/>
  <c r="N1025" i="5"/>
  <c r="N1024" i="5"/>
  <c r="N1023" i="5"/>
  <c r="N1022" i="5"/>
  <c r="N1021" i="5"/>
  <c r="N1020" i="5"/>
  <c r="AA194" i="4" l="1"/>
  <c r="AB307" i="4" l="1"/>
  <c r="AB10" i="4" l="1"/>
  <c r="AD453" i="4" l="1"/>
  <c r="AC453" i="4"/>
  <c r="AD452" i="4"/>
  <c r="AC452" i="4"/>
  <c r="AD451" i="4"/>
  <c r="AC451" i="4"/>
  <c r="AD450" i="4"/>
  <c r="AC450" i="4"/>
  <c r="AE450" i="4" l="1"/>
  <c r="AE453" i="4"/>
  <c r="AE452" i="4"/>
  <c r="AE451" i="4"/>
  <c r="H1028" i="5" l="1"/>
  <c r="H1027" i="5"/>
  <c r="H1026" i="5"/>
  <c r="H1025" i="5"/>
  <c r="H1024" i="5"/>
  <c r="H1033" i="5"/>
  <c r="H1032" i="5"/>
  <c r="H1031" i="5"/>
  <c r="H1030" i="5"/>
  <c r="H1029" i="5"/>
  <c r="H1020" i="5"/>
  <c r="H1023" i="5" l="1"/>
  <c r="H1022" i="5"/>
  <c r="H1021" i="5"/>
  <c r="H1019" i="5"/>
  <c r="AB21" i="4" l="1"/>
  <c r="N1019" i="5"/>
  <c r="AB31" i="4" l="1"/>
  <c r="N1018" i="5" l="1"/>
  <c r="N1016" i="5"/>
  <c r="M1017" i="5"/>
  <c r="N1017" i="5" s="1"/>
  <c r="H1018" i="5" l="1"/>
  <c r="H1017" i="5"/>
  <c r="H1016" i="5"/>
  <c r="N1015" i="5" l="1"/>
  <c r="H1015" i="5"/>
  <c r="AB14" i="4" l="1"/>
  <c r="AB299" i="4"/>
  <c r="N1014" i="5"/>
  <c r="H1014" i="5"/>
  <c r="N1013" i="5"/>
  <c r="H1013" i="5"/>
  <c r="N1012" i="5"/>
  <c r="H1012" i="5"/>
  <c r="AB352" i="4" l="1"/>
  <c r="AB51" i="4"/>
  <c r="AB32" i="4"/>
  <c r="N1011" i="5" l="1"/>
  <c r="N1010" i="5"/>
  <c r="H1011" i="5"/>
  <c r="H1010" i="5"/>
  <c r="H1009" i="5" l="1"/>
  <c r="H1008" i="5"/>
  <c r="H1007" i="5"/>
  <c r="AD449" i="4"/>
  <c r="AC449" i="4"/>
  <c r="AE449" i="4" l="1"/>
  <c r="AD448" i="4"/>
  <c r="AC448" i="4"/>
  <c r="AA37" i="4"/>
  <c r="AA51" i="4"/>
  <c r="AA352" i="4"/>
  <c r="AA301" i="4"/>
  <c r="AD447" i="4"/>
  <c r="AC447" i="4"/>
  <c r="AD446" i="4"/>
  <c r="AC446" i="4"/>
  <c r="AD445" i="4"/>
  <c r="AC445" i="4"/>
  <c r="AE448" i="4" l="1"/>
  <c r="AE446" i="4"/>
  <c r="AE447" i="4"/>
  <c r="AE445" i="4"/>
  <c r="N1003" i="5" l="1"/>
  <c r="H1006" i="5"/>
  <c r="H1005" i="5"/>
  <c r="H1004" i="5"/>
  <c r="H1003" i="5"/>
  <c r="H1002" i="5"/>
  <c r="H1001" i="5"/>
  <c r="H1000" i="5"/>
  <c r="H999" i="5" l="1"/>
  <c r="AB35" i="4" l="1"/>
  <c r="AA32" i="4" l="1"/>
  <c r="AA49" i="4"/>
  <c r="H998" i="5" l="1"/>
  <c r="N1009" i="5" l="1"/>
  <c r="N1008" i="5"/>
  <c r="N1007" i="5"/>
  <c r="N1006" i="5"/>
  <c r="N1005" i="5"/>
  <c r="N1004" i="5"/>
  <c r="N1002" i="5"/>
  <c r="N1001" i="5"/>
  <c r="N1000" i="5"/>
  <c r="N999" i="5"/>
  <c r="N998" i="5"/>
  <c r="N997" i="5"/>
  <c r="N996" i="5"/>
  <c r="N995" i="5"/>
  <c r="N986" i="5"/>
  <c r="H997" i="5"/>
  <c r="H996" i="5"/>
  <c r="H995" i="5"/>
  <c r="Z6" i="4" l="1"/>
  <c r="N971" i="5"/>
  <c r="AA461" i="4" l="1"/>
  <c r="H994" i="5" l="1"/>
  <c r="H993" i="5"/>
  <c r="H992" i="5"/>
  <c r="H991" i="5"/>
  <c r="H990" i="5"/>
  <c r="H989" i="5"/>
  <c r="H988" i="5"/>
  <c r="H987" i="5"/>
  <c r="N985" i="5"/>
  <c r="H985" i="5"/>
  <c r="N984" i="5"/>
  <c r="H984" i="5"/>
  <c r="AC444" i="4"/>
  <c r="AC443" i="4"/>
  <c r="AC442" i="4"/>
  <c r="AC441" i="4"/>
  <c r="AC440" i="4"/>
  <c r="AC439" i="4"/>
  <c r="AC438" i="4"/>
  <c r="AC437" i="4"/>
  <c r="AD444" i="4"/>
  <c r="AD443" i="4"/>
  <c r="AD442" i="4"/>
  <c r="AD441" i="4"/>
  <c r="AD440" i="4"/>
  <c r="AD439" i="4"/>
  <c r="AD438" i="4"/>
  <c r="AD437" i="4"/>
  <c r="AE438" i="4" l="1"/>
  <c r="AE442" i="4"/>
  <c r="AE439" i="4"/>
  <c r="AE443" i="4"/>
  <c r="AE440" i="4"/>
  <c r="AE444" i="4"/>
  <c r="AE437" i="4"/>
  <c r="AE441" i="4"/>
  <c r="N983" i="5" l="1"/>
  <c r="N982" i="5" l="1"/>
  <c r="R67" i="4" l="1"/>
  <c r="Q67" i="4"/>
  <c r="N981" i="5" l="1"/>
  <c r="N980" i="5" l="1"/>
  <c r="N979" i="5"/>
  <c r="N978" i="5" l="1"/>
  <c r="AB125" i="4" l="1"/>
  <c r="AB191" i="4"/>
  <c r="N977" i="5"/>
  <c r="N976" i="5"/>
  <c r="Z122" i="4"/>
  <c r="Z125" i="4"/>
  <c r="AB124" i="4" l="1"/>
  <c r="N975" i="5" l="1"/>
  <c r="N974" i="5" l="1"/>
  <c r="N973" i="5"/>
  <c r="N972" i="5"/>
  <c r="Z34" i="4" l="1"/>
  <c r="Z123" i="4"/>
  <c r="Z121" i="4"/>
  <c r="Z7" i="4"/>
  <c r="Z11" i="4"/>
  <c r="Z41" i="4"/>
  <c r="Z18" i="4"/>
  <c r="N970" i="5" l="1"/>
  <c r="N968" i="5"/>
  <c r="N967" i="5"/>
  <c r="N966" i="5"/>
  <c r="N965" i="5"/>
  <c r="N964" i="5"/>
  <c r="Z29" i="4" l="1"/>
  <c r="Z28" i="4" l="1"/>
  <c r="Z304" i="4" l="1"/>
  <c r="Z12" i="4" l="1"/>
  <c r="AD436" i="4" l="1"/>
  <c r="AC436" i="4"/>
  <c r="AE436" i="4" l="1"/>
  <c r="Z27" i="4"/>
  <c r="Z418" i="4"/>
  <c r="Z43" i="4"/>
  <c r="Z22" i="4"/>
  <c r="Z190" i="4" l="1"/>
  <c r="Z2" i="4" l="1"/>
  <c r="Z9" i="4" l="1"/>
  <c r="Z30" i="4"/>
  <c r="M927" i="5" l="1"/>
  <c r="N920" i="5" l="1"/>
  <c r="Z26" i="4"/>
  <c r="AD435" i="4" l="1"/>
  <c r="AC435" i="4"/>
  <c r="AD434" i="4"/>
  <c r="AC434" i="4"/>
  <c r="AD433" i="4"/>
  <c r="AC433" i="4"/>
  <c r="AD432" i="4"/>
  <c r="AC432" i="4"/>
  <c r="AD431" i="4"/>
  <c r="AC431" i="4"/>
  <c r="AD430" i="4"/>
  <c r="AC430" i="4"/>
  <c r="AD429" i="4"/>
  <c r="AC429" i="4"/>
  <c r="AD428" i="4"/>
  <c r="AC428" i="4"/>
  <c r="AD427" i="4"/>
  <c r="AC427" i="4"/>
  <c r="AD426" i="4"/>
  <c r="AC426" i="4"/>
  <c r="AD425" i="4"/>
  <c r="AC425" i="4"/>
  <c r="AD424" i="4"/>
  <c r="AC424" i="4"/>
  <c r="AE429" i="4" l="1"/>
  <c r="AE424" i="4"/>
  <c r="AE426" i="4"/>
  <c r="AE430" i="4"/>
  <c r="AE432" i="4"/>
  <c r="AE434" i="4"/>
  <c r="AE431" i="4"/>
  <c r="AE425" i="4"/>
  <c r="AE427" i="4"/>
  <c r="AE428" i="4"/>
  <c r="AE433" i="4"/>
  <c r="AE435" i="4"/>
  <c r="Z81" i="4" l="1"/>
  <c r="Z49" i="4" l="1"/>
  <c r="Z186" i="4" l="1"/>
  <c r="N914" i="5" l="1"/>
  <c r="N915" i="5"/>
  <c r="N916" i="5"/>
  <c r="N917" i="5"/>
  <c r="N918" i="5"/>
  <c r="N921" i="5"/>
  <c r="N922" i="5"/>
  <c r="N923" i="5"/>
  <c r="N924" i="5"/>
  <c r="N925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13" i="5"/>
  <c r="N912" i="5"/>
  <c r="N911" i="5"/>
  <c r="N910" i="5"/>
  <c r="N909" i="5"/>
  <c r="N908" i="5"/>
  <c r="N907" i="5"/>
  <c r="N906" i="5"/>
  <c r="Z35" i="4"/>
  <c r="Z33" i="4"/>
  <c r="Z13" i="4"/>
  <c r="Z178" i="4"/>
  <c r="Z153" i="4" l="1"/>
  <c r="H905" i="5" l="1"/>
  <c r="N905" i="5"/>
  <c r="H904" i="5"/>
  <c r="N904" i="5"/>
  <c r="H903" i="5"/>
  <c r="H902" i="5"/>
  <c r="H901" i="5"/>
  <c r="Z17" i="4" l="1"/>
  <c r="Z25" i="4"/>
  <c r="Z24" i="4"/>
  <c r="H900" i="5"/>
  <c r="H899" i="5"/>
  <c r="H898" i="5"/>
  <c r="H897" i="5" l="1"/>
  <c r="H896" i="5" l="1"/>
  <c r="H895" i="5" l="1"/>
  <c r="H894" i="5"/>
  <c r="H893" i="5"/>
  <c r="M892" i="5" l="1"/>
  <c r="H892" i="5"/>
  <c r="H891" i="5" l="1"/>
  <c r="AD423" i="4" l="1"/>
  <c r="AC423" i="4"/>
  <c r="AE423" i="4" l="1"/>
  <c r="H890" i="5"/>
  <c r="Z307" i="4" l="1"/>
  <c r="Y461" i="4" l="1"/>
  <c r="N354" i="5"/>
  <c r="K43" i="4"/>
  <c r="H354" i="5"/>
  <c r="N886" i="5" l="1"/>
  <c r="H886" i="5"/>
  <c r="H889" i="5" l="1"/>
  <c r="H888" i="5"/>
  <c r="H887" i="5"/>
  <c r="Z10" i="4" l="1"/>
  <c r="AD422" i="4" l="1"/>
  <c r="AC422" i="4"/>
  <c r="AE422" i="4" l="1"/>
  <c r="Z40" i="4"/>
  <c r="Z461" i="4" s="1"/>
  <c r="H885" i="5"/>
  <c r="H884" i="5"/>
  <c r="X66" i="4" l="1"/>
  <c r="X399" i="4"/>
  <c r="X398" i="4"/>
  <c r="X397" i="4"/>
  <c r="X396" i="4"/>
  <c r="X350" i="4"/>
  <c r="X395" i="4"/>
  <c r="X394" i="4"/>
  <c r="X393" i="4"/>
  <c r="X392" i="4"/>
  <c r="X364" i="4"/>
  <c r="X303" i="4"/>
  <c r="N903" i="5" l="1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N870" i="5" l="1"/>
  <c r="H870" i="5"/>
  <c r="X20" i="4" l="1"/>
  <c r="X7" i="4" l="1"/>
  <c r="X105" i="4"/>
  <c r="N869" i="5"/>
  <c r="N868" i="5"/>
  <c r="H869" i="5"/>
  <c r="H868" i="5"/>
  <c r="X298" i="4" l="1"/>
  <c r="X401" i="4"/>
  <c r="N867" i="5"/>
  <c r="N866" i="5"/>
  <c r="H867" i="5"/>
  <c r="H866" i="5"/>
  <c r="N865" i="5"/>
  <c r="H865" i="5"/>
  <c r="X123" i="4"/>
  <c r="X3" i="4" l="1"/>
  <c r="N864" i="5"/>
  <c r="H864" i="5"/>
  <c r="X278" i="4" l="1"/>
  <c r="X196" i="4"/>
  <c r="N863" i="5" l="1"/>
  <c r="N862" i="5"/>
  <c r="H863" i="5"/>
  <c r="H862" i="5"/>
  <c r="X2" i="4"/>
  <c r="X33" i="4"/>
  <c r="N861" i="5"/>
  <c r="N860" i="5"/>
  <c r="X122" i="4" l="1"/>
  <c r="H861" i="5" l="1"/>
  <c r="H860" i="5"/>
  <c r="N859" i="5"/>
  <c r="H859" i="5"/>
  <c r="X420" i="4"/>
  <c r="N858" i="5"/>
  <c r="H858" i="5"/>
  <c r="X97" i="4"/>
  <c r="N857" i="5"/>
  <c r="N856" i="5"/>
  <c r="H857" i="5"/>
  <c r="H856" i="5" l="1"/>
  <c r="X11" i="4" l="1"/>
  <c r="X18" i="4"/>
  <c r="X124" i="4"/>
  <c r="X125" i="4"/>
  <c r="H855" i="5"/>
  <c r="H854" i="5"/>
  <c r="X34" i="4"/>
  <c r="X6" i="4" l="1"/>
  <c r="N848" i="5"/>
  <c r="H853" i="5"/>
  <c r="AD421" i="4" l="1"/>
  <c r="AC421" i="4"/>
  <c r="AD420" i="4"/>
  <c r="AC420" i="4"/>
  <c r="AE420" i="4" l="1"/>
  <c r="AE421" i="4"/>
  <c r="W35" i="4" l="1"/>
  <c r="N855" i="5" l="1"/>
  <c r="N854" i="5"/>
  <c r="N853" i="5"/>
  <c r="N852" i="5"/>
  <c r="N851" i="5"/>
  <c r="N850" i="5"/>
  <c r="N849" i="5"/>
  <c r="N847" i="5"/>
  <c r="N846" i="5"/>
  <c r="N845" i="5"/>
  <c r="N844" i="5"/>
  <c r="N843" i="5"/>
  <c r="N842" i="5"/>
  <c r="N841" i="5"/>
  <c r="N840" i="5"/>
  <c r="N839" i="5"/>
  <c r="X378" i="4" l="1"/>
  <c r="X26" i="4" l="1"/>
  <c r="X335" i="4"/>
  <c r="X407" i="4"/>
  <c r="X406" i="4"/>
  <c r="X405" i="4"/>
  <c r="X400" i="4"/>
  <c r="X301" i="4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X37" i="4" l="1"/>
  <c r="X42" i="4"/>
  <c r="X24" i="4" l="1"/>
  <c r="N838" i="5"/>
  <c r="N837" i="5"/>
  <c r="N836" i="5"/>
  <c r="H838" i="5"/>
  <c r="H837" i="5"/>
  <c r="H836" i="5"/>
  <c r="X5" i="4" l="1"/>
  <c r="N835" i="5" l="1"/>
  <c r="H835" i="5"/>
  <c r="N834" i="5"/>
  <c r="N833" i="5"/>
  <c r="H834" i="5"/>
  <c r="H833" i="5"/>
  <c r="N832" i="5" l="1"/>
  <c r="H832" i="5"/>
  <c r="M831" i="5"/>
  <c r="N831" i="5" s="1"/>
  <c r="H831" i="5"/>
  <c r="N830" i="5" l="1"/>
  <c r="H830" i="5"/>
  <c r="X25" i="4" l="1"/>
  <c r="N829" i="5"/>
  <c r="N828" i="5"/>
  <c r="H829" i="5"/>
  <c r="H828" i="5"/>
  <c r="X229" i="4" l="1"/>
  <c r="N827" i="5"/>
  <c r="H827" i="5"/>
  <c r="X4" i="4" l="1"/>
  <c r="N826" i="5"/>
  <c r="N825" i="5"/>
  <c r="H826" i="5"/>
  <c r="H825" i="5"/>
  <c r="N824" i="5"/>
  <c r="N823" i="5"/>
  <c r="N822" i="5"/>
  <c r="N821" i="5"/>
  <c r="H824" i="5"/>
  <c r="H823" i="5"/>
  <c r="H822" i="5"/>
  <c r="H821" i="5"/>
  <c r="X104" i="4" l="1"/>
  <c r="H820" i="5"/>
  <c r="X8" i="4" l="1"/>
  <c r="H819" i="5"/>
  <c r="H818" i="5"/>
  <c r="X305" i="4" l="1"/>
  <c r="X86" i="4"/>
  <c r="H817" i="5"/>
  <c r="H816" i="5" l="1"/>
  <c r="H815" i="5"/>
  <c r="H814" i="5"/>
  <c r="X12" i="4" l="1"/>
  <c r="H813" i="5"/>
  <c r="H812" i="5"/>
  <c r="W104" i="4" l="1"/>
  <c r="X19" i="4"/>
  <c r="H811" i="5"/>
  <c r="H810" i="5" l="1"/>
  <c r="H809" i="5"/>
  <c r="X178" i="4"/>
  <c r="X31" i="4"/>
  <c r="N820" i="5" l="1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H808" i="5"/>
  <c r="H807" i="5"/>
  <c r="H806" i="5"/>
  <c r="H805" i="5"/>
  <c r="H804" i="5"/>
  <c r="H803" i="5"/>
  <c r="H802" i="5"/>
  <c r="H801" i="5"/>
  <c r="H800" i="5"/>
  <c r="H799" i="5"/>
  <c r="H798" i="5" l="1"/>
  <c r="N798" i="5"/>
  <c r="N797" i="5"/>
  <c r="H797" i="5"/>
  <c r="X30" i="4" l="1"/>
  <c r="X257" i="4"/>
  <c r="N796" i="5" l="1"/>
  <c r="H796" i="5"/>
  <c r="N795" i="5"/>
  <c r="H795" i="5"/>
  <c r="N794" i="5"/>
  <c r="H794" i="5"/>
  <c r="N793" i="5"/>
  <c r="H793" i="5"/>
  <c r="N792" i="5"/>
  <c r="H792" i="5"/>
  <c r="N791" i="5"/>
  <c r="H791" i="5"/>
  <c r="N790" i="5"/>
  <c r="H790" i="5"/>
  <c r="H789" i="5"/>
  <c r="H788" i="5"/>
  <c r="W461" i="4" l="1"/>
  <c r="H787" i="5"/>
  <c r="H786" i="5"/>
  <c r="AD419" i="4"/>
  <c r="AC419" i="4"/>
  <c r="AD418" i="4"/>
  <c r="AC418" i="4"/>
  <c r="AE419" i="4" l="1"/>
  <c r="AE418" i="4"/>
  <c r="V11" i="4"/>
  <c r="V18" i="4"/>
  <c r="V2" i="4"/>
  <c r="V104" i="4"/>
  <c r="X38" i="4"/>
  <c r="X461" i="4" s="1"/>
  <c r="H785" i="5"/>
  <c r="H784" i="5"/>
  <c r="H781" i="5"/>
  <c r="H782" i="5"/>
  <c r="H783" i="5"/>
  <c r="H780" i="5"/>
  <c r="H779" i="5"/>
  <c r="N789" i="5" l="1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H778" i="5"/>
  <c r="H777" i="5"/>
  <c r="H776" i="5"/>
  <c r="N775" i="5"/>
  <c r="H775" i="5"/>
  <c r="N774" i="5" l="1"/>
  <c r="H774" i="5"/>
  <c r="M773" i="5" l="1"/>
  <c r="N773" i="5" s="1"/>
  <c r="H773" i="5"/>
  <c r="N772" i="5"/>
  <c r="H772" i="5"/>
  <c r="V40" i="4" l="1"/>
  <c r="N771" i="5"/>
  <c r="H771" i="5"/>
  <c r="AD417" i="4" l="1"/>
  <c r="AC417" i="4"/>
  <c r="AE417" i="4" l="1"/>
  <c r="N770" i="5"/>
  <c r="N769" i="5"/>
  <c r="N768" i="5"/>
  <c r="N767" i="5"/>
  <c r="N766" i="5"/>
  <c r="N765" i="5"/>
  <c r="N764" i="5"/>
  <c r="H770" i="5"/>
  <c r="H769" i="5"/>
  <c r="V7" i="4" l="1"/>
  <c r="V22" i="4"/>
  <c r="V6" i="4"/>
  <c r="V43" i="4"/>
  <c r="H768" i="5" l="1"/>
  <c r="H767" i="5"/>
  <c r="H766" i="5"/>
  <c r="H765" i="5"/>
  <c r="H764" i="5"/>
  <c r="N763" i="5"/>
  <c r="H763" i="5"/>
  <c r="N762" i="5"/>
  <c r="N761" i="5"/>
  <c r="H762" i="5"/>
  <c r="H761" i="5"/>
  <c r="V121" i="4" l="1"/>
  <c r="V123" i="4"/>
  <c r="V124" i="4"/>
  <c r="V29" i="4"/>
  <c r="V41" i="4"/>
  <c r="N760" i="5"/>
  <c r="H760" i="5"/>
  <c r="N750" i="5"/>
  <c r="N751" i="5"/>
  <c r="N752" i="5"/>
  <c r="N753" i="5"/>
  <c r="N754" i="5"/>
  <c r="N755" i="5"/>
  <c r="N756" i="5"/>
  <c r="N757" i="5"/>
  <c r="N758" i="5"/>
  <c r="N759" i="5"/>
  <c r="H759" i="5"/>
  <c r="H758" i="5"/>
  <c r="H757" i="5"/>
  <c r="H756" i="5"/>
  <c r="H755" i="5"/>
  <c r="H754" i="5"/>
  <c r="V38" i="4" l="1"/>
  <c r="H753" i="5"/>
  <c r="H752" i="5"/>
  <c r="V17" i="4" l="1"/>
  <c r="H734" i="5" l="1"/>
  <c r="N734" i="5"/>
  <c r="H735" i="5"/>
  <c r="N735" i="5"/>
  <c r="V404" i="4"/>
  <c r="V403" i="4"/>
  <c r="V153" i="4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7" i="5"/>
  <c r="H738" i="5"/>
  <c r="H739" i="5"/>
  <c r="V3" i="4" l="1"/>
  <c r="V191" i="4"/>
  <c r="U251" i="4" l="1"/>
  <c r="AD416" i="4" l="1"/>
  <c r="AC416" i="4"/>
  <c r="AD415" i="4"/>
  <c r="AC415" i="4"/>
  <c r="AD414" i="4"/>
  <c r="AC414" i="4"/>
  <c r="AD413" i="4"/>
  <c r="AC413" i="4"/>
  <c r="AD412" i="4"/>
  <c r="AC412" i="4"/>
  <c r="AD411" i="4"/>
  <c r="AC411" i="4"/>
  <c r="AD410" i="4"/>
  <c r="AC410" i="4"/>
  <c r="AD409" i="4"/>
  <c r="AC409" i="4"/>
  <c r="AD408" i="4"/>
  <c r="AC408" i="4"/>
  <c r="AD407" i="4"/>
  <c r="AC407" i="4"/>
  <c r="AD406" i="4"/>
  <c r="AC406" i="4"/>
  <c r="AD405" i="4"/>
  <c r="AC405" i="4"/>
  <c r="AD404" i="4"/>
  <c r="AC404" i="4"/>
  <c r="AD403" i="4"/>
  <c r="AC403" i="4"/>
  <c r="AD402" i="4"/>
  <c r="AC402" i="4"/>
  <c r="AD401" i="4"/>
  <c r="AC401" i="4"/>
  <c r="AD400" i="4"/>
  <c r="AC400" i="4"/>
  <c r="AD399" i="4"/>
  <c r="AC399" i="4"/>
  <c r="AD398" i="4"/>
  <c r="AC398" i="4"/>
  <c r="AD397" i="4"/>
  <c r="AC397" i="4"/>
  <c r="AD396" i="4"/>
  <c r="AC396" i="4"/>
  <c r="AD395" i="4"/>
  <c r="AC395" i="4"/>
  <c r="AD394" i="4"/>
  <c r="AC394" i="4"/>
  <c r="AD393" i="4"/>
  <c r="AC393" i="4"/>
  <c r="AD392" i="4"/>
  <c r="AC392" i="4"/>
  <c r="AD391" i="4"/>
  <c r="AC391" i="4"/>
  <c r="AD390" i="4"/>
  <c r="AC390" i="4"/>
  <c r="AD389" i="4"/>
  <c r="AC389" i="4"/>
  <c r="AD388" i="4"/>
  <c r="AC388" i="4"/>
  <c r="AD387" i="4"/>
  <c r="AC387" i="4"/>
  <c r="AD386" i="4"/>
  <c r="AC386" i="4"/>
  <c r="AD385" i="4"/>
  <c r="AC385" i="4"/>
  <c r="AD384" i="4"/>
  <c r="AC384" i="4"/>
  <c r="AD383" i="4"/>
  <c r="AC383" i="4"/>
  <c r="AD382" i="4"/>
  <c r="AC382" i="4"/>
  <c r="U335" i="4"/>
  <c r="U128" i="4"/>
  <c r="U308" i="4"/>
  <c r="U66" i="4"/>
  <c r="U67" i="4"/>
  <c r="U303" i="4"/>
  <c r="U350" i="4"/>
  <c r="U247" i="4"/>
  <c r="U246" i="4"/>
  <c r="U237" i="4"/>
  <c r="U242" i="4"/>
  <c r="AE415" i="4" l="1"/>
  <c r="AE416" i="4"/>
  <c r="AE383" i="4"/>
  <c r="AE387" i="4"/>
  <c r="AE389" i="4"/>
  <c r="AE391" i="4"/>
  <c r="AE393" i="4"/>
  <c r="AE395" i="4"/>
  <c r="AE397" i="4"/>
  <c r="AE399" i="4"/>
  <c r="AE403" i="4"/>
  <c r="AE388" i="4"/>
  <c r="AE396" i="4"/>
  <c r="AE402" i="4"/>
  <c r="AE404" i="4"/>
  <c r="AE401" i="4"/>
  <c r="AE384" i="4"/>
  <c r="AE405" i="4"/>
  <c r="AE409" i="4"/>
  <c r="AE411" i="4"/>
  <c r="AE413" i="4"/>
  <c r="AE394" i="4"/>
  <c r="AE406" i="4"/>
  <c r="AE408" i="4"/>
  <c r="AE410" i="4"/>
  <c r="AE412" i="4"/>
  <c r="AE414" i="4"/>
  <c r="AE385" i="4"/>
  <c r="AE390" i="4"/>
  <c r="AE392" i="4"/>
  <c r="AE400" i="4"/>
  <c r="AE382" i="4"/>
  <c r="AE398" i="4"/>
  <c r="AE386" i="4"/>
  <c r="AE407" i="4"/>
  <c r="V35" i="4"/>
  <c r="V8" i="4"/>
  <c r="V24" i="4"/>
  <c r="M717" i="5" l="1"/>
  <c r="M716" i="5"/>
  <c r="H736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0" i="5"/>
  <c r="H709" i="5"/>
  <c r="H708" i="5"/>
  <c r="H707" i="5"/>
  <c r="H706" i="5"/>
  <c r="H705" i="5"/>
  <c r="H704" i="5"/>
  <c r="H703" i="5"/>
  <c r="V19" i="4" l="1"/>
  <c r="N715" i="5"/>
  <c r="AD381" i="4" l="1"/>
  <c r="AC381" i="4"/>
  <c r="AD380" i="4"/>
  <c r="AC380" i="4"/>
  <c r="AE381" i="4" l="1"/>
  <c r="AE380" i="4"/>
  <c r="V299" i="4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T33" i="4" l="1"/>
  <c r="T124" i="4"/>
  <c r="T123" i="4"/>
  <c r="T190" i="4"/>
  <c r="T299" i="4"/>
  <c r="T2" i="4" l="1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M674" i="5"/>
  <c r="N674" i="5" s="1"/>
  <c r="H674" i="5"/>
  <c r="V32" i="4" l="1"/>
  <c r="V305" i="4"/>
  <c r="V270" i="4"/>
  <c r="V13" i="4"/>
  <c r="V34" i="4"/>
  <c r="V125" i="4"/>
  <c r="V190" i="4"/>
  <c r="V122" i="4"/>
  <c r="V15" i="4"/>
  <c r="F711" i="5" l="1"/>
  <c r="H711" i="5" s="1"/>
  <c r="H702" i="5"/>
  <c r="H701" i="5"/>
  <c r="H700" i="5"/>
  <c r="H699" i="5"/>
  <c r="H698" i="5"/>
  <c r="H693" i="5"/>
  <c r="H692" i="5"/>
  <c r="U19" i="4" l="1"/>
  <c r="U15" i="4"/>
  <c r="U8" i="4"/>
  <c r="U461" i="4" s="1"/>
  <c r="T9" i="4" l="1"/>
  <c r="T30" i="4"/>
  <c r="T40" i="4"/>
  <c r="T26" i="4"/>
  <c r="T17" i="4"/>
  <c r="T121" i="4" l="1"/>
  <c r="T27" i="4"/>
  <c r="T6" i="4"/>
  <c r="T379" i="4"/>
  <c r="T7" i="4"/>
  <c r="T41" i="4"/>
  <c r="T13" i="4"/>
  <c r="T29" i="4"/>
  <c r="T370" i="4"/>
  <c r="T369" i="4"/>
  <c r="T368" i="4"/>
  <c r="T367" i="4"/>
  <c r="T66" i="4"/>
  <c r="T376" i="4"/>
  <c r="T375" i="4"/>
  <c r="T374" i="4"/>
  <c r="T373" i="4"/>
  <c r="T372" i="4"/>
  <c r="T251" i="4"/>
  <c r="T281" i="4"/>
  <c r="T371" i="4"/>
  <c r="T362" i="4"/>
  <c r="T361" i="4"/>
  <c r="T274" i="4"/>
  <c r="T366" i="4"/>
  <c r="T152" i="4"/>
  <c r="T360" i="4"/>
  <c r="T377" i="4"/>
  <c r="T365" i="4"/>
  <c r="T363" i="4"/>
  <c r="T104" i="4"/>
  <c r="AD379" i="4" l="1"/>
  <c r="AC379" i="4"/>
  <c r="AE379" i="4" l="1"/>
  <c r="S251" i="4"/>
  <c r="S66" i="4" l="1"/>
  <c r="S254" i="4"/>
  <c r="S274" i="4"/>
  <c r="S123" i="4"/>
  <c r="S152" i="4" l="1"/>
  <c r="AD378" i="4"/>
  <c r="AC378" i="4"/>
  <c r="AD377" i="4"/>
  <c r="AC377" i="4"/>
  <c r="AD376" i="4"/>
  <c r="AC376" i="4"/>
  <c r="AD375" i="4"/>
  <c r="AC375" i="4"/>
  <c r="AD374" i="4"/>
  <c r="AC374" i="4"/>
  <c r="AD373" i="4"/>
  <c r="AC373" i="4"/>
  <c r="AD372" i="4"/>
  <c r="AC372" i="4"/>
  <c r="AD371" i="4"/>
  <c r="AC371" i="4"/>
  <c r="AD370" i="4"/>
  <c r="AC370" i="4"/>
  <c r="AD369" i="4"/>
  <c r="AC369" i="4"/>
  <c r="AD368" i="4"/>
  <c r="AC368" i="4"/>
  <c r="AD367" i="4"/>
  <c r="AC367" i="4"/>
  <c r="AD366" i="4"/>
  <c r="AC366" i="4"/>
  <c r="AD365" i="4"/>
  <c r="AC365" i="4"/>
  <c r="AD364" i="4"/>
  <c r="AC364" i="4"/>
  <c r="AD363" i="4"/>
  <c r="AC363" i="4"/>
  <c r="AD362" i="4"/>
  <c r="AC362" i="4"/>
  <c r="AD361" i="4"/>
  <c r="AC361" i="4"/>
  <c r="AD360" i="4"/>
  <c r="AC360" i="4"/>
  <c r="AE364" i="4" l="1"/>
  <c r="AE378" i="4"/>
  <c r="AE367" i="4"/>
  <c r="AE372" i="4"/>
  <c r="AE360" i="4"/>
  <c r="AE370" i="4"/>
  <c r="AE369" i="4"/>
  <c r="AE368" i="4"/>
  <c r="AE376" i="4"/>
  <c r="AE375" i="4"/>
  <c r="AE374" i="4"/>
  <c r="AE373" i="4"/>
  <c r="AE371" i="4"/>
  <c r="AE362" i="4"/>
  <c r="AE361" i="4"/>
  <c r="AE366" i="4"/>
  <c r="AE377" i="4"/>
  <c r="AE365" i="4"/>
  <c r="AE363" i="4"/>
  <c r="T3" i="4"/>
  <c r="T352" i="4"/>
  <c r="T331" i="4"/>
  <c r="T339" i="4"/>
  <c r="AC290" i="4" l="1"/>
  <c r="AD290" i="4"/>
  <c r="AC291" i="4"/>
  <c r="AD291" i="4"/>
  <c r="AC292" i="4"/>
  <c r="R293" i="4"/>
  <c r="AC293" i="4"/>
  <c r="AD293" i="4"/>
  <c r="R294" i="4"/>
  <c r="AD294" i="4" s="1"/>
  <c r="AC294" i="4"/>
  <c r="R295" i="4"/>
  <c r="AD295" i="4" s="1"/>
  <c r="AC295" i="4"/>
  <c r="R296" i="4"/>
  <c r="AD296" i="4" s="1"/>
  <c r="AC296" i="4"/>
  <c r="R297" i="4"/>
  <c r="AD297" i="4" s="1"/>
  <c r="AC297" i="4"/>
  <c r="AC298" i="4"/>
  <c r="AD298" i="4"/>
  <c r="AC299" i="4"/>
  <c r="AD299" i="4"/>
  <c r="R300" i="4"/>
  <c r="AD300" i="4" s="1"/>
  <c r="AC300" i="4"/>
  <c r="AC301" i="4"/>
  <c r="AD301" i="4"/>
  <c r="AC302" i="4"/>
  <c r="AD302" i="4"/>
  <c r="R303" i="4"/>
  <c r="AD303" i="4" s="1"/>
  <c r="AC303" i="4"/>
  <c r="AC304" i="4"/>
  <c r="AD304" i="4"/>
  <c r="AC305" i="4"/>
  <c r="AD305" i="4"/>
  <c r="AC306" i="4"/>
  <c r="AD306" i="4"/>
  <c r="R307" i="4"/>
  <c r="AC307" i="4"/>
  <c r="AD307" i="4"/>
  <c r="AC308" i="4"/>
  <c r="AD308" i="4"/>
  <c r="S309" i="4"/>
  <c r="AC309" i="4" s="1"/>
  <c r="AD309" i="4"/>
  <c r="AC310" i="4"/>
  <c r="AD310" i="4"/>
  <c r="S311" i="4"/>
  <c r="AC311" i="4" s="1"/>
  <c r="AD311" i="4"/>
  <c r="AC312" i="4"/>
  <c r="AD312" i="4"/>
  <c r="AC313" i="4"/>
  <c r="AD313" i="4"/>
  <c r="AC314" i="4"/>
  <c r="AD314" i="4"/>
  <c r="AC315" i="4"/>
  <c r="AD315" i="4"/>
  <c r="AC316" i="4"/>
  <c r="AD316" i="4"/>
  <c r="S317" i="4"/>
  <c r="AC317" i="4" s="1"/>
  <c r="AD317" i="4"/>
  <c r="AC318" i="4"/>
  <c r="AD318" i="4"/>
  <c r="AC319" i="4"/>
  <c r="AD319" i="4"/>
  <c r="AC320" i="4"/>
  <c r="AD320" i="4"/>
  <c r="AC321" i="4"/>
  <c r="AD321" i="4"/>
  <c r="S322" i="4"/>
  <c r="AC322" i="4" s="1"/>
  <c r="AD322" i="4"/>
  <c r="AC323" i="4"/>
  <c r="AD323" i="4"/>
  <c r="AC324" i="4"/>
  <c r="AD324" i="4"/>
  <c r="AC325" i="4"/>
  <c r="AD325" i="4"/>
  <c r="AC326" i="4"/>
  <c r="AD326" i="4"/>
  <c r="S327" i="4"/>
  <c r="AC327" i="4" s="1"/>
  <c r="AD327" i="4"/>
  <c r="S328" i="4"/>
  <c r="AC328" i="4" s="1"/>
  <c r="AD328" i="4"/>
  <c r="AC329" i="4"/>
  <c r="AD329" i="4"/>
  <c r="AC330" i="4"/>
  <c r="AD330" i="4"/>
  <c r="S331" i="4"/>
  <c r="AC331" i="4" s="1"/>
  <c r="AD331" i="4"/>
  <c r="S332" i="4"/>
  <c r="AC332" i="4" s="1"/>
  <c r="AD332" i="4"/>
  <c r="S333" i="4"/>
  <c r="AC333" i="4" s="1"/>
  <c r="AD333" i="4"/>
  <c r="AC334" i="4"/>
  <c r="AD334" i="4"/>
  <c r="AC335" i="4"/>
  <c r="AD335" i="4"/>
  <c r="AC336" i="4"/>
  <c r="AD336" i="4"/>
  <c r="AC337" i="4"/>
  <c r="AD337" i="4"/>
  <c r="AC338" i="4"/>
  <c r="AD338" i="4"/>
  <c r="AC339" i="4"/>
  <c r="AD339" i="4"/>
  <c r="AC340" i="4"/>
  <c r="AD340" i="4"/>
  <c r="S341" i="4"/>
  <c r="AC341" i="4" s="1"/>
  <c r="AD341" i="4"/>
  <c r="AC342" i="4"/>
  <c r="AD342" i="4"/>
  <c r="AC343" i="4"/>
  <c r="AD343" i="4"/>
  <c r="AC344" i="4"/>
  <c r="AD344" i="4"/>
  <c r="AC345" i="4"/>
  <c r="AD345" i="4"/>
  <c r="AC346" i="4"/>
  <c r="AD346" i="4"/>
  <c r="AC347" i="4"/>
  <c r="AD347" i="4"/>
  <c r="AC348" i="4"/>
  <c r="AD348" i="4"/>
  <c r="R349" i="4"/>
  <c r="AD349" i="4" s="1"/>
  <c r="AC349" i="4"/>
  <c r="AC350" i="4"/>
  <c r="AD350" i="4"/>
  <c r="AC351" i="4"/>
  <c r="AD351" i="4"/>
  <c r="AC352" i="4"/>
  <c r="AD352" i="4"/>
  <c r="AC353" i="4"/>
  <c r="AD353" i="4"/>
  <c r="AC354" i="4"/>
  <c r="AD354" i="4"/>
  <c r="AC355" i="4"/>
  <c r="AD355" i="4"/>
  <c r="AC356" i="4"/>
  <c r="AD356" i="4"/>
  <c r="AC357" i="4"/>
  <c r="AD357" i="4"/>
  <c r="AC358" i="4"/>
  <c r="AD358" i="4"/>
  <c r="AC359" i="4"/>
  <c r="AD359" i="4"/>
  <c r="S262" i="4"/>
  <c r="S261" i="4"/>
  <c r="S260" i="4"/>
  <c r="S265" i="4"/>
  <c r="S271" i="4"/>
  <c r="S204" i="4"/>
  <c r="S207" i="4"/>
  <c r="AE350" i="4" l="1"/>
  <c r="AE346" i="4"/>
  <c r="AE343" i="4"/>
  <c r="AE339" i="4"/>
  <c r="AE338" i="4"/>
  <c r="AE334" i="4"/>
  <c r="AE326" i="4"/>
  <c r="AE320" i="4"/>
  <c r="AE294" i="4"/>
  <c r="AE335" i="4"/>
  <c r="AE329" i="4"/>
  <c r="AE298" i="4"/>
  <c r="AE296" i="4"/>
  <c r="AE304" i="4"/>
  <c r="AE314" i="4"/>
  <c r="AE347" i="4"/>
  <c r="AE324" i="4"/>
  <c r="AE315" i="4"/>
  <c r="AE307" i="4"/>
  <c r="AE302" i="4"/>
  <c r="AE300" i="4"/>
  <c r="AE348" i="4"/>
  <c r="AE325" i="4"/>
  <c r="AE318" i="4"/>
  <c r="AE316" i="4"/>
  <c r="AE310" i="4"/>
  <c r="AE356" i="4"/>
  <c r="AE352" i="4"/>
  <c r="AE345" i="4"/>
  <c r="AE342" i="4"/>
  <c r="AE336" i="4"/>
  <c r="AE330" i="4"/>
  <c r="AE323" i="4"/>
  <c r="AE319" i="4"/>
  <c r="AE312" i="4"/>
  <c r="AE308" i="4"/>
  <c r="AE305" i="4"/>
  <c r="AE303" i="4"/>
  <c r="AE295" i="4"/>
  <c r="AE291" i="4"/>
  <c r="AE355" i="4"/>
  <c r="AE351" i="4"/>
  <c r="AE313" i="4"/>
  <c r="AE306" i="4"/>
  <c r="AE301" i="4"/>
  <c r="AE299" i="4"/>
  <c r="AE297" i="4"/>
  <c r="AE293" i="4"/>
  <c r="AE290" i="4"/>
  <c r="AE321" i="4"/>
  <c r="AE359" i="4"/>
  <c r="AE341" i="4"/>
  <c r="AE317" i="4"/>
  <c r="AE322" i="4"/>
  <c r="AE309" i="4"/>
  <c r="AE311" i="4"/>
  <c r="AE358" i="4"/>
  <c r="AE344" i="4"/>
  <c r="AE333" i="4"/>
  <c r="AE357" i="4"/>
  <c r="AE354" i="4"/>
  <c r="AE353" i="4"/>
  <c r="AE332" i="4"/>
  <c r="AE331" i="4"/>
  <c r="AE328" i="4"/>
  <c r="AE327" i="4"/>
  <c r="AE340" i="4"/>
  <c r="AE337" i="4"/>
  <c r="AE349" i="4"/>
  <c r="S13" i="4" l="1"/>
  <c r="S461" i="4" l="1"/>
  <c r="T24" i="4"/>
  <c r="T25" i="4"/>
  <c r="T28" i="4"/>
  <c r="T278" i="4"/>
  <c r="T196" i="4"/>
  <c r="S196" i="4"/>
  <c r="T461" i="4" l="1"/>
  <c r="T38" i="4"/>
  <c r="R254" i="4"/>
  <c r="R3" i="4"/>
  <c r="R13" i="4" l="1"/>
  <c r="R7" i="4"/>
  <c r="R41" i="4"/>
  <c r="R29" i="4"/>
  <c r="R11" i="4"/>
  <c r="R18" i="4"/>
  <c r="A461" i="4" l="1"/>
  <c r="R2" i="4" l="1"/>
  <c r="M568" i="5"/>
  <c r="H568" i="5"/>
  <c r="H561" i="5" l="1"/>
  <c r="H562" i="5"/>
  <c r="H563" i="5"/>
  <c r="H564" i="5"/>
  <c r="H565" i="5"/>
  <c r="H566" i="5"/>
  <c r="H567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R178" i="4" l="1"/>
  <c r="N519" i="5" l="1"/>
  <c r="H519" i="5"/>
  <c r="N518" i="5"/>
  <c r="H518" i="5"/>
  <c r="N517" i="5"/>
  <c r="H517" i="5"/>
  <c r="N516" i="5"/>
  <c r="H516" i="5"/>
  <c r="R37" i="4" l="1"/>
  <c r="R42" i="4"/>
  <c r="N515" i="5"/>
  <c r="N514" i="5"/>
  <c r="H515" i="5"/>
  <c r="H514" i="5"/>
  <c r="Q37" i="4" l="1"/>
  <c r="Q42" i="4"/>
  <c r="R30" i="4" l="1"/>
  <c r="R19" i="4"/>
  <c r="R277" i="4" l="1"/>
  <c r="H513" i="5"/>
  <c r="N513" i="5"/>
  <c r="H512" i="5"/>
  <c r="H511" i="5"/>
  <c r="H510" i="5" l="1"/>
  <c r="R258" i="4"/>
  <c r="R9" i="4" l="1"/>
  <c r="H509" i="5"/>
  <c r="H508" i="5"/>
  <c r="R6" i="4" l="1"/>
  <c r="H507" i="5" l="1"/>
  <c r="H506" i="5"/>
  <c r="H505" i="5" l="1"/>
  <c r="R125" i="4" l="1"/>
  <c r="R122" i="4"/>
  <c r="H504" i="5"/>
  <c r="H503" i="5"/>
  <c r="H502" i="5"/>
  <c r="H501" i="5"/>
  <c r="H500" i="5" l="1"/>
  <c r="H499" i="5" l="1"/>
  <c r="R274" i="4"/>
  <c r="H498" i="5" l="1"/>
  <c r="R229" i="4"/>
  <c r="R23" i="4"/>
  <c r="R22" i="4"/>
  <c r="H497" i="5"/>
  <c r="H496" i="5"/>
  <c r="H495" i="5" l="1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H494" i="5"/>
  <c r="Q41" i="4" l="1"/>
  <c r="Q274" i="4"/>
  <c r="Q122" i="4"/>
  <c r="Q29" i="4"/>
  <c r="Q38" i="4"/>
  <c r="Q7" i="4"/>
  <c r="Q23" i="4"/>
  <c r="Q125" i="4"/>
  <c r="Q258" i="4" l="1"/>
  <c r="Q11" i="4"/>
  <c r="Q123" i="4"/>
  <c r="Q270" i="4"/>
  <c r="Q124" i="4"/>
  <c r="Q18" i="4" l="1"/>
  <c r="N493" i="5" l="1"/>
  <c r="H493" i="5"/>
  <c r="R43" i="4"/>
  <c r="Q121" i="4" l="1"/>
  <c r="Q30" i="4"/>
  <c r="Q257" i="4"/>
  <c r="Q254" i="4"/>
  <c r="R104" i="4" l="1"/>
  <c r="H492" i="5"/>
  <c r="H491" i="5"/>
  <c r="H490" i="5"/>
  <c r="H489" i="5"/>
  <c r="H488" i="5"/>
  <c r="Q33" i="4" l="1"/>
  <c r="Q153" i="4"/>
  <c r="Q13" i="4"/>
  <c r="H487" i="5" l="1"/>
  <c r="H486" i="5" l="1"/>
  <c r="H485" i="5" l="1"/>
  <c r="H484" i="5"/>
  <c r="N492" i="5" l="1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R461" i="4" l="1"/>
  <c r="Q461" i="4"/>
  <c r="N41" i="4"/>
  <c r="H483" i="5"/>
  <c r="H482" i="5"/>
  <c r="H481" i="5"/>
  <c r="H480" i="5"/>
  <c r="H479" i="5"/>
  <c r="N478" i="5"/>
  <c r="N477" i="5"/>
  <c r="H478" i="5"/>
  <c r="H477" i="5"/>
  <c r="P121" i="4" l="1"/>
  <c r="N476" i="5"/>
  <c r="H476" i="5"/>
  <c r="N475" i="5" l="1"/>
  <c r="AD292" i="4"/>
  <c r="AE292" i="4" s="1"/>
  <c r="H475" i="5"/>
  <c r="P13" i="4" l="1"/>
  <c r="P28" i="4" l="1"/>
  <c r="N474" i="5"/>
  <c r="H474" i="5"/>
  <c r="N473" i="5"/>
  <c r="H473" i="5"/>
  <c r="N472" i="5"/>
  <c r="H472" i="5"/>
  <c r="N470" i="5" l="1"/>
  <c r="H470" i="5"/>
  <c r="P30" i="4" l="1"/>
  <c r="P17" i="4"/>
  <c r="N469" i="5"/>
  <c r="H469" i="5"/>
  <c r="N468" i="5"/>
  <c r="H468" i="5"/>
  <c r="N467" i="5" l="1"/>
  <c r="N466" i="5"/>
  <c r="N465" i="5"/>
  <c r="P104" i="4" l="1"/>
  <c r="P5" i="4"/>
  <c r="P6" i="4"/>
  <c r="P278" i="4"/>
  <c r="P23" i="4"/>
  <c r="P9" i="4"/>
  <c r="H466" i="5"/>
  <c r="H465" i="5"/>
  <c r="H467" i="5"/>
  <c r="N464" i="5"/>
  <c r="N463" i="5"/>
  <c r="H464" i="5"/>
  <c r="H463" i="5"/>
  <c r="H460" i="5"/>
  <c r="H462" i="5"/>
  <c r="H459" i="5"/>
  <c r="H461" i="5"/>
  <c r="H458" i="5"/>
  <c r="H457" i="5" l="1"/>
  <c r="P53" i="4"/>
  <c r="H456" i="5"/>
  <c r="P51" i="4"/>
  <c r="O186" i="4" l="1"/>
  <c r="O461" i="4" s="1"/>
  <c r="H455" i="5" l="1"/>
  <c r="H454" i="5"/>
  <c r="P25" i="4"/>
  <c r="H453" i="5"/>
  <c r="AD289" i="4" l="1"/>
  <c r="AC289" i="4"/>
  <c r="AD288" i="4"/>
  <c r="AC288" i="4"/>
  <c r="AD287" i="4"/>
  <c r="AC287" i="4"/>
  <c r="AD286" i="4"/>
  <c r="AC286" i="4"/>
  <c r="AD285" i="4"/>
  <c r="AC285" i="4"/>
  <c r="AD284" i="4"/>
  <c r="AC284" i="4"/>
  <c r="AD283" i="4"/>
  <c r="AC283" i="4"/>
  <c r="AD282" i="4"/>
  <c r="AC282" i="4"/>
  <c r="AD281" i="4"/>
  <c r="AC281" i="4"/>
  <c r="AD280" i="4"/>
  <c r="AC280" i="4"/>
  <c r="AD279" i="4"/>
  <c r="AC279" i="4"/>
  <c r="AD278" i="4"/>
  <c r="AC278" i="4"/>
  <c r="AD277" i="4"/>
  <c r="AC277" i="4"/>
  <c r="H452" i="5"/>
  <c r="H451" i="5"/>
  <c r="H450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42" i="5"/>
  <c r="N441" i="5"/>
  <c r="N440" i="5"/>
  <c r="H449" i="5"/>
  <c r="H448" i="5"/>
  <c r="H447" i="5"/>
  <c r="H446" i="5"/>
  <c r="H445" i="5"/>
  <c r="H444" i="5"/>
  <c r="H443" i="5"/>
  <c r="H442" i="5"/>
  <c r="H441" i="5"/>
  <c r="H440" i="5"/>
  <c r="AE283" i="4" l="1"/>
  <c r="AE277" i="4"/>
  <c r="AE281" i="4"/>
  <c r="AE278" i="4"/>
  <c r="AE280" i="4"/>
  <c r="AE289" i="4"/>
  <c r="AE279" i="4"/>
  <c r="AE288" i="4"/>
  <c r="AE287" i="4"/>
  <c r="AE286" i="4"/>
  <c r="AE285" i="4"/>
  <c r="AE284" i="4"/>
  <c r="AE282" i="4"/>
  <c r="AD276" i="4"/>
  <c r="AC276" i="4"/>
  <c r="P240" i="4"/>
  <c r="P7" i="4"/>
  <c r="P29" i="4"/>
  <c r="AE276" i="4" l="1"/>
  <c r="P43" i="4"/>
  <c r="N439" i="5"/>
  <c r="N438" i="5"/>
  <c r="N437" i="5"/>
  <c r="N436" i="5"/>
  <c r="N435" i="5"/>
  <c r="H439" i="5"/>
  <c r="H438" i="5"/>
  <c r="H437" i="5"/>
  <c r="H436" i="5"/>
  <c r="H435" i="5"/>
  <c r="N434" i="5" l="1"/>
  <c r="H434" i="5"/>
  <c r="N433" i="5"/>
  <c r="H433" i="5"/>
  <c r="M432" i="5" l="1"/>
  <c r="N432" i="5" s="1"/>
  <c r="P2" i="4" l="1"/>
  <c r="H432" i="5"/>
  <c r="P67" i="4" l="1"/>
  <c r="N29" i="4"/>
  <c r="P35" i="4"/>
  <c r="N35" i="4"/>
  <c r="P196" i="4"/>
  <c r="P178" i="4"/>
  <c r="P41" i="4"/>
  <c r="P18" i="4"/>
  <c r="P461" i="4" s="1"/>
  <c r="N431" i="5" l="1"/>
  <c r="H431" i="5"/>
  <c r="N430" i="5"/>
  <c r="N429" i="5"/>
  <c r="N428" i="5"/>
  <c r="H430" i="5"/>
  <c r="H429" i="5"/>
  <c r="H428" i="5"/>
  <c r="N427" i="5"/>
  <c r="H427" i="5"/>
  <c r="N426" i="5"/>
  <c r="N425" i="5"/>
  <c r="H426" i="5"/>
  <c r="H425" i="5"/>
  <c r="N424" i="5" l="1"/>
  <c r="N423" i="5"/>
  <c r="N422" i="5"/>
  <c r="N421" i="5"/>
  <c r="N420" i="5"/>
  <c r="H424" i="5"/>
  <c r="H423" i="5"/>
  <c r="H422" i="5"/>
  <c r="H421" i="5"/>
  <c r="H420" i="5"/>
  <c r="N419" i="5" l="1"/>
  <c r="H419" i="5"/>
  <c r="N418" i="5" l="1"/>
  <c r="H418" i="5"/>
  <c r="N104" i="4" l="1"/>
  <c r="N417" i="5"/>
  <c r="H417" i="5"/>
  <c r="N416" i="5"/>
  <c r="N415" i="5"/>
  <c r="N6" i="4" l="1"/>
  <c r="N3" i="4"/>
  <c r="N38" i="4"/>
  <c r="N125" i="4"/>
  <c r="N122" i="4"/>
  <c r="N11" i="4"/>
  <c r="N18" i="4"/>
  <c r="N19" i="4"/>
  <c r="N40" i="4" l="1"/>
  <c r="H416" i="5"/>
  <c r="H415" i="5"/>
  <c r="N414" i="5"/>
  <c r="H414" i="5"/>
  <c r="N413" i="5"/>
  <c r="N412" i="5"/>
  <c r="N411" i="5"/>
  <c r="N410" i="5"/>
  <c r="H413" i="5"/>
  <c r="H412" i="5"/>
  <c r="H411" i="5"/>
  <c r="H410" i="5"/>
  <c r="H409" i="5"/>
  <c r="H408" i="5"/>
  <c r="N56" i="4"/>
  <c r="H407" i="5"/>
  <c r="H406" i="5" l="1"/>
  <c r="H405" i="5"/>
  <c r="N10" i="4"/>
  <c r="N25" i="4" l="1"/>
  <c r="H404" i="5"/>
  <c r="H403" i="5"/>
  <c r="H402" i="5"/>
  <c r="N34" i="4" l="1"/>
  <c r="N124" i="4"/>
  <c r="H401" i="5" l="1"/>
  <c r="H400" i="5"/>
  <c r="H399" i="5"/>
  <c r="H398" i="5"/>
  <c r="H397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24" i="4" l="1"/>
  <c r="H396" i="5" l="1"/>
  <c r="H395" i="5"/>
  <c r="H394" i="5"/>
  <c r="H393" i="5"/>
  <c r="H392" i="5"/>
  <c r="N391" i="5"/>
  <c r="H391" i="5"/>
  <c r="N390" i="5" l="1"/>
  <c r="H390" i="5"/>
  <c r="N271" i="4" l="1"/>
  <c r="N105" i="4"/>
  <c r="H389" i="5" l="1"/>
  <c r="H388" i="5"/>
  <c r="H387" i="5"/>
  <c r="H386" i="5"/>
  <c r="H385" i="5"/>
  <c r="H384" i="5"/>
  <c r="H383" i="5" l="1"/>
  <c r="H382" i="5"/>
  <c r="H381" i="5"/>
  <c r="H380" i="5"/>
  <c r="H379" i="5"/>
  <c r="H378" i="5"/>
  <c r="N13" i="4" l="1"/>
  <c r="H375" i="5"/>
  <c r="H374" i="5"/>
  <c r="N374" i="5"/>
  <c r="H373" i="5"/>
  <c r="N373" i="5"/>
  <c r="N377" i="5"/>
  <c r="H377" i="5"/>
  <c r="N376" i="5"/>
  <c r="H376" i="5"/>
  <c r="AD270" i="4"/>
  <c r="AC270" i="4"/>
  <c r="AD275" i="4"/>
  <c r="AC275" i="4"/>
  <c r="AD274" i="4"/>
  <c r="AC274" i="4"/>
  <c r="AD273" i="4"/>
  <c r="AC273" i="4"/>
  <c r="AD272" i="4"/>
  <c r="AC272" i="4"/>
  <c r="AD271" i="4"/>
  <c r="AC271" i="4"/>
  <c r="M196" i="4"/>
  <c r="M36" i="4"/>
  <c r="AD269" i="4"/>
  <c r="AC269" i="4"/>
  <c r="AD268" i="4"/>
  <c r="AC268" i="4"/>
  <c r="AD267" i="4"/>
  <c r="AC267" i="4"/>
  <c r="AD266" i="4"/>
  <c r="AC266" i="4"/>
  <c r="AD265" i="4"/>
  <c r="AC265" i="4"/>
  <c r="AD264" i="4"/>
  <c r="AC264" i="4"/>
  <c r="AD263" i="4"/>
  <c r="AC263" i="4"/>
  <c r="AD262" i="4"/>
  <c r="AC262" i="4"/>
  <c r="AD261" i="4"/>
  <c r="AC261" i="4"/>
  <c r="AD260" i="4"/>
  <c r="AC260" i="4"/>
  <c r="AD259" i="4"/>
  <c r="AC259" i="4"/>
  <c r="M461" i="4" l="1"/>
  <c r="AE265" i="4"/>
  <c r="AE269" i="4"/>
  <c r="AE275" i="4"/>
  <c r="AE271" i="4"/>
  <c r="AE273" i="4"/>
  <c r="AE272" i="4"/>
  <c r="AE274" i="4"/>
  <c r="AE270" i="4"/>
  <c r="AE260" i="4"/>
  <c r="AE262" i="4"/>
  <c r="AE259" i="4"/>
  <c r="AE261" i="4"/>
  <c r="AE263" i="4"/>
  <c r="AE267" i="4"/>
  <c r="AE264" i="4"/>
  <c r="AE266" i="4"/>
  <c r="AE268" i="4"/>
  <c r="N17" i="4" l="1"/>
  <c r="N9" i="4" l="1"/>
  <c r="N30" i="4"/>
  <c r="H372" i="5"/>
  <c r="H371" i="5"/>
  <c r="H370" i="5"/>
  <c r="N43" i="4" l="1"/>
  <c r="H369" i="5"/>
  <c r="N26" i="4" l="1"/>
  <c r="N21" i="4"/>
  <c r="N389" i="5" l="1"/>
  <c r="N388" i="5"/>
  <c r="N387" i="5"/>
  <c r="N386" i="5"/>
  <c r="N385" i="5"/>
  <c r="N384" i="5"/>
  <c r="N383" i="5"/>
  <c r="N382" i="5"/>
  <c r="N381" i="5"/>
  <c r="N380" i="5"/>
  <c r="N379" i="5"/>
  <c r="N378" i="5"/>
  <c r="N375" i="5"/>
  <c r="N372" i="5"/>
  <c r="N371" i="5"/>
  <c r="N370" i="5"/>
  <c r="N369" i="5"/>
  <c r="N368" i="5"/>
  <c r="N367" i="5"/>
  <c r="N366" i="5"/>
  <c r="N365" i="5"/>
  <c r="N2" i="4" l="1"/>
  <c r="N28" i="4" l="1"/>
  <c r="N33" i="4" l="1"/>
  <c r="H368" i="5" l="1"/>
  <c r="H367" i="5"/>
  <c r="H365" i="5"/>
  <c r="H364" i="5"/>
  <c r="H363" i="5"/>
  <c r="H362" i="5"/>
  <c r="H361" i="5"/>
  <c r="H360" i="5"/>
  <c r="H359" i="5"/>
  <c r="H358" i="5"/>
  <c r="H357" i="5"/>
  <c r="H356" i="5"/>
  <c r="H355" i="5"/>
  <c r="H353" i="5"/>
  <c r="H352" i="5"/>
  <c r="H351" i="5"/>
  <c r="H350" i="5"/>
  <c r="H349" i="5"/>
  <c r="H348" i="5"/>
  <c r="H347" i="5"/>
  <c r="H346" i="5"/>
  <c r="H345" i="5"/>
  <c r="H344" i="5"/>
  <c r="H343" i="5"/>
  <c r="N359" i="5" l="1"/>
  <c r="N364" i="5" l="1"/>
  <c r="N363" i="5"/>
  <c r="N362" i="5"/>
  <c r="N361" i="5"/>
  <c r="N360" i="5"/>
  <c r="N358" i="5"/>
  <c r="N357" i="5"/>
  <c r="N356" i="5"/>
  <c r="N355" i="5"/>
  <c r="N352" i="5"/>
  <c r="N351" i="5"/>
  <c r="N350" i="5"/>
  <c r="N349" i="5"/>
  <c r="N153" i="4" l="1"/>
  <c r="N461" i="4" s="1"/>
  <c r="N348" i="5" l="1"/>
  <c r="N347" i="5"/>
  <c r="N346" i="5"/>
  <c r="N345" i="5"/>
  <c r="AD258" i="4" l="1"/>
  <c r="AC258" i="4"/>
  <c r="AE258" i="4" l="1"/>
  <c r="L25" i="4"/>
  <c r="N344" i="5"/>
  <c r="N343" i="5"/>
  <c r="L3" i="4" l="1"/>
  <c r="L24" i="4"/>
  <c r="L41" i="4" l="1"/>
  <c r="N342" i="5"/>
  <c r="H342" i="5"/>
  <c r="N341" i="5"/>
  <c r="H341" i="5"/>
  <c r="N340" i="5"/>
  <c r="H340" i="5"/>
  <c r="K30" i="4" l="1"/>
  <c r="L6" i="4" l="1"/>
  <c r="N339" i="5" l="1"/>
  <c r="N338" i="5" l="1"/>
  <c r="AD5" i="4" l="1"/>
  <c r="AC5" i="4"/>
  <c r="AE5" i="4" l="1"/>
  <c r="L32" i="4"/>
  <c r="L37" i="4"/>
  <c r="L42" i="4"/>
  <c r="AD249" i="4" l="1"/>
  <c r="AC249" i="4"/>
  <c r="AE249" i="4" l="1"/>
  <c r="L2" i="4" l="1"/>
  <c r="L7" i="4"/>
  <c r="L9" i="4" l="1"/>
  <c r="L30" i="4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K23" i="4" l="1"/>
  <c r="L104" i="4"/>
  <c r="L17" i="4"/>
  <c r="K24" i="4"/>
  <c r="K190" i="4"/>
  <c r="K22" i="4"/>
  <c r="K18" i="4"/>
  <c r="K191" i="4"/>
  <c r="K26" i="4"/>
  <c r="K86" i="4"/>
  <c r="K25" i="4"/>
  <c r="K229" i="4"/>
  <c r="K125" i="4"/>
  <c r="K11" i="4"/>
  <c r="K38" i="4"/>
  <c r="K178" i="4"/>
  <c r="N337" i="5" l="1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K35" i="4"/>
  <c r="L251" i="4" l="1"/>
  <c r="AD257" i="4" l="1"/>
  <c r="AC257" i="4"/>
  <c r="AD256" i="4"/>
  <c r="AC256" i="4"/>
  <c r="AD255" i="4"/>
  <c r="AC255" i="4"/>
  <c r="AD254" i="4"/>
  <c r="AC254" i="4"/>
  <c r="AD253" i="4"/>
  <c r="AC253" i="4"/>
  <c r="AD252" i="4"/>
  <c r="AC252" i="4"/>
  <c r="AD251" i="4"/>
  <c r="AC251" i="4"/>
  <c r="AD250" i="4"/>
  <c r="AC250" i="4"/>
  <c r="AE251" i="4" l="1"/>
  <c r="AE256" i="4"/>
  <c r="AE254" i="4"/>
  <c r="AE253" i="4"/>
  <c r="AE252" i="4"/>
  <c r="AE250" i="4"/>
  <c r="AE255" i="4"/>
  <c r="AE257" i="4"/>
  <c r="K123" i="4" l="1"/>
  <c r="K65" i="4"/>
  <c r="K13" i="4"/>
  <c r="K33" i="4"/>
  <c r="K240" i="4"/>
  <c r="L33" i="4" l="1"/>
  <c r="L124" i="4" l="1"/>
  <c r="L26" i="4" l="1"/>
  <c r="H314" i="5"/>
  <c r="K19" i="4" l="1"/>
  <c r="K461" i="4" s="1"/>
  <c r="L11" i="4"/>
  <c r="H313" i="5"/>
  <c r="H312" i="5"/>
  <c r="L81" i="4" l="1"/>
  <c r="N316" i="5"/>
  <c r="N315" i="5"/>
  <c r="N314" i="5"/>
  <c r="N313" i="5"/>
  <c r="N312" i="5"/>
  <c r="N311" i="5"/>
  <c r="N310" i="5"/>
  <c r="N309" i="5"/>
  <c r="H311" i="5"/>
  <c r="H310" i="5" l="1"/>
  <c r="H309" i="5"/>
  <c r="L122" i="4" l="1"/>
  <c r="H308" i="5"/>
  <c r="H307" i="5"/>
  <c r="H306" i="5"/>
  <c r="H305" i="5"/>
  <c r="H304" i="5" l="1"/>
  <c r="H303" i="5"/>
  <c r="H302" i="5"/>
  <c r="H301" i="5"/>
  <c r="H300" i="5"/>
  <c r="L28" i="4"/>
  <c r="L38" i="4"/>
  <c r="L461" i="4" l="1"/>
  <c r="J6" i="4"/>
  <c r="H299" i="5" l="1"/>
  <c r="H298" i="5" l="1"/>
  <c r="H297" i="5"/>
  <c r="H296" i="5"/>
  <c r="H295" i="5"/>
  <c r="H294" i="5"/>
  <c r="H293" i="5"/>
  <c r="H292" i="5"/>
  <c r="AC248" i="4" l="1"/>
  <c r="AC247" i="4"/>
  <c r="AC246" i="4"/>
  <c r="AC245" i="4"/>
  <c r="AC244" i="4"/>
  <c r="AC243" i="4"/>
  <c r="AD248" i="4"/>
  <c r="AD247" i="4"/>
  <c r="AD246" i="4"/>
  <c r="AD245" i="4"/>
  <c r="AD244" i="4"/>
  <c r="AD243" i="4"/>
  <c r="AE245" i="4" l="1"/>
  <c r="AE244" i="4"/>
  <c r="AE248" i="4"/>
  <c r="AE246" i="4"/>
  <c r="AE243" i="4"/>
  <c r="AE247" i="4"/>
  <c r="M143" i="5" l="1"/>
  <c r="N143" i="5" s="1"/>
  <c r="F3" i="4" l="1"/>
  <c r="J17" i="4" l="1"/>
  <c r="H291" i="5"/>
  <c r="J122" i="4" l="1"/>
  <c r="J125" i="4"/>
  <c r="H290" i="5"/>
  <c r="H289" i="5"/>
  <c r="N250" i="5" l="1"/>
  <c r="H288" i="5" l="1"/>
  <c r="AD242" i="4" l="1"/>
  <c r="AC242" i="4"/>
  <c r="H287" i="5"/>
  <c r="H286" i="5"/>
  <c r="H285" i="5"/>
  <c r="H284" i="5"/>
  <c r="H283" i="5"/>
  <c r="J225" i="4"/>
  <c r="J224" i="4"/>
  <c r="J223" i="4"/>
  <c r="AE242" i="4" l="1"/>
  <c r="J40" i="4"/>
  <c r="J31" i="4"/>
  <c r="J32" i="4"/>
  <c r="H282" i="5"/>
  <c r="AD241" i="4" l="1"/>
  <c r="AC241" i="4"/>
  <c r="AE241" i="4" l="1"/>
  <c r="J104" i="4"/>
  <c r="J36" i="4"/>
  <c r="J43" i="4"/>
  <c r="J123" i="4"/>
  <c r="J121" i="4"/>
  <c r="H281" i="5"/>
  <c r="H280" i="5"/>
  <c r="H279" i="5"/>
  <c r="H278" i="5"/>
  <c r="H277" i="5"/>
  <c r="H276" i="5"/>
  <c r="H275" i="5"/>
  <c r="H274" i="5"/>
  <c r="H273" i="5"/>
  <c r="H272" i="5"/>
  <c r="N273" i="5" l="1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272" i="5"/>
  <c r="J81" i="4" l="1"/>
  <c r="N271" i="5" l="1"/>
  <c r="J33" i="4"/>
  <c r="H271" i="5"/>
  <c r="N270" i="5" l="1"/>
  <c r="N269" i="5"/>
  <c r="H270" i="5"/>
  <c r="H269" i="5"/>
  <c r="N268" i="5" l="1"/>
  <c r="N267" i="5"/>
  <c r="H268" i="5"/>
  <c r="H267" i="5"/>
  <c r="N266" i="5"/>
  <c r="H266" i="5"/>
  <c r="M265" i="5" l="1"/>
  <c r="H265" i="5"/>
  <c r="J2" i="4"/>
  <c r="J22" i="4" l="1"/>
  <c r="J238" i="4" l="1"/>
  <c r="H264" i="5"/>
  <c r="J35" i="4" l="1"/>
  <c r="J152" i="4"/>
  <c r="J190" i="4"/>
  <c r="H263" i="5"/>
  <c r="H262" i="5"/>
  <c r="H261" i="5"/>
  <c r="J153" i="4" l="1"/>
  <c r="J128" i="4"/>
  <c r="H260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H259" i="5"/>
  <c r="H258" i="5"/>
  <c r="H257" i="5"/>
  <c r="H256" i="5"/>
  <c r="H255" i="5"/>
  <c r="H254" i="5"/>
  <c r="J26" i="4" l="1"/>
  <c r="H253" i="5"/>
  <c r="N253" i="5"/>
  <c r="H252" i="5" l="1"/>
  <c r="N252" i="5"/>
  <c r="H251" i="5"/>
  <c r="H250" i="5"/>
  <c r="AD240" i="4" l="1"/>
  <c r="AC240" i="4"/>
  <c r="I226" i="4"/>
  <c r="AE240" i="4" l="1"/>
  <c r="AC236" i="4"/>
  <c r="AD236" i="4"/>
  <c r="AC237" i="4"/>
  <c r="AD237" i="4"/>
  <c r="AC238" i="4"/>
  <c r="AD238" i="4"/>
  <c r="AC239" i="4"/>
  <c r="AD239" i="4"/>
  <c r="I152" i="4"/>
  <c r="I125" i="4"/>
  <c r="I51" i="4"/>
  <c r="I190" i="4"/>
  <c r="I33" i="4"/>
  <c r="I35" i="4"/>
  <c r="I22" i="4"/>
  <c r="I27" i="4"/>
  <c r="I34" i="4"/>
  <c r="I104" i="4"/>
  <c r="I14" i="4"/>
  <c r="I128" i="4"/>
  <c r="I153" i="4"/>
  <c r="AE237" i="4" l="1"/>
  <c r="AE238" i="4"/>
  <c r="AE236" i="4"/>
  <c r="AE239" i="4"/>
  <c r="J21" i="4"/>
  <c r="H249" i="5" l="1"/>
  <c r="H248" i="5"/>
  <c r="M247" i="5"/>
  <c r="H247" i="5"/>
  <c r="H246" i="5" l="1"/>
  <c r="I461" i="4" l="1"/>
  <c r="H245" i="5" l="1"/>
  <c r="H244" i="5"/>
  <c r="J124" i="4"/>
  <c r="J67" i="4" l="1"/>
  <c r="N243" i="5"/>
  <c r="H243" i="5"/>
  <c r="N242" i="5"/>
  <c r="H242" i="5"/>
  <c r="N244" i="5"/>
  <c r="H241" i="5" l="1"/>
  <c r="J212" i="4"/>
  <c r="H240" i="5" l="1"/>
  <c r="J19" i="4"/>
  <c r="H239" i="5" l="1"/>
  <c r="J13" i="4" l="1"/>
  <c r="J9" i="4"/>
  <c r="J30" i="4"/>
  <c r="J7" i="4"/>
  <c r="J41" i="4"/>
  <c r="J29" i="4"/>
  <c r="N251" i="5"/>
  <c r="N249" i="5"/>
  <c r="N248" i="5"/>
  <c r="N247" i="5"/>
  <c r="N246" i="5"/>
  <c r="N245" i="5"/>
  <c r="N241" i="5"/>
  <c r="N240" i="5"/>
  <c r="N239" i="5"/>
  <c r="N238" i="5"/>
  <c r="N237" i="5"/>
  <c r="N236" i="5"/>
  <c r="N235" i="5"/>
  <c r="N234" i="5"/>
  <c r="N233" i="5"/>
  <c r="H238" i="5"/>
  <c r="H237" i="5"/>
  <c r="H236" i="5"/>
  <c r="H235" i="5"/>
  <c r="H234" i="5"/>
  <c r="H233" i="5"/>
  <c r="M232" i="5"/>
  <c r="N232" i="5" s="1"/>
  <c r="H232" i="5"/>
  <c r="J3" i="4"/>
  <c r="N231" i="5" l="1"/>
  <c r="H231" i="5"/>
  <c r="J12" i="4" l="1"/>
  <c r="N230" i="5"/>
  <c r="H230" i="5"/>
  <c r="N229" i="5"/>
  <c r="N228" i="5"/>
  <c r="H229" i="5"/>
  <c r="N227" i="5" l="1"/>
  <c r="N226" i="5"/>
  <c r="H228" i="5"/>
  <c r="J235" i="4"/>
  <c r="J25" i="4" l="1"/>
  <c r="J461" i="4" s="1"/>
  <c r="H25" i="4"/>
  <c r="H12" i="4"/>
  <c r="H227" i="5"/>
  <c r="H226" i="5"/>
  <c r="N225" i="5"/>
  <c r="H225" i="5"/>
  <c r="AD235" i="4" l="1"/>
  <c r="AC235" i="4"/>
  <c r="AE235" i="4" l="1"/>
  <c r="H104" i="4"/>
  <c r="H24" i="4" l="1"/>
  <c r="H194" i="4"/>
  <c r="H197" i="4"/>
  <c r="H121" i="4"/>
  <c r="H124" i="4"/>
  <c r="N224" i="5"/>
  <c r="N223" i="5"/>
  <c r="H224" i="5"/>
  <c r="H223" i="5"/>
  <c r="N222" i="5"/>
  <c r="N221" i="5"/>
  <c r="N220" i="5"/>
  <c r="N219" i="5"/>
  <c r="N218" i="5"/>
  <c r="H222" i="5"/>
  <c r="H221" i="5"/>
  <c r="H220" i="5"/>
  <c r="H219" i="5"/>
  <c r="H218" i="5"/>
  <c r="N217" i="5"/>
  <c r="H217" i="5"/>
  <c r="H216" i="5"/>
  <c r="N216" i="5"/>
  <c r="H215" i="5"/>
  <c r="H214" i="5"/>
  <c r="H213" i="5"/>
  <c r="H212" i="5"/>
  <c r="H211" i="5" l="1"/>
  <c r="H210" i="5"/>
  <c r="H209" i="5"/>
  <c r="H208" i="5"/>
  <c r="H196" i="4" l="1"/>
  <c r="H35" i="4"/>
  <c r="H13" i="4"/>
  <c r="H207" i="5"/>
  <c r="H206" i="5"/>
  <c r="H205" i="5"/>
  <c r="H204" i="5"/>
  <c r="H203" i="5"/>
  <c r="H202" i="5" l="1"/>
  <c r="H201" i="5"/>
  <c r="H200" i="5"/>
  <c r="H199" i="5"/>
  <c r="H198" i="5"/>
  <c r="H197" i="5"/>
  <c r="H196" i="5"/>
  <c r="H187" i="4"/>
  <c r="H186" i="4" l="1"/>
  <c r="H63" i="4"/>
  <c r="H177" i="4"/>
  <c r="H175" i="4"/>
  <c r="N215" i="5" l="1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H195" i="5"/>
  <c r="N151" i="5"/>
  <c r="H151" i="5"/>
  <c r="N192" i="5" l="1"/>
  <c r="N191" i="5"/>
  <c r="N190" i="5"/>
  <c r="N189" i="5"/>
  <c r="N188" i="5"/>
  <c r="N187" i="5"/>
  <c r="N186" i="5"/>
  <c r="N185" i="5"/>
  <c r="N184" i="5"/>
  <c r="N183" i="5"/>
  <c r="N182" i="5"/>
  <c r="N181" i="5"/>
  <c r="N180" i="5"/>
  <c r="N194" i="5" l="1"/>
  <c r="H194" i="5"/>
  <c r="H213" i="4"/>
  <c r="H81" i="4"/>
  <c r="H67" i="4"/>
  <c r="H207" i="4"/>
  <c r="H200" i="4"/>
  <c r="H199" i="4"/>
  <c r="H198" i="4"/>
  <c r="H214" i="4"/>
  <c r="H227" i="4"/>
  <c r="H22" i="4"/>
  <c r="H23" i="4" l="1"/>
  <c r="N193" i="5"/>
  <c r="H193" i="5"/>
  <c r="N179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N178" i="5"/>
  <c r="N177" i="5"/>
  <c r="N176" i="5"/>
  <c r="N175" i="5"/>
  <c r="N174" i="5"/>
  <c r="H178" i="5"/>
  <c r="H177" i="5"/>
  <c r="H176" i="5"/>
  <c r="H175" i="5"/>
  <c r="H174" i="5"/>
  <c r="N173" i="5"/>
  <c r="H173" i="5"/>
  <c r="N172" i="5"/>
  <c r="H172" i="5"/>
  <c r="H171" i="5"/>
  <c r="H170" i="5"/>
  <c r="H169" i="5" l="1"/>
  <c r="H168" i="5"/>
  <c r="G67" i="4" l="1"/>
  <c r="AD201" i="4"/>
  <c r="AC201" i="4"/>
  <c r="G175" i="4"/>
  <c r="AD234" i="4"/>
  <c r="AD233" i="4"/>
  <c r="AD232" i="4"/>
  <c r="AD231" i="4"/>
  <c r="AD230" i="4"/>
  <c r="AD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D213" i="4"/>
  <c r="AC213" i="4"/>
  <c r="AD212" i="4"/>
  <c r="AC212" i="4"/>
  <c r="AD211" i="4"/>
  <c r="AC211" i="4"/>
  <c r="AD210" i="4"/>
  <c r="G104" i="4"/>
  <c r="AC104" i="4" s="1"/>
  <c r="G234" i="4"/>
  <c r="AC234" i="4" s="1"/>
  <c r="G233" i="4"/>
  <c r="AC233" i="4" s="1"/>
  <c r="G232" i="4"/>
  <c r="AC232" i="4" s="1"/>
  <c r="G231" i="4"/>
  <c r="AC231" i="4" s="1"/>
  <c r="G230" i="4"/>
  <c r="AC230" i="4" s="1"/>
  <c r="G229" i="4"/>
  <c r="AC229" i="4" s="1"/>
  <c r="G81" i="4"/>
  <c r="AC81" i="4" s="1"/>
  <c r="G190" i="4"/>
  <c r="G194" i="4"/>
  <c r="AC194" i="4" s="1"/>
  <c r="G197" i="4"/>
  <c r="AC197" i="4" s="1"/>
  <c r="G35" i="4"/>
  <c r="G24" i="4"/>
  <c r="AC24" i="4" s="1"/>
  <c r="G25" i="4"/>
  <c r="AC25" i="4" s="1"/>
  <c r="G26" i="4"/>
  <c r="G30" i="4"/>
  <c r="G191" i="4"/>
  <c r="AC191" i="4" s="1"/>
  <c r="G124" i="4"/>
  <c r="G7" i="4"/>
  <c r="G17" i="4"/>
  <c r="G18" i="4"/>
  <c r="G23" i="4"/>
  <c r="AC23" i="4" s="1"/>
  <c r="G214" i="4"/>
  <c r="AC214" i="4" s="1"/>
  <c r="G196" i="4"/>
  <c r="G210" i="4"/>
  <c r="AC210" i="4" s="1"/>
  <c r="AD209" i="4"/>
  <c r="AC209" i="4"/>
  <c r="G208" i="4"/>
  <c r="G207" i="4"/>
  <c r="AC207" i="4" s="1"/>
  <c r="G206" i="4"/>
  <c r="AC206" i="4" s="1"/>
  <c r="G205" i="4"/>
  <c r="G204" i="4"/>
  <c r="G203" i="4"/>
  <c r="AC203" i="4" s="1"/>
  <c r="F2" i="4"/>
  <c r="H2" i="4"/>
  <c r="AC2" i="4"/>
  <c r="H3" i="4"/>
  <c r="AD3" i="4" s="1"/>
  <c r="AC3" i="4"/>
  <c r="AC4" i="4"/>
  <c r="AD4" i="4"/>
  <c r="F6" i="4"/>
  <c r="G6" i="4"/>
  <c r="H6" i="4"/>
  <c r="E7" i="4"/>
  <c r="F7" i="4"/>
  <c r="H7" i="4"/>
  <c r="H8" i="4"/>
  <c r="AD8" i="4" s="1"/>
  <c r="AC8" i="4"/>
  <c r="F9" i="4"/>
  <c r="H9" i="4"/>
  <c r="AC9" i="4"/>
  <c r="AC10" i="4"/>
  <c r="AD10" i="4"/>
  <c r="E11" i="4"/>
  <c r="AC11" i="4" s="1"/>
  <c r="F11" i="4"/>
  <c r="H11" i="4"/>
  <c r="F12" i="4"/>
  <c r="AD12" i="4" s="1"/>
  <c r="AC12" i="4"/>
  <c r="E13" i="4"/>
  <c r="AC13" i="4" s="1"/>
  <c r="F13" i="4"/>
  <c r="AD13" i="4" s="1"/>
  <c r="E14" i="4"/>
  <c r="AC14" i="4" s="1"/>
  <c r="AD14" i="4"/>
  <c r="AC15" i="4"/>
  <c r="AD15" i="4"/>
  <c r="AC16" i="4"/>
  <c r="AD16" i="4"/>
  <c r="E17" i="4"/>
  <c r="F17" i="4"/>
  <c r="H17" i="4"/>
  <c r="E18" i="4"/>
  <c r="F18" i="4"/>
  <c r="H18" i="4"/>
  <c r="F19" i="4"/>
  <c r="H19" i="4"/>
  <c r="AC19" i="4"/>
  <c r="E20" i="4"/>
  <c r="AC20" i="4" s="1"/>
  <c r="F20" i="4"/>
  <c r="H20" i="4"/>
  <c r="AC21" i="4"/>
  <c r="AD21" i="4"/>
  <c r="E22" i="4"/>
  <c r="AC22" i="4" s="1"/>
  <c r="F22" i="4"/>
  <c r="AD22" i="4" s="1"/>
  <c r="F23" i="4"/>
  <c r="AD23" i="4" s="1"/>
  <c r="F24" i="4"/>
  <c r="AD24" i="4" s="1"/>
  <c r="AD25" i="4"/>
  <c r="F26" i="4"/>
  <c r="AD26" i="4" s="1"/>
  <c r="H26" i="4"/>
  <c r="AC26" i="4"/>
  <c r="F27" i="4"/>
  <c r="H27" i="4"/>
  <c r="AC27" i="4"/>
  <c r="H28" i="4"/>
  <c r="AD28" i="4" s="1"/>
  <c r="AC28" i="4"/>
  <c r="E29" i="4"/>
  <c r="AC29" i="4" s="1"/>
  <c r="F29" i="4"/>
  <c r="AD29" i="4" s="1"/>
  <c r="E30" i="4"/>
  <c r="AC30" i="4" s="1"/>
  <c r="F30" i="4"/>
  <c r="H30" i="4"/>
  <c r="E31" i="4"/>
  <c r="F31" i="4"/>
  <c r="G31" i="4"/>
  <c r="H31" i="4"/>
  <c r="E32" i="4"/>
  <c r="AC32" i="4" s="1"/>
  <c r="AD32" i="4"/>
  <c r="F33" i="4"/>
  <c r="H33" i="4"/>
  <c r="AC33" i="4"/>
  <c r="AC34" i="4"/>
  <c r="AD34" i="4"/>
  <c r="E35" i="4"/>
  <c r="F35" i="4"/>
  <c r="AD35" i="4" s="1"/>
  <c r="F36" i="4"/>
  <c r="H36" i="4"/>
  <c r="AC36" i="4"/>
  <c r="G37" i="4"/>
  <c r="AC37" i="4" s="1"/>
  <c r="AD37" i="4"/>
  <c r="E38" i="4"/>
  <c r="AC38" i="4" s="1"/>
  <c r="F38" i="4"/>
  <c r="H38" i="4"/>
  <c r="AC39" i="4"/>
  <c r="AD39" i="4"/>
  <c r="H40" i="4"/>
  <c r="AD40" i="4" s="1"/>
  <c r="AC40" i="4"/>
  <c r="E41" i="4"/>
  <c r="AC41" i="4" s="1"/>
  <c r="F41" i="4"/>
  <c r="AD41" i="4" s="1"/>
  <c r="G42" i="4"/>
  <c r="AC42" i="4" s="1"/>
  <c r="AD42" i="4"/>
  <c r="F43" i="4"/>
  <c r="H43" i="4"/>
  <c r="AC43" i="4"/>
  <c r="AC44" i="4"/>
  <c r="AD44" i="4"/>
  <c r="AC45" i="4"/>
  <c r="AD45" i="4"/>
  <c r="AC46" i="4"/>
  <c r="AD46" i="4"/>
  <c r="AC47" i="4"/>
  <c r="AD47" i="4"/>
  <c r="AC48" i="4"/>
  <c r="AD48" i="4"/>
  <c r="E49" i="4"/>
  <c r="AC49" i="4" s="1"/>
  <c r="AD49" i="4"/>
  <c r="AC50" i="4"/>
  <c r="AD50" i="4"/>
  <c r="AC51" i="4"/>
  <c r="AD51" i="4"/>
  <c r="AC52" i="4"/>
  <c r="AD52" i="4"/>
  <c r="AC53" i="4"/>
  <c r="AD53" i="4"/>
  <c r="AC54" i="4"/>
  <c r="AD54" i="4"/>
  <c r="AC55" i="4"/>
  <c r="AD55" i="4"/>
  <c r="E56" i="4"/>
  <c r="AC56" i="4" s="1"/>
  <c r="AD56" i="4"/>
  <c r="AC57" i="4"/>
  <c r="AD57" i="4"/>
  <c r="AC58" i="4"/>
  <c r="AD58" i="4"/>
  <c r="AC59" i="4"/>
  <c r="AD59" i="4"/>
  <c r="AC60" i="4"/>
  <c r="AD60" i="4"/>
  <c r="AC61" i="4"/>
  <c r="AD61" i="4"/>
  <c r="AC62" i="4"/>
  <c r="AD62" i="4"/>
  <c r="E63" i="4"/>
  <c r="AC63" i="4" s="1"/>
  <c r="F63" i="4"/>
  <c r="AD63" i="4" s="1"/>
  <c r="AC64" i="4"/>
  <c r="AD64" i="4"/>
  <c r="AC65" i="4"/>
  <c r="AD65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3" i="4"/>
  <c r="AD73" i="4"/>
  <c r="AC74" i="4"/>
  <c r="AD74" i="4"/>
  <c r="AC75" i="4"/>
  <c r="AD75" i="4"/>
  <c r="E76" i="4"/>
  <c r="AC76" i="4" s="1"/>
  <c r="F76" i="4"/>
  <c r="AD76" i="4" s="1"/>
  <c r="AC77" i="4"/>
  <c r="AD77" i="4"/>
  <c r="AC78" i="4"/>
  <c r="AD78" i="4"/>
  <c r="AC79" i="4"/>
  <c r="AD79" i="4"/>
  <c r="AC80" i="4"/>
  <c r="AD80" i="4"/>
  <c r="AD81" i="4"/>
  <c r="AC82" i="4"/>
  <c r="AD82" i="4"/>
  <c r="AC83" i="4"/>
  <c r="AD83" i="4"/>
  <c r="AC84" i="4"/>
  <c r="AD84" i="4"/>
  <c r="AC85" i="4"/>
  <c r="AD85" i="4"/>
  <c r="AC86" i="4"/>
  <c r="AD86" i="4"/>
  <c r="AC87" i="4"/>
  <c r="AD87" i="4"/>
  <c r="AC88" i="4"/>
  <c r="AD88" i="4"/>
  <c r="E89" i="4"/>
  <c r="AC89" i="4" s="1"/>
  <c r="F89" i="4"/>
  <c r="AD89" i="4" s="1"/>
  <c r="AC90" i="4"/>
  <c r="AD90" i="4"/>
  <c r="AC91" i="4"/>
  <c r="AD91" i="4"/>
  <c r="AC92" i="4"/>
  <c r="AD92" i="4"/>
  <c r="AC93" i="4"/>
  <c r="AD93" i="4"/>
  <c r="AC94" i="4"/>
  <c r="AD94" i="4"/>
  <c r="AC95" i="4"/>
  <c r="AD95" i="4"/>
  <c r="AC96" i="4"/>
  <c r="AD96" i="4"/>
  <c r="AC97" i="4"/>
  <c r="AD97" i="4"/>
  <c r="AC98" i="4"/>
  <c r="AD98" i="4"/>
  <c r="AC99" i="4"/>
  <c r="AD99" i="4"/>
  <c r="E100" i="4"/>
  <c r="AC100" i="4" s="1"/>
  <c r="H100" i="4"/>
  <c r="AD100" i="4" s="1"/>
  <c r="E101" i="4"/>
  <c r="AC101" i="4" s="1"/>
  <c r="H101" i="4"/>
  <c r="AD101" i="4" s="1"/>
  <c r="E102" i="4"/>
  <c r="AC102" i="4" s="1"/>
  <c r="H102" i="4"/>
  <c r="AD102" i="4" s="1"/>
  <c r="AC103" i="4"/>
  <c r="AD103" i="4"/>
  <c r="F104" i="4"/>
  <c r="AD104" i="4" s="1"/>
  <c r="AC105" i="4"/>
  <c r="AD105" i="4"/>
  <c r="AC106" i="4"/>
  <c r="AD106" i="4"/>
  <c r="AC107" i="4"/>
  <c r="AD107" i="4"/>
  <c r="AC108" i="4"/>
  <c r="AD108" i="4"/>
  <c r="AC109" i="4"/>
  <c r="AD109" i="4"/>
  <c r="AC110" i="4"/>
  <c r="AD110" i="4"/>
  <c r="AC111" i="4"/>
  <c r="AD111" i="4"/>
  <c r="AC112" i="4"/>
  <c r="AD112" i="4"/>
  <c r="AC113" i="4"/>
  <c r="AD113" i="4"/>
  <c r="AC114" i="4"/>
  <c r="AD114" i="4"/>
  <c r="AC115" i="4"/>
  <c r="AD115" i="4"/>
  <c r="AC116" i="4"/>
  <c r="AD116" i="4"/>
  <c r="AC117" i="4"/>
  <c r="AD117" i="4"/>
  <c r="AC118" i="4"/>
  <c r="AD118" i="4"/>
  <c r="AC119" i="4"/>
  <c r="AD119" i="4"/>
  <c r="AC120" i="4"/>
  <c r="AD120" i="4"/>
  <c r="E121" i="4"/>
  <c r="AC121" i="4" s="1"/>
  <c r="F121" i="4"/>
  <c r="AD121" i="4" s="1"/>
  <c r="E122" i="4"/>
  <c r="AC122" i="4" s="1"/>
  <c r="F122" i="4"/>
  <c r="H122" i="4"/>
  <c r="E123" i="4"/>
  <c r="AC123" i="4" s="1"/>
  <c r="F123" i="4"/>
  <c r="H123" i="4"/>
  <c r="E124" i="4"/>
  <c r="F124" i="4"/>
  <c r="AD124" i="4" s="1"/>
  <c r="F125" i="4"/>
  <c r="AD125" i="4" s="1"/>
  <c r="G125" i="4"/>
  <c r="AC125" i="4" s="1"/>
  <c r="AC126" i="4"/>
  <c r="AD126" i="4"/>
  <c r="AC127" i="4"/>
  <c r="AD127" i="4"/>
  <c r="AC128" i="4"/>
  <c r="AD128" i="4"/>
  <c r="AC129" i="4"/>
  <c r="AD129" i="4"/>
  <c r="AC130" i="4"/>
  <c r="AD130" i="4"/>
  <c r="E131" i="4"/>
  <c r="AC131" i="4" s="1"/>
  <c r="F131" i="4"/>
  <c r="AD131" i="4" s="1"/>
  <c r="AC132" i="4"/>
  <c r="AD132" i="4"/>
  <c r="AC133" i="4"/>
  <c r="AD133" i="4"/>
  <c r="AC134" i="4"/>
  <c r="AD134" i="4"/>
  <c r="AC135" i="4"/>
  <c r="AD135" i="4"/>
  <c r="AC136" i="4"/>
  <c r="AD136" i="4"/>
  <c r="AC137" i="4"/>
  <c r="AD137" i="4"/>
  <c r="AC138" i="4"/>
  <c r="AD138" i="4"/>
  <c r="AC139" i="4"/>
  <c r="AD139" i="4"/>
  <c r="AC140" i="4"/>
  <c r="AD140" i="4"/>
  <c r="AC141" i="4"/>
  <c r="AD141" i="4"/>
  <c r="AC142" i="4"/>
  <c r="AD142" i="4"/>
  <c r="AC143" i="4"/>
  <c r="AD143" i="4"/>
  <c r="AC144" i="4"/>
  <c r="AD144" i="4"/>
  <c r="AC145" i="4"/>
  <c r="AD145" i="4"/>
  <c r="AC146" i="4"/>
  <c r="AD146" i="4"/>
  <c r="AC147" i="4"/>
  <c r="AD147" i="4"/>
  <c r="AC148" i="4"/>
  <c r="AD148" i="4"/>
  <c r="AC149" i="4"/>
  <c r="AD149" i="4"/>
  <c r="AC150" i="4"/>
  <c r="AD150" i="4"/>
  <c r="AC151" i="4"/>
  <c r="AD151" i="4"/>
  <c r="AC152" i="4"/>
  <c r="AD152" i="4"/>
  <c r="AC153" i="4"/>
  <c r="AD153" i="4"/>
  <c r="AC154" i="4"/>
  <c r="AD154" i="4"/>
  <c r="AC155" i="4"/>
  <c r="AD155" i="4"/>
  <c r="AC156" i="4"/>
  <c r="AD156" i="4"/>
  <c r="AC157" i="4"/>
  <c r="AD157" i="4"/>
  <c r="AC158" i="4"/>
  <c r="AD158" i="4"/>
  <c r="AC159" i="4"/>
  <c r="AD159" i="4"/>
  <c r="AC160" i="4"/>
  <c r="AD160" i="4"/>
  <c r="AC161" i="4"/>
  <c r="AD161" i="4"/>
  <c r="AC162" i="4"/>
  <c r="AD162" i="4"/>
  <c r="AC163" i="4"/>
  <c r="AD163" i="4"/>
  <c r="AC164" i="4"/>
  <c r="AD164" i="4"/>
  <c r="AC165" i="4"/>
  <c r="AD165" i="4"/>
  <c r="AC166" i="4"/>
  <c r="AD166" i="4"/>
  <c r="AC167" i="4"/>
  <c r="AD167" i="4"/>
  <c r="AC168" i="4"/>
  <c r="AD168" i="4"/>
  <c r="AC169" i="4"/>
  <c r="AD169" i="4"/>
  <c r="AC170" i="4"/>
  <c r="AD170" i="4"/>
  <c r="AC171" i="4"/>
  <c r="AD171" i="4"/>
  <c r="AC172" i="4"/>
  <c r="AD172" i="4"/>
  <c r="AC173" i="4"/>
  <c r="AD173" i="4"/>
  <c r="AC174" i="4"/>
  <c r="AD174" i="4"/>
  <c r="E175" i="4"/>
  <c r="F175" i="4"/>
  <c r="AD175" i="4" s="1"/>
  <c r="F176" i="4"/>
  <c r="AD176" i="4" s="1"/>
  <c r="AC176" i="4"/>
  <c r="E177" i="4"/>
  <c r="AC177" i="4" s="1"/>
  <c r="F177" i="4"/>
  <c r="AD177" i="4" s="1"/>
  <c r="E178" i="4"/>
  <c r="AC178" i="4" s="1"/>
  <c r="F178" i="4"/>
  <c r="AD178" i="4" s="1"/>
  <c r="F179" i="4"/>
  <c r="AD179" i="4" s="1"/>
  <c r="AC179" i="4"/>
  <c r="F180" i="4"/>
  <c r="AD180" i="4" s="1"/>
  <c r="AC180" i="4"/>
  <c r="F181" i="4"/>
  <c r="AD181" i="4" s="1"/>
  <c r="AC181" i="4"/>
  <c r="F182" i="4"/>
  <c r="AD182" i="4" s="1"/>
  <c r="AC182" i="4"/>
  <c r="AC183" i="4"/>
  <c r="AD183" i="4"/>
  <c r="F184" i="4"/>
  <c r="AD184" i="4" s="1"/>
  <c r="AC184" i="4"/>
  <c r="F185" i="4"/>
  <c r="AD185" i="4" s="1"/>
  <c r="AC185" i="4"/>
  <c r="E186" i="4"/>
  <c r="AC186" i="4" s="1"/>
  <c r="F186" i="4"/>
  <c r="AD186" i="4" s="1"/>
  <c r="E187" i="4"/>
  <c r="AC187" i="4" s="1"/>
  <c r="F187" i="4"/>
  <c r="AD187" i="4" s="1"/>
  <c r="E188" i="4"/>
  <c r="AC188" i="4" s="1"/>
  <c r="F188" i="4"/>
  <c r="AD188" i="4" s="1"/>
  <c r="E189" i="4"/>
  <c r="AC189" i="4" s="1"/>
  <c r="AD189" i="4"/>
  <c r="E190" i="4"/>
  <c r="AC190" i="4" s="1"/>
  <c r="F190" i="4"/>
  <c r="AD190" i="4" s="1"/>
  <c r="AD191" i="4"/>
  <c r="H192" i="4"/>
  <c r="AD192" i="4" s="1"/>
  <c r="AC192" i="4"/>
  <c r="AC193" i="4"/>
  <c r="AD193" i="4"/>
  <c r="AD194" i="4"/>
  <c r="H195" i="4"/>
  <c r="AD195" i="4" s="1"/>
  <c r="AC195" i="4"/>
  <c r="AC196" i="4"/>
  <c r="AD196" i="4"/>
  <c r="AD197" i="4"/>
  <c r="G198" i="4"/>
  <c r="AC198" i="4" s="1"/>
  <c r="AD198" i="4"/>
  <c r="G199" i="4"/>
  <c r="AC199" i="4" s="1"/>
  <c r="AD199" i="4"/>
  <c r="G200" i="4"/>
  <c r="AC200" i="4" s="1"/>
  <c r="AD200" i="4"/>
  <c r="G202" i="4"/>
  <c r="AC202" i="4" s="1"/>
  <c r="AD202" i="4"/>
  <c r="AD203" i="4"/>
  <c r="AC204" i="4"/>
  <c r="AD204" i="4"/>
  <c r="AC205" i="4"/>
  <c r="AD205" i="4"/>
  <c r="AD206" i="4"/>
  <c r="AD207" i="4"/>
  <c r="AC208" i="4"/>
  <c r="AD208" i="4"/>
  <c r="N466" i="4"/>
  <c r="AE25" i="4" l="1"/>
  <c r="AE3" i="4"/>
  <c r="AD43" i="4"/>
  <c r="AE43" i="4" s="1"/>
  <c r="AD20" i="4"/>
  <c r="AE20" i="4" s="1"/>
  <c r="AD19" i="4"/>
  <c r="AE19" i="4" s="1"/>
  <c r="AC175" i="4"/>
  <c r="AE175" i="4" s="1"/>
  <c r="AD123" i="4"/>
  <c r="AE123" i="4" s="1"/>
  <c r="AE26" i="4"/>
  <c r="AC7" i="4"/>
  <c r="AD2" i="4"/>
  <c r="AE2" i="4" s="1"/>
  <c r="AD30" i="4"/>
  <c r="AE30" i="4" s="1"/>
  <c r="AD27" i="4"/>
  <c r="AE27" i="4" s="1"/>
  <c r="AD17" i="4"/>
  <c r="AD9" i="4"/>
  <c r="AE9" i="4" s="1"/>
  <c r="AD6" i="4"/>
  <c r="AD38" i="4"/>
  <c r="AE38" i="4" s="1"/>
  <c r="AD18" i="4"/>
  <c r="AD33" i="4"/>
  <c r="AE33" i="4" s="1"/>
  <c r="AD31" i="4"/>
  <c r="AD7" i="4"/>
  <c r="AD11" i="4"/>
  <c r="AE11" i="4" s="1"/>
  <c r="E461" i="4"/>
  <c r="H461" i="4"/>
  <c r="AC31" i="4"/>
  <c r="G461" i="4"/>
  <c r="F461" i="4"/>
  <c r="AC18" i="4"/>
  <c r="AC17" i="4"/>
  <c r="AC35" i="4"/>
  <c r="AE35" i="4" s="1"/>
  <c r="AD36" i="4"/>
  <c r="AE36" i="4" s="1"/>
  <c r="AD122" i="4"/>
  <c r="AC6" i="4"/>
  <c r="AC124" i="4"/>
  <c r="AE124" i="4" s="1"/>
  <c r="AE41" i="4"/>
  <c r="AE189" i="4"/>
  <c r="AE183" i="4"/>
  <c r="AE172" i="4"/>
  <c r="AE164" i="4"/>
  <c r="AE194" i="4"/>
  <c r="AE74" i="4"/>
  <c r="AE68" i="4"/>
  <c r="AE66" i="4"/>
  <c r="AE64" i="4"/>
  <c r="AE53" i="4"/>
  <c r="AE40" i="4"/>
  <c r="AE16" i="4"/>
  <c r="AE215" i="4"/>
  <c r="AE217" i="4"/>
  <c r="AE171" i="4"/>
  <c r="AE119" i="4"/>
  <c r="AE117" i="4"/>
  <c r="AE111" i="4"/>
  <c r="AE109" i="4"/>
  <c r="AE107" i="4"/>
  <c r="AE98" i="4"/>
  <c r="AE92" i="4"/>
  <c r="AE90" i="4"/>
  <c r="AE86" i="4"/>
  <c r="AE82" i="4"/>
  <c r="AE62" i="4"/>
  <c r="AE54" i="4"/>
  <c r="AE45" i="4"/>
  <c r="AE39" i="4"/>
  <c r="AE212" i="4"/>
  <c r="AE214" i="4"/>
  <c r="AE216" i="4"/>
  <c r="AE218" i="4"/>
  <c r="AE220" i="4"/>
  <c r="AE222" i="4"/>
  <c r="AE224" i="4"/>
  <c r="AE185" i="4"/>
  <c r="AE154" i="4"/>
  <c r="AE146" i="4"/>
  <c r="AE138" i="4"/>
  <c r="AE128" i="4"/>
  <c r="AE219" i="4"/>
  <c r="AE181" i="4"/>
  <c r="AE83" i="4"/>
  <c r="AE71" i="4"/>
  <c r="AE59" i="4"/>
  <c r="AE57" i="4"/>
  <c r="AE159" i="4"/>
  <c r="AE157" i="4"/>
  <c r="AE151" i="4"/>
  <c r="AE149" i="4"/>
  <c r="AE147" i="4"/>
  <c r="AE143" i="4"/>
  <c r="AE141" i="4"/>
  <c r="AE135" i="4"/>
  <c r="AE133" i="4"/>
  <c r="AE131" i="4"/>
  <c r="AE129" i="4"/>
  <c r="AE114" i="4"/>
  <c r="AE106" i="4"/>
  <c r="AE95" i="4"/>
  <c r="AE4" i="4"/>
  <c r="AE231" i="4"/>
  <c r="AE201" i="4"/>
  <c r="AE213" i="4"/>
  <c r="AE209" i="4"/>
  <c r="AE208" i="4"/>
  <c r="AE200" i="4"/>
  <c r="AE170" i="4"/>
  <c r="AE162" i="4"/>
  <c r="AE139" i="4"/>
  <c r="AE125" i="4"/>
  <c r="AE115" i="4"/>
  <c r="AE96" i="4"/>
  <c r="AE28" i="4"/>
  <c r="AE104" i="4"/>
  <c r="AE221" i="4"/>
  <c r="AE223" i="4"/>
  <c r="AE225" i="4"/>
  <c r="AE227" i="4"/>
  <c r="AE229" i="4"/>
  <c r="AE233" i="4"/>
  <c r="AE55" i="4"/>
  <c r="AE13" i="4"/>
  <c r="AE8" i="4"/>
  <c r="AE210" i="4"/>
  <c r="AE198" i="4"/>
  <c r="AE196" i="4"/>
  <c r="AE190" i="4"/>
  <c r="AE188" i="4"/>
  <c r="AE156" i="4"/>
  <c r="AE148" i="4"/>
  <c r="AE78" i="4"/>
  <c r="AE76" i="4"/>
  <c r="AE73" i="4"/>
  <c r="AE65" i="4"/>
  <c r="AE22" i="4"/>
  <c r="AE226" i="4"/>
  <c r="AE228" i="4"/>
  <c r="AE230" i="4"/>
  <c r="AE232" i="4"/>
  <c r="AE234" i="4"/>
  <c r="AE179" i="4"/>
  <c r="AE173" i="4"/>
  <c r="AE167" i="4"/>
  <c r="AE165" i="4"/>
  <c r="AE163" i="4"/>
  <c r="AE155" i="4"/>
  <c r="AE140" i="4"/>
  <c r="AE132" i="4"/>
  <c r="AE130" i="4"/>
  <c r="AE116" i="4"/>
  <c r="AE108" i="4"/>
  <c r="AE101" i="4"/>
  <c r="AE100" i="4"/>
  <c r="AE97" i="4"/>
  <c r="AE84" i="4"/>
  <c r="AE72" i="4"/>
  <c r="AE63" i="4"/>
  <c r="AE56" i="4"/>
  <c r="AE50" i="4"/>
  <c r="AE48" i="4"/>
  <c r="AE15" i="4"/>
  <c r="AE211" i="4"/>
  <c r="AE81" i="4"/>
  <c r="AE24" i="4"/>
  <c r="AE206" i="4"/>
  <c r="AE204" i="4"/>
  <c r="AE202" i="4"/>
  <c r="AE197" i="4"/>
  <c r="AE193" i="4"/>
  <c r="AE191" i="4"/>
  <c r="AE187" i="4"/>
  <c r="AE186" i="4"/>
  <c r="AE184" i="4"/>
  <c r="AE182" i="4"/>
  <c r="AE168" i="4"/>
  <c r="AE166" i="4"/>
  <c r="AE161" i="4"/>
  <c r="AE152" i="4"/>
  <c r="AE150" i="4"/>
  <c r="AE145" i="4"/>
  <c r="AE136" i="4"/>
  <c r="AE134" i="4"/>
  <c r="AE127" i="4"/>
  <c r="AE121" i="4"/>
  <c r="AE112" i="4"/>
  <c r="AE110" i="4"/>
  <c r="AE105" i="4"/>
  <c r="AE103" i="4"/>
  <c r="AE93" i="4"/>
  <c r="AE91" i="4"/>
  <c r="AE88" i="4"/>
  <c r="AE79" i="4"/>
  <c r="AE77" i="4"/>
  <c r="AE69" i="4"/>
  <c r="AE67" i="4"/>
  <c r="AE60" i="4"/>
  <c r="AE58" i="4"/>
  <c r="AE51" i="4"/>
  <c r="AE49" i="4"/>
  <c r="AE46" i="4"/>
  <c r="AE44" i="4"/>
  <c r="AE32" i="4"/>
  <c r="AE23" i="4"/>
  <c r="AE10" i="4"/>
  <c r="AE207" i="4"/>
  <c r="AE205" i="4"/>
  <c r="AE199" i="4"/>
  <c r="AE195" i="4"/>
  <c r="AE180" i="4"/>
  <c r="AE178" i="4"/>
  <c r="AE174" i="4"/>
  <c r="AE169" i="4"/>
  <c r="AE160" i="4"/>
  <c r="AE158" i="4"/>
  <c r="AE153" i="4"/>
  <c r="AE144" i="4"/>
  <c r="AE142" i="4"/>
  <c r="AE137" i="4"/>
  <c r="AE126" i="4"/>
  <c r="AE120" i="4"/>
  <c r="AE118" i="4"/>
  <c r="AE113" i="4"/>
  <c r="AE99" i="4"/>
  <c r="AE94" i="4"/>
  <c r="AE87" i="4"/>
  <c r="AE85" i="4"/>
  <c r="AE80" i="4"/>
  <c r="AE75" i="4"/>
  <c r="AE70" i="4"/>
  <c r="AE61" i="4"/>
  <c r="AE52" i="4"/>
  <c r="AE47" i="4"/>
  <c r="AE42" i="4"/>
  <c r="AE37" i="4"/>
  <c r="AE34" i="4"/>
  <c r="AE29" i="4"/>
  <c r="AE21" i="4"/>
  <c r="AE14" i="4"/>
  <c r="AE12" i="4"/>
  <c r="AE203" i="4"/>
  <c r="AE102" i="4"/>
  <c r="AE177" i="4"/>
  <c r="AE89" i="4"/>
  <c r="AE192" i="4"/>
  <c r="AE176" i="4"/>
  <c r="H167" i="5"/>
  <c r="AC461" i="4" l="1"/>
  <c r="AD461" i="4"/>
  <c r="AE18" i="4"/>
  <c r="AE31" i="4"/>
  <c r="AE7" i="4"/>
  <c r="AE6" i="4"/>
  <c r="AE17" i="4"/>
  <c r="AE122" i="4"/>
  <c r="H166" i="5"/>
  <c r="N171" i="5"/>
  <c r="N170" i="5"/>
  <c r="N169" i="5"/>
  <c r="N168" i="5"/>
  <c r="N167" i="5"/>
  <c r="N166" i="5"/>
  <c r="N165" i="5"/>
  <c r="N164" i="5"/>
  <c r="N163" i="5"/>
  <c r="N162" i="5"/>
  <c r="N161" i="5"/>
  <c r="H165" i="5"/>
  <c r="AE461" i="4" l="1"/>
  <c r="H164" i="5"/>
  <c r="H163" i="5"/>
  <c r="H162" i="5"/>
  <c r="H161" i="5"/>
  <c r="N160" i="5" l="1"/>
  <c r="N159" i="5"/>
  <c r="N158" i="5"/>
  <c r="H160" i="5"/>
  <c r="H159" i="5"/>
  <c r="H158" i="5"/>
  <c r="N157" i="5" l="1"/>
  <c r="H157" i="5"/>
  <c r="N156" i="5" l="1"/>
  <c r="N155" i="5"/>
  <c r="H156" i="5"/>
  <c r="H155" i="5"/>
  <c r="N154" i="5" l="1"/>
  <c r="N153" i="5"/>
  <c r="N152" i="5"/>
  <c r="H154" i="5"/>
  <c r="H153" i="5"/>
  <c r="H152" i="5"/>
  <c r="N150" i="5" l="1"/>
  <c r="H150" i="5"/>
  <c r="N149" i="5" l="1"/>
  <c r="N148" i="5"/>
  <c r="N147" i="5"/>
  <c r="N146" i="5"/>
  <c r="H149" i="5"/>
  <c r="H148" i="5"/>
  <c r="H147" i="5"/>
  <c r="H146" i="5"/>
  <c r="N145" i="5" l="1"/>
  <c r="H145" i="5"/>
  <c r="N144" i="5" l="1"/>
  <c r="N142" i="5"/>
  <c r="H144" i="5"/>
  <c r="H142" i="5"/>
  <c r="N141" i="5" l="1"/>
  <c r="H141" i="5"/>
  <c r="N140" i="5"/>
  <c r="H140" i="5"/>
  <c r="N139" i="5" l="1"/>
  <c r="H139" i="5"/>
  <c r="N138" i="5"/>
  <c r="H138" i="5"/>
  <c r="N137" i="5"/>
  <c r="H137" i="5"/>
  <c r="N136" i="5"/>
  <c r="H136" i="5" l="1"/>
  <c r="N135" i="5"/>
  <c r="H135" i="5" l="1"/>
  <c r="N134" i="5" l="1"/>
  <c r="H134" i="5"/>
  <c r="N133" i="5" l="1"/>
  <c r="H133" i="5"/>
  <c r="N132" i="5"/>
  <c r="H132" i="5"/>
  <c r="N131" i="5" l="1"/>
  <c r="N130" i="5"/>
  <c r="N129" i="5"/>
  <c r="N128" i="5"/>
  <c r="N127" i="5"/>
  <c r="N126" i="5"/>
  <c r="N125" i="5"/>
  <c r="N124" i="5"/>
  <c r="N123" i="5"/>
  <c r="H131" i="5"/>
  <c r="H130" i="5"/>
  <c r="H129" i="5"/>
  <c r="H128" i="5"/>
  <c r="H127" i="5"/>
  <c r="H126" i="5"/>
  <c r="H125" i="5"/>
  <c r="H124" i="5"/>
  <c r="H123" i="5"/>
  <c r="N122" i="5" l="1"/>
  <c r="H122" i="5"/>
  <c r="H121" i="5" l="1"/>
  <c r="N121" i="5"/>
  <c r="H120" i="5"/>
  <c r="N120" i="5"/>
  <c r="H119" i="5" l="1"/>
  <c r="N119" i="5"/>
  <c r="H118" i="5"/>
  <c r="N118" i="5"/>
  <c r="H117" i="5"/>
  <c r="H116" i="5"/>
  <c r="H115" i="5"/>
  <c r="H114" i="5"/>
  <c r="M113" i="5"/>
  <c r="H113" i="5"/>
  <c r="H112" i="5" l="1"/>
  <c r="H111" i="5" l="1"/>
  <c r="H110" i="5"/>
  <c r="H109" i="5"/>
  <c r="H108" i="5" l="1"/>
  <c r="H107" i="5" l="1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H106" i="5"/>
  <c r="H105" i="5"/>
  <c r="H104" i="5"/>
  <c r="H103" i="5"/>
  <c r="H102" i="5"/>
  <c r="H101" i="5"/>
  <c r="H100" i="5"/>
  <c r="H99" i="5"/>
  <c r="H98" i="5"/>
  <c r="H97" i="5"/>
  <c r="N94" i="5" l="1"/>
  <c r="N96" i="5"/>
  <c r="H96" i="5"/>
  <c r="N95" i="5" l="1"/>
  <c r="H95" i="5"/>
  <c r="N93" i="5" l="1"/>
  <c r="H94" i="5"/>
  <c r="H93" i="5"/>
  <c r="N68" i="5" l="1"/>
  <c r="N92" i="5" l="1"/>
  <c r="H92" i="5"/>
  <c r="N91" i="5"/>
  <c r="N90" i="5"/>
  <c r="N89" i="5"/>
  <c r="N88" i="5"/>
  <c r="N87" i="5"/>
  <c r="N86" i="5"/>
  <c r="H91" i="5"/>
  <c r="H90" i="5"/>
  <c r="H89" i="5"/>
  <c r="H88" i="5"/>
  <c r="H87" i="5" l="1"/>
  <c r="H86" i="5"/>
  <c r="N85" i="5" l="1"/>
  <c r="N84" i="5"/>
  <c r="H85" i="5"/>
  <c r="H84" i="5"/>
  <c r="N83" i="5" l="1"/>
  <c r="N82" i="5"/>
  <c r="N81" i="5"/>
  <c r="N80" i="5"/>
  <c r="N79" i="5"/>
  <c r="N78" i="5"/>
  <c r="N77" i="5"/>
  <c r="H83" i="5"/>
  <c r="H82" i="5"/>
  <c r="H81" i="5"/>
  <c r="H80" i="5"/>
  <c r="H79" i="5"/>
  <c r="H78" i="5"/>
  <c r="H77" i="5" l="1"/>
  <c r="N76" i="5"/>
  <c r="H76" i="5"/>
  <c r="N75" i="5"/>
  <c r="H75" i="5"/>
  <c r="N74" i="5" l="1"/>
  <c r="H74" i="5"/>
  <c r="H73" i="5"/>
  <c r="N73" i="5"/>
  <c r="H72" i="5"/>
  <c r="N72" i="5"/>
  <c r="H71" i="5"/>
  <c r="N71" i="5"/>
  <c r="H70" i="5"/>
  <c r="N70" i="5"/>
  <c r="H69" i="5"/>
  <c r="H68" i="5" l="1"/>
  <c r="N37" i="5" l="1"/>
  <c r="H37" i="5"/>
  <c r="N32" i="5"/>
  <c r="H32" i="5"/>
  <c r="H67" i="5" l="1"/>
  <c r="H66" i="5"/>
  <c r="H65" i="5"/>
  <c r="H64" i="5"/>
  <c r="H63" i="5"/>
  <c r="H62" i="5"/>
  <c r="H61" i="5"/>
  <c r="H60" i="5"/>
  <c r="H59" i="5"/>
  <c r="H58" i="5"/>
  <c r="N54" i="5" l="1"/>
  <c r="H54" i="5"/>
  <c r="N69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3" i="5"/>
  <c r="N52" i="5"/>
  <c r="H57" i="5"/>
  <c r="H56" i="5"/>
  <c r="H55" i="5"/>
  <c r="H53" i="5"/>
  <c r="H52" i="5"/>
  <c r="N36" i="5" l="1"/>
  <c r="H36" i="5"/>
  <c r="N35" i="5"/>
  <c r="H35" i="5"/>
  <c r="N34" i="5"/>
  <c r="H34" i="5"/>
  <c r="N51" i="5" l="1"/>
  <c r="H51" i="5"/>
  <c r="N50" i="5"/>
  <c r="H50" i="5"/>
  <c r="N49" i="5"/>
  <c r="H49" i="5"/>
  <c r="N48" i="5"/>
  <c r="H48" i="5"/>
  <c r="N47" i="5"/>
  <c r="H47" i="5"/>
  <c r="N46" i="5"/>
  <c r="H46" i="5"/>
  <c r="N45" i="5"/>
  <c r="H45" i="5"/>
  <c r="N44" i="5"/>
  <c r="H44" i="5"/>
  <c r="N43" i="5"/>
  <c r="H43" i="5"/>
  <c r="N42" i="5"/>
  <c r="H42" i="5"/>
  <c r="N41" i="5"/>
  <c r="H41" i="5"/>
  <c r="N40" i="5"/>
  <c r="H40" i="5"/>
  <c r="N39" i="5"/>
  <c r="H39" i="5"/>
  <c r="N38" i="5"/>
  <c r="H38" i="5"/>
  <c r="N24" i="5" l="1"/>
  <c r="H24" i="5"/>
  <c r="N33" i="5" l="1"/>
  <c r="H33" i="5"/>
  <c r="N31" i="5"/>
  <c r="H31" i="5"/>
  <c r="N30" i="5"/>
  <c r="H30" i="5"/>
  <c r="N29" i="5"/>
  <c r="H29" i="5"/>
  <c r="N28" i="5"/>
  <c r="H28" i="5"/>
  <c r="N27" i="5"/>
  <c r="H27" i="5"/>
  <c r="N26" i="5" l="1"/>
  <c r="H26" i="5"/>
  <c r="H25" i="5" l="1"/>
  <c r="H23" i="5"/>
  <c r="H22" i="5"/>
  <c r="H21" i="5"/>
  <c r="H20" i="5"/>
  <c r="H19" i="5"/>
  <c r="M19" i="5" l="1"/>
  <c r="N19" i="5" s="1"/>
  <c r="N18" i="5" l="1"/>
  <c r="H18" i="5"/>
  <c r="N17" i="5" l="1"/>
  <c r="H17" i="5"/>
  <c r="N16" i="5" l="1"/>
  <c r="H16" i="5"/>
  <c r="N15" i="5"/>
  <c r="N14" i="5"/>
  <c r="N13" i="5"/>
  <c r="N12" i="5"/>
  <c r="H15" i="5"/>
  <c r="H14" i="5"/>
  <c r="H13" i="5"/>
  <c r="H12" i="5"/>
  <c r="N9" i="5" l="1"/>
  <c r="N8" i="5"/>
  <c r="N11" i="5"/>
  <c r="H11" i="5"/>
  <c r="N10" i="5"/>
  <c r="H10" i="5"/>
  <c r="H9" i="5"/>
  <c r="H8" i="5"/>
  <c r="N7" i="5"/>
  <c r="H7" i="5"/>
  <c r="N6" i="5"/>
  <c r="H6" i="5"/>
  <c r="N5" i="5"/>
  <c r="H5" i="5"/>
  <c r="N4" i="5"/>
  <c r="H4" i="5"/>
  <c r="N3" i="5"/>
  <c r="H3" i="5"/>
  <c r="N2" i="5" l="1"/>
  <c r="H2" i="5"/>
  <c r="O1089" i="5" l="1"/>
  <c r="N1085" i="5" l="1"/>
  <c r="N1087" i="5" l="1"/>
  <c r="N1089" i="5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2" i="1"/>
  <c r="W3" i="1"/>
  <c r="Y3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9" i="1"/>
  <c r="W20" i="1"/>
  <c r="W21" i="1"/>
  <c r="W22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2" i="1"/>
  <c r="C131" i="1" l="1"/>
  <c r="O18" i="1" l="1"/>
  <c r="W18" i="1" s="1"/>
  <c r="AF87" i="1" l="1"/>
  <c r="AA74" i="1"/>
  <c r="AA75" i="1"/>
  <c r="AA76" i="1"/>
  <c r="AM122" i="1" l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3" i="1"/>
  <c r="AM124" i="1"/>
  <c r="AM125" i="1"/>
  <c r="AM126" i="1"/>
  <c r="AM127" i="1"/>
  <c r="AM128" i="1"/>
  <c r="AM129" i="1"/>
  <c r="AM130" i="1"/>
  <c r="AM12" i="1"/>
  <c r="AM11" i="1"/>
  <c r="AM10" i="1"/>
  <c r="AM9" i="1"/>
  <c r="AM8" i="1"/>
  <c r="AM7" i="1"/>
  <c r="AM6" i="1"/>
  <c r="AM5" i="1"/>
  <c r="AM4" i="1"/>
  <c r="AM3" i="1"/>
  <c r="AK10" i="1"/>
  <c r="AK11" i="1"/>
  <c r="AK13" i="1"/>
  <c r="AK15" i="1"/>
  <c r="AK17" i="1"/>
  <c r="AK18" i="1"/>
  <c r="AK19" i="1"/>
  <c r="AK20" i="1"/>
  <c r="AK21" i="1"/>
  <c r="AK22" i="1"/>
  <c r="AK23" i="1"/>
  <c r="AK24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8" i="1"/>
  <c r="AK7" i="1"/>
  <c r="AK6" i="1"/>
  <c r="AK5" i="1"/>
  <c r="AK4" i="1"/>
  <c r="AI130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" i="1"/>
  <c r="AI11" i="1"/>
  <c r="AI10" i="1"/>
  <c r="AI9" i="1"/>
  <c r="AI8" i="1"/>
  <c r="AI7" i="1"/>
  <c r="AI6" i="1"/>
  <c r="AI5" i="1"/>
  <c r="AI4" i="1"/>
  <c r="AI3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31" i="1" l="1"/>
  <c r="AI131" i="1"/>
  <c r="AJ25" i="1"/>
  <c r="AK25" i="1" s="1"/>
  <c r="AJ16" i="1"/>
  <c r="AK16" i="1" s="1"/>
  <c r="AJ14" i="1"/>
  <c r="AK14" i="1" s="1"/>
  <c r="AJ12" i="1"/>
  <c r="AK12" i="1" s="1"/>
  <c r="AJ9" i="1"/>
  <c r="AK9" i="1" s="1"/>
  <c r="AL2" i="1"/>
  <c r="AM2" i="1" s="1"/>
  <c r="AM131" i="1" s="1"/>
  <c r="AJ3" i="1"/>
  <c r="AK3" i="1" s="1"/>
  <c r="AJ2" i="1"/>
  <c r="AK2" i="1" s="1"/>
  <c r="AK131" i="1" l="1"/>
  <c r="AM133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2" i="1"/>
  <c r="Y130" i="1" l="1"/>
  <c r="Y118" i="1"/>
  <c r="Y116" i="1"/>
  <c r="Y115" i="1"/>
  <c r="Y114" i="1"/>
  <c r="Y113" i="1"/>
  <c r="Y112" i="1"/>
  <c r="Y111" i="1"/>
  <c r="Y110" i="1"/>
  <c r="Y109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89" i="1"/>
  <c r="Y88" i="1"/>
  <c r="Y87" i="1"/>
  <c r="Y46" i="1"/>
  <c r="Y36" i="1"/>
  <c r="Y34" i="1"/>
  <c r="Y32" i="1"/>
  <c r="Y28" i="1"/>
  <c r="Y26" i="1"/>
  <c r="Y16" i="1"/>
  <c r="Y11" i="1"/>
  <c r="Z11" i="1" l="1"/>
  <c r="AG11" i="1"/>
  <c r="Z28" i="1"/>
  <c r="AG28" i="1"/>
  <c r="Z32" i="1"/>
  <c r="AG32" i="1"/>
  <c r="Z46" i="1"/>
  <c r="AG46" i="1"/>
  <c r="Z94" i="1"/>
  <c r="AG94" i="1"/>
  <c r="Z98" i="1"/>
  <c r="AG98" i="1"/>
  <c r="Z102" i="1"/>
  <c r="AG102" i="1"/>
  <c r="Z110" i="1"/>
  <c r="AG110" i="1"/>
  <c r="Z113" i="1"/>
  <c r="AG113" i="1"/>
  <c r="Z16" i="1"/>
  <c r="AG16" i="1"/>
  <c r="Z87" i="1"/>
  <c r="AG87" i="1"/>
  <c r="Z91" i="1"/>
  <c r="AG91" i="1"/>
  <c r="Z95" i="1"/>
  <c r="AG95" i="1"/>
  <c r="Z99" i="1"/>
  <c r="AG99" i="1"/>
  <c r="Z103" i="1"/>
  <c r="AG103" i="1"/>
  <c r="Z111" i="1"/>
  <c r="AG111" i="1"/>
  <c r="Z114" i="1"/>
  <c r="AG114" i="1"/>
  <c r="Z118" i="1"/>
  <c r="AG118" i="1"/>
  <c r="Z130" i="1"/>
  <c r="AG130" i="1"/>
  <c r="Z26" i="1"/>
  <c r="AG26" i="1"/>
  <c r="Z34" i="1"/>
  <c r="AG34" i="1"/>
  <c r="Z88" i="1"/>
  <c r="AG88" i="1"/>
  <c r="Z92" i="1"/>
  <c r="AG92" i="1"/>
  <c r="Z96" i="1"/>
  <c r="AG96" i="1"/>
  <c r="Z100" i="1"/>
  <c r="AG100" i="1"/>
  <c r="Z104" i="1"/>
  <c r="AG104" i="1"/>
  <c r="Z115" i="1"/>
  <c r="AG115" i="1"/>
  <c r="Z89" i="1"/>
  <c r="AG89" i="1"/>
  <c r="Z93" i="1"/>
  <c r="AG93" i="1"/>
  <c r="Z97" i="1"/>
  <c r="AG97" i="1"/>
  <c r="Z101" i="1"/>
  <c r="AG101" i="1"/>
  <c r="Z105" i="1"/>
  <c r="AG105" i="1"/>
  <c r="Z109" i="1"/>
  <c r="AG109" i="1"/>
  <c r="Z112" i="1"/>
  <c r="AG112" i="1"/>
  <c r="Z116" i="1"/>
  <c r="AG116" i="1"/>
  <c r="Z36" i="1"/>
  <c r="AG36" i="1"/>
  <c r="Y129" i="1"/>
  <c r="Y128" i="1"/>
  <c r="Y127" i="1"/>
  <c r="Y126" i="1"/>
  <c r="Y125" i="1"/>
  <c r="Y124" i="1"/>
  <c r="Y123" i="1"/>
  <c r="Y122" i="1"/>
  <c r="Y120" i="1"/>
  <c r="Y119" i="1"/>
  <c r="Y117" i="1"/>
  <c r="Y107" i="1"/>
  <c r="Y106" i="1"/>
  <c r="Y90" i="1"/>
  <c r="Y86" i="1"/>
  <c r="Y85" i="1"/>
  <c r="Y84" i="1"/>
  <c r="Y83" i="1"/>
  <c r="Y82" i="1"/>
  <c r="Y81" i="1"/>
  <c r="Y80" i="1"/>
  <c r="Y79" i="1"/>
  <c r="Y78" i="1"/>
  <c r="Y77" i="1"/>
  <c r="Y76" i="1"/>
  <c r="Y75" i="1"/>
  <c r="Y121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5" i="1"/>
  <c r="Y44" i="1"/>
  <c r="Y43" i="1"/>
  <c r="Y42" i="1"/>
  <c r="Y41" i="1"/>
  <c r="Y38" i="1"/>
  <c r="Y33" i="1"/>
  <c r="Y31" i="1"/>
  <c r="Y30" i="1"/>
  <c r="Y29" i="1"/>
  <c r="Y27" i="1"/>
  <c r="Y25" i="1"/>
  <c r="Y24" i="1"/>
  <c r="Y22" i="1"/>
  <c r="Y20" i="1"/>
  <c r="Y19" i="1"/>
  <c r="Y15" i="1"/>
  <c r="Y14" i="1"/>
  <c r="Y13" i="1"/>
  <c r="Y12" i="1"/>
  <c r="Y10" i="1"/>
  <c r="Y9" i="1"/>
  <c r="Y7" i="1"/>
  <c r="Y8" i="1"/>
  <c r="Y6" i="1"/>
  <c r="Y35" i="1"/>
  <c r="Y21" i="1"/>
  <c r="Y18" i="1"/>
  <c r="AG18" i="1" s="1"/>
  <c r="Y108" i="1"/>
  <c r="Y39" i="1"/>
  <c r="Y17" i="1"/>
  <c r="Z8" i="1" l="1"/>
  <c r="AG8" i="1"/>
  <c r="Z19" i="1"/>
  <c r="AG19" i="1"/>
  <c r="Z25" i="1"/>
  <c r="AG25" i="1"/>
  <c r="Z42" i="1"/>
  <c r="AG42" i="1"/>
  <c r="Z51" i="1"/>
  <c r="AG51" i="1"/>
  <c r="Z59" i="1"/>
  <c r="AG59" i="1"/>
  <c r="Z63" i="1"/>
  <c r="AG63" i="1"/>
  <c r="Z71" i="1"/>
  <c r="AG71" i="1"/>
  <c r="Z78" i="1"/>
  <c r="AG78" i="1"/>
  <c r="Z117" i="1"/>
  <c r="AG117" i="1"/>
  <c r="Z123" i="1"/>
  <c r="AG123" i="1"/>
  <c r="Z17" i="1"/>
  <c r="AG17" i="1"/>
  <c r="Z21" i="1"/>
  <c r="AG21" i="1"/>
  <c r="Z7" i="1"/>
  <c r="AG7" i="1"/>
  <c r="Z13" i="1"/>
  <c r="AG13" i="1"/>
  <c r="Z20" i="1"/>
  <c r="AG20" i="1"/>
  <c r="Z27" i="1"/>
  <c r="AG27" i="1"/>
  <c r="Z33" i="1"/>
  <c r="AG33" i="1"/>
  <c r="Z43" i="1"/>
  <c r="AG43" i="1"/>
  <c r="Z48" i="1"/>
  <c r="AG48" i="1"/>
  <c r="Z52" i="1"/>
  <c r="AG52" i="1"/>
  <c r="Z56" i="1"/>
  <c r="AG56" i="1"/>
  <c r="Z60" i="1"/>
  <c r="AG60" i="1"/>
  <c r="Z64" i="1"/>
  <c r="AG64" i="1"/>
  <c r="Z68" i="1"/>
  <c r="AG68" i="1"/>
  <c r="Z72" i="1"/>
  <c r="AG72" i="1"/>
  <c r="Z75" i="1"/>
  <c r="AG75" i="1"/>
  <c r="Z79" i="1"/>
  <c r="AG79" i="1"/>
  <c r="Z83" i="1"/>
  <c r="AG83" i="1"/>
  <c r="Z90" i="1"/>
  <c r="AG90" i="1"/>
  <c r="Z119" i="1"/>
  <c r="AG119" i="1"/>
  <c r="Z124" i="1"/>
  <c r="AG124" i="1"/>
  <c r="Z128" i="1"/>
  <c r="AG128" i="1"/>
  <c r="Z9" i="1"/>
  <c r="AG9" i="1"/>
  <c r="Z22" i="1"/>
  <c r="AG22" i="1"/>
  <c r="Z44" i="1"/>
  <c r="AG44" i="1"/>
  <c r="Z53" i="1"/>
  <c r="AG53" i="1"/>
  <c r="Z61" i="1"/>
  <c r="AG61" i="1"/>
  <c r="Z73" i="1"/>
  <c r="AG73" i="1"/>
  <c r="Z80" i="1"/>
  <c r="AG80" i="1"/>
  <c r="Z120" i="1"/>
  <c r="AG120" i="1"/>
  <c r="Z39" i="1"/>
  <c r="AG39" i="1"/>
  <c r="Z35" i="1"/>
  <c r="AG35" i="1"/>
  <c r="Z14" i="1"/>
  <c r="AG14" i="1"/>
  <c r="Z29" i="1"/>
  <c r="AG29" i="1"/>
  <c r="Z38" i="1"/>
  <c r="AG38" i="1"/>
  <c r="Z49" i="1"/>
  <c r="AG49" i="1"/>
  <c r="Z57" i="1"/>
  <c r="AG57" i="1"/>
  <c r="Z65" i="1"/>
  <c r="AG65" i="1"/>
  <c r="Z69" i="1"/>
  <c r="AG69" i="1"/>
  <c r="Z76" i="1"/>
  <c r="AG76" i="1"/>
  <c r="Z84" i="1"/>
  <c r="AG84" i="1"/>
  <c r="Z106" i="1"/>
  <c r="AG106" i="1"/>
  <c r="Z125" i="1"/>
  <c r="AG125" i="1"/>
  <c r="Z129" i="1"/>
  <c r="AG129" i="1"/>
  <c r="Z108" i="1"/>
  <c r="AG108" i="1"/>
  <c r="Z6" i="1"/>
  <c r="AG6" i="1"/>
  <c r="Z10" i="1"/>
  <c r="AG10" i="1"/>
  <c r="Z15" i="1"/>
  <c r="AG15" i="1"/>
  <c r="Z24" i="1"/>
  <c r="AG24" i="1"/>
  <c r="Z30" i="1"/>
  <c r="AG30" i="1"/>
  <c r="Z41" i="1"/>
  <c r="AG41" i="1"/>
  <c r="Z45" i="1"/>
  <c r="AG45" i="1"/>
  <c r="Z50" i="1"/>
  <c r="AG50" i="1"/>
  <c r="Z54" i="1"/>
  <c r="AG54" i="1"/>
  <c r="Z58" i="1"/>
  <c r="AG58" i="1"/>
  <c r="Z62" i="1"/>
  <c r="AG62" i="1"/>
  <c r="Z66" i="1"/>
  <c r="AG66" i="1"/>
  <c r="Z70" i="1"/>
  <c r="AG70" i="1"/>
  <c r="Z74" i="1"/>
  <c r="AG74" i="1"/>
  <c r="Z77" i="1"/>
  <c r="AG77" i="1"/>
  <c r="Z81" i="1"/>
  <c r="AG81" i="1"/>
  <c r="Z85" i="1"/>
  <c r="AG85" i="1"/>
  <c r="Z107" i="1"/>
  <c r="AG107" i="1"/>
  <c r="Z122" i="1"/>
  <c r="AG122" i="1"/>
  <c r="Z126" i="1"/>
  <c r="AG126" i="1"/>
  <c r="Z12" i="1"/>
  <c r="AG12" i="1"/>
  <c r="Z31" i="1"/>
  <c r="AG31" i="1"/>
  <c r="Z47" i="1"/>
  <c r="AG47" i="1"/>
  <c r="Z55" i="1"/>
  <c r="AG55" i="1"/>
  <c r="Z67" i="1"/>
  <c r="AG67" i="1"/>
  <c r="Z121" i="1"/>
  <c r="AG121" i="1"/>
  <c r="Z86" i="1"/>
  <c r="AG86" i="1"/>
  <c r="Z127" i="1"/>
  <c r="AG127" i="1"/>
  <c r="Z82" i="1"/>
  <c r="AG82" i="1"/>
  <c r="Z18" i="1"/>
  <c r="Y5" i="1"/>
  <c r="Y4" i="1"/>
  <c r="Y2" i="1"/>
  <c r="Z4" i="1" l="1"/>
  <c r="AG4" i="1"/>
  <c r="Z5" i="1"/>
  <c r="AG5" i="1"/>
  <c r="Z3" i="1"/>
  <c r="AG3" i="1"/>
  <c r="Z2" i="1" l="1"/>
  <c r="AG2" i="1"/>
  <c r="K40" i="1"/>
  <c r="G37" i="1"/>
  <c r="G23" i="1"/>
  <c r="W40" i="1" l="1"/>
  <c r="Y40" i="1" s="1"/>
  <c r="W37" i="1"/>
  <c r="Y37" i="1" s="1"/>
  <c r="W23" i="1"/>
  <c r="Y23" i="1" s="1"/>
  <c r="D131" i="1"/>
  <c r="Y131" i="1" l="1"/>
  <c r="Z131" i="1" s="1"/>
  <c r="Z23" i="1"/>
  <c r="AG23" i="1"/>
  <c r="AG37" i="1"/>
  <c r="Z37" i="1"/>
  <c r="Z40" i="1"/>
  <c r="AG40" i="1"/>
</calcChain>
</file>

<file path=xl/comments1.xml><?xml version="1.0" encoding="utf-8"?>
<comments xmlns="http://schemas.openxmlformats.org/spreadsheetml/2006/main">
  <authors>
    <author>Mohamed Adam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2 PCS RETURNED FR 
HI TECH - INV#286 
Sr480/-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Unclaimed order BMC return to Stock on 11/9/17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22 pcs return from Naizak on 26/4/17 and Added into the stock. 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2 pcs Part of Surt1000RMXLI taken SURTRK 2 PCS added in to stock.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1 pcs took from Surt1000rmxli
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1 PC warrenty claim item added into stock from : 
Al areeki Bros co. 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Item received from CFS on 07/12/17 GRN# 17031 Credit note # CN-0007
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1 PCS FOR BMC NOT DLVD
</t>
        </r>
      </text>
    </comment>
    <comment ref="U15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Unclaimed order BMC return to Stock on 11/9/17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8pcs returned fr Commerical facility security est. 050417 credit note# </t>
        </r>
      </text>
    </comment>
    <comment ref="U19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Unclaimed order BMC return to Stock on 11/9/17</t>
        </r>
      </text>
    </comment>
    <comment ref="X19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Apcrbc140x 3 returned fr c'nee and replaced Surt192XLBPx2 on 11/10/17. 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20 Pcs return from Naizak on 26/4/17 and Added in the stock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1 Pc dlvd for orient sys
on march-17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Replacement item rcvd for Arwa yatrib- Hail 
order # 7935869225
SRT10KXLI-1
SRT192BP2-1</t>
        </r>
      </text>
    </comment>
    <comment ref="AA29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1 pcs added to stock from Manitenance stock
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2 PCS RETURN FR NAIZAK ON 26/4/17 and Added in the stock
</t>
        </r>
      </text>
    </comment>
    <comment ref="Y30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SURT1000RMXLI converted &amp; added into stock as 1000XLI due to Shoratage of SURTRK 1 pc . 22/11/17 Manarat sabakat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Local purhase fr Mejdaf
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Local purhase fr Mejdaf
</t>
        </r>
      </text>
    </comment>
    <comment ref="X31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1pc AlJazeira Home appli inv# 58 dlvd on 27sep
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2 pcs returnd fr customer Jupiter network, Credit note # 0003 - on 9th april17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1 pcs replacement rcvd
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Alasr emar 1 Pcs replacement rcvd fr apc
on 30/1/17
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Item received from CFS on 07/12/17 GRN# 17031 Credit note # CN-0007
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DLVD ON 12 JUNE
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1 lended to mejdaf on March and 
1 Pcs received from APC for Mejdaf replacement on 10/4/17
</t>
        </r>
      </text>
    </comment>
    <comment ref="W104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3 pcs receied from Balsharaf on 11/10/17 and replaced SURT192XLBPx2 </t>
        </r>
      </text>
    </comment>
    <comment ref="M107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Local purchase
</t>
        </r>
      </text>
    </comment>
    <comment ref="Y121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SRT3000RMXLI converto SRT3000XLI 
for Toledo 27/11/17
</t>
        </r>
      </text>
    </comment>
    <comment ref="AA121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SRT3000RMXLI converto SRT3000XLI 
for Modern Techlogy 31/12/17</t>
        </r>
      </text>
    </comment>
    <comment ref="Y123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3 pcs ready in workshop from Scrap items on 29/11/17
</t>
        </r>
      </text>
    </comment>
    <comment ref="Z190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4 pcs convert to SRT3000XLI for Customer Toledo arabia 27/11/17
</t>
        </r>
      </text>
    </comment>
    <comment ref="AB190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5 pcs convert to SRT3000XLI for Customer modern Technolgy 31/12/17 Inv# 1042
</t>
        </r>
      </text>
    </comment>
    <comment ref="Z299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SURT1000RMXLI converted to 1000XLI due to Shoratage of SURTRK 1 pc . 22/11/17</t>
        </r>
      </text>
    </comment>
    <comment ref="U417" authorId="0">
      <text>
        <r>
          <rPr>
            <b/>
            <sz val="9"/>
            <color indexed="81"/>
            <rFont val="Tahoma"/>
            <family val="2"/>
          </rPr>
          <t>Mohamed Adam:</t>
        </r>
        <r>
          <rPr>
            <sz val="9"/>
            <color indexed="81"/>
            <rFont val="Tahoma"/>
            <family val="2"/>
          </rPr>
          <t xml:space="preserve">
SRT72RMBP 5 PCS BMC warrenty claim item Added into stock on 29/9/17.</t>
        </r>
      </text>
    </comment>
  </commentList>
</comments>
</file>

<file path=xl/sharedStrings.xml><?xml version="1.0" encoding="utf-8"?>
<sst xmlns="http://schemas.openxmlformats.org/spreadsheetml/2006/main" count="11111" uniqueCount="2179">
  <si>
    <t>Line 
Item</t>
  </si>
  <si>
    <t>Product/
 Description</t>
  </si>
  <si>
    <t>Part Number</t>
  </si>
  <si>
    <t>Old Qty</t>
  </si>
  <si>
    <t>Pur-Aug15</t>
  </si>
  <si>
    <t>Sale-Aug15</t>
  </si>
  <si>
    <t>Pur-Sep15</t>
  </si>
  <si>
    <t>Sale-sep15</t>
  </si>
  <si>
    <t>Pur-Oct15</t>
  </si>
  <si>
    <t>Sale-Oct15</t>
  </si>
  <si>
    <t>Pur-Nov15</t>
  </si>
  <si>
    <t>Sale-Nov15</t>
  </si>
  <si>
    <t>Pur-Dec15</t>
  </si>
  <si>
    <t>Sale-Dec15</t>
  </si>
  <si>
    <t>Pur-Jan16</t>
  </si>
  <si>
    <t>Sale-Jan16</t>
  </si>
  <si>
    <t>Pur-Feb16</t>
  </si>
  <si>
    <t>Sale-Feb16</t>
  </si>
  <si>
    <t>Pur-Mar16</t>
  </si>
  <si>
    <t>Sale-Mar16</t>
  </si>
  <si>
    <t>Pur-Apr16</t>
  </si>
  <si>
    <t>Total Purchase</t>
  </si>
  <si>
    <t>Total Sale</t>
  </si>
  <si>
    <t>Balance Stock</t>
  </si>
  <si>
    <t>YUASA BATTERY 5AH</t>
  </si>
  <si>
    <t>YUASA BATTERY 7AH</t>
  </si>
  <si>
    <t>YUASA BATTERY 38AH</t>
  </si>
  <si>
    <t>YUASA BATTERY 17AH</t>
  </si>
  <si>
    <t>RAIL KIT</t>
  </si>
  <si>
    <t>SRTRK2</t>
  </si>
  <si>
    <t>SURTRK2</t>
  </si>
  <si>
    <t>SURTRK</t>
  </si>
  <si>
    <t>APC-UPS UNDER 15 KVA</t>
  </si>
  <si>
    <t>SMT750I</t>
  </si>
  <si>
    <t>EXTERNAL BATTERY PACK</t>
  </si>
  <si>
    <t>SRT192BP</t>
  </si>
  <si>
    <t xml:space="preserve">APC-UPS 5KVA RT 5U </t>
  </si>
  <si>
    <t>SUA5000RMI5U</t>
  </si>
  <si>
    <t>NETSHELLTER SX 42U</t>
  </si>
  <si>
    <t>AR3100</t>
  </si>
  <si>
    <t>APC-UPS 8KVA RT 230V</t>
  </si>
  <si>
    <t>SRT8KXLI</t>
  </si>
  <si>
    <t>APC-UPS 3KVA RT 230V</t>
  </si>
  <si>
    <t>SURTD3000XLI</t>
  </si>
  <si>
    <t>APC-UPS 2KVA RT 230V</t>
  </si>
  <si>
    <t>SURT2000XLI</t>
  </si>
  <si>
    <t>APC-UPS 2.2KVA TOWER 230V</t>
  </si>
  <si>
    <t>SMT2200I</t>
  </si>
  <si>
    <t>APC-UPS 5KVA RT 230V</t>
  </si>
  <si>
    <t>SRT5KXLI</t>
  </si>
  <si>
    <t>BATTERY PACK</t>
  </si>
  <si>
    <t>SURT192XLBP</t>
  </si>
  <si>
    <t>SURT48XLBP</t>
  </si>
  <si>
    <t>APC-UPS 1KVA TOWER 230V</t>
  </si>
  <si>
    <t>SMT3000I</t>
  </si>
  <si>
    <t>APC Smart-UPS RT192V</t>
  </si>
  <si>
    <t>SURT192RMXLBP2</t>
  </si>
  <si>
    <t>APC-UPS 15K RT 230V</t>
  </si>
  <si>
    <t>SURT15KRMXLI</t>
  </si>
  <si>
    <t>APC-UPS IKVA TOWER 230V</t>
  </si>
  <si>
    <t>SMT1000I</t>
  </si>
  <si>
    <t>APC-UPS 1.5KVA TOWER 230V</t>
  </si>
  <si>
    <t>SMT1500I</t>
  </si>
  <si>
    <t>APC-UPS 1.5KVA RM 230V</t>
  </si>
  <si>
    <t>SMT1500RMI2U</t>
  </si>
  <si>
    <t>APC-UPS 1KVA 230V</t>
  </si>
  <si>
    <t>SMT1000RMI2U</t>
  </si>
  <si>
    <t>APC=UPS 2.2.KVA RM 230V</t>
  </si>
  <si>
    <t>SMT2200RMI2U</t>
  </si>
  <si>
    <t>APC-UPS 10KVA RT 230V</t>
  </si>
  <si>
    <t>SRT10KXLI</t>
  </si>
  <si>
    <t>SURT1000XLI</t>
  </si>
  <si>
    <t>Battery Cabinet</t>
  </si>
  <si>
    <t>SUVTXR6B6S</t>
  </si>
  <si>
    <t>APC-UPS 30KVA 380V 3PH</t>
  </si>
  <si>
    <t>SUVTP30KH4B4S</t>
  </si>
  <si>
    <t>MANAGEMENT CARD</t>
  </si>
  <si>
    <t>AP9630</t>
  </si>
  <si>
    <t>AP9631</t>
  </si>
  <si>
    <t>APC RACK BASIC PDU32A 230V</t>
  </si>
  <si>
    <t>AP7553</t>
  </si>
  <si>
    <t>APC- UPS 3KVA RM 230V</t>
  </si>
  <si>
    <t>SMT3000RMI2U</t>
  </si>
  <si>
    <t>MGE Galaxy 5500 Battery Module</t>
  </si>
  <si>
    <t>G55TBATL10A</t>
  </si>
  <si>
    <t>APC-UPS 6KVA RT 230V</t>
  </si>
  <si>
    <t>SRT6KXLI</t>
  </si>
  <si>
    <t>NetShelter CX 38U Secure Soundproofed Server Room in a Box Enclosure International</t>
  </si>
  <si>
    <t>AR4038IA</t>
  </si>
  <si>
    <t>APC Back-UPS 700VA, 230V, AVR, IEC Sockets</t>
  </si>
  <si>
    <t>BX700UI</t>
  </si>
  <si>
    <t>SRT192BP2</t>
  </si>
  <si>
    <t>MGE Galaxy 5500 60kVA 400V Single UPS, Start-up 5x8</t>
  </si>
  <si>
    <t>G55TUPSU60HS</t>
  </si>
  <si>
    <t>APC-UPS 20KVA RT 230V</t>
  </si>
  <si>
    <t>SURT20KRMXLI</t>
  </si>
  <si>
    <t>(1) Additional Contract Preventive Maintenance Visit for (1) Galaxy 5000/5500 41 to 80 kVA UPS</t>
  </si>
  <si>
    <t>WPMV-G5-81</t>
  </si>
  <si>
    <t>(1) Year Advantage Ultra Service Plan for (1) Galaxy 5000/5500 41 to 80 kVA UPS</t>
  </si>
  <si>
    <t>WADVULTRA-G5-81</t>
  </si>
  <si>
    <t>(1) Stand Alone PM or Recertification Visit for (1) UPS up to 40 kVA UPS</t>
  </si>
  <si>
    <t>WSAPMV-UG-01</t>
  </si>
  <si>
    <t>3 Year Extended Warranty (Renewal or High Volume)</t>
  </si>
  <si>
    <t>WEXTWAR3YR-SP-07</t>
  </si>
  <si>
    <t>MISCELLANEOUS SERVICE SKU</t>
  </si>
  <si>
    <t>WSRV</t>
  </si>
  <si>
    <t>APC-UPS 40KVA 380V 3PH</t>
  </si>
  <si>
    <t>SUVTP40KH4B4S</t>
  </si>
  <si>
    <t>MGE Galaxy 5500 100kVA 400V Single UPS, Start-up 5x8</t>
  </si>
  <si>
    <t>G55TUPSU100HS</t>
  </si>
  <si>
    <t>MGE Galaxy 5500 80kVA 400V Single UPS, Start-up 5x8</t>
  </si>
  <si>
    <t>G55TUPSU80HS</t>
  </si>
  <si>
    <t>GALAXY 5500 BATT. MODULE CABINET L1000E</t>
  </si>
  <si>
    <t>GALAXY 5500 BATTERY MODULE CABINET L700C</t>
  </si>
  <si>
    <t>G55TBAT2L7C</t>
  </si>
  <si>
    <t>ETHERNET/EIA485 INTERFACE BOARD</t>
  </si>
  <si>
    <t>0P-STSC230X1A</t>
  </si>
  <si>
    <t>NANNA POWER MODULE 30KVA 400V PARALLEL OPERATION - SPARE PART</t>
  </si>
  <si>
    <t>WSUVTPM30KH-P</t>
  </si>
  <si>
    <t>NANNA POWER MODULE 40KVA 400V PARALLEL OPERATION - SPARE PART</t>
  </si>
  <si>
    <t>WSUVTPM40KH-P</t>
  </si>
  <si>
    <t>BATT 12V 93AH EXIDE -SP</t>
  </si>
  <si>
    <t>0J-912-0360</t>
  </si>
  <si>
    <t>RC PCB ASSY, Motherboard W/SIMM AND Mini-Rhodes -Spare Part</t>
  </si>
  <si>
    <t>W0P2370</t>
  </si>
  <si>
    <t>Capacitor Metalized Polypropylene 370V 70UF - Spare Part</t>
  </si>
  <si>
    <t>W234-1700</t>
  </si>
  <si>
    <t>COMPRESSOR, SCROLL 220-240/1/50 10KW DANFOSS - SPARE PART</t>
  </si>
  <si>
    <t>W875-3882</t>
  </si>
  <si>
    <t>NANNA POWER MODULE 20KVA 400V PARALLEL OPERATION - SPARE PART</t>
  </si>
  <si>
    <t>WSUVTPM20KH-P</t>
  </si>
  <si>
    <t>NetShelter CX High Security Handle Adapter Kit</t>
  </si>
  <si>
    <t>AR4602</t>
  </si>
  <si>
    <t>NetShelter CX Fan Booster Kit</t>
  </si>
  <si>
    <t>AR4703</t>
  </si>
  <si>
    <t>NetBotz Rack Monitor 450 (with 120/240V Power Supply)</t>
  </si>
  <si>
    <t>NBRK0451</t>
  </si>
  <si>
    <t>APC Netbotz Rack Access PX - HID</t>
  </si>
  <si>
    <t>AP9361</t>
  </si>
  <si>
    <t>NetBotz Vibration Sensor - 12 ft.</t>
  </si>
  <si>
    <t>NBES0306</t>
  </si>
  <si>
    <t>NetBotz Leak Rope Sensor - 20 ft.</t>
  </si>
  <si>
    <t>NBES0308</t>
  </si>
  <si>
    <t>NetBotz Camera Pod 160</t>
  </si>
  <si>
    <t>NBPD0160</t>
  </si>
  <si>
    <t>APC Temperature &amp; Humidity Sensor</t>
  </si>
  <si>
    <t>AP9335TH</t>
  </si>
  <si>
    <t>Extension - 1 Year Software Support Contract &amp; 1 Year Hardware Warranty (NBRK0450/NBRK0550)</t>
  </si>
  <si>
    <t>WNBWN004</t>
  </si>
  <si>
    <t>Service Pack 1 Year Warranty Extension (for new product purchases)</t>
  </si>
  <si>
    <t>WBEXTWAR1YR-SP-05</t>
  </si>
  <si>
    <t>G5K PCBA DALIN - SPARE PART</t>
  </si>
  <si>
    <t>0J-0P2611FA</t>
  </si>
  <si>
    <t>ALIN PCBA</t>
  </si>
  <si>
    <t>0J-0P2612FC</t>
  </si>
  <si>
    <t>CAP FILM MKP _ 600uF 10% 400VDC</t>
  </si>
  <si>
    <t>234-0601-Z</t>
  </si>
  <si>
    <t>BOARD GALAXY5000 CSION</t>
  </si>
  <si>
    <t>0J-0P3829JD-Z</t>
  </si>
  <si>
    <t>BOARD GALAXY5000 DCHON</t>
  </si>
  <si>
    <t>0J-0P3836GA</t>
  </si>
  <si>
    <t>FUSE FAST 50A 1000VAC 127X19MM UL CSA Qty1</t>
  </si>
  <si>
    <t>0J-511-0092-001</t>
  </si>
  <si>
    <t>PCB ASSY BATTERY I/O BACKPLANE PX2 - SPARE PART</t>
  </si>
  <si>
    <t>0J-0P4176</t>
  </si>
  <si>
    <t>1 Year Advantage Ultra Service Plan for 1 DX LE Model 0511 thru 0611</t>
  </si>
  <si>
    <t>WADVULTRA-UF-31</t>
  </si>
  <si>
    <t>HUMIDIFIER BOTTLE CAREL: BL0T2C00H0</t>
  </si>
  <si>
    <t>875-UMCV034X1A</t>
  </si>
  <si>
    <t>KIT EU4 AIR FILTER 445X830X75MM - QTY 2</t>
  </si>
  <si>
    <t>0J-FIAS325X1A</t>
  </si>
  <si>
    <t>Symmetra PX Battery Unit</t>
  </si>
  <si>
    <t>SYBTU1-PLP</t>
  </si>
  <si>
    <t>MGE Galaxy 3500 Empty Extended Run Enclosure for Modular Batteries up to 6, with Battery Breaker</t>
  </si>
  <si>
    <t>G35TEFBXR6</t>
  </si>
  <si>
    <t>FAN AC AXIAL 150X172MM - SPARE PART</t>
  </si>
  <si>
    <t>0J-490-0107SE</t>
  </si>
  <si>
    <t>CMPLT PCB ASSY 9986B MSTAR</t>
  </si>
  <si>
    <t>0J-0P2951J-Z</t>
  </si>
  <si>
    <t>FUSE FAST 80 AMP 500VDC/690VAC ROHS</t>
  </si>
  <si>
    <t>0J-515-1080-Z</t>
  </si>
  <si>
    <t>APC Smart-UPS X 3000VA Rack/Tower LCD 200-240V with Network Card</t>
  </si>
  <si>
    <t>SMX3000RMHV2UNC</t>
  </si>
  <si>
    <t>FUSE FAST 100A 1000VAC 127X25MM UL CSA Qty1</t>
  </si>
  <si>
    <t>0J-511-0093-001</t>
  </si>
  <si>
    <t>FUS 315A WITH MICROSWITCH</t>
  </si>
  <si>
    <t>1PRE009581</t>
  </si>
  <si>
    <t>MUTON PCBA G5000 - SPARE PART</t>
  </si>
  <si>
    <t>34001159SE</t>
  </si>
  <si>
    <t>Blanking Panel, 42-48U SX / 42U VX, 750mm</t>
  </si>
  <si>
    <t>ACDC2578</t>
  </si>
  <si>
    <t>Cable Ladder 6" (15cm) Wide w/Ladder Attachment Kit (AR8166ABLK)</t>
  </si>
  <si>
    <t>AR8164ABLK</t>
  </si>
  <si>
    <t>G35TEFBXR5</t>
  </si>
  <si>
    <t>RCB BOARD 10KVA</t>
  </si>
  <si>
    <t>0J-0P0772</t>
  </si>
  <si>
    <t>BOARD GALAXY5000 CSPEN</t>
  </si>
  <si>
    <t>0J-0P3410JD-Z</t>
  </si>
  <si>
    <t>BOARD GALAXY5000 DCHEN</t>
  </si>
  <si>
    <t>0J-0P3847GA</t>
  </si>
  <si>
    <t>CSNEN PCBA G5000 - SPARE PART</t>
  </si>
  <si>
    <t>34001187SE</t>
  </si>
  <si>
    <t>Rack ATS, 10A/230V, 12A/208V, C14 in, (12) C13 out</t>
  </si>
  <si>
    <t>AP7721</t>
  </si>
  <si>
    <t>Netshelter SX Roof Fan Tray 208-230 VAC</t>
  </si>
  <si>
    <t>ACF502</t>
  </si>
  <si>
    <t>Coupler HFC35 Pipe Thread Shutoff 3/8 BSPT - Spare Part</t>
  </si>
  <si>
    <t>W875-0978</t>
  </si>
  <si>
    <t>CHAN PCBA</t>
  </si>
  <si>
    <t>0J-0P2613CG</t>
  </si>
  <si>
    <t>THYRISTOR KIT 90A + GREASE ACCESSORIES</t>
  </si>
  <si>
    <t>1SCR006082SE</t>
  </si>
  <si>
    <t>APC Parallel Maintenance Bypass Panel, up to 3 units 30-40kVA, 400V Wallmount</t>
  </si>
  <si>
    <t>SBPAR30K40H-WP</t>
  </si>
  <si>
    <t>APC Smart-UPS VT Baying Kit, 20inch/523mm UPS Enclosure to XR</t>
  </si>
  <si>
    <t>SUVTOPT005</t>
  </si>
  <si>
    <t>APC Smart-UPS VT Parallel Communication Kit</t>
  </si>
  <si>
    <t>SUVTOPT009</t>
  </si>
  <si>
    <t>APC-Replacment Bat Cartridge#140</t>
  </si>
  <si>
    <t>APCRBC140</t>
  </si>
  <si>
    <t>0J-0P3456KF-Z</t>
  </si>
  <si>
    <t>Power Cord, C13 to C14, 2.5m</t>
  </si>
  <si>
    <t>AP9870</t>
  </si>
  <si>
    <t>Y5-12</t>
  </si>
  <si>
    <t>NP7-12</t>
  </si>
  <si>
    <t>NP38-12</t>
  </si>
  <si>
    <t>NP17-12</t>
  </si>
  <si>
    <t>G55TBATL7L10E</t>
  </si>
  <si>
    <t>WADVULTRA-G3-23</t>
  </si>
  <si>
    <t>SURTA2200RMXL2U</t>
  </si>
  <si>
    <t>NP12-12</t>
  </si>
  <si>
    <t>SPARE PARTS</t>
  </si>
  <si>
    <t>APCRBC-6</t>
  </si>
  <si>
    <t>G5TB100B30</t>
  </si>
  <si>
    <t>G55TABL7CCB</t>
  </si>
  <si>
    <t>TMRAB002</t>
  </si>
  <si>
    <t xml:space="preserve">MGE Galaxy 5500 100kVA 400V </t>
  </si>
  <si>
    <t>GALAXY 5500 BATTERY MODULE CABINET</t>
  </si>
  <si>
    <t>TEMPERATUR MONITOR</t>
  </si>
  <si>
    <t>G55TUPSM80HS</t>
  </si>
  <si>
    <t>LV438518</t>
  </si>
  <si>
    <t>W875-1001</t>
  </si>
  <si>
    <t>W875-2012</t>
  </si>
  <si>
    <t>W875-3802</t>
  </si>
  <si>
    <t>0J-0P3828AN</t>
  </si>
  <si>
    <t>875-FIAS120X1A</t>
  </si>
  <si>
    <t>SRT3000XLI</t>
  </si>
  <si>
    <t>SRT2200XLI</t>
  </si>
  <si>
    <t>SRT96BP</t>
  </si>
  <si>
    <t>SRTRK4</t>
  </si>
  <si>
    <t>SRT72BP</t>
  </si>
  <si>
    <t>0J-CORSS0150</t>
  </si>
  <si>
    <t>SURTA3000XL</t>
  </si>
  <si>
    <t>CB COMPACT NSX630</t>
  </si>
  <si>
    <t xml:space="preserve">Filter Drier ODF Solder </t>
  </si>
  <si>
    <t>Compressor 2 cylinder</t>
  </si>
  <si>
    <t>PCBA GDEN</t>
  </si>
  <si>
    <t>SERVICE SPARES</t>
  </si>
  <si>
    <t>APC-UPS SRT 3KVA 230V</t>
  </si>
  <si>
    <t>APC-UPS SRT 2.2KVA  230V</t>
  </si>
  <si>
    <t>APC-UPS SRT 96v 3kva battery pack</t>
  </si>
  <si>
    <t xml:space="preserve"> Rail kit for SRT 2.2/3kva</t>
  </si>
  <si>
    <t>APC-UPS Battery pack 72v 2.2kva</t>
  </si>
  <si>
    <t xml:space="preserve">SCROLL COMPRESSOR </t>
  </si>
  <si>
    <t>APC UPS MODULE</t>
  </si>
  <si>
    <t>Old stock</t>
  </si>
  <si>
    <t>new Stock</t>
  </si>
  <si>
    <t>New Price 2</t>
  </si>
  <si>
    <t>Average Price per Unit for Old Stock</t>
  </si>
  <si>
    <t>Old Stock</t>
  </si>
  <si>
    <t>New Stock Mar-16</t>
  </si>
  <si>
    <t>New Stock Apr-16</t>
  </si>
  <si>
    <t xml:space="preserve">New Price </t>
  </si>
  <si>
    <t>Balance Qty</t>
  </si>
  <si>
    <t>Total Value for Old Stock</t>
  </si>
  <si>
    <t>Sale-13th Apr16</t>
  </si>
  <si>
    <t>Total Value of New Stock march</t>
  </si>
  <si>
    <t>Total Value of New Stock April</t>
  </si>
  <si>
    <t>STOCK</t>
  </si>
  <si>
    <t>XP12V3000\SPRINTER</t>
  </si>
  <si>
    <t>spare parts - ATS</t>
  </si>
  <si>
    <t>AP7724</t>
  </si>
  <si>
    <t>spare parts</t>
  </si>
  <si>
    <t>W875-2010</t>
  </si>
  <si>
    <t>W875-2013</t>
  </si>
  <si>
    <t>0J-0P4910</t>
  </si>
  <si>
    <t>0J-0PSTS171A1A</t>
  </si>
  <si>
    <t>540-0274</t>
  </si>
  <si>
    <t>530-1842</t>
  </si>
  <si>
    <t>LV438418</t>
  </si>
  <si>
    <t>34002210SE</t>
  </si>
  <si>
    <t>SYMIM5</t>
  </si>
  <si>
    <t>ETONUS PCBA  GALAXY5000-SPAREPARTS</t>
  </si>
  <si>
    <t>0J-0P3844</t>
  </si>
  <si>
    <t>MAIN SWITCH 3P 16A (IP65 CASE)</t>
  </si>
  <si>
    <t>540-MEIN141X1A</t>
  </si>
  <si>
    <t>POWER STRIP UNIVERSAL 32A</t>
  </si>
  <si>
    <t>CAN-PWR-UNV-7</t>
  </si>
  <si>
    <t>APC SERVICE BYPASS PANEL</t>
  </si>
  <si>
    <t>SBP20KP</t>
  </si>
  <si>
    <t xml:space="preserve">AX.FAN PLUS GRID </t>
  </si>
  <si>
    <t>0J-VEASS0125</t>
  </si>
  <si>
    <t>FUS 106A 660V FF SCW 000</t>
  </si>
  <si>
    <t>HUA14863</t>
  </si>
  <si>
    <t>SYMMETRA PX SW GEAR MONITOR</t>
  </si>
  <si>
    <t>WSYCSGMON</t>
  </si>
  <si>
    <t>SYMMETRA PX EXTERNAL SWITCH</t>
  </si>
  <si>
    <t>WXYEXSG2</t>
  </si>
  <si>
    <t>CABLE THROUGH OPEN BOTTOM 600MM</t>
  </si>
  <si>
    <t>AR8560</t>
  </si>
  <si>
    <t>VT MAINTANENCE BYPASS PANEL</t>
  </si>
  <si>
    <t>SBPSU30K40HC1M1</t>
  </si>
  <si>
    <t xml:space="preserve">MGE Galaxy3500- 30kva </t>
  </si>
  <si>
    <t>G35T30KHS</t>
  </si>
  <si>
    <t>MGE Galaxy3500- Parallel Operation Baying kit</t>
  </si>
  <si>
    <t>G35TOPT011</t>
  </si>
  <si>
    <t>MGE Galaxy 5500 Empty battery Cabinet</t>
  </si>
  <si>
    <t>G55TAB2</t>
  </si>
  <si>
    <t>VT Battery temp sensor</t>
  </si>
  <si>
    <t>SUVTOPT007</t>
  </si>
  <si>
    <t>FIXED SHELF BLACK</t>
  </si>
  <si>
    <t>AR8122BLK</t>
  </si>
  <si>
    <t xml:space="preserve">RACK ATS 230V </t>
  </si>
  <si>
    <t>AP7723</t>
  </si>
  <si>
    <t>APC Mobile power pack</t>
  </si>
  <si>
    <t>M3BK-EC</t>
  </si>
  <si>
    <t>M3BL-EC</t>
  </si>
  <si>
    <t>M3RD-EC</t>
  </si>
  <si>
    <t>M3SR-EC</t>
  </si>
  <si>
    <t>M3TM-EC</t>
  </si>
  <si>
    <t>M5BK-EC</t>
  </si>
  <si>
    <t>MGE GALAXY 5000 BATTERY BOX</t>
  </si>
  <si>
    <t>G55TD100120B2</t>
  </si>
  <si>
    <t>POWER DISTRIBUTION MODULE</t>
  </si>
  <si>
    <t>PDM3532IEC-620</t>
  </si>
  <si>
    <t>4KVA POWER MODULE</t>
  </si>
  <si>
    <t>SYPM4KI</t>
  </si>
  <si>
    <t>KIT RIBBON CABLES -ACESS</t>
  </si>
  <si>
    <t>34600124SE</t>
  </si>
  <si>
    <t>Koldlok surface mount</t>
  </si>
  <si>
    <t>AP 7730</t>
  </si>
  <si>
    <t>LR</t>
  </si>
  <si>
    <t xml:space="preserve"> </t>
  </si>
  <si>
    <t>FOC</t>
  </si>
  <si>
    <t>isuzu X 2</t>
  </si>
  <si>
    <t>Arranged by adam</t>
  </si>
  <si>
    <t>12V-12AH</t>
  </si>
  <si>
    <t>DLVRY 17/APR</t>
  </si>
  <si>
    <t>Remarks</t>
  </si>
  <si>
    <t xml:space="preserve">DN </t>
  </si>
  <si>
    <t>Invoice Status</t>
  </si>
  <si>
    <t>Delivery Status</t>
  </si>
  <si>
    <t>Received By</t>
  </si>
  <si>
    <t>Delivered by</t>
  </si>
  <si>
    <t>D/O 
Issued by</t>
  </si>
  <si>
    <t>Total Value</t>
  </si>
  <si>
    <t>Inv unit
SAR</t>
  </si>
  <si>
    <t>Inv Date</t>
  </si>
  <si>
    <t>Invoice 
Num#</t>
  </si>
  <si>
    <t>Delivered 
To</t>
  </si>
  <si>
    <t>Delivered
Date</t>
  </si>
  <si>
    <t>REM QTY</t>
  </si>
  <si>
    <t>DLVD 
QTY</t>
  </si>
  <si>
    <t>ORDER 
QTY</t>
  </si>
  <si>
    <t>Product/ Description</t>
  </si>
  <si>
    <t>PO DATE</t>
  </si>
  <si>
    <t>PO #</t>
  </si>
  <si>
    <t>Line
 Item</t>
  </si>
  <si>
    <t>APC-UPS 3KVA 230V</t>
  </si>
  <si>
    <t>ISX001351567-008</t>
  </si>
  <si>
    <t>APC DRY CONTACT I/O Accessory</t>
  </si>
  <si>
    <t>AP9810</t>
  </si>
  <si>
    <t>0J-0P3836GB</t>
  </si>
  <si>
    <t>Complete SOLUTION KIT</t>
  </si>
  <si>
    <t>G35TBATOYU</t>
  </si>
  <si>
    <t>SUVTBB10K40KH</t>
  </si>
  <si>
    <t>G55TTC120RH</t>
  </si>
  <si>
    <t>MGE GALAXY Specific YUASA Backup time</t>
  </si>
  <si>
    <t>APC-Smart-UPS VT 10-40KVA 400V</t>
  </si>
  <si>
    <t>MGE Galxy 5500 Transformer 80kva to 120kva in a stand alone cabinet</t>
  </si>
  <si>
    <t xml:space="preserve">QRG021605 </t>
  </si>
  <si>
    <t>42U cabinet 800W/1200D</t>
  </si>
  <si>
    <t>D13-6H-EXL</t>
  </si>
  <si>
    <t>POWER STRIP HORIZONTAL - FILTERED - PDU</t>
  </si>
  <si>
    <t>542-42810-WDBF-BK-FP</t>
  </si>
  <si>
    <t>542-044-BK</t>
  </si>
  <si>
    <t>Excel Environ ER 42U 800W 1000D-Black-FP -14</t>
  </si>
  <si>
    <t>Excel Environ 4 Way Roof Fan Tray - Black</t>
  </si>
  <si>
    <t>AR3380G</t>
  </si>
  <si>
    <t>AR8136BLK200</t>
  </si>
  <si>
    <t>AR7580A</t>
  </si>
  <si>
    <t>APC 1U 19 Black Tooless Blanking Panel</t>
  </si>
  <si>
    <t>Vertical Cable Manager for Netshelter SX</t>
  </si>
  <si>
    <t>NETSHELTER SX 42U 800mmX1200</t>
  </si>
  <si>
    <t>Purchase Feb17</t>
  </si>
  <si>
    <t>Purchase Mar17</t>
  </si>
  <si>
    <t>Purchase Apr17</t>
  </si>
  <si>
    <t>Purchase May17</t>
  </si>
  <si>
    <t>Purchase Jun17</t>
  </si>
  <si>
    <t>Purchase Jul17</t>
  </si>
  <si>
    <t>Purchase Aug17</t>
  </si>
  <si>
    <t>Purchase Sep17</t>
  </si>
  <si>
    <t>Purchase Oct17</t>
  </si>
  <si>
    <t>Purchase Nov17</t>
  </si>
  <si>
    <t>Purchase Dec17</t>
  </si>
  <si>
    <t>Purchase Jan17</t>
  </si>
  <si>
    <t>Sale Jan17</t>
  </si>
  <si>
    <t>Sale Feb17</t>
  </si>
  <si>
    <t>Sale Mar17</t>
  </si>
  <si>
    <t>Sale Apr17</t>
  </si>
  <si>
    <t>Sale Jun17</t>
  </si>
  <si>
    <t>Sale Jul17</t>
  </si>
  <si>
    <t>Sale Aug17</t>
  </si>
  <si>
    <t>sale Sep17</t>
  </si>
  <si>
    <t>Sale Oct17</t>
  </si>
  <si>
    <t>Sale Nov17</t>
  </si>
  <si>
    <t>Sale Dec17</t>
  </si>
  <si>
    <t>APC-BACK UPS 700VA</t>
  </si>
  <si>
    <t>Business Solutons</t>
  </si>
  <si>
    <t>Alwin</t>
  </si>
  <si>
    <t>Dany</t>
  </si>
  <si>
    <t>Sayed/0531671272</t>
  </si>
  <si>
    <t>Done</t>
  </si>
  <si>
    <t>Yes</t>
  </si>
  <si>
    <t>Military Uniforms &amp; Accessories Factory</t>
  </si>
  <si>
    <t>Cesar</t>
  </si>
  <si>
    <t>Euro System</t>
  </si>
  <si>
    <t>Ali saif/0590066286</t>
  </si>
  <si>
    <t>71-01-5187</t>
  </si>
  <si>
    <t>REPLACEMENT BATTERY CARTRIGE</t>
  </si>
  <si>
    <t>Arab Engineers For Trading</t>
  </si>
  <si>
    <t>Dany/Nomaan</t>
  </si>
  <si>
    <t>Santosh</t>
  </si>
  <si>
    <t>ABTSS</t>
  </si>
  <si>
    <t>TWES1612-0501</t>
  </si>
  <si>
    <t>ISE</t>
  </si>
  <si>
    <t>Abdul Rahman/0551004008</t>
  </si>
  <si>
    <t>TWES1612-1902</t>
  </si>
  <si>
    <t>UPS - 1KVA 230V</t>
  </si>
  <si>
    <t>Al Marai</t>
  </si>
  <si>
    <t>Technical United</t>
  </si>
  <si>
    <t>Jason Panvedo/0591607983</t>
  </si>
  <si>
    <t>HIGH POINT</t>
  </si>
  <si>
    <t>Tomy/cesar</t>
  </si>
  <si>
    <t>SPECIALIZED COMPUTER SERVICE</t>
  </si>
  <si>
    <t>HI-P2017-004</t>
  </si>
  <si>
    <t>DELTA IT SOLUTION</t>
  </si>
  <si>
    <t>ARABIAN BUILINDNG SUPPORT</t>
  </si>
  <si>
    <t>SUVTP15KH4B4S</t>
  </si>
  <si>
    <t>APC-UPS 15KVA 380V</t>
  </si>
  <si>
    <t>WBEXTWAR3YR-SP-03</t>
  </si>
  <si>
    <t>WBEXTWAR3YR-SP-06</t>
  </si>
  <si>
    <t>WBEXTWAR1YR-SP-06</t>
  </si>
  <si>
    <t>WSUVTPM15K3I</t>
  </si>
  <si>
    <t>SERVICE PACK 3YR WARRENTY</t>
  </si>
  <si>
    <t>SERVICE PACK 1YR WARRENTY</t>
  </si>
  <si>
    <t>Generic 3:1 15kva power module</t>
  </si>
  <si>
    <t>0J-0P3847GB</t>
  </si>
  <si>
    <t>1PRE009584</t>
  </si>
  <si>
    <t>PCBA SPARE PARTS</t>
  </si>
  <si>
    <t xml:space="preserve">FUS 125A 660V FF FLSH END </t>
  </si>
  <si>
    <t>AR3300G</t>
  </si>
  <si>
    <t>AR7721</t>
  </si>
  <si>
    <t>Vertical Cable manager for netshelter</t>
  </si>
  <si>
    <t>PUR066393-1</t>
  </si>
  <si>
    <t>GENERIC 3:1 KVA POWE MODULE 400 V</t>
  </si>
  <si>
    <t>Al Abdulkarim Holding Co</t>
  </si>
  <si>
    <t>Ansar/Usman</t>
  </si>
  <si>
    <t>Thomas</t>
  </si>
  <si>
    <t>ASSY TERMINAL BOARD NANNA SPARE PART</t>
  </si>
  <si>
    <t>Sice Technolgia Systems</t>
  </si>
  <si>
    <t>Ebrahim/0562226091</t>
  </si>
  <si>
    <t>Al shaya int'l trading co</t>
  </si>
  <si>
    <t>APC-UPS 5KVA RM 230V</t>
  </si>
  <si>
    <t>Agility WH</t>
  </si>
  <si>
    <t>Specialized Computer Service Est</t>
  </si>
  <si>
    <t>Ansar/Nomaan</t>
  </si>
  <si>
    <t>Saudi Business Mechine Ltd(SBM)</t>
  </si>
  <si>
    <t>cesar</t>
  </si>
  <si>
    <t>Das-329/16</t>
  </si>
  <si>
    <t>UPS VT CONSISTING OF 8*SYBTUI PLP</t>
  </si>
  <si>
    <t>Data Core</t>
  </si>
  <si>
    <t>Dani/Usman/Noor</t>
  </si>
  <si>
    <t>Rutshah/0552293096</t>
  </si>
  <si>
    <t>Re-po-2016-0522</t>
  </si>
  <si>
    <t>Al Rasa Communication Ltd</t>
  </si>
  <si>
    <t>Sajid/0506227569</t>
  </si>
  <si>
    <t>S1701-Dar-1701</t>
  </si>
  <si>
    <t>Specialized Eletrical System</t>
  </si>
  <si>
    <t>Dani/Noor</t>
  </si>
  <si>
    <t>Samer/0555421488</t>
  </si>
  <si>
    <t>FCN150117-C</t>
  </si>
  <si>
    <t>Full Control Network</t>
  </si>
  <si>
    <t>Naqel-Kbobar</t>
  </si>
  <si>
    <t>NO</t>
  </si>
  <si>
    <t>Data Link</t>
  </si>
  <si>
    <t>Arif</t>
  </si>
  <si>
    <t>APC-UPS 15KVA</t>
  </si>
  <si>
    <t>Cesar/Tommy</t>
  </si>
  <si>
    <t>SYA8K16P</t>
  </si>
  <si>
    <t>Symmetra LX 8KVA Scalable 16kva</t>
  </si>
  <si>
    <t>AR8132A</t>
  </si>
  <si>
    <t>APC COMBINATON LOCK HANDLE</t>
  </si>
  <si>
    <t>SRT3000RMXLI</t>
  </si>
  <si>
    <t>APC- UPS 3KVA RT 230V</t>
  </si>
  <si>
    <t>SRT2200RMXLI</t>
  </si>
  <si>
    <t>APC=UPS 2.2.KVA RT 230V</t>
  </si>
  <si>
    <t>Saudi Media Sysytems</t>
  </si>
  <si>
    <t>Dani/Ansar</t>
  </si>
  <si>
    <t>Aboobacker/0559826900</t>
  </si>
  <si>
    <t xml:space="preserve"> Rail kit </t>
  </si>
  <si>
    <t>RSCM</t>
  </si>
  <si>
    <t>Dani</t>
  </si>
  <si>
    <t>Delta IT Solution</t>
  </si>
  <si>
    <t>SYMMETRA LX 8KVA SCALABLE 16KVA</t>
  </si>
  <si>
    <t>KPS World</t>
  </si>
  <si>
    <t>Dani/Nnoor/Nomaan</t>
  </si>
  <si>
    <t>Moaz Mostafa</t>
  </si>
  <si>
    <t>Advanced Modren Technology</t>
  </si>
  <si>
    <t>naqel-jaddah</t>
  </si>
  <si>
    <t>Nomaan/Noor</t>
  </si>
  <si>
    <t>Mohammed Kammar 0577414246</t>
  </si>
  <si>
    <t>LP/4372</t>
  </si>
  <si>
    <t>/000005106</t>
  </si>
  <si>
    <t>/00000433</t>
  </si>
  <si>
    <t>LP/4383</t>
  </si>
  <si>
    <t>PNC/0111</t>
  </si>
  <si>
    <t>Power Networks Co Ltd</t>
  </si>
  <si>
    <t>Majed Jumala/0545958310</t>
  </si>
  <si>
    <t>Arwa Yatrib trdg est</t>
  </si>
  <si>
    <t>DANI</t>
  </si>
  <si>
    <t>KHS1794008</t>
  </si>
  <si>
    <t>1049-ANWA-201</t>
  </si>
  <si>
    <t>LPD 16512</t>
  </si>
  <si>
    <t>J31</t>
  </si>
  <si>
    <t>NAQEL / KHOBAR</t>
  </si>
  <si>
    <t xml:space="preserve">SAEED COMPUTER EST </t>
  </si>
  <si>
    <t>GLOBAL TECH</t>
  </si>
  <si>
    <t>Advanced Modren Company</t>
  </si>
  <si>
    <t>NAQEL / DMM</t>
  </si>
  <si>
    <t>0J-0049</t>
  </si>
  <si>
    <t>S/A CAPAS DC 200KVA</t>
  </si>
  <si>
    <t>0J-875-2013A</t>
  </si>
  <si>
    <t>KIT FILTER AIR 30%</t>
  </si>
  <si>
    <t>NAJMUDIN</t>
  </si>
  <si>
    <t>NAQEL/ JED</t>
  </si>
  <si>
    <t>FCN150117-E</t>
  </si>
  <si>
    <t>ACS-7917</t>
  </si>
  <si>
    <t>M&amp;M United company</t>
  </si>
  <si>
    <t>NADEC</t>
  </si>
  <si>
    <t>AR3104</t>
  </si>
  <si>
    <t>NET SHELTER Sx24U</t>
  </si>
  <si>
    <t>SYBT4</t>
  </si>
  <si>
    <t xml:space="preserve">BATTERY MOUDULE </t>
  </si>
  <si>
    <t>AL MANARAH COMM</t>
  </si>
  <si>
    <t>CUST CLTD FR WH</t>
  </si>
  <si>
    <t>SAUDI MASS</t>
  </si>
  <si>
    <t>ND-001312069</t>
  </si>
  <si>
    <t>LPO/1701101</t>
  </si>
  <si>
    <t>Rawabit</t>
  </si>
  <si>
    <t>PMC-22/17</t>
  </si>
  <si>
    <t>Irfan0582020707</t>
  </si>
  <si>
    <t>Rented Truck-Al Baha</t>
  </si>
  <si>
    <t>PNC/0111/Y/TOM</t>
  </si>
  <si>
    <t>BEETRA</t>
  </si>
  <si>
    <t>BE-SC-17-047</t>
  </si>
  <si>
    <t>RENTED TRUCK/ khobar</t>
  </si>
  <si>
    <t xml:space="preserve">TALENT SAUDI TRADING </t>
  </si>
  <si>
    <t>TL0887</t>
  </si>
  <si>
    <t>ZUTS COMMUNICATION</t>
  </si>
  <si>
    <t>REPLACEMENT by Apc</t>
  </si>
  <si>
    <t>CTEL00848</t>
  </si>
  <si>
    <t>CONSOLIDATED TELECOMS</t>
  </si>
  <si>
    <t>NAQEL/DMM</t>
  </si>
  <si>
    <t>LPD16615</t>
  </si>
  <si>
    <t>KAAU/JED C/O ABJAYAT TECHNICAL</t>
  </si>
  <si>
    <t>(QRG021605)Included 10 pcs</t>
  </si>
  <si>
    <t>AL MARAI</t>
  </si>
  <si>
    <t>Shahibjan/0592223873</t>
  </si>
  <si>
    <t>ALASR AL EMAR CONTRACTING</t>
  </si>
  <si>
    <t>Saudi Ericsson</t>
  </si>
  <si>
    <t>Dani/RJ</t>
  </si>
  <si>
    <t>Ismail/0501404178</t>
  </si>
  <si>
    <t>Joseph/0500295135</t>
  </si>
  <si>
    <t>POWER TECHNOLOGY</t>
  </si>
  <si>
    <t>PT16040</t>
  </si>
  <si>
    <t>FCN050217-A</t>
  </si>
  <si>
    <t>Tommy</t>
  </si>
  <si>
    <t xml:space="preserve">AL KHORAYEF </t>
  </si>
  <si>
    <t>RJ/DANI</t>
  </si>
  <si>
    <t>BALSHARAF</t>
  </si>
  <si>
    <t>NAIZAK GLOBAL ENGINEERING</t>
  </si>
  <si>
    <t xml:space="preserve">Khobar </t>
  </si>
  <si>
    <t>Dammam</t>
  </si>
  <si>
    <t>048451 - 000</t>
  </si>
  <si>
    <t>SOURCES</t>
  </si>
  <si>
    <t>SANABEL AL SALAM</t>
  </si>
  <si>
    <t>DANI/RJ</t>
  </si>
  <si>
    <t>DVQ06/02/0003</t>
  </si>
  <si>
    <t>DREAM VILLAGE TRDG (DVTECH)</t>
  </si>
  <si>
    <t xml:space="preserve">JERAISY COMPUTER </t>
  </si>
  <si>
    <t>17000032/0001</t>
  </si>
  <si>
    <t>AL MUSHOR TRDG</t>
  </si>
  <si>
    <t xml:space="preserve">SHABAKAH </t>
  </si>
  <si>
    <t>W5SY4308</t>
  </si>
  <si>
    <t>AR3150</t>
  </si>
  <si>
    <t>KHS1794017</t>
  </si>
  <si>
    <t>DNJ Technologies</t>
  </si>
  <si>
    <t>Saeed Computert Est</t>
  </si>
  <si>
    <t>Advanced Communications &amp; Electronics Systems Co</t>
  </si>
  <si>
    <t>Rawabi Al Khaleej Computer Services</t>
  </si>
  <si>
    <t>Connect Computer Information Est</t>
  </si>
  <si>
    <t>Ansar</t>
  </si>
  <si>
    <t>LPD17070</t>
  </si>
  <si>
    <t>J61</t>
  </si>
  <si>
    <t>J77</t>
  </si>
  <si>
    <t>013/2017</t>
  </si>
  <si>
    <t>RCS-7012090217</t>
  </si>
  <si>
    <t>KHS1794019</t>
  </si>
  <si>
    <t>Naqel/Jed</t>
  </si>
  <si>
    <t>Al Maram Est For Computers</t>
  </si>
  <si>
    <t>HAYA MEDICAL CO</t>
  </si>
  <si>
    <t>TOP DEVI</t>
  </si>
  <si>
    <t>000-516</t>
  </si>
  <si>
    <t>Parker Drilling Mangement sev c/o AMC</t>
  </si>
  <si>
    <t>MICROLINE INFO TECHNOLOGIES</t>
  </si>
  <si>
    <t>FURNITURE HOUSE</t>
  </si>
  <si>
    <t>Al khaleej</t>
  </si>
  <si>
    <t>Naqel/makkah</t>
  </si>
  <si>
    <t>ALK/2788</t>
  </si>
  <si>
    <t>IT ASSOCIATES</t>
  </si>
  <si>
    <t>Naqel/jED</t>
  </si>
  <si>
    <t>LAMSAT SULAIMANIA EST</t>
  </si>
  <si>
    <t>AL AFIF TRAVEL &amp; TOURISM</t>
  </si>
  <si>
    <t>COMMERCIAL FACILITY SECURITY EST</t>
  </si>
  <si>
    <t xml:space="preserve">SAUDI OGER </t>
  </si>
  <si>
    <t>Saudi American Glass Company</t>
  </si>
  <si>
    <t>Tomy</t>
  </si>
  <si>
    <t>Rabiulllah</t>
  </si>
  <si>
    <t>HICAP</t>
  </si>
  <si>
    <t>NAQEL/JED</t>
  </si>
  <si>
    <t>AF/2017/012</t>
  </si>
  <si>
    <t>AL GHARBIAH FORM</t>
  </si>
  <si>
    <t>Safari company</t>
  </si>
  <si>
    <t>ABDULLAH JARALLAH AGENCY</t>
  </si>
  <si>
    <t>POWER SMART</t>
  </si>
  <si>
    <t>NAQEL/KHOBAR</t>
  </si>
  <si>
    <t>PSE-LPO-735-02-2017</t>
  </si>
  <si>
    <t>NETWORK BEACON</t>
  </si>
  <si>
    <t>MS1701847PO</t>
  </si>
  <si>
    <t>Rasa Al Jazeera co.Ltd</t>
  </si>
  <si>
    <t>RE-2016-0588</t>
  </si>
  <si>
    <t>Partial</t>
  </si>
  <si>
    <t>PROTECTION SHEILD</t>
  </si>
  <si>
    <t>EES/P-016-1375</t>
  </si>
  <si>
    <t>IBRIZE</t>
  </si>
  <si>
    <t xml:space="preserve">ABUNAYYAN </t>
  </si>
  <si>
    <t>AMJAAD PRITING PRESS</t>
  </si>
  <si>
    <t>AP7821</t>
  </si>
  <si>
    <t>APC RACK PDU METERED 1U16A</t>
  </si>
  <si>
    <t>AP9876</t>
  </si>
  <si>
    <t>POWER CORD16A230V</t>
  </si>
  <si>
    <t>AP9880</t>
  </si>
  <si>
    <t>POWER CORD 10A 230V</t>
  </si>
  <si>
    <t>AP9881</t>
  </si>
  <si>
    <t>POWER CORD 10A 230V UKREC</t>
  </si>
  <si>
    <t>AR8425A</t>
  </si>
  <si>
    <t>1U HARIZONTAL CABLE ORGANIZER BLACK</t>
  </si>
  <si>
    <t>AR8429</t>
  </si>
  <si>
    <t>1U CABLE PASS THRU</t>
  </si>
  <si>
    <t>AR4000MV</t>
  </si>
  <si>
    <t>NET SHELTER CX MINI ENCLOSURE</t>
  </si>
  <si>
    <t>AR4000MV12U</t>
  </si>
  <si>
    <t>NET SHELTER CX MINI RAILKIT</t>
  </si>
  <si>
    <t>NBRK0250</t>
  </si>
  <si>
    <t>NETBOTZ RACK MONITOR</t>
  </si>
  <si>
    <t>AP90010</t>
  </si>
  <si>
    <t>Infrastructure operation</t>
  </si>
  <si>
    <t>NBES0303</t>
  </si>
  <si>
    <t>Netboltz door switch</t>
  </si>
  <si>
    <t>AP98894F</t>
  </si>
  <si>
    <t>Power cord kit (6each)</t>
  </si>
  <si>
    <t>AP7921</t>
  </si>
  <si>
    <t>Rack PDU switched 1U 16A 230v</t>
  </si>
  <si>
    <t>SYBT5</t>
  </si>
  <si>
    <t>Apc symmentra LX battery module</t>
  </si>
  <si>
    <t>BR550GI</t>
  </si>
  <si>
    <t>Back UPS RS LCD 560 Master Control</t>
  </si>
  <si>
    <t>G3HT15KHB1S</t>
  </si>
  <si>
    <t>MGE Galaxy 30015kva 400V</t>
  </si>
  <si>
    <t>0J-0N-1229</t>
  </si>
  <si>
    <t>0J-0N-9831</t>
  </si>
  <si>
    <t>0J-0N-9879</t>
  </si>
  <si>
    <t>0J-0N-9881</t>
  </si>
  <si>
    <t>0J-0P3668AC</t>
  </si>
  <si>
    <t>power supply</t>
  </si>
  <si>
    <t>assy power block</t>
  </si>
  <si>
    <t>assy 27kva Power Block</t>
  </si>
  <si>
    <t>Assy Controller</t>
  </si>
  <si>
    <t>VM-PCBA Signal Distribution</t>
  </si>
  <si>
    <t>SYBT2</t>
  </si>
  <si>
    <t>SYH4K6RMI</t>
  </si>
  <si>
    <t>Apc Symmetra RM 2-6KVA</t>
  </si>
  <si>
    <t>Apc Symmetra RM 4KVA</t>
  </si>
  <si>
    <t>NBACS125</t>
  </si>
  <si>
    <t xml:space="preserve">Rack access control </t>
  </si>
  <si>
    <t>450-MERE080X1A</t>
  </si>
  <si>
    <t>875-UMCV036X1A</t>
  </si>
  <si>
    <t>875-VATE460X1A</t>
  </si>
  <si>
    <t>0J-STSE1029X1A</t>
  </si>
  <si>
    <t>WM190637</t>
  </si>
  <si>
    <t>Phase Sequence central relay</t>
  </si>
  <si>
    <t>Humidifier Bottle Carel</t>
  </si>
  <si>
    <t xml:space="preserve">Expanson Value Elettor </t>
  </si>
  <si>
    <t xml:space="preserve">P.Transducer </t>
  </si>
  <si>
    <t xml:space="preserve">Speed controller </t>
  </si>
  <si>
    <t>AP9635</t>
  </si>
  <si>
    <t>UPS network management card2</t>
  </si>
  <si>
    <t>BR1500GI</t>
  </si>
  <si>
    <t>Power saving Back-UPS  Pro1500 230v</t>
  </si>
  <si>
    <t>51028819SE</t>
  </si>
  <si>
    <t>RELI PCBA GALAXY-PW SPARE PARTS</t>
  </si>
  <si>
    <t>0J-0P4432HA</t>
  </si>
  <si>
    <t>PCB ASSY ALII SERVICE</t>
  </si>
  <si>
    <t>0-0P4439JB</t>
  </si>
  <si>
    <t>PCB ASSY COSI</t>
  </si>
  <si>
    <t>LV438218</t>
  </si>
  <si>
    <t>MCCB UNDERVOLT TRIP</t>
  </si>
  <si>
    <t>NSX250S DC 3P</t>
  </si>
  <si>
    <t>AR8136BLK</t>
  </si>
  <si>
    <t>ORIENT SYS CONTRACTING EST</t>
  </si>
  <si>
    <t>2017-02-APC-FSO</t>
  </si>
  <si>
    <t>PT17001/01</t>
  </si>
  <si>
    <t>PT16033/10/SCH</t>
  </si>
  <si>
    <t xml:space="preserve">AL FAWZAN </t>
  </si>
  <si>
    <t>PT16043/12</t>
  </si>
  <si>
    <t>PT16033</t>
  </si>
  <si>
    <t>16-312-00</t>
  </si>
  <si>
    <t>AR8105BLK</t>
  </si>
  <si>
    <t>FORD INT'L BUSINESS DEV</t>
  </si>
  <si>
    <t>BURJ COOPERATIVE INSURANCE</t>
  </si>
  <si>
    <t>NAEEM AL NAZZAWI EST</t>
  </si>
  <si>
    <t>-</t>
  </si>
  <si>
    <t>NBRK0205</t>
  </si>
  <si>
    <t>OP0781</t>
  </si>
  <si>
    <t>CESAR</t>
  </si>
  <si>
    <t>Parts taken fr maintenance</t>
  </si>
  <si>
    <t>RUPO-498</t>
  </si>
  <si>
    <t>YUASA BATTERY NPW45-12</t>
  </si>
  <si>
    <t>AL RASIM UNITED</t>
  </si>
  <si>
    <t>ABDUL KARIM HOLDING</t>
  </si>
  <si>
    <t>MAJID AL FUTAIM CARREFOUR</t>
  </si>
  <si>
    <t>DN FR AMC</t>
  </si>
  <si>
    <t>00533-17000007</t>
  </si>
  <si>
    <t>NATIONAL CO FOR MECHANICAL SYS</t>
  </si>
  <si>
    <t>EFS FACILITES SERVICES</t>
  </si>
  <si>
    <t>16002277/09/00161</t>
  </si>
  <si>
    <t>DURR AUSTRIA</t>
  </si>
  <si>
    <t>B21702135</t>
  </si>
  <si>
    <t>VEOLIA</t>
  </si>
  <si>
    <t>6001191HD04250</t>
  </si>
  <si>
    <t>P5B-UK</t>
  </si>
  <si>
    <t>APC ESSENTIAL SURGE PDU</t>
  </si>
  <si>
    <t>JAMMAZ DISTRIBUTION</t>
  </si>
  <si>
    <t>1774-12-16 TLCL</t>
  </si>
  <si>
    <t>ENSURE SERVICES ARABIA</t>
  </si>
  <si>
    <t>Apc Essential surge PDU 5outlet 230V</t>
  </si>
  <si>
    <t>GOLDEN FIRST SYS</t>
  </si>
  <si>
    <t>NAQEL/ TAIF</t>
  </si>
  <si>
    <t>fr Mejdaf</t>
  </si>
  <si>
    <t>Dlvd to Saeed for Marketing Purpose</t>
  </si>
  <si>
    <t>DAS Office</t>
  </si>
  <si>
    <t xml:space="preserve">TABUK PHARMA </t>
  </si>
  <si>
    <t>NAQEL/TABUK</t>
  </si>
  <si>
    <t>NATIONAL COMPUTER SYS</t>
  </si>
  <si>
    <t>Inv. Cancelled</t>
  </si>
  <si>
    <t xml:space="preserve">ALMARAI </t>
  </si>
  <si>
    <t>MS17028475PO</t>
  </si>
  <si>
    <t>81551571-3</t>
  </si>
  <si>
    <t>81551570-2</t>
  </si>
  <si>
    <t>81551568-0</t>
  </si>
  <si>
    <t>81551567-6</t>
  </si>
  <si>
    <t>81551565-4</t>
  </si>
  <si>
    <t>81551566-5</t>
  </si>
  <si>
    <t>KHS1794038</t>
  </si>
  <si>
    <t>ALWIN</t>
  </si>
  <si>
    <t>USMAN</t>
  </si>
  <si>
    <t>Mejdaf</t>
  </si>
  <si>
    <t>17000008/0045</t>
  </si>
  <si>
    <t>Tha Law office of Salman Al sudairi</t>
  </si>
  <si>
    <t>170106-001</t>
  </si>
  <si>
    <t>Al-Wissam Trading Est</t>
  </si>
  <si>
    <t>Naqel/Khobar</t>
  </si>
  <si>
    <t>DNJ Technologies For It</t>
  </si>
  <si>
    <t>GFP17-21</t>
  </si>
  <si>
    <t>81551564-3</t>
  </si>
  <si>
    <t>80155844-6</t>
  </si>
  <si>
    <t>81551573-5</t>
  </si>
  <si>
    <t>81551572-4</t>
  </si>
  <si>
    <t>80155849-4</t>
  </si>
  <si>
    <t>80155847-2</t>
  </si>
  <si>
    <t>8015845-0</t>
  </si>
  <si>
    <t>80155850-5</t>
  </si>
  <si>
    <t>80155851-6</t>
  </si>
  <si>
    <t>80155843-5</t>
  </si>
  <si>
    <t>80155846-1</t>
  </si>
  <si>
    <t>80155842-4</t>
  </si>
  <si>
    <t>80155840-2</t>
  </si>
  <si>
    <t>80155839-1</t>
  </si>
  <si>
    <t>LP/4425</t>
  </si>
  <si>
    <t>KQ/4057/2017</t>
  </si>
  <si>
    <t>AL TAWIL CONSULTING</t>
  </si>
  <si>
    <t>DATA LINK</t>
  </si>
  <si>
    <t>DVQ16/03/0001</t>
  </si>
  <si>
    <t>0J-0WSESE055X1A</t>
  </si>
  <si>
    <t>0J-875-VATE455A1A</t>
  </si>
  <si>
    <t>AP98896F</t>
  </si>
  <si>
    <t>SMC1500I-2U</t>
  </si>
  <si>
    <t>PROBE-TEMPERATURE NTC SERIE</t>
  </si>
  <si>
    <t>VALUE-THERMOSTAT ELEC CAREL</t>
  </si>
  <si>
    <t>Apc smart ups c1500VA 2U rack</t>
  </si>
  <si>
    <t>AP9559</t>
  </si>
  <si>
    <t>Rack PDU basic 230v</t>
  </si>
  <si>
    <t>International Business Resources</t>
  </si>
  <si>
    <t>Mohammed Abo Shahnab/0553222871</t>
  </si>
  <si>
    <t>No</t>
  </si>
  <si>
    <t>BSC COMMUNICATIONS (IBM)</t>
  </si>
  <si>
    <t>BS-2182</t>
  </si>
  <si>
    <t>SAMA AL RIYADH</t>
  </si>
  <si>
    <t>FCN040117-D</t>
  </si>
  <si>
    <t>EBTIKKAR TECH CO</t>
  </si>
  <si>
    <t xml:space="preserve">JUPITER NETWORK TRDG </t>
  </si>
  <si>
    <t>1 REM DVLD ON 21/3/17</t>
  </si>
  <si>
    <t>DELTA INT'L COMPANY</t>
  </si>
  <si>
    <t>TECH CHALLENGES</t>
  </si>
  <si>
    <t>190317-12</t>
  </si>
  <si>
    <t>BITS-2017-0567</t>
  </si>
  <si>
    <t>BITS-2017-0589</t>
  </si>
  <si>
    <t>BITS ARABIA</t>
  </si>
  <si>
    <t>81551563-2</t>
  </si>
  <si>
    <t>81551561-0</t>
  </si>
  <si>
    <t>81551560-6</t>
  </si>
  <si>
    <t>1002-2017</t>
  </si>
  <si>
    <t>SABB LOCK</t>
  </si>
  <si>
    <t>RJ</t>
  </si>
  <si>
    <t>CREATIVE COMPUTER</t>
  </si>
  <si>
    <t>AL NAJM TRDG</t>
  </si>
  <si>
    <t>DAR AL RIYADH</t>
  </si>
  <si>
    <t>FCN200317-C</t>
  </si>
  <si>
    <t>FCN120217-D</t>
  </si>
  <si>
    <t>P5BT-UK</t>
  </si>
  <si>
    <t>PT16040/12/DAS</t>
  </si>
  <si>
    <t>Raed Al Zayer C/O ABJAYAT TECHNICAL</t>
  </si>
  <si>
    <t>KHS1794058</t>
  </si>
  <si>
    <t>Khobar/ Ansar</t>
  </si>
  <si>
    <t>00010642-1</t>
  </si>
  <si>
    <t>0J-0PSTSC318X1A</t>
  </si>
  <si>
    <t>DRIVER DATA TYPE EVD400 PER VTE</t>
  </si>
  <si>
    <t xml:space="preserve">Driver Data type EVD400 per VTE </t>
  </si>
  <si>
    <t>004524-1</t>
  </si>
  <si>
    <t>81551562-1</t>
  </si>
  <si>
    <t>ARAB CO FOR PHARMACEUTICAL</t>
  </si>
  <si>
    <t>0J-0PSTSC172A1A</t>
  </si>
  <si>
    <t>0J-540-STPR021X1A</t>
  </si>
  <si>
    <t>0J-875-VASI012X1A</t>
  </si>
  <si>
    <t>0J-FIDE011X1AN</t>
  </si>
  <si>
    <t>0J-VERA0253X1A</t>
  </si>
  <si>
    <t>391-STRE0515X1A</t>
  </si>
  <si>
    <t>CONTROLLER ELETRIC PC01</t>
  </si>
  <si>
    <t>SWITCH-HI PRESS MAN</t>
  </si>
  <si>
    <t>VALVE-SAFETY</t>
  </si>
  <si>
    <t>FLTR DRIER DML</t>
  </si>
  <si>
    <t>RADIAL FAN</t>
  </si>
  <si>
    <t>PREEOSTATIC SPEED CONTROLL</t>
  </si>
  <si>
    <t>0J-OPSTSC172A1A</t>
  </si>
  <si>
    <t>0J-875-VAS1012X1A</t>
  </si>
  <si>
    <t>VERA0253X1A</t>
  </si>
  <si>
    <t>032/2017</t>
  </si>
  <si>
    <t>Nanotechnologies</t>
  </si>
  <si>
    <t>KAFD c/o Ibttikkar tech</t>
  </si>
  <si>
    <t>FJRT5000XLI</t>
  </si>
  <si>
    <t>FUJITSU UPS 5KVA</t>
  </si>
  <si>
    <t>Items delivered Nahl infra-new office</t>
  </si>
  <si>
    <t xml:space="preserve">AL MARAI </t>
  </si>
  <si>
    <t>AL KHARJ</t>
  </si>
  <si>
    <t>TECHS C/O NAHL GROUP</t>
  </si>
  <si>
    <t>8pcs returned on050417</t>
  </si>
  <si>
    <t>71-04-1100</t>
  </si>
  <si>
    <t>Fahad int'l Group</t>
  </si>
  <si>
    <t xml:space="preserve">00000482 - </t>
  </si>
  <si>
    <t>17000029/0045</t>
  </si>
  <si>
    <t>SMX1500RMI2UNC</t>
  </si>
  <si>
    <t>AP9520TH</t>
  </si>
  <si>
    <t>NBES0301</t>
  </si>
  <si>
    <t>NBES0307</t>
  </si>
  <si>
    <t>NBPD0150</t>
  </si>
  <si>
    <t>NBRK0201</t>
  </si>
  <si>
    <t>AP8706S-WW</t>
  </si>
  <si>
    <t>Smart ups 1500VA RT LCD 230v with network card</t>
  </si>
  <si>
    <t>Temperature and Humidity sensor</t>
  </si>
  <si>
    <t>Netbotz spot Fluid Sensor 15ft</t>
  </si>
  <si>
    <t>Netbotz smoke sensor 10ft</t>
  </si>
  <si>
    <t>Netbotz Rack sensor Pod 150</t>
  </si>
  <si>
    <t>Netbotz consiting of 1xNBRK0200, AP95051</t>
  </si>
  <si>
    <t>Power cord kitLocking</t>
  </si>
  <si>
    <t>Apc Symmetra battery unit</t>
  </si>
  <si>
    <t>PTI17003/02/DAS</t>
  </si>
  <si>
    <t>Shaji/0531398551</t>
  </si>
  <si>
    <t>Complete</t>
  </si>
  <si>
    <t>Ansar/ DMM</t>
  </si>
  <si>
    <t>AMC Delivery order</t>
  </si>
  <si>
    <t>Old Inv#520 replaced</t>
  </si>
  <si>
    <t>2 Pcs returned fr customer</t>
  </si>
  <si>
    <t>LPO-2518</t>
  </si>
  <si>
    <t>RUPO-543</t>
  </si>
  <si>
    <t>ISX0001404311-009</t>
  </si>
  <si>
    <t>Aramex delivered directly to customer site @ Jeddah</t>
  </si>
  <si>
    <t xml:space="preserve">complete solution </t>
  </si>
  <si>
    <t>B2B order PO# 1978-Y-17</t>
  </si>
  <si>
    <t>NESMA CO</t>
  </si>
  <si>
    <t>replace item rcvd fr apc 10/4/17</t>
  </si>
  <si>
    <t>lend to Mejaf</t>
  </si>
  <si>
    <t>As Loan Qty</t>
  </si>
  <si>
    <t>Order From</t>
  </si>
  <si>
    <t>Replacement received fr APC</t>
  </si>
  <si>
    <t>GRN#  DATE</t>
  </si>
  <si>
    <t>saeed</t>
  </si>
  <si>
    <t>Comment</t>
  </si>
  <si>
    <t>as Loan</t>
  </si>
  <si>
    <t>lend to Nesma</t>
  </si>
  <si>
    <t>Deliver as loan as requested by apc</t>
  </si>
  <si>
    <t>INT'L DYNAMIC SYS</t>
  </si>
  <si>
    <t>IDS/2017/150AR</t>
  </si>
  <si>
    <t>R/0233</t>
  </si>
  <si>
    <t>Madar Maintenance for Trdg</t>
  </si>
  <si>
    <t>81551557-3</t>
  </si>
  <si>
    <t>81551559-5</t>
  </si>
  <si>
    <t>RUPO-559</t>
  </si>
  <si>
    <t>RUPO-548</t>
  </si>
  <si>
    <t>NP5-12</t>
  </si>
  <si>
    <t>YUASA BATTERY 12V-5AH</t>
  </si>
  <si>
    <t>YUASA BATTERY 12V-7AH</t>
  </si>
  <si>
    <t>YUASA BATTERY 12-38AH</t>
  </si>
  <si>
    <t>YUASA BATTERY 12V-12AH</t>
  </si>
  <si>
    <t>YUASA BATTERY 12V-17AH</t>
  </si>
  <si>
    <t>YUASA BATTERY 12V-38AH</t>
  </si>
  <si>
    <t>MARCO</t>
  </si>
  <si>
    <t>PSE-LPO-742-04-2017</t>
  </si>
  <si>
    <t>Power Smart</t>
  </si>
  <si>
    <t>Naqel/Damm</t>
  </si>
  <si>
    <t>Joseph/0507538627</t>
  </si>
  <si>
    <t>Soft Touch</t>
  </si>
  <si>
    <t>Dineshk/0591204748</t>
  </si>
  <si>
    <t>RJ/ NUMAN</t>
  </si>
  <si>
    <t>SYPM10K16H</t>
  </si>
  <si>
    <t>APC Symmetra power moudle</t>
  </si>
  <si>
    <t>KHS1794092</t>
  </si>
  <si>
    <t>Noushad</t>
  </si>
  <si>
    <t>Al Jammaz Distribution</t>
  </si>
  <si>
    <t>Abdul Majeeth/0535237028</t>
  </si>
  <si>
    <t>Al Manarah Comm &amp; It Co Ltd</t>
  </si>
  <si>
    <t>Sahib Jan/0592223873</t>
  </si>
  <si>
    <t xml:space="preserve">Anazzem Information Technology </t>
  </si>
  <si>
    <t>PO/22/74156</t>
  </si>
  <si>
    <t>Apc Symmetra PX power module</t>
  </si>
  <si>
    <t>Code Technical Services Corp</t>
  </si>
  <si>
    <t>Ahmed/0555422149</t>
  </si>
  <si>
    <t>N-006834-05-2017</t>
  </si>
  <si>
    <t>Nour Communication Co. Ltd</t>
  </si>
  <si>
    <t>Ansar/Nouman</t>
  </si>
  <si>
    <t>Oliver/0507945629</t>
  </si>
  <si>
    <t>Al Aqeed Company/Mohammed Naiyar Azam</t>
  </si>
  <si>
    <t>Mohs Naiyar Azam/0502350317</t>
  </si>
  <si>
    <t>Ansar/Madina</t>
  </si>
  <si>
    <t>Qalat Al Wan/ Madina</t>
  </si>
  <si>
    <t>RJ/</t>
  </si>
  <si>
    <t>PT170411/04</t>
  </si>
  <si>
    <t>Madaf</t>
  </si>
  <si>
    <t>Hassan/0506242974</t>
  </si>
  <si>
    <t>17000079/0001</t>
  </si>
  <si>
    <t>17000081/0001</t>
  </si>
  <si>
    <t>PDM1332IEC-39</t>
  </si>
  <si>
    <t>APC IT POWER DISTRI MODULE 3X</t>
  </si>
  <si>
    <t>Naqel/ Qateef</t>
  </si>
  <si>
    <t>PR03532</t>
  </si>
  <si>
    <t>Danya Foods Limited</t>
  </si>
  <si>
    <t>Ansar/Jeddah</t>
  </si>
  <si>
    <t>Ashiq/0506678992</t>
  </si>
  <si>
    <t>Hilti Saudi Arabia</t>
  </si>
  <si>
    <t>Yaser Mohsin/0506682558</t>
  </si>
  <si>
    <t>Noushad.T/0507215659</t>
  </si>
  <si>
    <t>Triad Technical Supply</t>
  </si>
  <si>
    <t>Sujith Kumar</t>
  </si>
  <si>
    <t>Modern Foods Industries C/O Almarai</t>
  </si>
  <si>
    <t>JAZEERA PHARMACUTICAL IND</t>
  </si>
  <si>
    <t>dani</t>
  </si>
  <si>
    <t>Technology partners for trdg</t>
  </si>
  <si>
    <t>Al marai</t>
  </si>
  <si>
    <t>Tetra information Technology</t>
  </si>
  <si>
    <t>Naqel / Jizan</t>
  </si>
  <si>
    <t>Naqel / Hail</t>
  </si>
  <si>
    <t>81551551-4</t>
  </si>
  <si>
    <t>81551553-6</t>
  </si>
  <si>
    <t>NAJM FOR INSURANCE</t>
  </si>
  <si>
    <t>RJ/Tommy</t>
  </si>
  <si>
    <t>po932845</t>
  </si>
  <si>
    <t>LPO-2809</t>
  </si>
  <si>
    <t>47136WH</t>
  </si>
  <si>
    <t>3827GY-10</t>
  </si>
  <si>
    <t>3827GY-15</t>
  </si>
  <si>
    <t>3827GY-20</t>
  </si>
  <si>
    <t>3827GY-25</t>
  </si>
  <si>
    <t>3827GY-30</t>
  </si>
  <si>
    <t>3827GY-5</t>
  </si>
  <si>
    <t>WBEXTWAR3YR-SP-04</t>
  </si>
  <si>
    <t>W491-0526</t>
  </si>
  <si>
    <t>APC RJ45 white inline coupler cat 5</t>
  </si>
  <si>
    <t xml:space="preserve">APC CATEGORY 5 UPT 568 PATCH CABLE GRAY </t>
  </si>
  <si>
    <t xml:space="preserve">WBEXTWAR3YR-SP-04 service pacl 3 year warranty </t>
  </si>
  <si>
    <t>Cylinder humid hight cond-replacement spare part</t>
  </si>
  <si>
    <t>490-VECE007B1A</t>
  </si>
  <si>
    <t>Centrif fan dd 9/9-4p 300w 230/0</t>
  </si>
  <si>
    <t>SMX3000HV</t>
  </si>
  <si>
    <t>AP9465</t>
  </si>
  <si>
    <t>SMX2200RMHV2U</t>
  </si>
  <si>
    <t>SMX120RMBP2U</t>
  </si>
  <si>
    <t>SYBTU2-PLP</t>
  </si>
  <si>
    <t>AP7921B</t>
  </si>
  <si>
    <t>APC smart ups x 3000va rack</t>
  </si>
  <si>
    <t>Struxureware data center expert basic</t>
  </si>
  <si>
    <t>APC SMART UPS X 2200 VA</t>
  </si>
  <si>
    <t xml:space="preserve">APC SMART UPS X 120V </t>
  </si>
  <si>
    <t>APC SYMMETRA PX9AH BATTERY</t>
  </si>
  <si>
    <t>RACK PDU SWITCHED 1U 16A 230V</t>
  </si>
  <si>
    <t>EQUIPMENT TECHICAL SER CO</t>
  </si>
  <si>
    <t>IT20170328</t>
  </si>
  <si>
    <t>Inv. Cancelled/ ITEM RETURNED BY CUSOMER</t>
  </si>
  <si>
    <t xml:space="preserve">Saudi Enaya </t>
  </si>
  <si>
    <t>Naqel/jed</t>
  </si>
  <si>
    <t>81551552-5</t>
  </si>
  <si>
    <t>2017-02-APC-VISA</t>
  </si>
  <si>
    <t>PT17009/04/DAS/17</t>
  </si>
  <si>
    <t>LPD17123</t>
  </si>
  <si>
    <t>Al Hayat</t>
  </si>
  <si>
    <t>0105-</t>
  </si>
  <si>
    <t>Ali Al Duhaiman est for trdg (ADECO)</t>
  </si>
  <si>
    <t>ALFA INT'L CO LTD</t>
  </si>
  <si>
    <t xml:space="preserve">JARAISY COMPUTER </t>
  </si>
  <si>
    <t>PO 932874</t>
  </si>
  <si>
    <t>PO932892</t>
  </si>
  <si>
    <t>NADEC (DAWASIR CENTER)</t>
  </si>
  <si>
    <t>Naqel/ Wadi Dawasir</t>
  </si>
  <si>
    <t>STARWELL ARABIA</t>
  </si>
  <si>
    <t>Naqel/ Dammam</t>
  </si>
  <si>
    <t>81551549-2</t>
  </si>
  <si>
    <t>81551550-3</t>
  </si>
  <si>
    <t>HI POINT</t>
  </si>
  <si>
    <t>HI-P2017-054</t>
  </si>
  <si>
    <t>MASHOR TRDG</t>
  </si>
  <si>
    <t>NETWORK STRATEGY/ Jeddah</t>
  </si>
  <si>
    <t>KACST C/O SPEED ENERGY</t>
  </si>
  <si>
    <t>JED-POL-1646</t>
  </si>
  <si>
    <t>51551555-1</t>
  </si>
  <si>
    <t>NAQEL</t>
  </si>
  <si>
    <t>81551548-1</t>
  </si>
  <si>
    <t>LPO-JED-1317</t>
  </si>
  <si>
    <t>16000173/0041</t>
  </si>
  <si>
    <t>KHS1794113</t>
  </si>
  <si>
    <t>INTEGRATED TELECOM (ITC)</t>
  </si>
  <si>
    <t>ADVANCED LEARNING SCHOOL</t>
  </si>
  <si>
    <t>ABDUL LATIF ALISSA GROUP</t>
  </si>
  <si>
    <t>Jeddah</t>
  </si>
  <si>
    <t>AL KHALEEJ MAREEFA</t>
  </si>
  <si>
    <t>BRITISH TELECOM AL SAUDIA</t>
  </si>
  <si>
    <t>17-13735</t>
  </si>
  <si>
    <t>NATIONAL METAL MANUFACTURING</t>
  </si>
  <si>
    <t>CTL-01062</t>
  </si>
  <si>
    <t>AL FANAR CO</t>
  </si>
  <si>
    <t>AP9892</t>
  </si>
  <si>
    <t>SAUDI INFO TECHNOLOGY CO</t>
  </si>
  <si>
    <t>Power cord C92-C20-0.6M</t>
  </si>
  <si>
    <t>AP9324</t>
  </si>
  <si>
    <t>AR8100</t>
  </si>
  <si>
    <t>AP5717</t>
  </si>
  <si>
    <t>KVM1116P</t>
  </si>
  <si>
    <t>KMW-USB</t>
  </si>
  <si>
    <t>AP7552</t>
  </si>
  <si>
    <t>AP8704S-WW</t>
  </si>
  <si>
    <t>APC ALARAM BEACON</t>
  </si>
  <si>
    <t>M8 HARWARE FOR 600MM HARDWARE ENCLOSURE</t>
  </si>
  <si>
    <t>APC 17 RACK LCD CONSOLE</t>
  </si>
  <si>
    <t>APC KVM 2G DIGITAL REMOTE USER 16 POTRS</t>
  </si>
  <si>
    <t>APC KVM 2G SERVER MODULE USB</t>
  </si>
  <si>
    <t>RACK PDUBASICZEROU 16 A230V</t>
  </si>
  <si>
    <t>PWR CORD10 A230VC 14 TO UK REC</t>
  </si>
  <si>
    <t>POWER CORD(6EA) LOCKING</t>
  </si>
  <si>
    <t>SYRMXR4B41</t>
  </si>
  <si>
    <t>APC SYMMETRA RM 4KVA SCALABLE TO 6KVA consisting 2*SYPM2KU, 1*SYHF6KI, 2*SYBT2</t>
  </si>
  <si>
    <t>APC SYMMETERA RM XR SYBT2 220-240 CONSISTS OF, 1*SYRMXR41 , 4*SYBT2</t>
  </si>
  <si>
    <t>7000292HD0425</t>
  </si>
  <si>
    <t>AP7822B</t>
  </si>
  <si>
    <t>QUNIF-CRAC,QKYA67503-00.2* COMPRESSOR CORSS0100</t>
  </si>
  <si>
    <t>RACK PDU, METERED,2U,32A,230V</t>
  </si>
  <si>
    <t>IGB BIO SYSTEMS</t>
  </si>
  <si>
    <t>81551547-0</t>
  </si>
  <si>
    <t>MPMMR/JED  C/O Abjadiyat Attaqniah</t>
  </si>
  <si>
    <t>RE-PO-2016-0577</t>
  </si>
  <si>
    <t>tommy</t>
  </si>
  <si>
    <t>Rented Crane truck</t>
  </si>
  <si>
    <t>170417-29-TCS</t>
  </si>
  <si>
    <t>Hail Agriculture Dev co</t>
  </si>
  <si>
    <t>Naqel/ Hail</t>
  </si>
  <si>
    <t>81551545-5</t>
  </si>
  <si>
    <t>Mohamed Elkhshef</t>
  </si>
  <si>
    <t>81551544-4</t>
  </si>
  <si>
    <t>Top Development</t>
  </si>
  <si>
    <t>Dani/Numan</t>
  </si>
  <si>
    <t>Modal craft</t>
  </si>
  <si>
    <t xml:space="preserve">Western Expert SA </t>
  </si>
  <si>
    <t>Equipment Techical Ser co (Etech)Jubail</t>
  </si>
  <si>
    <t>LP-0258(MR4426-1)</t>
  </si>
  <si>
    <t>complete</t>
  </si>
  <si>
    <t>Naqel/Taif</t>
  </si>
  <si>
    <t>81551546-6</t>
  </si>
  <si>
    <t>Electrical modern co</t>
  </si>
  <si>
    <t>Naqel</t>
  </si>
  <si>
    <t>81551543-3</t>
  </si>
  <si>
    <t>2017-06-002</t>
  </si>
  <si>
    <t>RJ/Dani</t>
  </si>
  <si>
    <t>KVM-USB</t>
  </si>
  <si>
    <t>WON-0044</t>
  </si>
  <si>
    <t>0J-490-0111</t>
  </si>
  <si>
    <t>34001155SE</t>
  </si>
  <si>
    <t>FAN MODULE FOR SMART UPS VT PDU</t>
  </si>
  <si>
    <t>BATT 12V 93 AH EXIDE-SP</t>
  </si>
  <si>
    <t>FAN 120 MM 230VAC 95CFM</t>
  </si>
  <si>
    <t>PCBA-SPARE PART</t>
  </si>
  <si>
    <t>QBATG7T,QPBL43424-1141,EXIDE BATTERY XP 12V2500</t>
  </si>
  <si>
    <t>AL MASHOR</t>
  </si>
  <si>
    <t>PDU</t>
  </si>
  <si>
    <t>81551542-2</t>
  </si>
  <si>
    <t>LPO-JED-1393</t>
  </si>
  <si>
    <t>Omrania &amp; Associates</t>
  </si>
  <si>
    <t>Al rashid trading &amp; cont co.</t>
  </si>
  <si>
    <t>Mohammed Nadeem Ahmed/0561106794</t>
  </si>
  <si>
    <t>Ibarahim Al Ghannam/053056629</t>
  </si>
  <si>
    <t>Naif/0507807830</t>
  </si>
  <si>
    <t>Nasar Koya/0554189898</t>
  </si>
  <si>
    <t>Abdul Haleem/0537712453</t>
  </si>
  <si>
    <t>200617-27</t>
  </si>
  <si>
    <t>APC-UPS 2.2KVA RM 230V</t>
  </si>
  <si>
    <t>Tech Challenges</t>
  </si>
  <si>
    <t>Ansrar/Usman</t>
  </si>
  <si>
    <t>084-028-49</t>
  </si>
  <si>
    <t>NESMA &amp; PARTNERS/ TUWAL/JED</t>
  </si>
  <si>
    <t>Al Marai - Taif</t>
  </si>
  <si>
    <t>NATIONAL COMPUTER SYS (Natcom)</t>
  </si>
  <si>
    <t>SHIBH AL JAZEERA CONT CO LTD</t>
  </si>
  <si>
    <t>RC015670</t>
  </si>
  <si>
    <t>ALPHA STAR AVIATION SERVICE</t>
  </si>
  <si>
    <t>SEMAC EST</t>
  </si>
  <si>
    <t>Naqel/ Najran</t>
  </si>
  <si>
    <t>81551538-5</t>
  </si>
  <si>
    <t>BT OPERATION MAINT CO</t>
  </si>
  <si>
    <t>81551540-0</t>
  </si>
  <si>
    <t>SURT1000RMXLI</t>
  </si>
  <si>
    <t>APC Smart UPS Consist 1*Surt1000Xli &amp;1*Surtrk</t>
  </si>
  <si>
    <t>RBC55</t>
  </si>
  <si>
    <t>APC Replacement Battery Cartridge</t>
  </si>
  <si>
    <t>AP7554</t>
  </si>
  <si>
    <t>APC Rack PDU basic zero U16A23</t>
  </si>
  <si>
    <t>SURT019</t>
  </si>
  <si>
    <t>Apc Smart UPS RT 3.5 Extension Cable For XLBP2</t>
  </si>
  <si>
    <t>G35T30KH4B4S</t>
  </si>
  <si>
    <t>MGGE Galaxy 3500-30KV Cons-4*SYBTUI-PLP</t>
  </si>
  <si>
    <t>Built Mep - Khobar</t>
  </si>
  <si>
    <t>81567634-1</t>
  </si>
  <si>
    <t>LP/4734</t>
  </si>
  <si>
    <t>BE-700G-UK</t>
  </si>
  <si>
    <t>SMC3000RMI2U</t>
  </si>
  <si>
    <t>SMX120BP</t>
  </si>
  <si>
    <t>APC Smart-UPS C3000VA RM 230V</t>
  </si>
  <si>
    <t>120V External Battery Pack RT</t>
  </si>
  <si>
    <t>SMC1000I-2U</t>
  </si>
  <si>
    <t>AP8853</t>
  </si>
  <si>
    <t>AR8101BLK</t>
  </si>
  <si>
    <t>APC SMART-UPS C 1000VA RACK MOUNTABLE  LCD 230V</t>
  </si>
  <si>
    <t>RACK PDU 2G MATERED ZEROU 32A 230V</t>
  </si>
  <si>
    <t>BLANKING PANEL KIT 19 BLACK (1U2U4U8U)</t>
  </si>
  <si>
    <t>084-02849</t>
  </si>
  <si>
    <t>United Sulb Co (Saudi Sulb LLC)</t>
  </si>
  <si>
    <t>Madaf Trdg and Contracting co</t>
  </si>
  <si>
    <t>PO-17-000629</t>
  </si>
  <si>
    <t>W5SY4398A</t>
  </si>
  <si>
    <t xml:space="preserve">Jeraisy Computer </t>
  </si>
  <si>
    <t>LP/4706</t>
  </si>
  <si>
    <t>RHS1794156</t>
  </si>
  <si>
    <t>ERTIKAZ</t>
  </si>
  <si>
    <t>EMC/1705/A087</t>
  </si>
  <si>
    <t>Mizho Saudi Arabia</t>
  </si>
  <si>
    <t>22/74171</t>
  </si>
  <si>
    <t>0J-CROSS100/ QKYA67503-00</t>
  </si>
  <si>
    <t>KHS1794163</t>
  </si>
  <si>
    <t>KHS1794160</t>
  </si>
  <si>
    <t>Maqdoom Osman Abid Shahwali Est</t>
  </si>
  <si>
    <t>Ansar/ Jeddah</t>
  </si>
  <si>
    <t>ABRAR COMMUNICATION</t>
  </si>
  <si>
    <t>Naqel/ Jed</t>
  </si>
  <si>
    <t>0218/0717</t>
  </si>
  <si>
    <t>81551533-0</t>
  </si>
  <si>
    <t>Makeen systems</t>
  </si>
  <si>
    <t>PSE-LPO-756-07-2017</t>
  </si>
  <si>
    <t>ACDC2018</t>
  </si>
  <si>
    <t>ACDC2019</t>
  </si>
  <si>
    <t>ACDC2102</t>
  </si>
  <si>
    <t>ACDC2301</t>
  </si>
  <si>
    <t>ACDC2400</t>
  </si>
  <si>
    <t>ACDC2401</t>
  </si>
  <si>
    <t>ACDC2404</t>
  </si>
  <si>
    <t>ACDC2408</t>
  </si>
  <si>
    <t>ACDC2410</t>
  </si>
  <si>
    <t>ACDC2550</t>
  </si>
  <si>
    <t>AP9525</t>
  </si>
  <si>
    <t>AP420</t>
  </si>
  <si>
    <t>ACAC11008</t>
  </si>
  <si>
    <t>PDM1332IEC-3P</t>
  </si>
  <si>
    <t>PDX332IEC-480</t>
  </si>
  <si>
    <t>AP8953</t>
  </si>
  <si>
    <t>AR8162ABLK</t>
  </si>
  <si>
    <t>AR8163ABLK</t>
  </si>
  <si>
    <t>AR8165ABLK</t>
  </si>
  <si>
    <t>AR8172BLK</t>
  </si>
  <si>
    <t>AR8173BLK</t>
  </si>
  <si>
    <t>ACDC2000</t>
  </si>
  <si>
    <t>AR8184</t>
  </si>
  <si>
    <t>AR8186</t>
  </si>
  <si>
    <t>AR8561</t>
  </si>
  <si>
    <t>AR8571</t>
  </si>
  <si>
    <t>AR8580</t>
  </si>
  <si>
    <t>AP9224110</t>
  </si>
  <si>
    <t>AR3300</t>
  </si>
  <si>
    <t>AR3350</t>
  </si>
  <si>
    <t>ACDC2001</t>
  </si>
  <si>
    <t>ACDC2002</t>
  </si>
  <si>
    <t>ACDC2003</t>
  </si>
  <si>
    <t>ACDC2015</t>
  </si>
  <si>
    <t>ACDC2017</t>
  </si>
  <si>
    <t>Aisle Containment Lighting kit</t>
  </si>
  <si>
    <t>Ceiling Panel</t>
  </si>
  <si>
    <t>Duct Mounting Rail</t>
  </si>
  <si>
    <t>Aisle Containment Door-Sliding</t>
  </si>
  <si>
    <t>Door Header- 42USX</t>
  </si>
  <si>
    <t>Door Post- 1200mm</t>
  </si>
  <si>
    <t>Door Lock -Mechanical Access</t>
  </si>
  <si>
    <t>Curtain Door Mounting Rail900-1200mm</t>
  </si>
  <si>
    <t>Depth Adaptor 1070 to 1200mm SX42U 300mm Width</t>
  </si>
  <si>
    <t>APC NETSHELTER SX ROOF FAN TRAY 208-230 VAC</t>
  </si>
  <si>
    <t>INFRA STRUCTURE CENTREL 25 NODE LICENSE ONLY</t>
  </si>
  <si>
    <t>APC FERRITE FOR 10BT CABLE QTY 10</t>
  </si>
  <si>
    <t>INROW OA END AISLE CONTAINMENT KIT-42U</t>
  </si>
  <si>
    <t>APC IT POWER DISTRIBUTION MODULE 3*1</t>
  </si>
  <si>
    <t>APC MODULER IT POWER DISTRIBUTION CABLE</t>
  </si>
  <si>
    <t>RACK ITS 230V 16A C20IN-8C13-1C19OUT</t>
  </si>
  <si>
    <t>RACK PDU 2G SWITCHED ZERO U 32A 230V</t>
  </si>
  <si>
    <t>SHEILDING PARTITION SOLID 600MM WIDE BLACK</t>
  </si>
  <si>
    <t>DATA CABLE PARTITION 600MM WIDE PASS-TROUGH</t>
  </si>
  <si>
    <t>APC CABLE CONSISTING OF 1*AR166ABLK ,1*AR8164AKIT</t>
  </si>
  <si>
    <t>APC CABLE CONSISTING OF 1*AR166ABLK ,1*AR8165AKIT</t>
  </si>
  <si>
    <t>APC SHEILDING PARTITION SOLID 750MM WIDE BLACK</t>
  </si>
  <si>
    <t>SHEILIDING PARTITION PASS-THROUGH 750 WIDE BLACK</t>
  </si>
  <si>
    <t>CEILING PANEL MOUNTING RAIL 1800MM</t>
  </si>
  <si>
    <t>CABLE PARTION 300MM</t>
  </si>
  <si>
    <t>BRACKET KIT CABLE LADER ELEVATION</t>
  </si>
  <si>
    <t>1U CABLE PASS THRU W/BRUSH STRIP BLACK</t>
  </si>
  <si>
    <t>CABLE TROUGH 600MM</t>
  </si>
  <si>
    <t>CABLE TROUGH 750MM</t>
  </si>
  <si>
    <t>CABLE TROUGH OPEN BOTTOM 300MM</t>
  </si>
  <si>
    <t>APC 24 PORT 10/100 ETHERNET SWITCH</t>
  </si>
  <si>
    <t>APC-NETSHELTERS</t>
  </si>
  <si>
    <t>NETSHELTER SX 42U 750MM WIDE *1200MM DEEP ENCLOSURE</t>
  </si>
  <si>
    <t>APC-Temperature and Humidity sensor</t>
  </si>
  <si>
    <t xml:space="preserve">CEILING PANEL MOUNTING </t>
  </si>
  <si>
    <t>CEILING PANEL MOUNTING RAIL-300MM</t>
  </si>
  <si>
    <t>CEILING PANEL MOUNTING RAIL-100MM</t>
  </si>
  <si>
    <t>CEILING PANEL LOCK SYSTEM</t>
  </si>
  <si>
    <t>CEILING PANEL LOCK SYSTEM 200-240</t>
  </si>
  <si>
    <t xml:space="preserve">Sure Energy / KACST </t>
  </si>
  <si>
    <t>KACST 20-0055</t>
  </si>
  <si>
    <t>2x Rented Crane truck</t>
  </si>
  <si>
    <t>KACST 20-0056</t>
  </si>
  <si>
    <t>KACST 20-0057</t>
  </si>
  <si>
    <t>KACST 20-0058</t>
  </si>
  <si>
    <t>KACST 20-0059</t>
  </si>
  <si>
    <t>KACST 20-0060</t>
  </si>
  <si>
    <t>KACST 20-0061</t>
  </si>
  <si>
    <t>KACST 20-0062</t>
  </si>
  <si>
    <t>Abdul Ghanim Hussain Group</t>
  </si>
  <si>
    <t>Dulb Trading &amp; Contracting Co Ltd</t>
  </si>
  <si>
    <t>Fahmy Ali/0593404386</t>
  </si>
  <si>
    <t>PUR074046-KAE</t>
  </si>
  <si>
    <t>APC Replacement Battery Cartridge #55</t>
  </si>
  <si>
    <t>PUR077449</t>
  </si>
  <si>
    <t>POWER STRIP PDU</t>
  </si>
  <si>
    <t>Not from DAS stock/Local purchase</t>
  </si>
  <si>
    <t>M6 CAGE NUTS (50)</t>
  </si>
  <si>
    <t>CNMG</t>
  </si>
  <si>
    <t>Renly Kovino/0540629964</t>
  </si>
  <si>
    <t>ANS/84445</t>
  </si>
  <si>
    <t>Arabian Networking Systems</t>
  </si>
  <si>
    <t>Jayakrishnan/0535581513</t>
  </si>
  <si>
    <t>BE-SC-17-267</t>
  </si>
  <si>
    <t>Beetra Electronics</t>
  </si>
  <si>
    <t>BE-SC-17-292</t>
  </si>
  <si>
    <t>Blue Fields Technologies</t>
  </si>
  <si>
    <t>Raj/0550567883</t>
  </si>
  <si>
    <t xml:space="preserve">Zail Nakheel </t>
  </si>
  <si>
    <t>LCL/3198</t>
  </si>
  <si>
    <t>Arabian Business Mechines(ABM)</t>
  </si>
  <si>
    <t>Dani/Nouman</t>
  </si>
  <si>
    <t>Mamoun Ali Ahmed/0504420157</t>
  </si>
  <si>
    <t>Ahamad A. Abed Trading Est</t>
  </si>
  <si>
    <t>Ram Suaraz/0599672265</t>
  </si>
  <si>
    <t>Apc netshelter42u 750mm wide*1070 mm deep enclosure</t>
  </si>
  <si>
    <t>Majed Albetar Construction Est</t>
  </si>
  <si>
    <t>Sulaiman Halal/0531111987</t>
  </si>
  <si>
    <t>Advanced Modern Company</t>
  </si>
  <si>
    <t>Naqel-Jed</t>
  </si>
  <si>
    <t>WB NO : 815515326</t>
  </si>
  <si>
    <t>EG &amp; G</t>
  </si>
  <si>
    <t>Arif/0559851873</t>
  </si>
  <si>
    <t>LPOJED-1554</t>
  </si>
  <si>
    <t>National Computer Systems Co</t>
  </si>
  <si>
    <t>Naqel-Jeddah</t>
  </si>
  <si>
    <t>WB NO : 815515315</t>
  </si>
  <si>
    <t>PT17017</t>
  </si>
  <si>
    <t xml:space="preserve">                   -  </t>
  </si>
  <si>
    <t>Kohulrajan/0531398551</t>
  </si>
  <si>
    <t>NETSHELTER SX 42U</t>
  </si>
  <si>
    <t xml:space="preserve">APC NETSHELTER </t>
  </si>
  <si>
    <t>Rack PDU 2G Metered Zero 16A 230V</t>
  </si>
  <si>
    <t>AP8858EU3</t>
  </si>
  <si>
    <t xml:space="preserve"> SHEILDING PARTITION PASS-THORUGH 750MM WIDE BLACK</t>
  </si>
  <si>
    <t xml:space="preserve">APC Smart UPS Accessoreis </t>
  </si>
  <si>
    <t>ACAC10005</t>
  </si>
  <si>
    <t>MGE Galaxy 5500 Battery Module Cabinet L 1000B</t>
  </si>
  <si>
    <t>G55TBATL10B</t>
  </si>
  <si>
    <t>MGE Galaxy 5500 40kVA 400 Inegrated Parallel UPS</t>
  </si>
  <si>
    <t>G55TUPSM40HS</t>
  </si>
  <si>
    <t>InRow RD 300mmAir Cooled</t>
  </si>
  <si>
    <t>ARCD101</t>
  </si>
  <si>
    <t>APC LEAK SENSOR-20ft</t>
  </si>
  <si>
    <t>AP9325</t>
  </si>
  <si>
    <t xml:space="preserve">Condenser 2 fan single ciruit </t>
  </si>
  <si>
    <t>ACCD75217</t>
  </si>
  <si>
    <t>Isolation Valve Assemblies 1/2 ODF</t>
  </si>
  <si>
    <t>ACAC10022</t>
  </si>
  <si>
    <t>CEILING PANEL MOUNT SIGLE ROW-1800mm</t>
  </si>
  <si>
    <t>ACDC2004</t>
  </si>
  <si>
    <t>Ceiling Panel 1200mm</t>
  </si>
  <si>
    <t>NETBOTZ RACK MONITOR 250</t>
  </si>
  <si>
    <t>3827GY-100</t>
  </si>
  <si>
    <t>MTSC</t>
  </si>
  <si>
    <t>Ahmed</t>
  </si>
  <si>
    <t>6739846SE</t>
  </si>
  <si>
    <t>SYCFXR9</t>
  </si>
  <si>
    <t>SYCF160KH</t>
  </si>
  <si>
    <t>NBRK0450</t>
  </si>
  <si>
    <t>AP7585</t>
  </si>
  <si>
    <t>AR2580</t>
  </si>
  <si>
    <t>NBAC0213L</t>
  </si>
  <si>
    <t>NBES0201</t>
  </si>
  <si>
    <t>NBPD0155</t>
  </si>
  <si>
    <t>NBES0304</t>
  </si>
  <si>
    <t>NBRK0570</t>
  </si>
  <si>
    <t>NBES0309</t>
  </si>
  <si>
    <t>WBEXTWAR3YR-SP-05</t>
  </si>
  <si>
    <t>ICOZ2 PCBA GALAXY-IGBT-SPARE PART</t>
  </si>
  <si>
    <t xml:space="preserve">APC Symmetra PX battery Frame for 400V PX  96/160 KW &amp; 208V PX 100KW for 9 Battery Module </t>
  </si>
  <si>
    <t xml:space="preserve">APC Symmetra PX Frame 160kW 400V </t>
  </si>
  <si>
    <t>NetBotz Rack Monitor 450(with out 120v/240v power supply)</t>
  </si>
  <si>
    <t>NetBotz(Consist of NBRK0450-1,AP95051-,)</t>
  </si>
  <si>
    <t>Rack PDU Extender Basic 2U 32A 230V(4)ICE C19</t>
  </si>
  <si>
    <t>Netshelter SV 42U 800mm wide*1200mm Deep enclosure side black</t>
  </si>
  <si>
    <t>NETZBOTZ USB LATCHING REPEATER CABLE LSZH-5M</t>
  </si>
  <si>
    <t>APC NETZBOTZ PRATICAL SENSOR  PS 100</t>
  </si>
  <si>
    <t>Netzbotz Room Sensor pod 155</t>
  </si>
  <si>
    <t>Netzboz Sensor-Netzbot Dry Contact Cable 15 ft</t>
  </si>
  <si>
    <t>NetzBotz Rack Monitor 570</t>
  </si>
  <si>
    <t>NetzBotz Leak Rope- 20 ft</t>
  </si>
  <si>
    <t>NetzBotz Leak Rope Extension- 20 ft</t>
  </si>
  <si>
    <t>NetzBotz Spot Fluid Sensor-15 ft</t>
  </si>
  <si>
    <t>NetzBotz Vibration Sensor-12ft</t>
  </si>
  <si>
    <t>NetzBotz Smoke Sensor-10ft</t>
  </si>
  <si>
    <t>WBEXTWAR3YR-SP-05 service pack 3 year warranty extension</t>
  </si>
  <si>
    <t xml:space="preserve">2099017-PDU 6 WAY (UK TYPE)13A 19"WITH 2-METER*1.5MM CABLE &amp; UK PLUG CT-01001-CORETECH </t>
  </si>
  <si>
    <t>Power strip UNV 32A</t>
  </si>
  <si>
    <t>Najran University Hospital</t>
  </si>
  <si>
    <t>Naqel-Najran</t>
  </si>
  <si>
    <t>WB NO : 815515304</t>
  </si>
  <si>
    <t>PT17019</t>
  </si>
  <si>
    <t xml:space="preserve">Dani  </t>
  </si>
  <si>
    <t>Jeraisy Computer &amp; Comm Services</t>
  </si>
  <si>
    <t>J.Espinosa/0502471056</t>
  </si>
  <si>
    <t>PURO074057-KAE</t>
  </si>
  <si>
    <t>Hi-P2017-063</t>
  </si>
  <si>
    <t xml:space="preserve">High Point </t>
  </si>
  <si>
    <t>Khaled Helal/0568691962</t>
  </si>
  <si>
    <t xml:space="preserve">Nesma Teclecom &amp; Technology </t>
  </si>
  <si>
    <t>Ansarjeddah</t>
  </si>
  <si>
    <t>Munther Al Sharif/0503356489</t>
  </si>
  <si>
    <t>SS3DA-5-17LOC</t>
  </si>
  <si>
    <t>SAUDI SICLI</t>
  </si>
  <si>
    <t>Ansar/jeddah</t>
  </si>
  <si>
    <t>Tahir/0533593871</t>
  </si>
  <si>
    <t>Al Yusr</t>
  </si>
  <si>
    <t>Dani/RJ/Usman</t>
  </si>
  <si>
    <t>Imad Abdullah/05998697185</t>
  </si>
  <si>
    <t>MALE &amp; FEMALE PDU 32A</t>
  </si>
  <si>
    <t xml:space="preserve">Local Purchase </t>
  </si>
  <si>
    <t>M.ismail/0501404178</t>
  </si>
  <si>
    <t>Aloula Geojit</t>
  </si>
  <si>
    <t>Sidique Paramel/0558649113</t>
  </si>
  <si>
    <t>22-2017</t>
  </si>
  <si>
    <t>Mwarid Electronics Ltd</t>
  </si>
  <si>
    <t>Mohammed Al Faleea/0555990350</t>
  </si>
  <si>
    <t>ANS/84622</t>
  </si>
  <si>
    <t xml:space="preserve">COD/ collected by Cesar </t>
  </si>
  <si>
    <t>E00150</t>
  </si>
  <si>
    <t>Al Salam Hospital</t>
  </si>
  <si>
    <t>Johanne/0592568029</t>
  </si>
  <si>
    <t>AMNCO</t>
  </si>
  <si>
    <t>Mubashir/0500627629</t>
  </si>
  <si>
    <t>CANO-PWR-32UNV</t>
  </si>
  <si>
    <t>Naqel-Tabuk</t>
  </si>
  <si>
    <t>WB NO : 815515293</t>
  </si>
  <si>
    <t>EDEX</t>
  </si>
  <si>
    <t>Jafal Zubairi</t>
  </si>
  <si>
    <t>BAE MR 1708-1701</t>
  </si>
  <si>
    <t>International System Engineering (ISE)</t>
  </si>
  <si>
    <t>Bader/0560077655</t>
  </si>
  <si>
    <t>BAE MR 1708-2301</t>
  </si>
  <si>
    <t>Mustaq Khan/0555280303</t>
  </si>
  <si>
    <t>Manarat Shabakat Information Technology Co</t>
  </si>
  <si>
    <t>Magdy Sharaf/056956055</t>
  </si>
  <si>
    <t>Dani/RJ/Ansar/Nouman</t>
  </si>
  <si>
    <t>Musa</t>
  </si>
  <si>
    <t>Amjad Ali/0556726893</t>
  </si>
  <si>
    <t>Saudi Abrabic Computer Systems Ltd</t>
  </si>
  <si>
    <t>Dani/RJ/Nouman</t>
  </si>
  <si>
    <t>LP-0281</t>
  </si>
  <si>
    <t>Western Experts(Saudi Arabia) Co</t>
  </si>
  <si>
    <t>Gener/0507807830</t>
  </si>
  <si>
    <t>RUPO-591</t>
  </si>
  <si>
    <t>Al Rasim United</t>
  </si>
  <si>
    <t>Osama/0565766173</t>
  </si>
  <si>
    <t>APC SMART-UPS CONSISTS OF 1*SURT1000XLI-1*SURTRK</t>
  </si>
  <si>
    <t>Jason</t>
  </si>
  <si>
    <t xml:space="preserve">2 pcs taken part of SURT1000RMXLI </t>
  </si>
  <si>
    <t>Saudi Contractors Supply Co.Ltd</t>
  </si>
  <si>
    <t>Noor Alam/0501460214</t>
  </si>
  <si>
    <t>Dishantha Gamage/053418479</t>
  </si>
  <si>
    <t>Saudi Business Mechines Ltd(SBM)</t>
  </si>
  <si>
    <t>Alvin</t>
  </si>
  <si>
    <t>Ansar/Dani</t>
  </si>
  <si>
    <t>Shans.S/0559619147</t>
  </si>
  <si>
    <t>INT'L BUSINESS RESOURCES</t>
  </si>
  <si>
    <t>mohamed 0553222871</t>
  </si>
  <si>
    <t>Nadec Pending</t>
  </si>
  <si>
    <t>Dead Item</t>
  </si>
  <si>
    <t>ACAC75009</t>
  </si>
  <si>
    <t>G55TH150H</t>
  </si>
  <si>
    <t>MGE GALAXY 5500 externel bypass 150 KVA 400V</t>
  </si>
  <si>
    <t>Receiver vertical R410A  17LBS 6DIA 18L</t>
  </si>
  <si>
    <t>BE-SE-17-325</t>
  </si>
  <si>
    <t>BE-SE-17-324</t>
  </si>
  <si>
    <t>BE-SE-17-344</t>
  </si>
  <si>
    <t>PT17017/06-DAS/17</t>
  </si>
  <si>
    <t>MS17098512PO</t>
  </si>
  <si>
    <t>DAS-PDU-UK6</t>
  </si>
  <si>
    <t>BUSINESS GATE FAIRMOUNT HOTEL</t>
  </si>
  <si>
    <t>0J-0077</t>
  </si>
  <si>
    <t>0J-730-STCO195A1A</t>
  </si>
  <si>
    <t>0J-875-REAL0109X3A</t>
  </si>
  <si>
    <t>0J-STTE104A1A</t>
  </si>
  <si>
    <t>0J-MEMA0521X1A</t>
  </si>
  <si>
    <t xml:space="preserve">0J-MEMO0239X1A </t>
  </si>
  <si>
    <t>0J-MEMO0244X1A</t>
  </si>
  <si>
    <t>0J-MEZO0024X1A</t>
  </si>
  <si>
    <t>541-STTE0204X1A</t>
  </si>
  <si>
    <t>AR2480</t>
  </si>
  <si>
    <t>AR8172BLKX417</t>
  </si>
  <si>
    <t>AR8173BLKX417</t>
  </si>
  <si>
    <t>AR8571X417</t>
  </si>
  <si>
    <t>PDPM138H-5U</t>
  </si>
  <si>
    <t>PDM1316IEC-3P</t>
  </si>
  <si>
    <t>G35TBXR2B6</t>
  </si>
  <si>
    <t>G35TOPT005</t>
  </si>
  <si>
    <t>AR3357</t>
  </si>
  <si>
    <t>BATTXP12V3000GNB</t>
  </si>
  <si>
    <t>PDM3516IEC-500</t>
  </si>
  <si>
    <t>AP8881</t>
  </si>
  <si>
    <t>PDM3516IEC-620</t>
  </si>
  <si>
    <t>AR7588</t>
  </si>
  <si>
    <t>AR7701</t>
  </si>
  <si>
    <t>ACF504</t>
  </si>
  <si>
    <t>0J-0W13460076000AA</t>
  </si>
  <si>
    <t>0J-411-0043-Z</t>
  </si>
  <si>
    <t>0J-0071A</t>
  </si>
  <si>
    <t>0J-0M-34020685AH</t>
  </si>
  <si>
    <t>0J-0P3087EX</t>
  </si>
  <si>
    <t>0J-0P3147CA</t>
  </si>
  <si>
    <t>0J-0W1-34600756AC</t>
  </si>
  <si>
    <t>0J-870-34600993AA</t>
  </si>
  <si>
    <t>511-0103-Z</t>
  </si>
  <si>
    <t>PCBA G7000 DRV3T X2 SPARE PART</t>
  </si>
  <si>
    <t>USER TERM-PGD1 W/O FRAME W/BUZZER</t>
  </si>
  <si>
    <t>HEATER-2000+1000 230V/1 L660 AL,FINE</t>
  </si>
  <si>
    <t>ELECTRIC HEATERS SAFETY T-STAT LS1 8080</t>
  </si>
  <si>
    <t>CIRCUIT BREAKER SHN.IC60H 3P 25A C</t>
  </si>
  <si>
    <t>TERMINAL-PHONEIX UT4_SP</t>
  </si>
  <si>
    <t>TERMINAL-PHONEIX D-UT2 5/10_SP</t>
  </si>
  <si>
    <t>RELAY MODULE RSZ E1S48M SHNEIDER</t>
  </si>
  <si>
    <t>ELECTRIC HEATERS SAFETY IMIT LS1 8080</t>
  </si>
  <si>
    <t xml:space="preserve">Netshelter SV 42U </t>
  </si>
  <si>
    <t>DATA CABLE PARTITION NETSHELTER,800MM WIDE</t>
  </si>
  <si>
    <t>DATA CABLE PARTITION NETSHELTER,800MM WIDE PASS-THROUGH</t>
  </si>
  <si>
    <t>CABLE TROUGH,800MM</t>
  </si>
  <si>
    <t>APC MODULER RACKMOUNTED IT POWER DISTRIBUTION UNIT 138KW 200A 400V 18 POLE</t>
  </si>
  <si>
    <t xml:space="preserve">APC IT POWER DISTRIBUTION MODULE </t>
  </si>
  <si>
    <t>MGE GALAXY 3500 EXTENDED RUN FRAME WITH MCCB CONSISTING OF 1*G35TBXR6</t>
  </si>
  <si>
    <t>MGE GALAXY 3500 BAYING KIT 20 INCH/523MM ENCLOSURE TO XR</t>
  </si>
  <si>
    <t>NETSHELTER SX 48U 750MM WIDE X 1200MM DEEP ENCLOSURE</t>
  </si>
  <si>
    <t>XP12V3000 EXIDE 12V VRLA BATTERY</t>
  </si>
  <si>
    <t>APC IT POWER DISTRIBUTION MODULE 3 POLE 5 WIRE 16A IEC309 500CM</t>
  </si>
  <si>
    <t>RACK PDU 2G METERED ZEROU 11KW 230V</t>
  </si>
  <si>
    <t>APC IT POWER DISTRIBUTION MODULE 3 POLE 5 WIRE 16A IEC309 620CM</t>
  </si>
  <si>
    <t>VERTICAL CABLE MANGER FOR NETSHELTER SX</t>
  </si>
  <si>
    <t xml:space="preserve">NETSHELTER SX BATTERY </t>
  </si>
  <si>
    <t>APC NETSHELTER ROOF</t>
  </si>
  <si>
    <t>THIN WIRE INOUT/EXPUT</t>
  </si>
  <si>
    <t>FERITE RND CBL</t>
  </si>
  <si>
    <t>G7000 DRV3 X1 SPARE PART</t>
  </si>
  <si>
    <t>ASSY RIGHT PROTECTION PANE</t>
  </si>
  <si>
    <t>BOARD GALAXY 7000 DIGIT</t>
  </si>
  <si>
    <t>PCBA INOUT2 GALAXY7000 SPARE SPARTS</t>
  </si>
  <si>
    <t>RIBBON CABLE 160/200KVA G7K SPARE PART</t>
  </si>
  <si>
    <t>PLATE ECM200/300/400 KVA SPARE PART</t>
  </si>
  <si>
    <t>FUSE ULTRA FAST 400A 600VAC SIZE32</t>
  </si>
  <si>
    <t>BE-SE-17-362</t>
  </si>
  <si>
    <t>BE-SE-17-361</t>
  </si>
  <si>
    <t>R098/2017</t>
  </si>
  <si>
    <t>NANO TECHNOLOGY</t>
  </si>
  <si>
    <t>Nowsheervan</t>
  </si>
  <si>
    <t xml:space="preserve">SASO </t>
  </si>
  <si>
    <t>SAMNAN TRDG</t>
  </si>
  <si>
    <t>MMS170920171215</t>
  </si>
  <si>
    <t>SAMAC EST</t>
  </si>
  <si>
    <t>81551528-2</t>
  </si>
  <si>
    <t>Al marai/  Al Nakheel Form</t>
  </si>
  <si>
    <t>Hoshan integrated system</t>
  </si>
  <si>
    <t>VC0001725</t>
  </si>
  <si>
    <t>Dynamic Systems</t>
  </si>
  <si>
    <t>mahmood/0593017415</t>
  </si>
  <si>
    <t>Udayashankar/0544870666</t>
  </si>
  <si>
    <t>Mustaba Jabr</t>
  </si>
  <si>
    <t>AFLAK SOLUTION</t>
  </si>
  <si>
    <t>Mustafa Jabr</t>
  </si>
  <si>
    <t>Yazan Damiri/ 0594998643</t>
  </si>
  <si>
    <t>17/pr0166</t>
  </si>
  <si>
    <t>SRT72RMBP</t>
  </si>
  <si>
    <t>APC-Smart 72V 2.2kva RM battery pack</t>
  </si>
  <si>
    <t>Feroz shah/0561001497</t>
  </si>
  <si>
    <t>Balsharaf Group</t>
  </si>
  <si>
    <t>Afaq Mohamed/0577371053</t>
  </si>
  <si>
    <t>270917-04</t>
  </si>
  <si>
    <t>Noushad/0535088812</t>
  </si>
  <si>
    <t>KHS1794235</t>
  </si>
  <si>
    <t>AURABA SHARQ</t>
  </si>
  <si>
    <t>shajid/0562857954</t>
  </si>
  <si>
    <t>J693</t>
  </si>
  <si>
    <t>INAYA</t>
  </si>
  <si>
    <t>Nadeem/581436300</t>
  </si>
  <si>
    <t>POL3730</t>
  </si>
  <si>
    <t>NETWORK STRATEGY/KHOBAR</t>
  </si>
  <si>
    <t>Naqel/81551527-1</t>
  </si>
  <si>
    <t>Power Networks Co Ltd (PNC)</t>
  </si>
  <si>
    <t>PNC16/17</t>
  </si>
  <si>
    <t>Saeed Computert Est/ Jubail</t>
  </si>
  <si>
    <t>AP9613</t>
  </si>
  <si>
    <t>DRY CONTACT I/O SAMRTSLOT CARD</t>
  </si>
  <si>
    <t>SMC3000I</t>
  </si>
  <si>
    <t>APC SMART UPS 3000VA LCD 230V</t>
  </si>
  <si>
    <t>ESEFSY4447</t>
  </si>
  <si>
    <t>SULTAN SALMAN AL SADDY EST</t>
  </si>
  <si>
    <t>M.SHEHAB/0502384700</t>
  </si>
  <si>
    <t>FIROZ/054-8096413</t>
  </si>
  <si>
    <t>18076-S-1</t>
  </si>
  <si>
    <t>rented Trailer</t>
  </si>
  <si>
    <t>Saudi Media Sysytems (SMS)</t>
  </si>
  <si>
    <t>Naqel : 81551526-0</t>
  </si>
  <si>
    <t>RUPO591</t>
  </si>
  <si>
    <t>Jash technical Services</t>
  </si>
  <si>
    <t>Ansari/0597342947</t>
  </si>
  <si>
    <t>Shajhan/0502095910</t>
  </si>
  <si>
    <t>PT17024/09/DAS/17</t>
  </si>
  <si>
    <t>041017-01</t>
  </si>
  <si>
    <t>ABDUL KARIM HOLDING/ DMM</t>
  </si>
  <si>
    <t>PUR077745-KAE</t>
  </si>
  <si>
    <t>PUR078321-KAE</t>
  </si>
  <si>
    <t>542-3388-GSBF-BK-FP</t>
  </si>
  <si>
    <t>Excel CR 33U 800W 800D-Black-FP</t>
  </si>
  <si>
    <t>542-023-BK</t>
  </si>
  <si>
    <t>Excel Environ Fixed Shelf-550mm-Black</t>
  </si>
  <si>
    <t>ABDULLAH OTHMAN</t>
  </si>
  <si>
    <t>RJ &amp; DANI</t>
  </si>
  <si>
    <t>Mohd Alothman/0544482862</t>
  </si>
  <si>
    <t>returned</t>
  </si>
  <si>
    <t>RETUNED FR C'NEE-11/9/17&amp; Replaced Surt192XLBPx2 inv#881</t>
  </si>
  <si>
    <t xml:space="preserve">Al magribi Hospital </t>
  </si>
  <si>
    <t>PO 200REF</t>
  </si>
  <si>
    <t>Pradeep/0503856273</t>
  </si>
  <si>
    <t>Hi-P2017-228</t>
  </si>
  <si>
    <t>Ahmed Elshatar/0569421450</t>
  </si>
  <si>
    <t>rj</t>
  </si>
  <si>
    <t>MS17108479</t>
  </si>
  <si>
    <t>Hashib Rahman/0592165415</t>
  </si>
  <si>
    <t>IGB</t>
  </si>
  <si>
    <t>CESER</t>
  </si>
  <si>
    <t>Vijayan/0555216904</t>
  </si>
  <si>
    <t>AL MARAI  C/O HADCO</t>
  </si>
  <si>
    <t>AL MARAI - Rabiah</t>
  </si>
  <si>
    <t>CIRCLE INFORMATION</t>
  </si>
  <si>
    <t>C5SY4457</t>
  </si>
  <si>
    <t>17/PRO183</t>
  </si>
  <si>
    <t>PO933795</t>
  </si>
  <si>
    <t>KAUST/ TUWAL C/O NESMA &amp; PARTNERS</t>
  </si>
  <si>
    <t>091-01427</t>
  </si>
  <si>
    <t>Al Rasim United/ Jeddah</t>
  </si>
  <si>
    <t>SBP5000RMI2U</t>
  </si>
  <si>
    <t>ANC#31174289</t>
  </si>
  <si>
    <t>APC Service Bypass Panel-230V</t>
  </si>
  <si>
    <t>Covered Isolation Transformer 400V-QXFMRG3H</t>
  </si>
  <si>
    <t>DAR AL TADMORIA</t>
  </si>
  <si>
    <t>CEASER</t>
  </si>
  <si>
    <t>Hassan/0500066615</t>
  </si>
  <si>
    <t>Advanced Modern Company/ Jed</t>
  </si>
  <si>
    <t>1233-10-17/TLCL</t>
  </si>
  <si>
    <t>A.Fayaz/0502757306</t>
  </si>
  <si>
    <t>Ahyad Ali/055-6726893</t>
  </si>
  <si>
    <t>Md.mudasir/0569101808</t>
  </si>
  <si>
    <t>Dozan Jeddah Est/ Hafouf</t>
  </si>
  <si>
    <t>Ramy/054-2202674</t>
  </si>
  <si>
    <t>Balsam/0538361881</t>
  </si>
  <si>
    <t>khaled Jamal/0539083464</t>
  </si>
  <si>
    <t>Salem/0559148488</t>
  </si>
  <si>
    <t>INT'L ACCOUNTANTS</t>
  </si>
  <si>
    <t>Pending</t>
  </si>
  <si>
    <t>soluman/0531111987</t>
  </si>
  <si>
    <t>Almarai (Danah)</t>
  </si>
  <si>
    <t>054-06991701</t>
  </si>
  <si>
    <t>Taqniah Al Tameer co</t>
  </si>
  <si>
    <t>sami/0550478152</t>
  </si>
  <si>
    <t>Saudi business machine (SBM)</t>
  </si>
  <si>
    <t>Irfan</t>
  </si>
  <si>
    <t>Naqel/81551525-6</t>
  </si>
  <si>
    <t>UPS ACCESSORIES-NETBOTZ RACK SENSOR POD160</t>
  </si>
  <si>
    <t>PO71800056045</t>
  </si>
  <si>
    <t>Tamkin Networks &amp; Comm/ Jubail</t>
  </si>
  <si>
    <t>Specialized computer Services</t>
  </si>
  <si>
    <t>Fayhaa Constructions</t>
  </si>
  <si>
    <t>Ezra/0532240701</t>
  </si>
  <si>
    <t xml:space="preserve">Tuwal </t>
  </si>
  <si>
    <t>GMC-BR-165X96-150</t>
  </si>
  <si>
    <t>Gama net welded battery cabinet</t>
  </si>
  <si>
    <t>Chaudri/0503952895</t>
  </si>
  <si>
    <t>mohamed/0540096690</t>
  </si>
  <si>
    <t>Barrow</t>
  </si>
  <si>
    <t>nil</t>
  </si>
  <si>
    <t>A.Lateef/0505436822</t>
  </si>
  <si>
    <t>Replacement rcvd fr Apc on 10/4/17</t>
  </si>
  <si>
    <t>Sivan/0567288691</t>
  </si>
  <si>
    <t>MCE-AT-TP-20K</t>
  </si>
  <si>
    <t xml:space="preserve">Auto Transformer 20Kva- 220/380V </t>
  </si>
  <si>
    <t xml:space="preserve">Medunet </t>
  </si>
  <si>
    <t>NP12V-8.5</t>
  </si>
  <si>
    <t>Abdullah A.Sheikh co.fact (Amaco)</t>
  </si>
  <si>
    <t>awad/0567251671</t>
  </si>
  <si>
    <t>AMA17-047</t>
  </si>
  <si>
    <t>Khalid/0555193158</t>
  </si>
  <si>
    <t>Mujib/0592165495</t>
  </si>
  <si>
    <t>MS17108431PO</t>
  </si>
  <si>
    <t>QBATG7T,QPBL43424-1141,EXIDE BATTERY XP 12V2500-ANC#30064165</t>
  </si>
  <si>
    <t>BATTXP12V2500GNB</t>
  </si>
  <si>
    <t>Jaraisy computer</t>
  </si>
  <si>
    <t>Barrow for testing purpose</t>
  </si>
  <si>
    <t xml:space="preserve">Returned on 08/11/2017. </t>
  </si>
  <si>
    <t>syed/ 0583038429</t>
  </si>
  <si>
    <t>Barrowed</t>
  </si>
  <si>
    <t xml:space="preserve">Marketing Purpose </t>
  </si>
  <si>
    <t>DLVD BY HOBAIL Directly to Cnee</t>
  </si>
  <si>
    <t xml:space="preserve">Omarania </t>
  </si>
  <si>
    <t>Abullah Fouad</t>
  </si>
  <si>
    <t>Abdullah Fouad</t>
  </si>
  <si>
    <t>Abdullah Fouad/ Khobar</t>
  </si>
  <si>
    <t>Abdullah Fouad/ Dammam</t>
  </si>
  <si>
    <t>Azaz/0501001497</t>
  </si>
  <si>
    <t>Tariq/0504271735</t>
  </si>
  <si>
    <t>Abdullah Jarallah Agency/Khobar</t>
  </si>
  <si>
    <t>Naqel/81551524-5</t>
  </si>
  <si>
    <t>N-007882-11-2017</t>
  </si>
  <si>
    <t>Tysir Latif/059049388</t>
  </si>
  <si>
    <t>BE-SC-17-417</t>
  </si>
  <si>
    <t>YUASA BATTTERY 12V-5AH</t>
  </si>
  <si>
    <t xml:space="preserve"> Alvin </t>
  </si>
  <si>
    <t>Nilo/0509106541</t>
  </si>
  <si>
    <t>Md.ghouse/0531936296</t>
  </si>
  <si>
    <t>Kristian/0548908068</t>
  </si>
  <si>
    <t>PT17031/11/DAS/17</t>
  </si>
  <si>
    <t>Gohul/0531398551</t>
  </si>
  <si>
    <t>Specialized Technolgies</t>
  </si>
  <si>
    <t>adham kurdi/0500977784</t>
  </si>
  <si>
    <t xml:space="preserve">Abunayyan </t>
  </si>
  <si>
    <t>OM/L/0634/2017/EA</t>
  </si>
  <si>
    <t>Saudi Bin Ladden Group</t>
  </si>
  <si>
    <t>Mohd yasin/0500259719</t>
  </si>
  <si>
    <t>Energy Saving Unit Downflow Model# TDEV01611A</t>
  </si>
  <si>
    <t>21ZB475CDZ</t>
  </si>
  <si>
    <t>Base Frame H.200 Ral 2300 Color Insulation</t>
  </si>
  <si>
    <t>21TB160CDZ1</t>
  </si>
  <si>
    <t>Hight Adjustable Base frame with Deflector</t>
  </si>
  <si>
    <t>21AS100CDZ</t>
  </si>
  <si>
    <t>Serial Line Adaptor TCP/IP</t>
  </si>
  <si>
    <t>21FF033CDZ</t>
  </si>
  <si>
    <t xml:space="preserve">Fire smoke detector </t>
  </si>
  <si>
    <t>21SA020CDZ</t>
  </si>
  <si>
    <t>Flooding Detector+Pinhole Probe</t>
  </si>
  <si>
    <t>35RAL2300S</t>
  </si>
  <si>
    <t>Remote Radiator</t>
  </si>
  <si>
    <t>Air cooled Direct expansion Unit _model#TDAV1122A</t>
  </si>
  <si>
    <t>21TB154CDZ1</t>
  </si>
  <si>
    <t>Hight Adjustable Base frame</t>
  </si>
  <si>
    <t>30CAP1802PE</t>
  </si>
  <si>
    <t>Aircooled Condenser CAP1802</t>
  </si>
  <si>
    <t>31KG006CON</t>
  </si>
  <si>
    <t>Accessories - Kit of Legs</t>
  </si>
  <si>
    <t>Pasha/0566071332</t>
  </si>
  <si>
    <t>Marco/0593825550</t>
  </si>
  <si>
    <t>Naqel/815676271</t>
  </si>
  <si>
    <t>S.A.Shah/0504945925</t>
  </si>
  <si>
    <t>Michael/0558285770</t>
  </si>
  <si>
    <t>KHS1794308</t>
  </si>
  <si>
    <t>APCPB5-UK</t>
  </si>
  <si>
    <t>Naqel/815515223</t>
  </si>
  <si>
    <t>Najran</t>
  </si>
  <si>
    <t>Item rcvd fr Office</t>
  </si>
  <si>
    <t>Model Craft</t>
  </si>
  <si>
    <t>BTC Network C/O RSA Defence Forces</t>
  </si>
  <si>
    <t>MS17118846PO</t>
  </si>
  <si>
    <t>APC Smart UPS Consist 1*Surt1000Xli</t>
  </si>
  <si>
    <t>Basic Computer</t>
  </si>
  <si>
    <t>Nabeel/0596471815</t>
  </si>
  <si>
    <t>Najm Insurance</t>
  </si>
  <si>
    <t>Yasser/0556136481</t>
  </si>
  <si>
    <t>N-007938-11-2017</t>
  </si>
  <si>
    <t>Advanced Modern company</t>
  </si>
  <si>
    <t>Naqel/815515212</t>
  </si>
  <si>
    <t>SAUDI MEDIA CO</t>
  </si>
  <si>
    <t>LP/4688</t>
  </si>
  <si>
    <t>Rey C.Roldan/0538620831</t>
  </si>
  <si>
    <t>Toledo Arabia</t>
  </si>
  <si>
    <t>TA/PO/0450-17</t>
  </si>
  <si>
    <t xml:space="preserve">Makkah </t>
  </si>
  <si>
    <t>MS17118863PO</t>
  </si>
  <si>
    <t>CP27U13SC3-F</t>
  </si>
  <si>
    <t>APC Powershield 27W DC UPS 13Vout Floating 3 condutor.</t>
  </si>
  <si>
    <t>magdy Sharaf/0569560550</t>
  </si>
  <si>
    <t>QOMRA</t>
  </si>
  <si>
    <t>Alshaya International Trdg co</t>
  </si>
  <si>
    <t>DAS/BRAVO/08/1117</t>
  </si>
  <si>
    <t>Abrar commnications ltd</t>
  </si>
  <si>
    <t>shahid/05388209140</t>
  </si>
  <si>
    <t>Marketing</t>
  </si>
  <si>
    <t>Demo</t>
  </si>
  <si>
    <t>Demo purpose to Aramco</t>
  </si>
  <si>
    <t>Apc Schneider Electric/ Riyadh</t>
  </si>
  <si>
    <t>Ghassan/0503190103</t>
  </si>
  <si>
    <t>TDEV0611A/4LGD30A10200DYS</t>
  </si>
  <si>
    <t>TDAV1122A/4LGD11 1000DWS</t>
  </si>
  <si>
    <t>PO#058275_090</t>
  </si>
  <si>
    <t>Naizak - Dammam</t>
  </si>
  <si>
    <t>PO#058271_090</t>
  </si>
  <si>
    <t>Nesma &amp; Partners - Dammam</t>
  </si>
  <si>
    <t>Walikhan/0501332562</t>
  </si>
  <si>
    <t>084-03028</t>
  </si>
  <si>
    <t>Tamkin Networks &amp; Comm/ Dammam</t>
  </si>
  <si>
    <t>6027</t>
  </si>
  <si>
    <t>P071800056046</t>
  </si>
  <si>
    <t>Rented Dyna</t>
  </si>
  <si>
    <t>1025/17/EBS</t>
  </si>
  <si>
    <t>Tera Systems</t>
  </si>
  <si>
    <t>Aceesories</t>
  </si>
  <si>
    <t>Delivery asper Attached 1025/17/EBS</t>
  </si>
  <si>
    <t>B2B-3X40'Trailers</t>
  </si>
  <si>
    <t>Hussein/0503410131</t>
  </si>
  <si>
    <t>B2B-2X40'Trailers</t>
  </si>
  <si>
    <t>LPD17581</t>
  </si>
  <si>
    <t>Abdullah Fouad/ Jeddah</t>
  </si>
  <si>
    <t>B2B Order</t>
  </si>
  <si>
    <t>Toma/0500647472</t>
  </si>
  <si>
    <t>Arnold/599855237</t>
  </si>
  <si>
    <t>Specialized Computer</t>
  </si>
  <si>
    <t>POP113000176101rev01</t>
  </si>
  <si>
    <t xml:space="preserve">Tamkin Network </t>
  </si>
  <si>
    <t>Jawed/0536367440</t>
  </si>
  <si>
    <t>Saudi Media Systems (SMS)</t>
  </si>
  <si>
    <t>IAN</t>
  </si>
  <si>
    <t>APC-UPS 2.2.KVA RT 230V</t>
  </si>
  <si>
    <t>MAKEEN SYS</t>
  </si>
  <si>
    <t>PO/FSSC/17/449</t>
  </si>
  <si>
    <t>Al falak Electronics</t>
  </si>
  <si>
    <t>CLTD BY ARAMEX</t>
  </si>
  <si>
    <t>KPS1794323</t>
  </si>
  <si>
    <t>A.Kader/0536088809</t>
  </si>
  <si>
    <t>Smart communication</t>
  </si>
  <si>
    <t>Syed/0501972524</t>
  </si>
  <si>
    <t>IAN/0560662519</t>
  </si>
  <si>
    <t>Tariq/ 0582362585</t>
  </si>
  <si>
    <t>item hand over to NTE Courier</t>
  </si>
  <si>
    <t>CORSS0150</t>
  </si>
  <si>
    <t>CORSS0187</t>
  </si>
  <si>
    <t>MERE1033X1A</t>
  </si>
  <si>
    <t>PAMS072X3A</t>
  </si>
  <si>
    <t>PPSU0254X1A</t>
  </si>
  <si>
    <t>SLCV1206X3A</t>
  </si>
  <si>
    <t>SLCV570X3A</t>
  </si>
  <si>
    <t>SLCV616A3A</t>
  </si>
  <si>
    <t>WB NO : 815515190</t>
  </si>
  <si>
    <t xml:space="preserve"> YUASA BATTERY  NP17-12</t>
  </si>
  <si>
    <t xml:space="preserve">Ideal Network Solutions </t>
  </si>
  <si>
    <t>Nouman/0581378011</t>
  </si>
  <si>
    <t>Mustafa;/0539354161</t>
  </si>
  <si>
    <t>INSR-2017-12-03</t>
  </si>
  <si>
    <t>SMART CADRES</t>
  </si>
  <si>
    <t>Abdullah fouad / Riyadh</t>
  </si>
  <si>
    <t>PO933682</t>
  </si>
  <si>
    <t>PO/015600</t>
  </si>
  <si>
    <t>HILAL COMPUTER TECH FOR TRADE</t>
  </si>
  <si>
    <t>Rafiq/0559396044</t>
  </si>
  <si>
    <t>Al Karsaf Transport collected fr WH</t>
  </si>
  <si>
    <t>N-008070-11-2017</t>
  </si>
  <si>
    <t>item sold from BMC/ Unclaim</t>
  </si>
  <si>
    <t>Geer ICT</t>
  </si>
  <si>
    <t>Ahmed Samir/0506223523</t>
  </si>
  <si>
    <t>LPD17598</t>
  </si>
  <si>
    <t>Abdullah Fouad / Jeddah</t>
  </si>
  <si>
    <t>KCC-DA-C02-29112017-</t>
  </si>
  <si>
    <t>Al Kifah Contracting co / Jubail</t>
  </si>
  <si>
    <t xml:space="preserve">Noor </t>
  </si>
  <si>
    <t>Abbasali/0591326926</t>
  </si>
  <si>
    <t>ACSC100</t>
  </si>
  <si>
    <t>Inrow direct expansion sc200-240V 60HZ</t>
  </si>
  <si>
    <t>ANC#336#30706023</t>
  </si>
  <si>
    <t>QC-Containment Option sliding Door</t>
  </si>
  <si>
    <t>PMMQ-QRRA57275-00- AR3300</t>
  </si>
  <si>
    <t xml:space="preserve">PMM MGE 125KVA PMM IN AR3300 </t>
  </si>
  <si>
    <t>ES 80L-12</t>
  </si>
  <si>
    <t>12V-80AH, VRLA Type</t>
  </si>
  <si>
    <t>PO#17-13735</t>
  </si>
  <si>
    <t>john/0558820783</t>
  </si>
  <si>
    <t>PT17026/09/GCC/17</t>
  </si>
  <si>
    <t>Abdul Qadir/0501528685</t>
  </si>
  <si>
    <t>12V-100AH,  Long Battery Gel Type</t>
  </si>
  <si>
    <t>12V-100Ah Long Battery</t>
  </si>
  <si>
    <t>Long Battery gel type 100Ah-12V</t>
  </si>
  <si>
    <t>Saudi Arabic computer sys</t>
  </si>
  <si>
    <t>Qamaruddin/0507152960</t>
  </si>
  <si>
    <t>LEVANT SOLUTION</t>
  </si>
  <si>
    <t>NOVATEL</t>
  </si>
  <si>
    <t>SPECILIZED CONTRACTIING CO</t>
  </si>
  <si>
    <t>Md.nadeem/0509058103</t>
  </si>
  <si>
    <t xml:space="preserve">Al Marai </t>
  </si>
  <si>
    <t>Jahir</t>
  </si>
  <si>
    <t>Ahmed 0503305079</t>
  </si>
  <si>
    <t>XPERT BIZ</t>
  </si>
  <si>
    <t>Khobar/ Item returned from customer</t>
  </si>
  <si>
    <t xml:space="preserve">Shibah Al Jazeera </t>
  </si>
  <si>
    <t>Afzal/ 0569132780</t>
  </si>
  <si>
    <t>Ahmed/0509809035</t>
  </si>
  <si>
    <t>Hamed iqbal/0536631445</t>
  </si>
  <si>
    <t>Javid/0536367440</t>
  </si>
  <si>
    <t>Ashokan/0599439441</t>
  </si>
  <si>
    <t>Hari/0530126753</t>
  </si>
  <si>
    <t>HADCO C/O Al marai</t>
  </si>
  <si>
    <t>Naqel/ 815515164</t>
  </si>
  <si>
    <t>17/PR0206-R</t>
  </si>
  <si>
    <t>LPD17532</t>
  </si>
  <si>
    <t>SC450RMI1U</t>
  </si>
  <si>
    <t>RBC7</t>
  </si>
  <si>
    <t xml:space="preserve">Apc UPS 450VA 1U RT </t>
  </si>
  <si>
    <t>FUSE FAST 100A 1000VAC</t>
  </si>
  <si>
    <t>ARCOM</t>
  </si>
  <si>
    <t>Mohamed/0504121861</t>
  </si>
  <si>
    <t>Saeed Computert Est/ Khobar</t>
  </si>
  <si>
    <t>Al fanar co</t>
  </si>
  <si>
    <t>M10BK-EC</t>
  </si>
  <si>
    <t>APC Mobile power pack 10000mAh</t>
  </si>
  <si>
    <t>SMX2200HV</t>
  </si>
  <si>
    <t xml:space="preserve">APC Smart UPS 2200Va RT </t>
  </si>
  <si>
    <t>Apc Smart UPS sc450VA 1 U RT</t>
  </si>
  <si>
    <t>APC replacement Battery Cartridge #7</t>
  </si>
  <si>
    <t>BAE 1711-0501</t>
  </si>
  <si>
    <t>Replacement  Cartridge#7</t>
  </si>
  <si>
    <t>Internatinal Systems Engineering</t>
  </si>
  <si>
    <t>Noor Hameed/khobar</t>
  </si>
  <si>
    <t>Apc Netshelter  Sx24U</t>
  </si>
  <si>
    <t>PT17031/11/DAS17</t>
  </si>
  <si>
    <t>Mubarak/0531460752</t>
  </si>
  <si>
    <t>noor</t>
  </si>
  <si>
    <t>AR2487</t>
  </si>
  <si>
    <t xml:space="preserve">Netshelter SV 48U </t>
  </si>
  <si>
    <t>AR3157</t>
  </si>
  <si>
    <t>Apc Netshelter Sx48U</t>
  </si>
  <si>
    <t>AR8442</t>
  </si>
  <si>
    <t>Apc Vertical Cable Organizer for Netshelter</t>
  </si>
  <si>
    <t>RACK PDU 2G METERED ZEROU 32A- 230V</t>
  </si>
  <si>
    <t>AR8395</t>
  </si>
  <si>
    <t>20U Copper Busbar kit for Netshelter</t>
  </si>
  <si>
    <t>APC Netshelter roof</t>
  </si>
  <si>
    <t>Apc 1U 19 black tooless Blanking Panel Qty-200</t>
  </si>
  <si>
    <t>apc smart-UPS netshelter Sx24U</t>
  </si>
  <si>
    <t>AP8858</t>
  </si>
  <si>
    <t>QRACK-QEWA40828-00</t>
  </si>
  <si>
    <t>FLEXIBOX 19 15U/500MMD1 SECN</t>
  </si>
  <si>
    <t>AR7701-S</t>
  </si>
  <si>
    <t>Bolt-down brackets for NetShelter SX</t>
  </si>
  <si>
    <t xml:space="preserve">Rack PDU, Metered, 1U, 16A, </t>
  </si>
  <si>
    <t>QRACK-QEWA83584-00</t>
  </si>
  <si>
    <t>FAN 230VA C50-60Hz</t>
  </si>
  <si>
    <t>Tera Telecom</t>
  </si>
  <si>
    <t>1124/17/EBS</t>
  </si>
  <si>
    <t>Noor</t>
  </si>
  <si>
    <t>SmSA  2x40' Trailer</t>
  </si>
  <si>
    <t>Usman &amp; RJ</t>
  </si>
  <si>
    <t>LPO251217-55</t>
  </si>
  <si>
    <t>Hicap</t>
  </si>
  <si>
    <t>AF/2017/183</t>
  </si>
  <si>
    <t>shahed/0556060083</t>
  </si>
  <si>
    <t>PO-0001</t>
  </si>
  <si>
    <t>Asia Plastic Factory</t>
  </si>
  <si>
    <t>ahmed/0539492005</t>
  </si>
  <si>
    <t>Basam/0569000127</t>
  </si>
  <si>
    <t>Abdullah Fouad/ Riyadh</t>
  </si>
  <si>
    <t>A.Aziz/0561001497</t>
  </si>
  <si>
    <t>PO934276</t>
  </si>
  <si>
    <t>LP/5011</t>
  </si>
  <si>
    <t>Saudi media sys</t>
  </si>
  <si>
    <t>Sabu/0508411951</t>
  </si>
  <si>
    <t>E5SY4507</t>
  </si>
  <si>
    <t>J.pspinosa/0502471056</t>
  </si>
  <si>
    <t>KHS1794342</t>
  </si>
  <si>
    <t>AECC/CM/247</t>
  </si>
  <si>
    <t>Advance Engery co for Trdg cont</t>
  </si>
  <si>
    <t>Petro chem</t>
  </si>
  <si>
    <t>Saudi Industrial investment group</t>
  </si>
  <si>
    <t>MOT-PO197-17</t>
  </si>
  <si>
    <t>Modern Technology company</t>
  </si>
  <si>
    <t>MOT-PO199-17</t>
  </si>
  <si>
    <t>Musari/0556471724</t>
  </si>
  <si>
    <t>Hans tewari/0534707060</t>
  </si>
  <si>
    <t>Replace</t>
  </si>
  <si>
    <t>Julie/0555999439</t>
  </si>
  <si>
    <t>50-9599074</t>
  </si>
  <si>
    <t>Ref Inv# 537 - Retrn GRN#17031</t>
  </si>
  <si>
    <t>Modern Tecchnogies for Electronics</t>
  </si>
  <si>
    <t>17-00004</t>
  </si>
  <si>
    <t>Abunayyan Trdg Group</t>
  </si>
  <si>
    <t>Shaji/0507157638</t>
  </si>
  <si>
    <t>Hamdan/0566465456</t>
  </si>
  <si>
    <t>J931</t>
  </si>
  <si>
    <t>PDUs</t>
  </si>
  <si>
    <t>Md.Zaman/</t>
  </si>
  <si>
    <t>Naqel/81551518-6</t>
  </si>
  <si>
    <t>Total USD</t>
  </si>
  <si>
    <t>Total SAR</t>
  </si>
  <si>
    <t>Almarai</t>
  </si>
  <si>
    <t>Berniu/0505485394</t>
  </si>
  <si>
    <t>Alaxender/0556602139</t>
  </si>
  <si>
    <t>Wasim/0566017332</t>
  </si>
  <si>
    <t>Noor/Usman</t>
  </si>
  <si>
    <t>DONE</t>
  </si>
  <si>
    <t>AL FALAK SOLUTION</t>
  </si>
  <si>
    <t>Replacement</t>
  </si>
  <si>
    <t>Naif Fahad/ 
059-6620887</t>
  </si>
  <si>
    <t>Rented Trailer</t>
  </si>
  <si>
    <t>Ansar/ JED</t>
  </si>
  <si>
    <t>Ansar/MAK</t>
  </si>
  <si>
    <t>RJ/DANI/Ansar</t>
  </si>
  <si>
    <t>DMM/Ansar</t>
  </si>
  <si>
    <t>Ansar/ KHOBAR</t>
  </si>
  <si>
    <t>Ansar/DMM</t>
  </si>
  <si>
    <t>Ansar &amp; team</t>
  </si>
  <si>
    <t>Bal 1 Qty Delivered on 12/2/18</t>
  </si>
  <si>
    <t>Power Technology</t>
  </si>
  <si>
    <t>replaced to SRTRK4 x16</t>
  </si>
  <si>
    <t>Rem 4 pcs deliverd on Feb 08-2018</t>
  </si>
  <si>
    <t>ANSAR</t>
  </si>
  <si>
    <t>ansar</t>
  </si>
  <si>
    <t>01-01-18
08-02-18</t>
  </si>
  <si>
    <t>A.nasar/013-8954222</t>
  </si>
  <si>
    <t>From Maint stock</t>
  </si>
  <si>
    <t>Part number</t>
  </si>
  <si>
    <t xml:space="preserve">Year </t>
  </si>
  <si>
    <t>Year</t>
  </si>
  <si>
    <t>Sale May17</t>
  </si>
  <si>
    <t>2015- 2016</t>
  </si>
  <si>
    <t>Purchase Jan18</t>
  </si>
  <si>
    <t>Sale Jan18</t>
  </si>
  <si>
    <t>Purchase Feb18</t>
  </si>
  <si>
    <t>Sale Feb18</t>
  </si>
  <si>
    <t>Purchase Mar18</t>
  </si>
  <si>
    <t>Sale Mar18</t>
  </si>
  <si>
    <t>Purchase Apr18</t>
  </si>
  <si>
    <t>Sale Apr18</t>
  </si>
  <si>
    <t>Purchase May18</t>
  </si>
  <si>
    <t>sale May18</t>
  </si>
  <si>
    <t>Purchase Jun18</t>
  </si>
  <si>
    <t>Sale Jun18</t>
  </si>
  <si>
    <t>Purchase Jul18</t>
  </si>
  <si>
    <t>Sale Jul18</t>
  </si>
  <si>
    <t>Purchase Aug18</t>
  </si>
  <si>
    <t>Sale Aug18</t>
  </si>
  <si>
    <t>Purchase Sep18</t>
  </si>
  <si>
    <t>sale Sep18</t>
  </si>
  <si>
    <t>Purchase Oct18</t>
  </si>
  <si>
    <t>Sale Oct18</t>
  </si>
  <si>
    <t>Purchase Nov18</t>
  </si>
  <si>
    <t>Sale Nov18</t>
  </si>
  <si>
    <t>Purchase Dec18</t>
  </si>
  <si>
    <t>Sale Dec18</t>
  </si>
  <si>
    <t>NETSHELLTER SX 42U 600mmx1070mm</t>
  </si>
  <si>
    <t>NETSHELTER SX 42U 750mmX1070</t>
  </si>
  <si>
    <t>AP7821B</t>
  </si>
  <si>
    <t>BE700G-UK</t>
  </si>
  <si>
    <t>XP12V2500GNB EXIDE</t>
  </si>
  <si>
    <t>BATT 12V 69AH EXIDE SP-2500GNB</t>
  </si>
  <si>
    <t>G3HT20KHB2S</t>
  </si>
  <si>
    <t>MGE galaxy 300 20k VA 400v consisting of 1xG3HT20KHB2</t>
  </si>
  <si>
    <t>AP6015A</t>
  </si>
  <si>
    <t>Rack PDU Basic, 0/U,120-240V/15A,220-240V/10A(8)C13</t>
  </si>
  <si>
    <t>AP8459EU3</t>
  </si>
  <si>
    <t xml:space="preserve">Rack PDU 2G metered </t>
  </si>
  <si>
    <t>AP4424</t>
  </si>
  <si>
    <t>Rack ATS 230V,32A</t>
  </si>
  <si>
    <t>AP4423</t>
  </si>
  <si>
    <t>Rack ATS 230V,16A</t>
  </si>
  <si>
    <t>SMX1500RMI2U</t>
  </si>
  <si>
    <t>APC Smar UPS X 1500VA Rack</t>
  </si>
  <si>
    <t>SMX48RMBP2U</t>
  </si>
  <si>
    <t>APC smart ups x series 48V</t>
  </si>
  <si>
    <t>G3HT10KHB2S</t>
  </si>
  <si>
    <t>MGE Galaxy 300 10kva 400va consisting of 1xG3HT10KHB2</t>
  </si>
  <si>
    <t>SRTRK3</t>
  </si>
  <si>
    <t>Smart Ups On-Line</t>
  </si>
  <si>
    <t>SMX1000I</t>
  </si>
  <si>
    <t>APC smart UPS X 1000VA</t>
  </si>
  <si>
    <t>APC VERTICAL CABLE ORGANIZER FOR NETSHELTER VX CHANNEL</t>
  </si>
  <si>
    <t>XP12V1800GNB EXIDE</t>
  </si>
  <si>
    <t>BATTERY EXIDE 12V-1800 VRLA</t>
  </si>
  <si>
    <t>XP12V3000GNB EXIDE</t>
  </si>
  <si>
    <t>BATT 12V 93AH EXIDE-3000GNB</t>
  </si>
  <si>
    <t>SMC2000I</t>
  </si>
  <si>
    <t>APC Smar UPS C 2000VA LCD 230 V</t>
  </si>
  <si>
    <t>APCRBC143</t>
  </si>
  <si>
    <t>APC Replacement Battery Cartridge #143</t>
  </si>
  <si>
    <t>G55TUPSU30HS</t>
  </si>
  <si>
    <t>MGE Galaxy 5500 20KVA 400V S.Startup</t>
  </si>
  <si>
    <t>AP8760</t>
  </si>
  <si>
    <t>Power CordLocking</t>
  </si>
  <si>
    <t>SWL1100FR</t>
  </si>
  <si>
    <t xml:space="preserve">Yuasa Battery SWL </t>
  </si>
  <si>
    <t>E3SUPS30KHB1</t>
  </si>
  <si>
    <t>Easy UPS 3S 30k VA 400V 3:3 UPS 10 min consisting of .33xE3SUPS30KHB, .33xE3SUPS30KHB, .33xE3SUPS30KHB,2.67xE3SBTU, 5.33xESSBTU</t>
  </si>
  <si>
    <t>E3SUPS20KHB1</t>
  </si>
  <si>
    <t>Easy UPS 3S 20kVA 400V 3:3 UPS 10 min consisting of 5xE3SUPS20KHB ,5xE3SUPS20KHB, 8xE3SBTU</t>
  </si>
  <si>
    <t xml:space="preserve">NETSHELTER SX 42U 750mmX1200mm </t>
  </si>
  <si>
    <t>AP8702R-NA</t>
  </si>
  <si>
    <t>Power cord Kit</t>
  </si>
  <si>
    <t>E3SUPS40KHB1</t>
  </si>
  <si>
    <t>Easy ups 3s 40kva 400v 3:3 ups 10 min consisting of 12xESBTU 1xE3SUPS40KHB1</t>
  </si>
  <si>
    <t>E3SUPS10KHB1</t>
  </si>
  <si>
    <t>Easy ups 3s 10kva 400v 3:3 ups 10 min consisting of 4xESBTU 1xE3SUPS40KHB1</t>
  </si>
  <si>
    <t>E3SOPT001</t>
  </si>
  <si>
    <t>Easy ups 3s networkcard</t>
  </si>
  <si>
    <t>E3SOPT002</t>
  </si>
  <si>
    <t xml:space="preserve">easy ups 3s parellel kit </t>
  </si>
  <si>
    <t>E3SUPS30KHB2</t>
  </si>
  <si>
    <t>Purchase Jan19</t>
  </si>
  <si>
    <t>Sale Jan19</t>
  </si>
  <si>
    <t>Purchase Feb19</t>
  </si>
  <si>
    <t>Sale Feb19</t>
  </si>
  <si>
    <t>Purchase Mar19</t>
  </si>
  <si>
    <t>Sale Mar19</t>
  </si>
  <si>
    <t>Purchase Apr19</t>
  </si>
  <si>
    <t>Sale Apr19</t>
  </si>
  <si>
    <t>Purchase May19</t>
  </si>
  <si>
    <t>Purchase Jun19</t>
  </si>
  <si>
    <t>Sale Jun19</t>
  </si>
  <si>
    <t>Purchase Jul19</t>
  </si>
  <si>
    <t>Sale Jul19</t>
  </si>
  <si>
    <t>Purchase Aug19</t>
  </si>
  <si>
    <t>Sale Aug19</t>
  </si>
  <si>
    <t>Purchase Sep19</t>
  </si>
  <si>
    <t>Purchase Oct19</t>
  </si>
  <si>
    <t>Sale Oct19</t>
  </si>
  <si>
    <t>Purchase Nov19</t>
  </si>
  <si>
    <t>Sale Nov19</t>
  </si>
  <si>
    <t>Purchase Dec19</t>
  </si>
  <si>
    <t>APC 1U 19 Black Tooless Blanking Panel200</t>
  </si>
  <si>
    <t>AP8706S-NA</t>
  </si>
  <si>
    <t>BATTXP12V1800GNB</t>
  </si>
  <si>
    <t>XP12V1800 Exide 12V VRLA Battery</t>
  </si>
  <si>
    <t>RBC43</t>
  </si>
  <si>
    <t>APC Replacement Battery Cartridge #43</t>
  </si>
  <si>
    <t>AR7502</t>
  </si>
  <si>
    <t>APC Netshelter SX 42U Vertical PDU</t>
  </si>
  <si>
    <t>E3SUPS20KHB2</t>
  </si>
  <si>
    <t>Easy UPS 3S 30k VA 400V 3:3 UPS 25 min consisting of .1xE3SUPS20KHB, 12xE3SBTU</t>
  </si>
  <si>
    <t>E3SUPS40KHB2</t>
  </si>
  <si>
    <t>Easy UPS 3S 30k VA 400V 3:3 UPS 20 min consisting of .1xE3SUPS40KHB, 16xE3SBTU</t>
  </si>
  <si>
    <t>Easy ups 3s 10kva 400v 3:3 ups 10 min consisting of 4xESBTU 1xE3SUPS10KHB1</t>
  </si>
  <si>
    <t>E3SUPS10KHB2</t>
  </si>
  <si>
    <t>Easy UPS 3S 30k VA 400V 3:3 UPS 30 min consisting of .2xE3SUPS10KHB, 8xE3SBTU</t>
  </si>
  <si>
    <t>Easy UPS 3S 30k VA 400V 3:3 UPS 10 min consisting of 1xE3SUPS30KHB, 16xE3SBTU</t>
  </si>
  <si>
    <t>PM5U-UK</t>
  </si>
  <si>
    <t>Apc 2 Port USB Charger</t>
  </si>
  <si>
    <t>AP8886</t>
  </si>
  <si>
    <t>PDU RACK 2G Metered Zero U 22.0Kw</t>
  </si>
  <si>
    <t>AP8959EU3</t>
  </si>
  <si>
    <t>Rack PDU 2G Switched ZeroU 32A 230V (21) C13&amp; (3) C19</t>
  </si>
  <si>
    <t>SMX3000RMHV2U</t>
  </si>
  <si>
    <t>APC Smart-UPS X 3000VA Rack/Tower LCD 200-240V without NC</t>
  </si>
  <si>
    <t>SRV2KI</t>
  </si>
  <si>
    <t>APC Smart-Ups  SRV 2000VA 230v</t>
  </si>
  <si>
    <t>SRV10KRIL</t>
  </si>
  <si>
    <t>Easy UPS RM Battery pack 230V with External battery pack Consist of 10xSRV240RLBP-9A- 10xSRVPM10KRIL</t>
  </si>
  <si>
    <t>SRV240RLBP-9A</t>
  </si>
  <si>
    <t>Easy UPS RM Battery pack 240V 6&amp;10KVA Rack Extended runtime model.</t>
  </si>
  <si>
    <t>SRV6KRIL</t>
  </si>
  <si>
    <t>YUCEL 5-12AH</t>
  </si>
  <si>
    <t>Yuacel 5-12 battery</t>
  </si>
  <si>
    <t>E3SBTU x 160-pcs</t>
  </si>
  <si>
    <t xml:space="preserve">SYBTU1-PLP x 128 Pcs </t>
  </si>
  <si>
    <t xml:space="preserve">Balance Stock </t>
  </si>
  <si>
    <t>Total Sales</t>
  </si>
  <si>
    <t>Purchase</t>
  </si>
  <si>
    <t>Sales</t>
  </si>
  <si>
    <t>Month</t>
  </si>
  <si>
    <t>Sale May19</t>
  </si>
  <si>
    <t>Sale Sep19</t>
  </si>
  <si>
    <t>May</t>
  </si>
  <si>
    <t>Months</t>
  </si>
  <si>
    <t>Jan</t>
  </si>
  <si>
    <t>Feb</t>
  </si>
  <si>
    <t>Mar</t>
  </si>
  <si>
    <t>Apr</t>
  </si>
  <si>
    <t>Jun</t>
  </si>
  <si>
    <t>Jul</t>
  </si>
  <si>
    <t>Aug</t>
  </si>
  <si>
    <t>Oct</t>
  </si>
  <si>
    <t>Nov</t>
  </si>
  <si>
    <t>Dec</t>
  </si>
  <si>
    <t>Sep</t>
  </si>
  <si>
    <t>This Month Purchase</t>
  </si>
  <si>
    <t>Previous Year Stock</t>
  </si>
  <si>
    <t>This Month Sale</t>
  </si>
  <si>
    <t>This Month Total Purchase</t>
  </si>
  <si>
    <t>This Month Total Sale</t>
  </si>
  <si>
    <t>SUM</t>
  </si>
  <si>
    <t>Sale Dec19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</si>
</sst>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d\-mmm\-yy;@"/>
    <numFmt numFmtId="166" formatCode="[$-409]d\-mmm\-yy;@"/>
    <numFmt numFmtId="167" formatCode="&quot;£&quot;#,##0.00"/>
    <numFmt numFmtId="168" formatCode="[$-409]d/mmm/yy;@"/>
    <numFmt numFmtId="169" formatCode="0000000"/>
    <numFmt numFmtId="170" formatCode="_ * #,##0.00_ ;_ * \-#,##0.00_ ;_ * &quot;-&quot;??_ ;_ @_ "/>
  </numFmts>
  <fonts count="5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8"/>
      <color rgb="FF000000"/>
      <name val="Verdana"/>
      <family val="2"/>
    </font>
    <font>
      <sz val="12"/>
      <color rgb="FFFF0000"/>
      <name val="Calibri"/>
      <family val="2"/>
      <scheme val="minor"/>
    </font>
    <font>
      <sz val="11"/>
      <color rgb="FF333333"/>
      <name val="Inherit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333333"/>
      <name val="Inherit"/>
    </font>
    <font>
      <sz val="10"/>
      <color theme="1"/>
      <name val="Calibri"/>
      <family val="2"/>
    </font>
    <font>
      <strike/>
      <sz val="10"/>
      <name val="Calibri"/>
      <family val="2"/>
      <scheme val="minor"/>
    </font>
    <font>
      <strike/>
      <sz val="10"/>
      <name val="Calibri"/>
      <family val="2"/>
    </font>
    <font>
      <sz val="10"/>
      <color rgb="FF000000"/>
      <name val="Calibri"/>
      <family val="2"/>
      <scheme val="minor"/>
    </font>
    <font>
      <sz val="9"/>
      <name val="Calibri"/>
      <family val="2"/>
    </font>
    <font>
      <sz val="10"/>
      <name val="Inherit"/>
    </font>
    <font>
      <sz val="8"/>
      <name val="Verdana"/>
      <family val="2"/>
    </font>
    <font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4" tint="0.79998168889431442"/>
        <bgColor indexed="64"/>
      </patternFill>
    </fill>
  </fills>
  <borders count="14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indexed="64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/>
      <top style="medium">
        <color auto="1"/>
      </top>
      <bottom style="hair">
        <color indexed="64"/>
      </bottom>
      <diagonal/>
    </border>
    <border>
      <left/>
      <right style="hair">
        <color indexed="64"/>
      </right>
      <top style="medium">
        <color auto="1"/>
      </top>
      <bottom style="hair">
        <color indexed="64"/>
      </bottom>
      <diagonal/>
    </border>
    <border>
      <left style="hair">
        <color indexed="64"/>
      </left>
      <right style="medium">
        <color auto="1"/>
      </right>
      <top style="medium">
        <color auto="1"/>
      </top>
      <bottom style="hair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hair">
        <color indexed="64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 diagonalUp="1" diagonalDown="1">
      <left style="hair">
        <color indexed="64"/>
      </left>
      <right style="hair">
        <color indexed="64"/>
      </right>
      <top style="hair">
        <color indexed="64"/>
      </top>
      <bottom/>
      <diagonal style="dashDotDot">
        <color indexed="64"/>
      </diagonal>
    </border>
    <border diagonalUp="1" diagonalDown="1">
      <left/>
      <right style="hair">
        <color indexed="64"/>
      </right>
      <top style="hair">
        <color indexed="64"/>
      </top>
      <bottom/>
      <diagonal style="dashDotDot">
        <color indexed="64"/>
      </diagonal>
    </border>
    <border diagonalUp="1"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dashDotDot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 diagonalUp="1" diagonalDown="1">
      <left style="dashDotDot">
        <color rgb="FFFF0000"/>
      </left>
      <right style="dashDotDot">
        <color auto="1"/>
      </right>
      <top/>
      <bottom/>
      <diagonal style="dashDotDot">
        <color rgb="FFFF0000"/>
      </diagonal>
    </border>
    <border diagonalUp="1" diagonalDown="1">
      <left style="dashDotDot">
        <color auto="1"/>
      </left>
      <right style="dashDotDot">
        <color auto="1"/>
      </right>
      <top/>
      <bottom/>
      <diagonal style="dashDotDot">
        <color rgb="FFFF0000"/>
      </diagonal>
    </border>
    <border diagonalUp="1" diagonalDown="1">
      <left style="dashDotDot">
        <color auto="1"/>
      </left>
      <right style="dashDotDot">
        <color rgb="FFFF0000"/>
      </right>
      <top/>
      <bottom/>
      <diagonal style="dashDotDot">
        <color rgb="FFFF0000"/>
      </diagonal>
    </border>
    <border diagonalUp="1"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rgb="FFFF0000"/>
      </diagonal>
    </border>
    <border diagonalUp="1" diagonalDown="1">
      <left style="hair">
        <color indexed="64"/>
      </left>
      <right style="hair">
        <color indexed="64"/>
      </right>
      <top style="hair">
        <color indexed="64"/>
      </top>
      <bottom/>
      <diagonal style="hair">
        <color rgb="FFFF0000"/>
      </diagonal>
    </border>
    <border>
      <left style="medium">
        <color auto="1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medium">
        <color auto="1"/>
      </left>
      <right style="thin">
        <color theme="8" tint="0.59996337778862885"/>
      </right>
      <top style="medium">
        <color auto="1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medium">
        <color auto="1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indexed="64"/>
      </right>
      <top style="medium">
        <color auto="1"/>
      </top>
      <bottom style="thin">
        <color theme="8" tint="0.59996337778862885"/>
      </bottom>
      <diagonal/>
    </border>
    <border>
      <left style="medium">
        <color auto="1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medium">
        <color auto="1"/>
      </left>
      <right style="thin">
        <color theme="8" tint="0.59996337778862885"/>
      </right>
      <top style="thin">
        <color theme="8" tint="0.59996337778862885"/>
      </top>
      <bottom style="thin">
        <color theme="8" tint="0.79998168889431442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79998168889431442"/>
      </bottom>
      <diagonal/>
    </border>
    <border>
      <left style="thin">
        <color theme="8" tint="0.59996337778862885"/>
      </left>
      <right style="medium">
        <color auto="1"/>
      </right>
      <top style="medium">
        <color auto="1"/>
      </top>
      <bottom style="thin">
        <color theme="8" tint="0.59996337778862885"/>
      </bottom>
      <diagonal/>
    </border>
    <border>
      <left style="medium">
        <color auto="1"/>
      </left>
      <right style="thin">
        <color theme="8" tint="0.59996337778862885"/>
      </right>
      <top style="thin">
        <color theme="8" tint="0.79998168889431442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79998168889431442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/>
      <top style="thin">
        <color theme="8" tint="0.59996337778862885"/>
      </top>
      <bottom/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59996337778862885"/>
      </left>
      <right/>
      <top style="thin">
        <color theme="8" tint="0.79998168889431442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auto="1"/>
      </top>
      <bottom style="thin">
        <color auto="1"/>
      </bottom>
      <diagonal/>
    </border>
    <border>
      <left style="thin">
        <color theme="8" tint="0.5999633777886288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79998168889431442"/>
      </bottom>
      <diagonal/>
    </border>
    <border>
      <left style="thin">
        <color indexed="64"/>
      </left>
      <right style="thin">
        <color theme="8" tint="0.59996337778862885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theme="8" tint="0.79998168889431442"/>
      </left>
      <right/>
      <top/>
      <bottom style="thin">
        <color theme="8" tint="0.79998168889431442"/>
      </bottom>
      <diagonal/>
    </border>
    <border>
      <left style="thin">
        <color auto="1"/>
      </left>
      <right/>
      <top style="thin">
        <color theme="8" tint="0.5999633777886288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auto="1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auto="1"/>
      </left>
      <right style="thin">
        <color auto="1"/>
      </right>
      <top style="thin">
        <color theme="8" tint="0.59996337778862885"/>
      </top>
      <bottom style="thin">
        <color theme="8" tint="0.79998168889431442"/>
      </bottom>
      <diagonal/>
    </border>
    <border>
      <left style="thin">
        <color auto="1"/>
      </left>
      <right/>
      <top style="thin">
        <color theme="8" tint="0.59996337778862885"/>
      </top>
      <bottom style="thin">
        <color theme="8" tint="0.79998168889431442"/>
      </bottom>
      <diagonal/>
    </border>
    <border>
      <left style="thin">
        <color auto="1"/>
      </left>
      <right style="thin">
        <color auto="1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auto="1"/>
      </left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auto="1"/>
      </left>
      <right style="thin">
        <color auto="1"/>
      </right>
      <top style="thin">
        <color theme="8" tint="0.79998168889431442"/>
      </top>
      <bottom style="thin">
        <color theme="8" tint="0.59996337778862885"/>
      </bottom>
      <diagonal/>
    </border>
    <border>
      <left style="thin">
        <color auto="1"/>
      </left>
      <right/>
      <top style="thin">
        <color theme="8" tint="0.79998168889431442"/>
      </top>
      <bottom style="thin">
        <color theme="8" tint="0.59996337778862885"/>
      </bottom>
      <diagonal/>
    </border>
    <border>
      <left style="thin">
        <color auto="1"/>
      </left>
      <right style="medium">
        <color auto="1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auto="1"/>
      </left>
      <right style="thin">
        <color auto="1"/>
      </right>
      <top/>
      <bottom style="thin">
        <color theme="8" tint="0.79998168889431442"/>
      </bottom>
      <diagonal/>
    </border>
    <border>
      <left style="thin">
        <color auto="1"/>
      </left>
      <right/>
      <top/>
      <bottom style="thin">
        <color theme="8" tint="0.79998168889431442"/>
      </bottom>
      <diagonal/>
    </border>
    <border>
      <left style="thin">
        <color auto="1"/>
      </left>
      <right style="thin">
        <color auto="1"/>
      </right>
      <top style="thin">
        <color theme="8" tint="0.59996337778862885"/>
      </top>
      <bottom/>
      <diagonal/>
    </border>
    <border>
      <left style="thin">
        <color auto="1"/>
      </left>
      <right/>
      <top style="thin">
        <color theme="8" tint="0.59996337778862885"/>
      </top>
      <bottom/>
      <diagonal/>
    </border>
    <border>
      <left style="thin">
        <color auto="1"/>
      </left>
      <right style="thin">
        <color auto="1"/>
      </right>
      <top style="thin">
        <color theme="8" tint="0.59996337778862885"/>
      </top>
      <bottom style="thin">
        <color auto="1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auto="1"/>
      </right>
      <top style="thin">
        <color theme="8" tint="0.59996337778862885"/>
      </top>
      <bottom style="thin">
        <color indexed="64"/>
      </bottom>
      <diagonal/>
    </border>
    <border>
      <left style="thin">
        <color theme="8" tint="0.59996337778862885"/>
      </left>
      <right style="thin">
        <color auto="1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indexed="64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70" fontId="18" fillId="0" borderId="0" applyFont="0" applyFill="0" applyBorder="0" applyAlignment="0" applyProtection="0"/>
  </cellStyleXfs>
  <cellXfs count="1099">
    <xf numFmtId="0" fontId="0" fillId="0" borderId="0" xfId="0"/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5" borderId="13" xfId="0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vertical="center"/>
    </xf>
    <xf numFmtId="0" fontId="2" fillId="5" borderId="1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2" fillId="5" borderId="1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2" fillId="5" borderId="28" xfId="0" applyFont="1" applyFill="1" applyBorder="1"/>
    <xf numFmtId="0" fontId="2" fillId="5" borderId="1" xfId="0" applyFont="1" applyFill="1" applyBorder="1"/>
    <xf numFmtId="0" fontId="2" fillId="5" borderId="5" xfId="0" applyFont="1" applyFill="1" applyBorder="1"/>
    <xf numFmtId="0" fontId="2" fillId="5" borderId="8" xfId="0" applyFont="1" applyFill="1" applyBorder="1"/>
    <xf numFmtId="0" fontId="9" fillId="5" borderId="13" xfId="0" applyFont="1" applyFill="1" applyBorder="1"/>
    <xf numFmtId="0" fontId="11" fillId="6" borderId="10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0" borderId="20" xfId="0" applyFont="1" applyBorder="1"/>
    <xf numFmtId="0" fontId="14" fillId="0" borderId="0" xfId="0" applyFont="1"/>
    <xf numFmtId="0" fontId="11" fillId="6" borderId="25" xfId="0" applyFont="1" applyFill="1" applyBorder="1" applyAlignment="1">
      <alignment horizontal="center" vertical="center"/>
    </xf>
    <xf numFmtId="0" fontId="11" fillId="6" borderId="26" xfId="0" applyFont="1" applyFill="1" applyBorder="1" applyAlignment="1">
      <alignment horizontal="center" vertical="center"/>
    </xf>
    <xf numFmtId="0" fontId="12" fillId="0" borderId="20" xfId="0" applyFont="1" applyBorder="1"/>
    <xf numFmtId="0" fontId="10" fillId="0" borderId="0" xfId="0" applyFont="1"/>
    <xf numFmtId="0" fontId="12" fillId="0" borderId="27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6" fillId="5" borderId="13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left" vertical="center"/>
    </xf>
    <xf numFmtId="0" fontId="7" fillId="9" borderId="8" xfId="0" applyFont="1" applyFill="1" applyBorder="1" applyAlignment="1">
      <alignment horizontal="center" vertical="center"/>
    </xf>
    <xf numFmtId="0" fontId="11" fillId="6" borderId="31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11" fillId="9" borderId="5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7" fillId="0" borderId="33" xfId="0" applyFont="1" applyBorder="1"/>
    <xf numFmtId="0" fontId="7" fillId="2" borderId="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0" fillId="9" borderId="23" xfId="0" applyFill="1" applyBorder="1"/>
    <xf numFmtId="0" fontId="7" fillId="0" borderId="0" xfId="1" applyNumberFormat="1" applyFont="1" applyBorder="1" applyAlignment="1">
      <alignment horizontal="center" vertical="center"/>
    </xf>
    <xf numFmtId="164" fontId="18" fillId="0" borderId="0" xfId="1" applyFont="1" applyBorder="1" applyAlignment="1">
      <alignment horizontal="center" vertical="center"/>
    </xf>
    <xf numFmtId="164" fontId="18" fillId="0" borderId="0" xfId="1" applyFont="1"/>
    <xf numFmtId="164" fontId="18" fillId="0" borderId="0" xfId="1" applyFont="1" applyFill="1" applyBorder="1" applyAlignment="1">
      <alignment horizontal="center" vertical="center"/>
    </xf>
    <xf numFmtId="0" fontId="0" fillId="9" borderId="0" xfId="0" applyFill="1" applyBorder="1" applyAlignment="1">
      <alignment wrapText="1"/>
    </xf>
    <xf numFmtId="0" fontId="0" fillId="9" borderId="0" xfId="0" applyFill="1" applyBorder="1" applyAlignment="1">
      <alignment vertical="center" wrapText="1"/>
    </xf>
    <xf numFmtId="0" fontId="17" fillId="0" borderId="1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 vertical="center"/>
    </xf>
    <xf numFmtId="164" fontId="18" fillId="0" borderId="0" xfId="1" applyFont="1" applyFill="1"/>
    <xf numFmtId="0" fontId="0" fillId="0" borderId="0" xfId="0" applyFill="1"/>
    <xf numFmtId="0" fontId="7" fillId="0" borderId="34" xfId="0" applyFont="1" applyBorder="1"/>
    <xf numFmtId="164" fontId="7" fillId="0" borderId="34" xfId="0" applyNumberFormat="1" applyFont="1" applyBorder="1"/>
    <xf numFmtId="0" fontId="0" fillId="0" borderId="34" xfId="0" applyBorder="1"/>
    <xf numFmtId="164" fontId="0" fillId="0" borderId="36" xfId="0" applyNumberFormat="1" applyBorder="1"/>
    <xf numFmtId="164" fontId="0" fillId="0" borderId="36" xfId="0" applyNumberFormat="1" applyFill="1" applyBorder="1"/>
    <xf numFmtId="164" fontId="0" fillId="0" borderId="35" xfId="0" applyNumberFormat="1" applyBorder="1"/>
    <xf numFmtId="0" fontId="7" fillId="0" borderId="37" xfId="1" applyNumberFormat="1" applyFont="1" applyBorder="1" applyAlignment="1">
      <alignment horizontal="center" vertical="center"/>
    </xf>
    <xf numFmtId="0" fontId="7" fillId="0" borderId="23" xfId="1" applyNumberFormat="1" applyFont="1" applyBorder="1" applyAlignment="1">
      <alignment horizontal="center" vertical="center"/>
    </xf>
    <xf numFmtId="164" fontId="18" fillId="0" borderId="23" xfId="1" applyFont="1" applyBorder="1" applyAlignment="1">
      <alignment horizontal="center" vertical="center"/>
    </xf>
    <xf numFmtId="164" fontId="18" fillId="0" borderId="23" xfId="1" applyFont="1" applyBorder="1"/>
    <xf numFmtId="164" fontId="0" fillId="0" borderId="38" xfId="0" applyNumberFormat="1" applyBorder="1"/>
    <xf numFmtId="164" fontId="19" fillId="0" borderId="34" xfId="0" applyNumberFormat="1" applyFont="1" applyBorder="1"/>
    <xf numFmtId="1" fontId="12" fillId="0" borderId="1" xfId="1" applyNumberFormat="1" applyFont="1" applyBorder="1" applyAlignment="1">
      <alignment horizontal="center" vertical="center"/>
    </xf>
    <xf numFmtId="0" fontId="2" fillId="7" borderId="13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22" fillId="7" borderId="0" xfId="0" applyFont="1" applyFill="1"/>
    <xf numFmtId="0" fontId="22" fillId="7" borderId="0" xfId="0" applyFont="1" applyFill="1" applyAlignment="1">
      <alignment horizontal="center"/>
    </xf>
    <xf numFmtId="0" fontId="22" fillId="7" borderId="0" xfId="0" applyFont="1" applyFill="1" applyAlignment="1"/>
    <xf numFmtId="43" fontId="22" fillId="7" borderId="0" xfId="3" applyNumberFormat="1" applyFont="1" applyFill="1"/>
    <xf numFmtId="166" fontId="22" fillId="7" borderId="0" xfId="0" applyNumberFormat="1" applyFont="1" applyFill="1" applyAlignment="1">
      <alignment horizontal="center"/>
    </xf>
    <xf numFmtId="0" fontId="22" fillId="7" borderId="0" xfId="0" applyFont="1" applyFill="1" applyAlignment="1">
      <alignment horizontal="left"/>
    </xf>
    <xf numFmtId="165" fontId="22" fillId="7" borderId="0" xfId="0" applyNumberFormat="1" applyFont="1" applyFill="1" applyAlignment="1">
      <alignment horizontal="center"/>
    </xf>
    <xf numFmtId="166" fontId="22" fillId="7" borderId="0" xfId="0" applyNumberFormat="1" applyFont="1" applyFill="1" applyAlignment="1">
      <alignment horizontal="left" vertical="center"/>
    </xf>
    <xf numFmtId="0" fontId="22" fillId="7" borderId="0" xfId="0" applyFont="1" applyFill="1" applyAlignment="1">
      <alignment horizontal="left" vertical="center"/>
    </xf>
    <xf numFmtId="166" fontId="22" fillId="7" borderId="0" xfId="0" applyNumberFormat="1" applyFont="1" applyFill="1"/>
    <xf numFmtId="164" fontId="1" fillId="7" borderId="0" xfId="0" applyNumberFormat="1" applyFont="1" applyFill="1"/>
    <xf numFmtId="0" fontId="22" fillId="7" borderId="0" xfId="0" applyFont="1" applyFill="1" applyAlignment="1">
      <alignment vertical="center"/>
    </xf>
    <xf numFmtId="166" fontId="22" fillId="7" borderId="0" xfId="0" applyNumberFormat="1" applyFont="1" applyFill="1" applyBorder="1" applyAlignment="1">
      <alignment horizontal="center" vertical="center"/>
    </xf>
    <xf numFmtId="43" fontId="1" fillId="7" borderId="0" xfId="0" applyNumberFormat="1" applyFont="1" applyFill="1" applyAlignment="1">
      <alignment vertical="center"/>
    </xf>
    <xf numFmtId="0" fontId="23" fillId="7" borderId="0" xfId="0" applyFont="1" applyFill="1" applyAlignment="1">
      <alignment horizontal="left" vertical="center" wrapText="1"/>
    </xf>
    <xf numFmtId="0" fontId="23" fillId="7" borderId="0" xfId="0" applyFont="1" applyFill="1" applyAlignment="1">
      <alignment vertical="center" wrapText="1"/>
    </xf>
    <xf numFmtId="0" fontId="3" fillId="7" borderId="43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vertical="center"/>
    </xf>
    <xf numFmtId="43" fontId="2" fillId="7" borderId="43" xfId="2" applyFont="1" applyFill="1" applyBorder="1" applyAlignment="1">
      <alignment vertical="center"/>
    </xf>
    <xf numFmtId="43" fontId="2" fillId="7" borderId="43" xfId="3" applyNumberFormat="1" applyFont="1" applyFill="1" applyBorder="1" applyAlignment="1">
      <alignment vertical="center"/>
    </xf>
    <xf numFmtId="166" fontId="2" fillId="7" borderId="43" xfId="0" applyNumberFormat="1" applyFont="1" applyFill="1" applyBorder="1" applyAlignment="1">
      <alignment horizontal="center" vertical="center"/>
    </xf>
    <xf numFmtId="15" fontId="3" fillId="7" borderId="43" xfId="0" applyNumberFormat="1" applyFont="1" applyFill="1" applyBorder="1" applyAlignment="1">
      <alignment horizontal="left" vertical="center"/>
    </xf>
    <xf numFmtId="165" fontId="3" fillId="7" borderId="43" xfId="0" applyNumberFormat="1" applyFont="1" applyFill="1" applyBorder="1" applyAlignment="1">
      <alignment horizontal="center" vertical="center"/>
    </xf>
    <xf numFmtId="1" fontId="3" fillId="7" borderId="43" xfId="0" applyNumberFormat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166" fontId="3" fillId="7" borderId="44" xfId="0" applyNumberFormat="1" applyFont="1" applyFill="1" applyBorder="1" applyAlignment="1">
      <alignment horizontal="left" vertical="center"/>
    </xf>
    <xf numFmtId="0" fontId="3" fillId="7" borderId="44" xfId="0" applyFont="1" applyFill="1" applyBorder="1" applyAlignment="1">
      <alignment horizontal="left" vertical="center"/>
    </xf>
    <xf numFmtId="0" fontId="3" fillId="7" borderId="45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vertical="center"/>
    </xf>
    <xf numFmtId="165" fontId="3" fillId="7" borderId="13" xfId="0" applyNumberFormat="1" applyFont="1" applyFill="1" applyBorder="1" applyAlignment="1">
      <alignment horizontal="left" vertical="center"/>
    </xf>
    <xf numFmtId="43" fontId="2" fillId="7" borderId="13" xfId="0" applyNumberFormat="1" applyFont="1" applyFill="1" applyBorder="1" applyAlignment="1">
      <alignment vertical="center"/>
    </xf>
    <xf numFmtId="43" fontId="2" fillId="7" borderId="13" xfId="3" applyNumberFormat="1" applyFont="1" applyFill="1" applyBorder="1" applyAlignment="1">
      <alignment vertical="center"/>
    </xf>
    <xf numFmtId="166" fontId="2" fillId="7" borderId="13" xfId="0" applyNumberFormat="1" applyFont="1" applyFill="1" applyBorder="1" applyAlignment="1">
      <alignment horizontal="center" vertical="center"/>
    </xf>
    <xf numFmtId="15" fontId="3" fillId="7" borderId="13" xfId="0" applyNumberFormat="1" applyFont="1" applyFill="1" applyBorder="1" applyAlignment="1">
      <alignment horizontal="left" vertical="center"/>
    </xf>
    <xf numFmtId="166" fontId="3" fillId="7" borderId="13" xfId="0" applyNumberFormat="1" applyFont="1" applyFill="1" applyBorder="1" applyAlignment="1">
      <alignment horizontal="center" vertical="center"/>
    </xf>
    <xf numFmtId="166" fontId="3" fillId="7" borderId="26" xfId="0" applyNumberFormat="1" applyFont="1" applyFill="1" applyBorder="1" applyAlignment="1">
      <alignment horizontal="left" vertical="center" wrapText="1"/>
    </xf>
    <xf numFmtId="0" fontId="3" fillId="7" borderId="26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4" fontId="3" fillId="7" borderId="13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168" fontId="3" fillId="7" borderId="13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vertical="center"/>
    </xf>
    <xf numFmtId="43" fontId="2" fillId="7" borderId="1" xfId="0" applyNumberFormat="1" applyFont="1" applyFill="1" applyBorder="1" applyAlignment="1">
      <alignment vertical="center"/>
    </xf>
    <xf numFmtId="0" fontId="3" fillId="7" borderId="0" xfId="0" applyFont="1" applyFill="1" applyBorder="1" applyAlignment="1">
      <alignment horizontal="left" vertical="center"/>
    </xf>
    <xf numFmtId="43" fontId="2" fillId="7" borderId="1" xfId="3" applyNumberFormat="1" applyFont="1" applyFill="1" applyBorder="1" applyAlignment="1">
      <alignment vertical="center"/>
    </xf>
    <xf numFmtId="166" fontId="2" fillId="7" borderId="1" xfId="0" applyNumberFormat="1" applyFont="1" applyFill="1" applyBorder="1" applyAlignment="1">
      <alignment horizontal="center" vertical="center"/>
    </xf>
    <xf numFmtId="4" fontId="2" fillId="7" borderId="13" xfId="0" applyNumberFormat="1" applyFont="1" applyFill="1" applyBorder="1" applyAlignment="1">
      <alignment vertical="center"/>
    </xf>
    <xf numFmtId="4" fontId="2" fillId="7" borderId="1" xfId="0" applyNumberFormat="1" applyFont="1" applyFill="1" applyBorder="1" applyAlignment="1">
      <alignment vertical="center"/>
    </xf>
    <xf numFmtId="165" fontId="3" fillId="7" borderId="1" xfId="0" applyNumberFormat="1" applyFont="1" applyFill="1" applyBorder="1" applyAlignment="1">
      <alignment horizontal="left" vertical="center"/>
    </xf>
    <xf numFmtId="43" fontId="3" fillId="7" borderId="13" xfId="3" applyNumberFormat="1" applyFont="1" applyFill="1" applyBorder="1" applyAlignment="1">
      <alignment horizontal="right" vertical="center"/>
    </xf>
    <xf numFmtId="43" fontId="3" fillId="7" borderId="1" xfId="3" applyNumberFormat="1" applyFont="1" applyFill="1" applyBorder="1" applyAlignment="1">
      <alignment horizontal="right" vertical="center"/>
    </xf>
    <xf numFmtId="166" fontId="3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166" fontId="16" fillId="7" borderId="13" xfId="0" applyNumberFormat="1" applyFont="1" applyFill="1" applyBorder="1" applyAlignment="1">
      <alignment horizontal="center" vertical="center"/>
    </xf>
    <xf numFmtId="0" fontId="16" fillId="7" borderId="26" xfId="0" applyFont="1" applyFill="1" applyBorder="1" applyAlignment="1">
      <alignment horizontal="left" vertical="center" wrapText="1"/>
    </xf>
    <xf numFmtId="0" fontId="2" fillId="7" borderId="13" xfId="0" applyFont="1" applyFill="1" applyBorder="1"/>
    <xf numFmtId="0" fontId="3" fillId="7" borderId="1" xfId="0" applyFont="1" applyFill="1" applyBorder="1" applyAlignment="1">
      <alignment horizontal="center" vertical="center"/>
    </xf>
    <xf numFmtId="1" fontId="2" fillId="7" borderId="13" xfId="0" applyNumberFormat="1" applyFont="1" applyFill="1" applyBorder="1" applyAlignment="1">
      <alignment horizontal="center"/>
    </xf>
    <xf numFmtId="0" fontId="22" fillId="7" borderId="13" xfId="0" applyFont="1" applyFill="1" applyBorder="1"/>
    <xf numFmtId="0" fontId="3" fillId="7" borderId="13" xfId="0" applyFont="1" applyFill="1" applyBorder="1" applyAlignment="1">
      <alignment horizontal="left" vertical="center" wrapText="1"/>
    </xf>
    <xf numFmtId="0" fontId="2" fillId="7" borderId="26" xfId="0" applyFont="1" applyFill="1" applyBorder="1"/>
    <xf numFmtId="0" fontId="2" fillId="7" borderId="1" xfId="0" applyFont="1" applyFill="1" applyBorder="1" applyAlignment="1">
      <alignment horizontal="left"/>
    </xf>
    <xf numFmtId="0" fontId="24" fillId="7" borderId="13" xfId="0" applyFont="1" applyFill="1" applyBorder="1"/>
    <xf numFmtId="0" fontId="9" fillId="7" borderId="13" xfId="0" applyFont="1" applyFill="1" applyBorder="1" applyAlignment="1">
      <alignment vertical="center"/>
    </xf>
    <xf numFmtId="0" fontId="25" fillId="7" borderId="13" xfId="0" applyFont="1" applyFill="1" applyBorder="1" applyAlignment="1">
      <alignment vertical="center"/>
    </xf>
    <xf numFmtId="0" fontId="26" fillId="7" borderId="26" xfId="0" applyFont="1" applyFill="1" applyBorder="1" applyAlignment="1">
      <alignment horizontal="left" vertical="center" wrapText="1"/>
    </xf>
    <xf numFmtId="166" fontId="26" fillId="7" borderId="26" xfId="0" applyNumberFormat="1" applyFont="1" applyFill="1" applyBorder="1" applyAlignment="1">
      <alignment horizontal="left" vertical="center" wrapText="1"/>
    </xf>
    <xf numFmtId="1" fontId="2" fillId="7" borderId="1" xfId="0" applyNumberFormat="1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vertical="center"/>
    </xf>
    <xf numFmtId="166" fontId="16" fillId="7" borderId="26" xfId="0" applyNumberFormat="1" applyFont="1" applyFill="1" applyBorder="1" applyAlignment="1">
      <alignment horizontal="left" vertical="center" wrapText="1"/>
    </xf>
    <xf numFmtId="0" fontId="22" fillId="7" borderId="13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center" wrapText="1"/>
    </xf>
    <xf numFmtId="17" fontId="3" fillId="7" borderId="26" xfId="0" applyNumberFormat="1" applyFont="1" applyFill="1" applyBorder="1" applyAlignment="1">
      <alignment horizontal="left" vertical="center" wrapText="1"/>
    </xf>
    <xf numFmtId="43" fontId="27" fillId="7" borderId="13" xfId="3" applyNumberFormat="1" applyFont="1" applyFill="1" applyBorder="1" applyAlignment="1">
      <alignment horizontal="right" wrapText="1"/>
    </xf>
    <xf numFmtId="166" fontId="27" fillId="7" borderId="13" xfId="0" applyNumberFormat="1" applyFont="1" applyFill="1" applyBorder="1" applyAlignment="1">
      <alignment horizontal="center" wrapText="1"/>
    </xf>
    <xf numFmtId="43" fontId="27" fillId="7" borderId="46" xfId="3" applyNumberFormat="1" applyFont="1" applyFill="1" applyBorder="1" applyAlignment="1">
      <alignment horizontal="right" wrapText="1"/>
    </xf>
    <xf numFmtId="43" fontId="27" fillId="7" borderId="13" xfId="3" applyNumberFormat="1" applyFont="1" applyFill="1" applyBorder="1" applyAlignment="1">
      <alignment horizontal="right" vertical="center" wrapText="1"/>
    </xf>
    <xf numFmtId="166" fontId="3" fillId="7" borderId="1" xfId="0" applyNumberFormat="1" applyFont="1" applyFill="1" applyBorder="1" applyAlignment="1">
      <alignment horizontal="left" vertical="center"/>
    </xf>
    <xf numFmtId="43" fontId="22" fillId="7" borderId="13" xfId="3" applyNumberFormat="1" applyFont="1" applyFill="1" applyBorder="1"/>
    <xf numFmtId="0" fontId="3" fillId="7" borderId="25" xfId="0" applyFont="1" applyFill="1" applyBorder="1" applyAlignment="1">
      <alignment horizontal="left" vertical="center" wrapText="1"/>
    </xf>
    <xf numFmtId="43" fontId="27" fillId="7" borderId="1" xfId="3" applyNumberFormat="1" applyFont="1" applyFill="1" applyBorder="1" applyAlignment="1">
      <alignment horizontal="right" wrapText="1"/>
    </xf>
    <xf numFmtId="43" fontId="9" fillId="7" borderId="1" xfId="0" applyNumberFormat="1" applyFont="1" applyFill="1" applyBorder="1" applyAlignment="1">
      <alignment vertical="center"/>
    </xf>
    <xf numFmtId="4" fontId="22" fillId="7" borderId="0" xfId="0" applyNumberFormat="1" applyFont="1" applyFill="1" applyAlignment="1">
      <alignment vertical="center"/>
    </xf>
    <xf numFmtId="0" fontId="24" fillId="7" borderId="1" xfId="0" applyFont="1" applyFill="1" applyBorder="1"/>
    <xf numFmtId="166" fontId="3" fillId="7" borderId="26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66" fontId="22" fillId="7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 vertical="center"/>
    </xf>
    <xf numFmtId="166" fontId="3" fillId="7" borderId="25" xfId="0" applyNumberFormat="1" applyFont="1" applyFill="1" applyBorder="1" applyAlignment="1">
      <alignment horizontal="left" vertical="center" wrapText="1"/>
    </xf>
    <xf numFmtId="43" fontId="22" fillId="7" borderId="1" xfId="3" applyNumberFormat="1" applyFont="1" applyFill="1" applyBorder="1"/>
    <xf numFmtId="166" fontId="16" fillId="7" borderId="1" xfId="0" applyNumberFormat="1" applyFont="1" applyFill="1" applyBorder="1" applyAlignment="1">
      <alignment horizontal="center" vertical="center"/>
    </xf>
    <xf numFmtId="166" fontId="16" fillId="7" borderId="25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left" vertical="center" wrapText="1"/>
    </xf>
    <xf numFmtId="166" fontId="27" fillId="7" borderId="8" xfId="0" applyNumberFormat="1" applyFont="1" applyFill="1" applyBorder="1" applyAlignment="1">
      <alignment horizontal="center" wrapText="1"/>
    </xf>
    <xf numFmtId="43" fontId="27" fillId="7" borderId="1" xfId="3" applyNumberFormat="1" applyFont="1" applyFill="1" applyBorder="1" applyAlignment="1">
      <alignment horizontal="right" vertical="center" wrapText="1"/>
    </xf>
    <xf numFmtId="43" fontId="27" fillId="7" borderId="8" xfId="3" applyNumberFormat="1" applyFont="1" applyFill="1" applyBorder="1" applyAlignment="1">
      <alignment horizontal="right" wrapText="1"/>
    </xf>
    <xf numFmtId="166" fontId="27" fillId="7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43" fontId="2" fillId="7" borderId="8" xfId="3" applyNumberFormat="1" applyFont="1" applyFill="1" applyBorder="1" applyAlignment="1">
      <alignment vertical="center"/>
    </xf>
    <xf numFmtId="166" fontId="27" fillId="7" borderId="1" xfId="3" applyNumberFormat="1" applyFont="1" applyFill="1" applyBorder="1" applyAlignment="1">
      <alignment horizontal="center" wrapText="1"/>
    </xf>
    <xf numFmtId="166" fontId="9" fillId="7" borderId="1" xfId="0" applyNumberFormat="1" applyFont="1" applyFill="1" applyBorder="1" applyAlignment="1">
      <alignment horizontal="center"/>
    </xf>
    <xf numFmtId="166" fontId="16" fillId="7" borderId="25" xfId="0" applyNumberFormat="1" applyFont="1" applyFill="1" applyBorder="1" applyAlignment="1">
      <alignment horizontal="left" vertical="center"/>
    </xf>
    <xf numFmtId="0" fontId="16" fillId="7" borderId="25" xfId="0" applyFont="1" applyFill="1" applyBorder="1" applyAlignment="1">
      <alignment horizontal="left" vertical="center"/>
    </xf>
    <xf numFmtId="166" fontId="2" fillId="7" borderId="1" xfId="3" applyNumberFormat="1" applyFont="1" applyFill="1" applyBorder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vertical="center" wrapText="1"/>
    </xf>
    <xf numFmtId="165" fontId="1" fillId="11" borderId="17" xfId="0" applyNumberFormat="1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/>
    </xf>
    <xf numFmtId="43" fontId="1" fillId="11" borderId="17" xfId="3" applyNumberFormat="1" applyFont="1" applyFill="1" applyBorder="1" applyAlignment="1">
      <alignment horizontal="center" vertical="center" wrapText="1"/>
    </xf>
    <xf numFmtId="166" fontId="1" fillId="11" borderId="17" xfId="0" applyNumberFormat="1" applyFont="1" applyFill="1" applyBorder="1" applyAlignment="1">
      <alignment horizontal="center" vertical="center" wrapText="1"/>
    </xf>
    <xf numFmtId="169" fontId="2" fillId="7" borderId="13" xfId="0" applyNumberFormat="1" applyFont="1" applyFill="1" applyBorder="1" applyAlignment="1">
      <alignment horizontal="left" vertical="center"/>
    </xf>
    <xf numFmtId="169" fontId="3" fillId="7" borderId="13" xfId="0" applyNumberFormat="1" applyFont="1" applyFill="1" applyBorder="1" applyAlignment="1">
      <alignment horizontal="left" vertical="center"/>
    </xf>
    <xf numFmtId="0" fontId="12" fillId="0" borderId="1" xfId="0" applyFont="1" applyBorder="1" applyAlignment="1" applyProtection="1">
      <alignment horizontal="center" vertical="center"/>
      <protection locked="0"/>
    </xf>
    <xf numFmtId="165" fontId="3" fillId="7" borderId="1" xfId="0" applyNumberFormat="1" applyFont="1" applyFill="1" applyBorder="1" applyAlignment="1">
      <alignment horizontal="center" vertical="center"/>
    </xf>
    <xf numFmtId="165" fontId="16" fillId="7" borderId="1" xfId="0" applyNumberFormat="1" applyFont="1" applyFill="1" applyBorder="1" applyAlignment="1">
      <alignment horizontal="center" vertical="center"/>
    </xf>
    <xf numFmtId="165" fontId="3" fillId="7" borderId="13" xfId="0" applyNumberFormat="1" applyFont="1" applyFill="1" applyBorder="1" applyAlignment="1">
      <alignment horizontal="center" vertical="center"/>
    </xf>
    <xf numFmtId="165" fontId="16" fillId="7" borderId="13" xfId="0" applyNumberFormat="1" applyFont="1" applyFill="1" applyBorder="1" applyAlignment="1">
      <alignment horizontal="center" vertical="center"/>
    </xf>
    <xf numFmtId="0" fontId="1" fillId="11" borderId="4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/>
    <xf numFmtId="0" fontId="12" fillId="0" borderId="46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 vertical="center"/>
    </xf>
    <xf numFmtId="0" fontId="28" fillId="7" borderId="26" xfId="0" applyFont="1" applyFill="1" applyBorder="1" applyAlignment="1">
      <alignment horizontal="left" vertical="center" wrapText="1"/>
    </xf>
    <xf numFmtId="0" fontId="2" fillId="7" borderId="46" xfId="0" applyFont="1" applyFill="1" applyBorder="1" applyAlignment="1">
      <alignment horizontal="left" vertical="center"/>
    </xf>
    <xf numFmtId="0" fontId="24" fillId="7" borderId="1" xfId="0" applyFont="1" applyFill="1" applyBorder="1" applyAlignment="1"/>
    <xf numFmtId="0" fontId="2" fillId="7" borderId="8" xfId="0" applyFont="1" applyFill="1" applyBorder="1"/>
    <xf numFmtId="0" fontId="28" fillId="7" borderId="26" xfId="0" applyFont="1" applyFill="1" applyBorder="1" applyAlignment="1">
      <alignment horizontal="left" vertical="top" wrapText="1"/>
    </xf>
    <xf numFmtId="49" fontId="3" fillId="7" borderId="26" xfId="0" applyNumberFormat="1" applyFont="1" applyFill="1" applyBorder="1" applyAlignment="1">
      <alignment horizontal="left" vertical="center" wrapText="1"/>
    </xf>
    <xf numFmtId="43" fontId="2" fillId="7" borderId="1" xfId="3" applyNumberFormat="1" applyFont="1" applyFill="1" applyBorder="1" applyAlignment="1">
      <alignment horizontal="right" wrapText="1"/>
    </xf>
    <xf numFmtId="166" fontId="2" fillId="7" borderId="1" xfId="0" applyNumberFormat="1" applyFont="1" applyFill="1" applyBorder="1" applyAlignment="1">
      <alignment horizontal="center" wrapText="1"/>
    </xf>
    <xf numFmtId="43" fontId="2" fillId="7" borderId="1" xfId="3" applyNumberFormat="1" applyFont="1" applyFill="1" applyBorder="1" applyAlignment="1">
      <alignment horizontal="right" vertical="center" wrapText="1"/>
    </xf>
    <xf numFmtId="166" fontId="2" fillId="7" borderId="13" xfId="0" applyNumberFormat="1" applyFont="1" applyFill="1" applyBorder="1" applyAlignment="1">
      <alignment horizontal="center" wrapText="1"/>
    </xf>
    <xf numFmtId="43" fontId="2" fillId="7" borderId="13" xfId="3" applyNumberFormat="1" applyFont="1" applyFill="1" applyBorder="1" applyAlignment="1">
      <alignment horizontal="right" wrapText="1"/>
    </xf>
    <xf numFmtId="43" fontId="2" fillId="7" borderId="13" xfId="3" applyNumberFormat="1" applyFont="1" applyFill="1" applyBorder="1" applyAlignment="1">
      <alignment horizontal="right" vertical="center"/>
    </xf>
    <xf numFmtId="0" fontId="2" fillId="7" borderId="26" xfId="0" applyFont="1" applyFill="1" applyBorder="1" applyAlignment="1">
      <alignment vertical="center"/>
    </xf>
    <xf numFmtId="0" fontId="3" fillId="7" borderId="1" xfId="0" applyFont="1" applyFill="1" applyBorder="1"/>
    <xf numFmtId="0" fontId="3" fillId="7" borderId="13" xfId="0" applyFont="1" applyFill="1" applyBorder="1"/>
    <xf numFmtId="0" fontId="29" fillId="7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/>
    <xf numFmtId="0" fontId="2" fillId="7" borderId="42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169" fontId="3" fillId="7" borderId="0" xfId="0" applyNumberFormat="1" applyFont="1" applyFill="1" applyBorder="1" applyAlignment="1">
      <alignment horizontal="left" vertical="center"/>
    </xf>
    <xf numFmtId="43" fontId="3" fillId="7" borderId="46" xfId="3" applyNumberFormat="1" applyFont="1" applyFill="1" applyBorder="1" applyAlignment="1">
      <alignment horizontal="right" vertical="center"/>
    </xf>
    <xf numFmtId="0" fontId="22" fillId="7" borderId="0" xfId="0" applyFont="1" applyFill="1" applyBorder="1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 wrapText="1"/>
    </xf>
    <xf numFmtId="166" fontId="22" fillId="7" borderId="0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>
      <alignment horizontal="center" vertical="center" wrapText="1"/>
    </xf>
    <xf numFmtId="43" fontId="22" fillId="7" borderId="0" xfId="3" applyNumberFormat="1" applyFont="1" applyFill="1" applyBorder="1"/>
    <xf numFmtId="4" fontId="22" fillId="7" borderId="0" xfId="0" applyNumberFormat="1" applyFont="1" applyFill="1" applyBorder="1" applyAlignment="1">
      <alignment vertical="center"/>
    </xf>
    <xf numFmtId="166" fontId="3" fillId="7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/>
    <xf numFmtId="0" fontId="2" fillId="5" borderId="13" xfId="0" applyFont="1" applyFill="1" applyBorder="1" applyAlignment="1">
      <alignment horizontal="left"/>
    </xf>
    <xf numFmtId="0" fontId="22" fillId="7" borderId="0" xfId="0" applyFont="1" applyFill="1" applyBorder="1"/>
    <xf numFmtId="14" fontId="22" fillId="7" borderId="1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/>
    </xf>
    <xf numFmtId="0" fontId="4" fillId="7" borderId="13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/>
    </xf>
    <xf numFmtId="0" fontId="9" fillId="7" borderId="42" xfId="0" applyFont="1" applyFill="1" applyBorder="1" applyAlignment="1">
      <alignment horizontal="center" vertical="center"/>
    </xf>
    <xf numFmtId="165" fontId="22" fillId="7" borderId="41" xfId="0" applyNumberFormat="1" applyFont="1" applyFill="1" applyBorder="1" applyAlignment="1">
      <alignment horizontal="center" vertical="center"/>
    </xf>
    <xf numFmtId="43" fontId="22" fillId="7" borderId="41" xfId="0" applyNumberFormat="1" applyFont="1" applyFill="1" applyBorder="1" applyAlignment="1">
      <alignment horizontal="left" vertical="center"/>
    </xf>
    <xf numFmtId="166" fontId="9" fillId="7" borderId="41" xfId="2" applyNumberFormat="1" applyFont="1" applyFill="1" applyBorder="1" applyAlignment="1">
      <alignment horizontal="center" vertical="center"/>
    </xf>
    <xf numFmtId="43" fontId="9" fillId="7" borderId="41" xfId="3" applyNumberFormat="1" applyFont="1" applyFill="1" applyBorder="1" applyAlignment="1">
      <alignment vertical="center"/>
    </xf>
    <xf numFmtId="43" fontId="15" fillId="7" borderId="41" xfId="2" applyFont="1" applyFill="1" applyBorder="1" applyAlignment="1">
      <alignment vertical="center"/>
    </xf>
    <xf numFmtId="0" fontId="22" fillId="7" borderId="41" xfId="0" applyFont="1" applyFill="1" applyBorder="1"/>
    <xf numFmtId="0" fontId="22" fillId="7" borderId="40" xfId="0" applyFont="1" applyFill="1" applyBorder="1"/>
    <xf numFmtId="0" fontId="22" fillId="7" borderId="40" xfId="0" applyFont="1" applyFill="1" applyBorder="1" applyAlignment="1"/>
    <xf numFmtId="0" fontId="22" fillId="7" borderId="39" xfId="0" applyFont="1" applyFill="1" applyBorder="1"/>
    <xf numFmtId="166" fontId="2" fillId="7" borderId="0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169" fontId="1" fillId="11" borderId="17" xfId="0" applyNumberFormat="1" applyFont="1" applyFill="1" applyBorder="1" applyAlignment="1">
      <alignment horizontal="center" vertical="center" wrapText="1"/>
    </xf>
    <xf numFmtId="169" fontId="27" fillId="7" borderId="1" xfId="0" applyNumberFormat="1" applyFont="1" applyFill="1" applyBorder="1" applyAlignment="1">
      <alignment horizontal="left" wrapText="1"/>
    </xf>
    <xf numFmtId="169" fontId="27" fillId="7" borderId="1" xfId="3" applyNumberFormat="1" applyFont="1" applyFill="1" applyBorder="1" applyAlignment="1">
      <alignment horizontal="left" wrapText="1"/>
    </xf>
    <xf numFmtId="169" fontId="2" fillId="7" borderId="1" xfId="0" applyNumberFormat="1" applyFont="1" applyFill="1" applyBorder="1" applyAlignment="1">
      <alignment horizontal="left" vertical="center"/>
    </xf>
    <xf numFmtId="169" fontId="2" fillId="7" borderId="8" xfId="0" applyNumberFormat="1" applyFont="1" applyFill="1" applyBorder="1" applyAlignment="1">
      <alignment horizontal="left" vertical="center"/>
    </xf>
    <xf numFmtId="169" fontId="27" fillId="7" borderId="8" xfId="3" applyNumberFormat="1" applyFont="1" applyFill="1" applyBorder="1" applyAlignment="1">
      <alignment horizontal="left" wrapText="1"/>
    </xf>
    <xf numFmtId="169" fontId="27" fillId="7" borderId="8" xfId="0" applyNumberFormat="1" applyFont="1" applyFill="1" applyBorder="1" applyAlignment="1">
      <alignment horizontal="left" wrapText="1"/>
    </xf>
    <xf numFmtId="169" fontId="2" fillId="7" borderId="1" xfId="0" applyNumberFormat="1" applyFont="1" applyFill="1" applyBorder="1" applyAlignment="1">
      <alignment horizontal="left" vertical="center" wrapText="1"/>
    </xf>
    <xf numFmtId="169" fontId="22" fillId="7" borderId="1" xfId="0" applyNumberFormat="1" applyFont="1" applyFill="1" applyBorder="1" applyAlignment="1">
      <alignment horizontal="left"/>
    </xf>
    <xf numFmtId="169" fontId="22" fillId="7" borderId="13" xfId="0" applyNumberFormat="1" applyFont="1" applyFill="1" applyBorder="1" applyAlignment="1">
      <alignment horizontal="left"/>
    </xf>
    <xf numFmtId="169" fontId="27" fillId="7" borderId="13" xfId="0" applyNumberFormat="1" applyFont="1" applyFill="1" applyBorder="1" applyAlignment="1">
      <alignment horizontal="left" wrapText="1"/>
    </xf>
    <xf numFmtId="169" fontId="2" fillId="7" borderId="13" xfId="0" applyNumberFormat="1" applyFont="1" applyFill="1" applyBorder="1" applyAlignment="1">
      <alignment horizontal="left" wrapText="1"/>
    </xf>
    <xf numFmtId="169" fontId="3" fillId="7" borderId="1" xfId="0" applyNumberFormat="1" applyFont="1" applyFill="1" applyBorder="1" applyAlignment="1">
      <alignment horizontal="left" vertical="center"/>
    </xf>
    <xf numFmtId="169" fontId="22" fillId="7" borderId="25" xfId="0" applyNumberFormat="1" applyFont="1" applyFill="1" applyBorder="1" applyAlignment="1">
      <alignment horizontal="left"/>
    </xf>
    <xf numFmtId="169" fontId="2" fillId="7" borderId="43" xfId="0" applyNumberFormat="1" applyFont="1" applyFill="1" applyBorder="1" applyAlignment="1">
      <alignment horizontal="left" vertical="center"/>
    </xf>
    <xf numFmtId="169" fontId="9" fillId="7" borderId="41" xfId="2" applyNumberFormat="1" applyFont="1" applyFill="1" applyBorder="1" applyAlignment="1">
      <alignment horizontal="left" vertical="center"/>
    </xf>
    <xf numFmtId="169" fontId="22" fillId="7" borderId="0" xfId="0" applyNumberFormat="1" applyFont="1" applyFill="1" applyAlignment="1">
      <alignment horizontal="left"/>
    </xf>
    <xf numFmtId="169" fontId="2" fillId="7" borderId="0" xfId="0" applyNumberFormat="1" applyFont="1" applyFill="1" applyBorder="1" applyAlignment="1">
      <alignment horizontal="left" vertical="center"/>
    </xf>
    <xf numFmtId="169" fontId="22" fillId="7" borderId="0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left" vertical="center"/>
    </xf>
    <xf numFmtId="43" fontId="2" fillId="7" borderId="13" xfId="0" applyNumberFormat="1" applyFont="1" applyFill="1" applyBorder="1" applyAlignment="1">
      <alignment vertical="center"/>
    </xf>
    <xf numFmtId="169" fontId="3" fillId="7" borderId="13" xfId="0" applyNumberFormat="1" applyFont="1" applyFill="1" applyBorder="1" applyAlignment="1">
      <alignment horizontal="left" vertical="center"/>
    </xf>
    <xf numFmtId="4" fontId="3" fillId="7" borderId="13" xfId="0" applyNumberFormat="1" applyFont="1" applyFill="1" applyBorder="1" applyAlignment="1">
      <alignment horizontal="right" vertical="center"/>
    </xf>
    <xf numFmtId="0" fontId="3" fillId="7" borderId="13" xfId="0" applyFont="1" applyFill="1" applyBorder="1" applyAlignment="1"/>
    <xf numFmtId="166" fontId="2" fillId="7" borderId="1" xfId="3" applyNumberFormat="1" applyFont="1" applyFill="1" applyBorder="1" applyAlignment="1">
      <alignment horizontal="center" wrapText="1"/>
    </xf>
    <xf numFmtId="0" fontId="3" fillId="4" borderId="13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vertical="center"/>
    </xf>
    <xf numFmtId="0" fontId="9" fillId="7" borderId="13" xfId="0" applyFont="1" applyFill="1" applyBorder="1" applyAlignment="1">
      <alignment horizontal="left"/>
    </xf>
    <xf numFmtId="166" fontId="9" fillId="7" borderId="1" xfId="3" applyNumberFormat="1" applyFont="1" applyFill="1" applyBorder="1" applyAlignment="1">
      <alignment horizontal="center" wrapText="1"/>
    </xf>
    <xf numFmtId="4" fontId="16" fillId="7" borderId="13" xfId="0" applyNumberFormat="1" applyFont="1" applyFill="1" applyBorder="1" applyAlignment="1">
      <alignment horizontal="right" vertical="center"/>
    </xf>
    <xf numFmtId="43" fontId="9" fillId="7" borderId="13" xfId="0" applyNumberFormat="1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43" fontId="2" fillId="7" borderId="13" xfId="0" applyNumberFormat="1" applyFont="1" applyFill="1" applyBorder="1" applyAlignment="1">
      <alignment vertical="center"/>
    </xf>
    <xf numFmtId="15" fontId="3" fillId="7" borderId="13" xfId="0" applyNumberFormat="1" applyFont="1" applyFill="1" applyBorder="1" applyAlignment="1">
      <alignment horizontal="left" vertical="center"/>
    </xf>
    <xf numFmtId="166" fontId="3" fillId="7" borderId="13" xfId="0" applyNumberFormat="1" applyFont="1" applyFill="1" applyBorder="1" applyAlignment="1">
      <alignment horizontal="center" vertical="center"/>
    </xf>
    <xf numFmtId="166" fontId="3" fillId="7" borderId="26" xfId="0" applyNumberFormat="1" applyFont="1" applyFill="1" applyBorder="1" applyAlignment="1">
      <alignment horizontal="left" vertical="center" wrapText="1"/>
    </xf>
    <xf numFmtId="0" fontId="3" fillId="7" borderId="26" xfId="0" applyFont="1" applyFill="1" applyBorder="1" applyAlignment="1">
      <alignment horizontal="left" vertical="center" wrapText="1"/>
    </xf>
    <xf numFmtId="169" fontId="3" fillId="7" borderId="13" xfId="0" applyNumberFormat="1" applyFont="1" applyFill="1" applyBorder="1" applyAlignment="1">
      <alignment horizontal="left" vertical="center"/>
    </xf>
    <xf numFmtId="165" fontId="3" fillId="7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5" borderId="1" xfId="0" applyFont="1" applyFill="1" applyBorder="1"/>
    <xf numFmtId="0" fontId="3" fillId="7" borderId="13" xfId="0" applyFont="1" applyFill="1" applyBorder="1" applyAlignment="1">
      <alignment horizontal="left" vertical="center"/>
    </xf>
    <xf numFmtId="43" fontId="2" fillId="7" borderId="13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/>
    </xf>
    <xf numFmtId="169" fontId="3" fillId="7" borderId="13" xfId="0" applyNumberFormat="1" applyFont="1" applyFill="1" applyBorder="1" applyAlignment="1">
      <alignment horizontal="left" vertical="center"/>
    </xf>
    <xf numFmtId="0" fontId="2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166" fontId="27" fillId="7" borderId="1" xfId="0" applyNumberFormat="1" applyFont="1" applyFill="1" applyBorder="1" applyAlignment="1">
      <alignment horizontal="center" wrapText="1"/>
    </xf>
    <xf numFmtId="166" fontId="3" fillId="7" borderId="25" xfId="0" applyNumberFormat="1" applyFont="1" applyFill="1" applyBorder="1" applyAlignment="1">
      <alignment horizontal="left" vertical="center"/>
    </xf>
    <xf numFmtId="165" fontId="2" fillId="7" borderId="1" xfId="0" applyNumberFormat="1" applyFont="1" applyFill="1" applyBorder="1" applyAlignment="1">
      <alignment horizontal="center"/>
    </xf>
    <xf numFmtId="0" fontId="3" fillId="7" borderId="25" xfId="0" applyFont="1" applyFill="1" applyBorder="1" applyAlignment="1">
      <alignment horizontal="left" vertical="center"/>
    </xf>
    <xf numFmtId="166" fontId="2" fillId="7" borderId="1" xfId="0" applyNumberFormat="1" applyFont="1" applyFill="1" applyBorder="1" applyAlignment="1">
      <alignment horizontal="center"/>
    </xf>
    <xf numFmtId="15" fontId="3" fillId="7" borderId="1" xfId="0" applyNumberFormat="1" applyFont="1" applyFill="1" applyBorder="1" applyAlignment="1">
      <alignment horizontal="left" vertical="center"/>
    </xf>
    <xf numFmtId="4" fontId="2" fillId="7" borderId="0" xfId="0" applyNumberFormat="1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15" fontId="3" fillId="4" borderId="13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vertical="center"/>
    </xf>
    <xf numFmtId="15" fontId="3" fillId="7" borderId="13" xfId="0" applyNumberFormat="1" applyFont="1" applyFill="1" applyBorder="1" applyAlignment="1">
      <alignment horizontal="left" vertical="center"/>
    </xf>
    <xf numFmtId="166" fontId="3" fillId="7" borderId="13" xfId="0" applyNumberFormat="1" applyFont="1" applyFill="1" applyBorder="1" applyAlignment="1">
      <alignment horizontal="center" vertical="center"/>
    </xf>
    <xf numFmtId="1" fontId="3" fillId="7" borderId="13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166" fontId="3" fillId="7" borderId="26" xfId="0" applyNumberFormat="1" applyFont="1" applyFill="1" applyBorder="1" applyAlignment="1">
      <alignment horizontal="left" vertical="center" wrapText="1"/>
    </xf>
    <xf numFmtId="0" fontId="3" fillId="7" borderId="26" xfId="0" applyFont="1" applyFill="1" applyBorder="1" applyAlignment="1">
      <alignment horizontal="left" vertical="center" wrapText="1"/>
    </xf>
    <xf numFmtId="169" fontId="3" fillId="7" borderId="13" xfId="0" applyNumberFormat="1" applyFont="1" applyFill="1" applyBorder="1" applyAlignment="1">
      <alignment horizontal="left" vertical="center"/>
    </xf>
    <xf numFmtId="165" fontId="3" fillId="7" borderId="13" xfId="0" applyNumberFormat="1" applyFont="1" applyFill="1" applyBorder="1" applyAlignment="1">
      <alignment horizontal="center" vertical="center"/>
    </xf>
    <xf numFmtId="4" fontId="3" fillId="7" borderId="13" xfId="0" applyNumberFormat="1" applyFont="1" applyFill="1" applyBorder="1" applyAlignment="1">
      <alignment horizontal="right" vertical="center"/>
    </xf>
    <xf numFmtId="0" fontId="2" fillId="7" borderId="1" xfId="0" applyFont="1" applyFill="1" applyBorder="1"/>
    <xf numFmtId="1" fontId="2" fillId="7" borderId="1" xfId="0" applyNumberFormat="1" applyFont="1" applyFill="1" applyBorder="1" applyAlignment="1">
      <alignment horizontal="center"/>
    </xf>
    <xf numFmtId="166" fontId="22" fillId="7" borderId="13" xfId="0" applyNumberFormat="1" applyFont="1" applyFill="1" applyBorder="1" applyAlignment="1">
      <alignment horizontal="center"/>
    </xf>
    <xf numFmtId="43" fontId="2" fillId="7" borderId="0" xfId="3" applyNumberFormat="1" applyFont="1" applyFill="1" applyBorder="1" applyAlignment="1">
      <alignment vertical="center"/>
    </xf>
    <xf numFmtId="43" fontId="2" fillId="7" borderId="8" xfId="3" applyNumberFormat="1" applyFont="1" applyFill="1" applyBorder="1" applyAlignment="1">
      <alignment horizontal="right" wrapText="1"/>
    </xf>
    <xf numFmtId="166" fontId="3" fillId="4" borderId="26" xfId="0" applyNumberFormat="1" applyFont="1" applyFill="1" applyBorder="1" applyAlignment="1">
      <alignment horizontal="left" vertical="center" wrapText="1"/>
    </xf>
    <xf numFmtId="1" fontId="3" fillId="4" borderId="13" xfId="0" applyNumberFormat="1" applyFont="1" applyFill="1" applyBorder="1" applyAlignment="1">
      <alignment horizontal="center" vertical="center"/>
    </xf>
    <xf numFmtId="166" fontId="3" fillId="4" borderId="13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165" fontId="3" fillId="4" borderId="13" xfId="0" applyNumberFormat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center" vertical="center"/>
    </xf>
    <xf numFmtId="169" fontId="2" fillId="4" borderId="13" xfId="0" applyNumberFormat="1" applyFont="1" applyFill="1" applyBorder="1" applyAlignment="1">
      <alignment horizontal="left" vertical="center"/>
    </xf>
    <xf numFmtId="166" fontId="2" fillId="4" borderId="13" xfId="0" applyNumberFormat="1" applyFont="1" applyFill="1" applyBorder="1" applyAlignment="1">
      <alignment horizontal="center" vertical="center"/>
    </xf>
    <xf numFmtId="43" fontId="2" fillId="4" borderId="13" xfId="3" applyNumberFormat="1" applyFont="1" applyFill="1" applyBorder="1" applyAlignment="1">
      <alignment vertical="center"/>
    </xf>
    <xf numFmtId="43" fontId="27" fillId="7" borderId="13" xfId="3" applyNumberFormat="1" applyFont="1" applyFill="1" applyBorder="1" applyAlignment="1">
      <alignment wrapText="1"/>
    </xf>
    <xf numFmtId="43" fontId="27" fillId="7" borderId="13" xfId="3" applyNumberFormat="1" applyFont="1" applyFill="1" applyBorder="1" applyAlignment="1">
      <alignment horizontal="center" wrapText="1"/>
    </xf>
    <xf numFmtId="43" fontId="2" fillId="7" borderId="13" xfId="3" applyNumberFormat="1" applyFont="1" applyFill="1" applyBorder="1" applyAlignment="1">
      <alignment horizontal="center" vertical="center"/>
    </xf>
    <xf numFmtId="43" fontId="2" fillId="7" borderId="1" xfId="3" applyNumberFormat="1" applyFont="1" applyFill="1" applyBorder="1" applyAlignment="1">
      <alignment horizontal="center" vertical="center"/>
    </xf>
    <xf numFmtId="43" fontId="22" fillId="7" borderId="13" xfId="3" applyNumberFormat="1" applyFont="1" applyFill="1" applyBorder="1" applyAlignment="1">
      <alignment horizontal="center"/>
    </xf>
    <xf numFmtId="43" fontId="27" fillId="7" borderId="1" xfId="3" applyNumberFormat="1" applyFont="1" applyFill="1" applyBorder="1" applyAlignment="1">
      <alignment horizontal="center" wrapText="1"/>
    </xf>
    <xf numFmtId="0" fontId="2" fillId="4" borderId="26" xfId="0" applyFont="1" applyFill="1" applyBorder="1"/>
    <xf numFmtId="0" fontId="9" fillId="7" borderId="13" xfId="0" applyFont="1" applyFill="1" applyBorder="1" applyAlignment="1">
      <alignment horizontal="left" vertical="center"/>
    </xf>
    <xf numFmtId="0" fontId="13" fillId="11" borderId="17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1" fontId="13" fillId="11" borderId="17" xfId="0" applyNumberFormat="1" applyFont="1" applyFill="1" applyBorder="1" applyAlignment="1">
      <alignment horizontal="center" vertical="center" wrapText="1"/>
    </xf>
    <xf numFmtId="1" fontId="2" fillId="7" borderId="41" xfId="0" applyNumberFormat="1" applyFont="1" applyFill="1" applyBorder="1" applyAlignment="1">
      <alignment horizontal="center" vertical="center"/>
    </xf>
    <xf numFmtId="1" fontId="2" fillId="7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3" fillId="7" borderId="13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vertical="center"/>
    </xf>
    <xf numFmtId="166" fontId="3" fillId="7" borderId="13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166" fontId="3" fillId="7" borderId="26" xfId="0" applyNumberFormat="1" applyFont="1" applyFill="1" applyBorder="1" applyAlignment="1">
      <alignment horizontal="left" vertical="center" wrapText="1"/>
    </xf>
    <xf numFmtId="0" fontId="3" fillId="7" borderId="26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65" fontId="3" fillId="7" borderId="13" xfId="0" applyNumberFormat="1" applyFont="1" applyFill="1" applyBorder="1" applyAlignment="1">
      <alignment horizontal="left" vertical="center"/>
    </xf>
    <xf numFmtId="4" fontId="2" fillId="7" borderId="1" xfId="0" applyNumberFormat="1" applyFont="1" applyFill="1" applyBorder="1" applyAlignment="1">
      <alignment vertical="center"/>
    </xf>
    <xf numFmtId="43" fontId="27" fillId="7" borderId="13" xfId="3" applyNumberFormat="1" applyFont="1" applyFill="1" applyBorder="1" applyAlignment="1">
      <alignment horizontal="right" wrapText="1"/>
    </xf>
    <xf numFmtId="166" fontId="27" fillId="7" borderId="13" xfId="0" applyNumberFormat="1" applyFont="1" applyFill="1" applyBorder="1" applyAlignment="1">
      <alignment horizontal="center" wrapText="1"/>
    </xf>
    <xf numFmtId="165" fontId="24" fillId="7" borderId="13" xfId="0" applyNumberFormat="1" applyFont="1" applyFill="1" applyBorder="1" applyAlignment="1">
      <alignment horizontal="left" vertical="center"/>
    </xf>
    <xf numFmtId="169" fontId="2" fillId="7" borderId="1" xfId="0" applyNumberFormat="1" applyFont="1" applyFill="1" applyBorder="1" applyAlignment="1">
      <alignment horizontal="left" wrapText="1"/>
    </xf>
    <xf numFmtId="0" fontId="2" fillId="7" borderId="13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vertical="center"/>
    </xf>
    <xf numFmtId="15" fontId="3" fillId="7" borderId="13" xfId="0" applyNumberFormat="1" applyFont="1" applyFill="1" applyBorder="1" applyAlignment="1">
      <alignment horizontal="left" vertical="center"/>
    </xf>
    <xf numFmtId="166" fontId="3" fillId="7" borderId="13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166" fontId="3" fillId="7" borderId="26" xfId="0" applyNumberFormat="1" applyFont="1" applyFill="1" applyBorder="1" applyAlignment="1">
      <alignment horizontal="left" vertical="center" wrapText="1"/>
    </xf>
    <xf numFmtId="0" fontId="3" fillId="7" borderId="26" xfId="0" applyFont="1" applyFill="1" applyBorder="1" applyAlignment="1">
      <alignment horizontal="left" vertical="center" wrapText="1"/>
    </xf>
    <xf numFmtId="169" fontId="3" fillId="7" borderId="13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1" fontId="2" fillId="7" borderId="1" xfId="0" applyNumberFormat="1" applyFont="1" applyFill="1" applyBorder="1" applyAlignment="1">
      <alignment horizontal="center"/>
    </xf>
    <xf numFmtId="165" fontId="3" fillId="7" borderId="13" xfId="0" applyNumberFormat="1" applyFont="1" applyFill="1" applyBorder="1" applyAlignment="1">
      <alignment horizontal="left" vertical="center"/>
    </xf>
    <xf numFmtId="4" fontId="2" fillId="7" borderId="1" xfId="0" applyNumberFormat="1" applyFont="1" applyFill="1" applyBorder="1" applyAlignment="1">
      <alignment vertical="center"/>
    </xf>
    <xf numFmtId="43" fontId="3" fillId="7" borderId="13" xfId="3" applyNumberFormat="1" applyFont="1" applyFill="1" applyBorder="1" applyAlignment="1">
      <alignment horizontal="right" vertical="center"/>
    </xf>
    <xf numFmtId="169" fontId="2" fillId="7" borderId="13" xfId="0" applyNumberFormat="1" applyFont="1" applyFill="1" applyBorder="1" applyAlignment="1">
      <alignment horizontal="left" vertical="center" wrapText="1"/>
    </xf>
    <xf numFmtId="166" fontId="2" fillId="7" borderId="13" xfId="0" applyNumberFormat="1" applyFont="1" applyFill="1" applyBorder="1" applyAlignment="1">
      <alignment horizontal="center" vertical="center" wrapText="1"/>
    </xf>
    <xf numFmtId="43" fontId="2" fillId="7" borderId="13" xfId="3" applyNumberFormat="1" applyFont="1" applyFill="1" applyBorder="1" applyAlignment="1">
      <alignment horizontal="right" vertical="center" wrapText="1"/>
    </xf>
    <xf numFmtId="166" fontId="1" fillId="11" borderId="47" xfId="0" applyNumberFormat="1" applyFont="1" applyFill="1" applyBorder="1" applyAlignment="1">
      <alignment horizontal="center" vertical="center" wrapText="1"/>
    </xf>
    <xf numFmtId="0" fontId="1" fillId="11" borderId="47" xfId="0" applyFont="1" applyFill="1" applyBorder="1" applyAlignment="1">
      <alignment horizontal="center" vertical="center"/>
    </xf>
    <xf numFmtId="0" fontId="13" fillId="11" borderId="47" xfId="0" applyFont="1" applyFill="1" applyBorder="1" applyAlignment="1">
      <alignment horizontal="center" vertical="center"/>
    </xf>
    <xf numFmtId="0" fontId="13" fillId="11" borderId="47" xfId="0" applyFont="1" applyFill="1" applyBorder="1" applyAlignment="1">
      <alignment horizontal="center" vertical="center" wrapText="1"/>
    </xf>
    <xf numFmtId="165" fontId="1" fillId="11" borderId="47" xfId="0" applyNumberFormat="1" applyFont="1" applyFill="1" applyBorder="1" applyAlignment="1">
      <alignment horizontal="center" vertical="center" wrapText="1"/>
    </xf>
    <xf numFmtId="169" fontId="1" fillId="11" borderId="47" xfId="0" applyNumberFormat="1" applyFont="1" applyFill="1" applyBorder="1" applyAlignment="1">
      <alignment horizontal="center" vertical="center" wrapText="1"/>
    </xf>
    <xf numFmtId="0" fontId="2" fillId="7" borderId="49" xfId="0" applyFont="1" applyFill="1" applyBorder="1" applyAlignment="1">
      <alignment vertical="center"/>
    </xf>
    <xf numFmtId="169" fontId="27" fillId="7" borderId="49" xfId="0" applyNumberFormat="1" applyFont="1" applyFill="1" applyBorder="1" applyAlignment="1">
      <alignment horizontal="left" vertical="center" wrapText="1"/>
    </xf>
    <xf numFmtId="168" fontId="27" fillId="7" borderId="49" xfId="0" applyNumberFormat="1" applyFont="1" applyFill="1" applyBorder="1" applyAlignment="1">
      <alignment horizontal="center" wrapText="1"/>
    </xf>
    <xf numFmtId="168" fontId="2" fillId="7" borderId="1" xfId="0" applyNumberFormat="1" applyFont="1" applyFill="1" applyBorder="1" applyAlignment="1">
      <alignment horizontal="center" wrapText="1"/>
    </xf>
    <xf numFmtId="0" fontId="12" fillId="7" borderId="13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2" fillId="5" borderId="53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2" fillId="0" borderId="28" xfId="0" applyFont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top" wrapText="1"/>
    </xf>
    <xf numFmtId="0" fontId="1" fillId="2" borderId="58" xfId="0" applyFont="1" applyFill="1" applyBorder="1" applyAlignment="1">
      <alignment horizontal="center" vertical="center" wrapText="1"/>
    </xf>
    <xf numFmtId="0" fontId="13" fillId="2" borderId="58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7" fillId="9" borderId="65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left" vertical="center"/>
    </xf>
    <xf numFmtId="0" fontId="2" fillId="7" borderId="48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 wrapText="1"/>
    </xf>
    <xf numFmtId="0" fontId="2" fillId="7" borderId="49" xfId="0" applyFont="1" applyFill="1" applyBorder="1" applyAlignment="1">
      <alignment horizontal="center" vertical="center"/>
    </xf>
    <xf numFmtId="168" fontId="2" fillId="7" borderId="49" xfId="0" applyNumberFormat="1" applyFont="1" applyFill="1" applyBorder="1" applyAlignment="1">
      <alignment horizontal="center" vertical="center"/>
    </xf>
    <xf numFmtId="165" fontId="2" fillId="7" borderId="49" xfId="0" applyNumberFormat="1" applyFont="1" applyFill="1" applyBorder="1" applyAlignment="1">
      <alignment horizontal="left" vertical="center"/>
    </xf>
    <xf numFmtId="0" fontId="2" fillId="7" borderId="50" xfId="0" applyFont="1" applyFill="1" applyBorder="1" applyAlignment="1">
      <alignment horizontal="left" vertical="center"/>
    </xf>
    <xf numFmtId="0" fontId="2" fillId="7" borderId="5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168" fontId="2" fillId="7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left" vertical="center"/>
    </xf>
    <xf numFmtId="0" fontId="2" fillId="7" borderId="27" xfId="0" applyFont="1" applyFill="1" applyBorder="1" applyAlignment="1">
      <alignment horizontal="left" vertical="center"/>
    </xf>
    <xf numFmtId="15" fontId="2" fillId="7" borderId="1" xfId="0" applyNumberFormat="1" applyFont="1" applyFill="1" applyBorder="1" applyAlignment="1">
      <alignment horizontal="left" vertical="center"/>
    </xf>
    <xf numFmtId="0" fontId="22" fillId="0" borderId="5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68" fontId="22" fillId="0" borderId="1" xfId="0" applyNumberFormat="1" applyFont="1" applyBorder="1" applyAlignment="1">
      <alignment horizontal="center"/>
    </xf>
    <xf numFmtId="0" fontId="22" fillId="0" borderId="1" xfId="0" applyFont="1" applyBorder="1"/>
    <xf numFmtId="0" fontId="22" fillId="0" borderId="27" xfId="0" applyFont="1" applyBorder="1"/>
    <xf numFmtId="0" fontId="22" fillId="0" borderId="0" xfId="0" applyFont="1"/>
    <xf numFmtId="168" fontId="22" fillId="0" borderId="1" xfId="0" applyNumberFormat="1" applyFont="1" applyBorder="1"/>
    <xf numFmtId="0" fontId="22" fillId="0" borderId="51" xfId="0" applyFont="1" applyBorder="1"/>
    <xf numFmtId="0" fontId="22" fillId="0" borderId="52" xfId="0" applyFont="1" applyBorder="1"/>
    <xf numFmtId="0" fontId="22" fillId="0" borderId="5" xfId="0" applyFont="1" applyBorder="1"/>
    <xf numFmtId="0" fontId="22" fillId="0" borderId="24" xfId="0" applyFont="1" applyBorder="1"/>
    <xf numFmtId="0" fontId="2" fillId="5" borderId="1" xfId="0" applyFont="1" applyFill="1" applyBorder="1" applyAlignment="1">
      <alignment horizontal="left" vertical="center"/>
    </xf>
    <xf numFmtId="0" fontId="2" fillId="5" borderId="46" xfId="0" applyFont="1" applyFill="1" applyBorder="1" applyAlignment="1">
      <alignment horizontal="left" vertical="center"/>
    </xf>
    <xf numFmtId="0" fontId="22" fillId="7" borderId="13" xfId="0" applyFont="1" applyFill="1" applyBorder="1" applyAlignment="1"/>
    <xf numFmtId="0" fontId="2" fillId="7" borderId="13" xfId="0" applyFont="1" applyFill="1" applyBorder="1" applyAlignment="1"/>
    <xf numFmtId="0" fontId="22" fillId="7" borderId="1" xfId="0" applyFont="1" applyFill="1" applyBorder="1" applyAlignment="1"/>
    <xf numFmtId="0" fontId="13" fillId="6" borderId="55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22" fillId="7" borderId="0" xfId="0" applyFont="1" applyFill="1" applyAlignment="1">
      <alignment horizontal="center" textRotation="45"/>
    </xf>
    <xf numFmtId="0" fontId="13" fillId="0" borderId="1" xfId="0" applyFont="1" applyBorder="1" applyAlignment="1">
      <alignment horizontal="center" vertical="center"/>
    </xf>
    <xf numFmtId="0" fontId="27" fillId="0" borderId="0" xfId="0" applyFont="1" applyBorder="1" applyAlignment="1">
      <alignment horizontal="left"/>
    </xf>
    <xf numFmtId="0" fontId="9" fillId="0" borderId="0" xfId="0" applyFont="1"/>
    <xf numFmtId="0" fontId="27" fillId="0" borderId="0" xfId="0" applyFont="1" applyBorder="1" applyAlignment="1">
      <alignment horizontal="left" vertical="center"/>
    </xf>
    <xf numFmtId="0" fontId="22" fillId="0" borderId="0" xfId="0" applyFont="1" applyFill="1"/>
    <xf numFmtId="0" fontId="27" fillId="0" borderId="0" xfId="0" applyFont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2" fillId="0" borderId="0" xfId="0" applyFont="1" applyAlignment="1"/>
    <xf numFmtId="0" fontId="22" fillId="6" borderId="0" xfId="0" applyFont="1" applyFill="1"/>
    <xf numFmtId="0" fontId="2" fillId="0" borderId="0" xfId="0" applyFont="1"/>
    <xf numFmtId="0" fontId="22" fillId="4" borderId="0" xfId="0" applyFont="1" applyFill="1"/>
    <xf numFmtId="0" fontId="13" fillId="3" borderId="60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2" fillId="5" borderId="66" xfId="0" applyFont="1" applyFill="1" applyBorder="1" applyAlignment="1">
      <alignment horizontal="center" vertical="center"/>
    </xf>
    <xf numFmtId="0" fontId="2" fillId="5" borderId="67" xfId="0" applyFont="1" applyFill="1" applyBorder="1" applyAlignment="1">
      <alignment horizontal="center" vertical="center"/>
    </xf>
    <xf numFmtId="0" fontId="2" fillId="7" borderId="1" xfId="0" applyFont="1" applyFill="1" applyBorder="1" applyAlignment="1"/>
    <xf numFmtId="0" fontId="0" fillId="0" borderId="1" xfId="0" applyFont="1" applyBorder="1" applyAlignment="1"/>
    <xf numFmtId="2" fontId="9" fillId="7" borderId="13" xfId="0" applyNumberFormat="1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/>
    </xf>
    <xf numFmtId="0" fontId="13" fillId="6" borderId="46" xfId="0" applyFont="1" applyFill="1" applyBorder="1" applyAlignment="1">
      <alignment horizontal="center" vertical="center"/>
    </xf>
    <xf numFmtId="0" fontId="15" fillId="0" borderId="46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2" fillId="7" borderId="5" xfId="0" applyFont="1" applyFill="1" applyBorder="1" applyAlignment="1"/>
    <xf numFmtId="0" fontId="2" fillId="5" borderId="5" xfId="0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left" vertical="center"/>
    </xf>
    <xf numFmtId="0" fontId="2" fillId="5" borderId="68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vertical="center"/>
    </xf>
    <xf numFmtId="0" fontId="22" fillId="7" borderId="0" xfId="0" applyFont="1" applyFill="1" applyAlignment="1">
      <alignment vertical="center"/>
    </xf>
    <xf numFmtId="0" fontId="2" fillId="7" borderId="13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vertical="center"/>
    </xf>
    <xf numFmtId="166" fontId="3" fillId="7" borderId="13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166" fontId="3" fillId="7" borderId="26" xfId="0" applyNumberFormat="1" applyFont="1" applyFill="1" applyBorder="1" applyAlignment="1">
      <alignment horizontal="left" vertical="center" wrapText="1"/>
    </xf>
    <xf numFmtId="0" fontId="3" fillId="7" borderId="26" xfId="0" applyFont="1" applyFill="1" applyBorder="1" applyAlignment="1">
      <alignment horizontal="left" vertical="center" wrapText="1"/>
    </xf>
    <xf numFmtId="169" fontId="3" fillId="7" borderId="13" xfId="0" applyNumberFormat="1" applyFont="1" applyFill="1" applyBorder="1" applyAlignment="1">
      <alignment horizontal="left" vertic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vertical="center"/>
    </xf>
    <xf numFmtId="1" fontId="2" fillId="7" borderId="1" xfId="0" applyNumberFormat="1" applyFont="1" applyFill="1" applyBorder="1" applyAlignment="1">
      <alignment horizontal="center"/>
    </xf>
    <xf numFmtId="165" fontId="3" fillId="7" borderId="13" xfId="0" applyNumberFormat="1" applyFont="1" applyFill="1" applyBorder="1" applyAlignment="1">
      <alignment horizontal="left" vertical="center"/>
    </xf>
    <xf numFmtId="4" fontId="2" fillId="7" borderId="1" xfId="0" applyNumberFormat="1" applyFont="1" applyFill="1" applyBorder="1" applyAlignment="1">
      <alignment vertical="center"/>
    </xf>
    <xf numFmtId="43" fontId="3" fillId="7" borderId="13" xfId="3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3" fillId="6" borderId="28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166" fontId="16" fillId="7" borderId="69" xfId="0" applyNumberFormat="1" applyFont="1" applyFill="1" applyBorder="1" applyAlignment="1">
      <alignment horizontal="left" vertical="center" wrapText="1"/>
    </xf>
    <xf numFmtId="0" fontId="16" fillId="7" borderId="69" xfId="0" applyFont="1" applyFill="1" applyBorder="1" applyAlignment="1"/>
    <xf numFmtId="0" fontId="16" fillId="7" borderId="70" xfId="0" applyFont="1" applyFill="1" applyBorder="1" applyAlignment="1">
      <alignment horizontal="left" vertical="center"/>
    </xf>
    <xf numFmtId="0" fontId="3" fillId="7" borderId="69" xfId="0" applyFont="1" applyFill="1" applyBorder="1" applyAlignment="1">
      <alignment horizontal="center" vertical="center"/>
    </xf>
    <xf numFmtId="1" fontId="3" fillId="7" borderId="69" xfId="0" applyNumberFormat="1" applyFont="1" applyFill="1" applyBorder="1" applyAlignment="1">
      <alignment horizontal="center" vertical="center"/>
    </xf>
    <xf numFmtId="1" fontId="2" fillId="7" borderId="71" xfId="0" applyNumberFormat="1" applyFont="1" applyFill="1" applyBorder="1" applyAlignment="1">
      <alignment horizontal="center"/>
    </xf>
    <xf numFmtId="166" fontId="16" fillId="7" borderId="69" xfId="0" applyNumberFormat="1" applyFont="1" applyFill="1" applyBorder="1" applyAlignment="1">
      <alignment horizontal="center" vertical="center"/>
    </xf>
    <xf numFmtId="15" fontId="16" fillId="7" borderId="69" xfId="0" applyNumberFormat="1" applyFont="1" applyFill="1" applyBorder="1" applyAlignment="1">
      <alignment horizontal="left" vertical="center"/>
    </xf>
    <xf numFmtId="169" fontId="9" fillId="7" borderId="69" xfId="0" applyNumberFormat="1" applyFont="1" applyFill="1" applyBorder="1" applyAlignment="1">
      <alignment horizontal="left" vertical="center"/>
    </xf>
    <xf numFmtId="166" fontId="9" fillId="7" borderId="69" xfId="0" applyNumberFormat="1" applyFont="1" applyFill="1" applyBorder="1" applyAlignment="1">
      <alignment horizontal="center" vertical="center"/>
    </xf>
    <xf numFmtId="43" fontId="9" fillId="7" borderId="69" xfId="3" applyNumberFormat="1" applyFont="1" applyFill="1" applyBorder="1" applyAlignment="1">
      <alignment vertical="center"/>
    </xf>
    <xf numFmtId="4" fontId="9" fillId="7" borderId="71" xfId="0" applyNumberFormat="1" applyFont="1" applyFill="1" applyBorder="1" applyAlignment="1">
      <alignment vertical="center"/>
    </xf>
    <xf numFmtId="0" fontId="9" fillId="7" borderId="69" xfId="0" applyFont="1" applyFill="1" applyBorder="1" applyAlignment="1">
      <alignment vertical="center"/>
    </xf>
    <xf numFmtId="165" fontId="16" fillId="7" borderId="69" xfId="0" applyNumberFormat="1" applyFont="1" applyFill="1" applyBorder="1" applyAlignment="1">
      <alignment horizontal="center" vertical="center"/>
    </xf>
    <xf numFmtId="0" fontId="9" fillId="7" borderId="69" xfId="0" applyFont="1" applyFill="1" applyBorder="1" applyAlignment="1">
      <alignment horizontal="left" vertical="center"/>
    </xf>
    <xf numFmtId="0" fontId="16" fillId="7" borderId="71" xfId="0" applyFont="1" applyFill="1" applyBorder="1" applyAlignment="1">
      <alignment horizontal="left" vertical="center" wrapText="1"/>
    </xf>
    <xf numFmtId="0" fontId="16" fillId="7" borderId="13" xfId="0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/>
    </xf>
    <xf numFmtId="165" fontId="16" fillId="7" borderId="13" xfId="0" applyNumberFormat="1" applyFont="1" applyFill="1" applyBorder="1" applyAlignment="1">
      <alignment horizontal="left" vertical="center"/>
    </xf>
    <xf numFmtId="169" fontId="16" fillId="7" borderId="13" xfId="0" applyNumberFormat="1" applyFont="1" applyFill="1" applyBorder="1" applyAlignment="1">
      <alignment horizontal="left" vertical="center"/>
    </xf>
    <xf numFmtId="0" fontId="9" fillId="7" borderId="1" xfId="0" applyFont="1" applyFill="1" applyBorder="1" applyAlignment="1"/>
    <xf numFmtId="0" fontId="11" fillId="5" borderId="1" xfId="0" applyFont="1" applyFill="1" applyBorder="1" applyAlignment="1">
      <alignment horizontal="center"/>
    </xf>
    <xf numFmtId="0" fontId="11" fillId="5" borderId="54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3" fillId="7" borderId="26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vertical="center"/>
    </xf>
    <xf numFmtId="166" fontId="3" fillId="7" borderId="13" xfId="0" applyNumberFormat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vertical="center"/>
    </xf>
    <xf numFmtId="43" fontId="2" fillId="7" borderId="13" xfId="0" applyNumberFormat="1" applyFont="1" applyFill="1" applyBorder="1" applyAlignment="1">
      <alignment vertical="center"/>
    </xf>
    <xf numFmtId="43" fontId="2" fillId="7" borderId="13" xfId="3" applyNumberFormat="1" applyFont="1" applyFill="1" applyBorder="1" applyAlignment="1">
      <alignment vertical="center"/>
    </xf>
    <xf numFmtId="166" fontId="2" fillId="7" borderId="13" xfId="0" applyNumberFormat="1" applyFont="1" applyFill="1" applyBorder="1" applyAlignment="1">
      <alignment horizontal="center" vertical="center"/>
    </xf>
    <xf numFmtId="15" fontId="3" fillId="7" borderId="13" xfId="0" applyNumberFormat="1" applyFont="1" applyFill="1" applyBorder="1" applyAlignment="1">
      <alignment horizontal="left" vertical="center"/>
    </xf>
    <xf numFmtId="166" fontId="3" fillId="7" borderId="13" xfId="0" applyNumberFormat="1" applyFont="1" applyFill="1" applyBorder="1" applyAlignment="1">
      <alignment horizontal="center" vertical="center"/>
    </xf>
    <xf numFmtId="1" fontId="3" fillId="7" borderId="13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166" fontId="3" fillId="7" borderId="26" xfId="0" applyNumberFormat="1" applyFont="1" applyFill="1" applyBorder="1" applyAlignment="1">
      <alignment horizontal="left" vertical="center" wrapText="1"/>
    </xf>
    <xf numFmtId="0" fontId="3" fillId="7" borderId="26" xfId="0" applyFont="1" applyFill="1" applyBorder="1" applyAlignment="1">
      <alignment horizontal="left" vertical="center" wrapText="1"/>
    </xf>
    <xf numFmtId="169" fontId="2" fillId="7" borderId="13" xfId="0" applyNumberFormat="1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 vertical="center"/>
    </xf>
    <xf numFmtId="1" fontId="2" fillId="7" borderId="1" xfId="0" applyNumberFormat="1" applyFont="1" applyFill="1" applyBorder="1" applyAlignment="1">
      <alignment horizontal="center"/>
    </xf>
    <xf numFmtId="4" fontId="2" fillId="7" borderId="1" xfId="0" applyNumberFormat="1" applyFont="1" applyFill="1" applyBorder="1" applyAlignment="1">
      <alignment vertical="center"/>
    </xf>
    <xf numFmtId="43" fontId="3" fillId="7" borderId="13" xfId="3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vertical="center"/>
    </xf>
    <xf numFmtId="0" fontId="13" fillId="7" borderId="13" xfId="0" applyFont="1" applyFill="1" applyBorder="1" applyAlignment="1">
      <alignment vertical="center"/>
    </xf>
    <xf numFmtId="0" fontId="2" fillId="0" borderId="72" xfId="0" applyFont="1" applyBorder="1" applyAlignment="1">
      <alignment horizontal="left" wrapText="1"/>
    </xf>
    <xf numFmtId="1" fontId="16" fillId="7" borderId="13" xfId="0" applyNumberFormat="1" applyFont="1" applyFill="1" applyBorder="1" applyAlignment="1">
      <alignment horizontal="center" vertical="center"/>
    </xf>
    <xf numFmtId="4" fontId="9" fillId="7" borderId="1" xfId="0" applyNumberFormat="1" applyFont="1" applyFill="1" applyBorder="1" applyAlignment="1">
      <alignment vertical="center"/>
    </xf>
    <xf numFmtId="164" fontId="2" fillId="7" borderId="13" xfId="1" applyFont="1" applyFill="1" applyBorder="1" applyAlignment="1">
      <alignment vertical="center"/>
    </xf>
    <xf numFmtId="164" fontId="3" fillId="7" borderId="13" xfId="1" applyFont="1" applyFill="1" applyBorder="1" applyAlignment="1">
      <alignment horizontal="right" vertical="center"/>
    </xf>
    <xf numFmtId="164" fontId="3" fillId="7" borderId="1" xfId="1" applyFont="1" applyFill="1" applyBorder="1" applyAlignment="1">
      <alignment horizontal="right" vertical="center"/>
    </xf>
    <xf numFmtId="164" fontId="2" fillId="7" borderId="1" xfId="1" applyFont="1" applyFill="1" applyBorder="1" applyAlignment="1">
      <alignment vertical="center"/>
    </xf>
    <xf numFmtId="166" fontId="3" fillId="7" borderId="73" xfId="0" applyNumberFormat="1" applyFont="1" applyFill="1" applyBorder="1" applyAlignment="1">
      <alignment horizontal="left" vertical="center" wrapText="1"/>
    </xf>
    <xf numFmtId="0" fontId="3" fillId="7" borderId="46" xfId="0" applyFont="1" applyFill="1" applyBorder="1" applyAlignment="1">
      <alignment horizontal="left" vertical="center" wrapText="1"/>
    </xf>
    <xf numFmtId="169" fontId="9" fillId="7" borderId="1" xfId="0" applyNumberFormat="1" applyFont="1" applyFill="1" applyBorder="1" applyAlignment="1">
      <alignment horizontal="left" vertical="center"/>
    </xf>
    <xf numFmtId="166" fontId="9" fillId="7" borderId="1" xfId="0" applyNumberFormat="1" applyFont="1" applyFill="1" applyBorder="1" applyAlignment="1">
      <alignment horizontal="center" vertical="center"/>
    </xf>
    <xf numFmtId="164" fontId="9" fillId="7" borderId="1" xfId="1" applyFont="1" applyFill="1" applyBorder="1" applyAlignment="1">
      <alignment vertical="center"/>
    </xf>
    <xf numFmtId="0" fontId="16" fillId="7" borderId="1" xfId="0" applyFont="1" applyFill="1" applyBorder="1" applyAlignment="1">
      <alignment horizontal="left" vertical="center" wrapText="1"/>
    </xf>
    <xf numFmtId="168" fontId="16" fillId="7" borderId="13" xfId="0" applyNumberFormat="1" applyFont="1" applyFill="1" applyBorder="1" applyAlignment="1">
      <alignment horizontal="center" vertical="center"/>
    </xf>
    <xf numFmtId="164" fontId="16" fillId="7" borderId="13" xfId="1" applyFont="1" applyFill="1" applyBorder="1" applyAlignment="1">
      <alignment horizontal="right" vertical="center"/>
    </xf>
    <xf numFmtId="0" fontId="16" fillId="7" borderId="13" xfId="0" applyFont="1" applyFill="1" applyBorder="1" applyAlignment="1">
      <alignment vertical="center"/>
    </xf>
    <xf numFmtId="43" fontId="16" fillId="7" borderId="13" xfId="3" applyNumberFormat="1" applyFont="1" applyFill="1" applyBorder="1" applyAlignment="1">
      <alignment horizontal="right" vertical="center"/>
    </xf>
    <xf numFmtId="0" fontId="11" fillId="9" borderId="11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11" fillId="9" borderId="5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3" borderId="74" xfId="0" applyFont="1" applyFill="1" applyBorder="1" applyAlignment="1">
      <alignment horizontal="center" vertical="center"/>
    </xf>
    <xf numFmtId="0" fontId="2" fillId="3" borderId="75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left"/>
    </xf>
    <xf numFmtId="0" fontId="12" fillId="0" borderId="17" xfId="0" applyFont="1" applyBorder="1"/>
    <xf numFmtId="0" fontId="27" fillId="7" borderId="1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9" fillId="7" borderId="0" xfId="0" applyFont="1" applyFill="1" applyAlignment="1">
      <alignment vertical="center"/>
    </xf>
    <xf numFmtId="169" fontId="9" fillId="7" borderId="13" xfId="0" applyNumberFormat="1" applyFont="1" applyFill="1" applyBorder="1" applyAlignment="1">
      <alignment horizontal="left"/>
    </xf>
    <xf numFmtId="0" fontId="3" fillId="7" borderId="73" xfId="0" applyFont="1" applyFill="1" applyBorder="1" applyAlignment="1">
      <alignment horizontal="left" vertical="center" wrapText="1"/>
    </xf>
    <xf numFmtId="17" fontId="3" fillId="7" borderId="8" xfId="0" applyNumberFormat="1" applyFont="1" applyFill="1" applyBorder="1" applyAlignment="1">
      <alignment horizontal="left" vertical="center" wrapText="1"/>
    </xf>
    <xf numFmtId="0" fontId="3" fillId="7" borderId="46" xfId="0" applyFont="1" applyFill="1" applyBorder="1" applyAlignment="1">
      <alignment horizontal="left" vertical="center"/>
    </xf>
    <xf numFmtId="0" fontId="3" fillId="7" borderId="46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/>
    </xf>
    <xf numFmtId="166" fontId="3" fillId="7" borderId="46" xfId="0" applyNumberFormat="1" applyFont="1" applyFill="1" applyBorder="1" applyAlignment="1">
      <alignment horizontal="center" vertical="center"/>
    </xf>
    <xf numFmtId="165" fontId="3" fillId="7" borderId="46" xfId="0" applyNumberFormat="1" applyFont="1" applyFill="1" applyBorder="1" applyAlignment="1">
      <alignment horizontal="left" vertical="center"/>
    </xf>
    <xf numFmtId="169" fontId="3" fillId="7" borderId="46" xfId="0" applyNumberFormat="1" applyFont="1" applyFill="1" applyBorder="1" applyAlignment="1">
      <alignment horizontal="left" vertical="center"/>
    </xf>
    <xf numFmtId="4" fontId="2" fillId="7" borderId="8" xfId="0" applyNumberFormat="1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46" xfId="0" applyFont="1" applyFill="1" applyBorder="1" applyAlignment="1">
      <alignment vertical="center"/>
    </xf>
    <xf numFmtId="0" fontId="3" fillId="4" borderId="76" xfId="0" applyFont="1" applyFill="1" applyBorder="1" applyAlignment="1">
      <alignment horizontal="left" vertical="center" wrapText="1"/>
    </xf>
    <xf numFmtId="166" fontId="3" fillId="4" borderId="77" xfId="0" applyNumberFormat="1" applyFont="1" applyFill="1" applyBorder="1" applyAlignment="1">
      <alignment horizontal="left" vertical="center" wrapText="1"/>
    </xf>
    <xf numFmtId="0" fontId="3" fillId="4" borderId="77" xfId="0" applyFont="1" applyFill="1" applyBorder="1" applyAlignment="1">
      <alignment horizontal="left" vertical="center" wrapText="1"/>
    </xf>
    <xf numFmtId="0" fontId="3" fillId="4" borderId="77" xfId="0" applyFont="1" applyFill="1" applyBorder="1" applyAlignment="1">
      <alignment horizontal="left" vertical="center"/>
    </xf>
    <xf numFmtId="0" fontId="3" fillId="4" borderId="77" xfId="0" applyFont="1" applyFill="1" applyBorder="1" applyAlignment="1">
      <alignment horizontal="center" vertical="center"/>
    </xf>
    <xf numFmtId="1" fontId="2" fillId="4" borderId="77" xfId="0" applyNumberFormat="1" applyFont="1" applyFill="1" applyBorder="1" applyAlignment="1">
      <alignment horizontal="center"/>
    </xf>
    <xf numFmtId="166" fontId="3" fillId="4" borderId="77" xfId="0" applyNumberFormat="1" applyFont="1" applyFill="1" applyBorder="1" applyAlignment="1">
      <alignment horizontal="center" vertical="center"/>
    </xf>
    <xf numFmtId="165" fontId="3" fillId="4" borderId="77" xfId="0" applyNumberFormat="1" applyFont="1" applyFill="1" applyBorder="1" applyAlignment="1">
      <alignment horizontal="left" vertical="center"/>
    </xf>
    <xf numFmtId="169" fontId="3" fillId="4" borderId="77" xfId="0" applyNumberFormat="1" applyFont="1" applyFill="1" applyBorder="1" applyAlignment="1">
      <alignment horizontal="left" vertical="center"/>
    </xf>
    <xf numFmtId="43" fontId="3" fillId="4" borderId="77" xfId="3" applyNumberFormat="1" applyFont="1" applyFill="1" applyBorder="1" applyAlignment="1">
      <alignment horizontal="right" vertical="center"/>
    </xf>
    <xf numFmtId="4" fontId="2" fillId="4" borderId="77" xfId="0" applyNumberFormat="1" applyFont="1" applyFill="1" applyBorder="1" applyAlignment="1">
      <alignment vertical="center"/>
    </xf>
    <xf numFmtId="0" fontId="2" fillId="4" borderId="77" xfId="0" applyFont="1" applyFill="1" applyBorder="1" applyAlignment="1">
      <alignment vertical="center"/>
    </xf>
    <xf numFmtId="0" fontId="2" fillId="7" borderId="77" xfId="0" applyFont="1" applyFill="1" applyBorder="1" applyAlignment="1">
      <alignment horizontal="left" vertical="center"/>
    </xf>
    <xf numFmtId="0" fontId="3" fillId="7" borderId="78" xfId="0" applyFont="1" applyFill="1" applyBorder="1" applyAlignment="1">
      <alignment horizontal="left" vertical="center"/>
    </xf>
    <xf numFmtId="0" fontId="30" fillId="7" borderId="13" xfId="0" applyFont="1" applyFill="1" applyBorder="1" applyAlignment="1">
      <alignment horizontal="left" vertical="center"/>
    </xf>
    <xf numFmtId="0" fontId="13" fillId="11" borderId="17" xfId="0" applyFont="1" applyFill="1" applyBorder="1" applyAlignment="1">
      <alignment vertical="center" wrapText="1"/>
    </xf>
    <xf numFmtId="0" fontId="2" fillId="7" borderId="71" xfId="0" applyFont="1" applyFill="1" applyBorder="1" applyAlignment="1">
      <alignment vertical="center"/>
    </xf>
    <xf numFmtId="167" fontId="13" fillId="7" borderId="41" xfId="0" applyNumberFormat="1" applyFont="1" applyFill="1" applyBorder="1" applyAlignment="1">
      <alignment vertical="center"/>
    </xf>
    <xf numFmtId="0" fontId="29" fillId="7" borderId="0" xfId="0" applyFont="1" applyFill="1" applyAlignment="1">
      <alignment vertical="center" wrapText="1"/>
    </xf>
    <xf numFmtId="167" fontId="13" fillId="7" borderId="0" xfId="0" applyNumberFormat="1" applyFont="1" applyFill="1" applyAlignment="1">
      <alignment vertical="center"/>
    </xf>
    <xf numFmtId="4" fontId="13" fillId="7" borderId="0" xfId="0" applyNumberFormat="1" applyFont="1" applyFill="1" applyAlignment="1"/>
    <xf numFmtId="0" fontId="2" fillId="7" borderId="0" xfId="0" applyFont="1" applyFill="1" applyAlignment="1"/>
    <xf numFmtId="0" fontId="9" fillId="7" borderId="1" xfId="0" applyFont="1" applyFill="1" applyBorder="1"/>
    <xf numFmtId="0" fontId="9" fillId="7" borderId="0" xfId="0" applyFont="1" applyFill="1" applyBorder="1" applyAlignment="1">
      <alignment horizontal="left"/>
    </xf>
    <xf numFmtId="0" fontId="16" fillId="7" borderId="14" xfId="0" applyFont="1" applyFill="1" applyBorder="1" applyAlignment="1">
      <alignment horizontal="center" vertical="center" wrapText="1"/>
    </xf>
    <xf numFmtId="0" fontId="34" fillId="7" borderId="26" xfId="0" applyFont="1" applyFill="1" applyBorder="1" applyAlignment="1">
      <alignment horizontal="left" vertical="top" wrapText="1"/>
    </xf>
    <xf numFmtId="0" fontId="9" fillId="7" borderId="0" xfId="0" applyFont="1" applyFill="1" applyBorder="1" applyAlignment="1">
      <alignment vertical="center"/>
    </xf>
    <xf numFmtId="0" fontId="3" fillId="7" borderId="0" xfId="0" applyFont="1" applyFill="1" applyBorder="1" applyAlignment="1"/>
    <xf numFmtId="0" fontId="11" fillId="3" borderId="17" xfId="0" applyFont="1" applyFill="1" applyBorder="1" applyAlignment="1">
      <alignment horizontal="center" vertical="center"/>
    </xf>
    <xf numFmtId="0" fontId="0" fillId="0" borderId="0" xfId="0" applyFont="1"/>
    <xf numFmtId="0" fontId="7" fillId="6" borderId="28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2" borderId="5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2" fillId="0" borderId="64" xfId="0" applyFont="1" applyBorder="1" applyAlignment="1">
      <alignment horizontal="center"/>
    </xf>
    <xf numFmtId="0" fontId="30" fillId="7" borderId="0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 vertical="top"/>
    </xf>
    <xf numFmtId="166" fontId="9" fillId="7" borderId="13" xfId="0" applyNumberFormat="1" applyFont="1" applyFill="1" applyBorder="1" applyAlignment="1">
      <alignment horizontal="center" vertical="center"/>
    </xf>
    <xf numFmtId="43" fontId="9" fillId="7" borderId="13" xfId="3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9" fillId="7" borderId="13" xfId="0" applyFont="1" applyFill="1" applyBorder="1" applyAlignment="1"/>
    <xf numFmtId="0" fontId="3" fillId="7" borderId="13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center"/>
    </xf>
    <xf numFmtId="169" fontId="3" fillId="4" borderId="13" xfId="0" applyNumberFormat="1" applyFont="1" applyFill="1" applyBorder="1" applyAlignment="1">
      <alignment horizontal="left" vertical="center"/>
    </xf>
    <xf numFmtId="43" fontId="2" fillId="4" borderId="13" xfId="0" applyNumberFormat="1" applyFont="1" applyFill="1" applyBorder="1" applyAlignment="1">
      <alignment vertical="center"/>
    </xf>
    <xf numFmtId="0" fontId="2" fillId="4" borderId="13" xfId="0" applyFont="1" applyFill="1" applyBorder="1" applyAlignment="1">
      <alignment horizontal="left"/>
    </xf>
    <xf numFmtId="0" fontId="12" fillId="3" borderId="17" xfId="0" applyFont="1" applyFill="1" applyBorder="1" applyAlignment="1">
      <alignment horizontal="center" vertical="center"/>
    </xf>
    <xf numFmtId="43" fontId="13" fillId="4" borderId="0" xfId="3" applyNumberFormat="1" applyFont="1" applyFill="1" applyBorder="1" applyAlignment="1">
      <alignment horizontal="left" vertical="center"/>
    </xf>
    <xf numFmtId="43" fontId="1" fillId="7" borderId="0" xfId="3" applyNumberFormat="1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15" fontId="3" fillId="4" borderId="13" xfId="0" applyNumberFormat="1" applyFont="1" applyFill="1" applyBorder="1" applyAlignment="1">
      <alignment vertical="center"/>
    </xf>
    <xf numFmtId="2" fontId="16" fillId="7" borderId="80" xfId="0" applyNumberFormat="1" applyFont="1" applyFill="1" applyBorder="1" applyAlignment="1">
      <alignment horizontal="left" vertical="center" wrapText="1"/>
    </xf>
    <xf numFmtId="2" fontId="9" fillId="7" borderId="80" xfId="0" applyNumberFormat="1" applyFont="1" applyFill="1" applyBorder="1"/>
    <xf numFmtId="2" fontId="9" fillId="0" borderId="79" xfId="0" applyNumberFormat="1" applyFont="1" applyFill="1" applyBorder="1" applyAlignment="1">
      <alignment horizontal="left"/>
    </xf>
    <xf numFmtId="2" fontId="16" fillId="7" borderId="80" xfId="0" applyNumberFormat="1" applyFont="1" applyFill="1" applyBorder="1" applyAlignment="1">
      <alignment horizontal="center" vertical="center"/>
    </xf>
    <xf numFmtId="2" fontId="9" fillId="7" borderId="79" xfId="0" applyNumberFormat="1" applyFont="1" applyFill="1" applyBorder="1" applyAlignment="1">
      <alignment horizontal="center"/>
    </xf>
    <xf numFmtId="166" fontId="16" fillId="7" borderId="79" xfId="0" applyNumberFormat="1" applyFont="1" applyFill="1" applyBorder="1" applyAlignment="1">
      <alignment horizontal="center" vertical="center"/>
    </xf>
    <xf numFmtId="2" fontId="16" fillId="7" borderId="80" xfId="0" applyNumberFormat="1" applyFont="1" applyFill="1" applyBorder="1" applyAlignment="1">
      <alignment horizontal="left" vertical="center"/>
    </xf>
    <xf numFmtId="169" fontId="9" fillId="7" borderId="79" xfId="0" applyNumberFormat="1" applyFont="1" applyFill="1" applyBorder="1" applyAlignment="1">
      <alignment horizontal="left"/>
    </xf>
    <xf numFmtId="166" fontId="9" fillId="7" borderId="79" xfId="0" applyNumberFormat="1" applyFont="1" applyFill="1" applyBorder="1" applyAlignment="1">
      <alignment horizontal="center"/>
    </xf>
    <xf numFmtId="2" fontId="9" fillId="7" borderId="80" xfId="3" applyNumberFormat="1" applyFont="1" applyFill="1" applyBorder="1" applyAlignment="1">
      <alignment horizontal="right" wrapText="1"/>
    </xf>
    <xf numFmtId="2" fontId="9" fillId="7" borderId="80" xfId="0" applyNumberFormat="1" applyFont="1" applyFill="1" applyBorder="1" applyAlignment="1">
      <alignment vertical="center"/>
    </xf>
    <xf numFmtId="2" fontId="2" fillId="7" borderId="79" xfId="0" applyNumberFormat="1" applyFont="1" applyFill="1" applyBorder="1" applyAlignment="1">
      <alignment vertical="center"/>
    </xf>
    <xf numFmtId="2" fontId="16" fillId="7" borderId="79" xfId="0" applyNumberFormat="1" applyFont="1" applyFill="1" applyBorder="1" applyAlignment="1">
      <alignment horizontal="center" vertical="center"/>
    </xf>
    <xf numFmtId="2" fontId="9" fillId="7" borderId="79" xfId="0" applyNumberFormat="1" applyFont="1" applyFill="1" applyBorder="1" applyAlignment="1">
      <alignment vertical="center"/>
    </xf>
    <xf numFmtId="2" fontId="9" fillId="7" borderId="79" xfId="0" applyNumberFormat="1" applyFont="1" applyFill="1" applyBorder="1"/>
    <xf numFmtId="2" fontId="16" fillId="0" borderId="79" xfId="0" applyNumberFormat="1" applyFont="1" applyFill="1" applyBorder="1" applyAlignment="1">
      <alignment horizontal="left" vertical="center"/>
    </xf>
    <xf numFmtId="2" fontId="16" fillId="7" borderId="79" xfId="0" applyNumberFormat="1" applyFont="1" applyFill="1" applyBorder="1" applyAlignment="1">
      <alignment horizontal="left" vertical="center" wrapText="1"/>
    </xf>
    <xf numFmtId="2" fontId="16" fillId="7" borderId="79" xfId="0" applyNumberFormat="1" applyFont="1" applyFill="1" applyBorder="1" applyAlignment="1">
      <alignment horizontal="left" vertical="center"/>
    </xf>
    <xf numFmtId="2" fontId="9" fillId="7" borderId="79" xfId="3" applyNumberFormat="1" applyFont="1" applyFill="1" applyBorder="1" applyAlignment="1">
      <alignment horizontal="right" wrapText="1"/>
    </xf>
    <xf numFmtId="166" fontId="3" fillId="7" borderId="13" xfId="0" applyNumberFormat="1" applyFont="1" applyFill="1" applyBorder="1" applyAlignment="1">
      <alignment horizontal="center" vertical="center" wrapText="1"/>
    </xf>
    <xf numFmtId="0" fontId="0" fillId="13" borderId="0" xfId="0" applyFill="1"/>
    <xf numFmtId="0" fontId="0" fillId="7" borderId="23" xfId="0" applyFill="1" applyBorder="1"/>
    <xf numFmtId="0" fontId="1" fillId="3" borderId="22" xfId="0" applyFont="1" applyFill="1" applyBorder="1" applyAlignment="1">
      <alignment horizontal="left" wrapText="1"/>
    </xf>
    <xf numFmtId="0" fontId="1" fillId="2" borderId="22" xfId="0" applyFont="1" applyFill="1" applyBorder="1" applyAlignment="1">
      <alignment horizontal="left" wrapText="1"/>
    </xf>
    <xf numFmtId="0" fontId="15" fillId="2" borderId="22" xfId="0" applyFont="1" applyFill="1" applyBorder="1" applyAlignment="1">
      <alignment horizontal="left" wrapText="1"/>
    </xf>
    <xf numFmtId="0" fontId="13" fillId="3" borderId="22" xfId="0" applyFont="1" applyFill="1" applyBorder="1" applyAlignment="1">
      <alignment horizontal="left" wrapText="1"/>
    </xf>
    <xf numFmtId="0" fontId="1" fillId="2" borderId="32" xfId="0" applyFont="1" applyFill="1" applyBorder="1" applyAlignment="1">
      <alignment horizontal="left" wrapText="1"/>
    </xf>
    <xf numFmtId="0" fontId="1" fillId="9" borderId="22" xfId="0" applyFont="1" applyFill="1" applyBorder="1" applyAlignment="1">
      <alignment horizontal="left" wrapText="1"/>
    </xf>
    <xf numFmtId="0" fontId="1" fillId="10" borderId="17" xfId="0" applyFont="1" applyFill="1" applyBorder="1" applyAlignment="1">
      <alignment horizontal="center" vertical="center" wrapText="1"/>
    </xf>
    <xf numFmtId="0" fontId="13" fillId="6" borderId="58" xfId="0" applyFont="1" applyFill="1" applyBorder="1" applyAlignment="1">
      <alignment horizontal="right" vertical="top" wrapText="1"/>
    </xf>
    <xf numFmtId="0" fontId="15" fillId="5" borderId="58" xfId="0" applyFont="1" applyFill="1" applyBorder="1" applyAlignment="1">
      <alignment horizontal="right" vertical="top" wrapText="1"/>
    </xf>
    <xf numFmtId="0" fontId="13" fillId="6" borderId="58" xfId="0" applyFont="1" applyFill="1" applyBorder="1" applyAlignment="1">
      <alignment horizontal="center" vertical="top" wrapText="1"/>
    </xf>
    <xf numFmtId="0" fontId="15" fillId="5" borderId="59" xfId="0" applyFont="1" applyFill="1" applyBorder="1" applyAlignment="1">
      <alignment horizontal="center" vertical="top" wrapText="1"/>
    </xf>
    <xf numFmtId="0" fontId="32" fillId="3" borderId="62" xfId="0" applyFont="1" applyFill="1" applyBorder="1" applyAlignment="1">
      <alignment horizontal="center" vertical="top" wrapText="1"/>
    </xf>
    <xf numFmtId="0" fontId="33" fillId="2" borderId="47" xfId="0" applyFont="1" applyFill="1" applyBorder="1" applyAlignment="1">
      <alignment horizontal="left" vertical="top" wrapText="1"/>
    </xf>
    <xf numFmtId="0" fontId="32" fillId="3" borderId="47" xfId="0" applyFont="1" applyFill="1" applyBorder="1" applyAlignment="1">
      <alignment horizontal="center" vertical="top" wrapText="1"/>
    </xf>
    <xf numFmtId="0" fontId="13" fillId="3" borderId="47" xfId="0" applyFont="1" applyFill="1" applyBorder="1" applyAlignment="1">
      <alignment horizontal="center" vertical="top" wrapText="1"/>
    </xf>
    <xf numFmtId="0" fontId="15" fillId="2" borderId="47" xfId="0" applyFont="1" applyFill="1" applyBorder="1" applyAlignment="1">
      <alignment horizontal="left" vertical="top" wrapText="1"/>
    </xf>
    <xf numFmtId="0" fontId="15" fillId="2" borderId="47" xfId="0" applyFont="1" applyFill="1" applyBorder="1" applyAlignment="1">
      <alignment horizontal="center" vertical="top" wrapText="1"/>
    </xf>
    <xf numFmtId="0" fontId="15" fillId="2" borderId="63" xfId="0" applyFont="1" applyFill="1" applyBorder="1" applyAlignment="1">
      <alignment horizontal="center" vertical="top" wrapText="1"/>
    </xf>
    <xf numFmtId="0" fontId="1" fillId="3" borderId="57" xfId="0" applyFont="1" applyFill="1" applyBorder="1" applyAlignment="1">
      <alignment vertical="top" wrapText="1"/>
    </xf>
    <xf numFmtId="0" fontId="12" fillId="2" borderId="58" xfId="0" applyFont="1" applyFill="1" applyBorder="1" applyAlignment="1">
      <alignment horizontal="left" vertical="top" wrapText="1"/>
    </xf>
    <xf numFmtId="0" fontId="7" fillId="9" borderId="59" xfId="0" applyFont="1" applyFill="1" applyBorder="1" applyAlignment="1">
      <alignment horizontal="center" vertical="top" wrapText="1"/>
    </xf>
    <xf numFmtId="0" fontId="24" fillId="2" borderId="85" xfId="0" applyFont="1" applyFill="1" applyBorder="1" applyAlignment="1">
      <alignment horizontal="left" vertical="center" wrapText="1"/>
    </xf>
    <xf numFmtId="0" fontId="3" fillId="0" borderId="88" xfId="0" applyFont="1" applyFill="1" applyBorder="1" applyAlignment="1">
      <alignment horizontal="left" vertical="center"/>
    </xf>
    <xf numFmtId="0" fontId="24" fillId="7" borderId="88" xfId="0" applyFont="1" applyFill="1" applyBorder="1" applyAlignment="1"/>
    <xf numFmtId="0" fontId="3" fillId="7" borderId="88" xfId="0" applyFont="1" applyFill="1" applyBorder="1" applyAlignment="1"/>
    <xf numFmtId="0" fontId="3" fillId="7" borderId="88" xfId="0" applyFont="1" applyFill="1" applyBorder="1" applyAlignment="1">
      <alignment horizontal="left" vertical="center"/>
    </xf>
    <xf numFmtId="0" fontId="3" fillId="0" borderId="82" xfId="0" applyFont="1" applyFill="1" applyBorder="1" applyAlignment="1">
      <alignment horizontal="left" vertical="center"/>
    </xf>
    <xf numFmtId="0" fontId="3" fillId="0" borderId="82" xfId="0" applyFont="1" applyFill="1" applyBorder="1" applyAlignment="1">
      <alignment horizontal="left"/>
    </xf>
    <xf numFmtId="0" fontId="3" fillId="0" borderId="88" xfId="0" applyFont="1" applyFill="1" applyBorder="1" applyAlignment="1">
      <alignment horizontal="left"/>
    </xf>
    <xf numFmtId="0" fontId="3" fillId="7" borderId="88" xfId="0" applyFont="1" applyFill="1" applyBorder="1" applyAlignment="1">
      <alignment vertical="center"/>
    </xf>
    <xf numFmtId="0" fontId="3" fillId="0" borderId="90" xfId="0" applyFont="1" applyFill="1" applyBorder="1" applyAlignment="1">
      <alignment horizontal="left"/>
    </xf>
    <xf numFmtId="0" fontId="38" fillId="0" borderId="88" xfId="0" applyFont="1" applyBorder="1" applyAlignment="1">
      <alignment horizontal="left"/>
    </xf>
    <xf numFmtId="0" fontId="24" fillId="7" borderId="94" xfId="0" applyFont="1" applyFill="1" applyBorder="1" applyAlignment="1"/>
    <xf numFmtId="0" fontId="3" fillId="0" borderId="93" xfId="0" applyFont="1" applyFill="1" applyBorder="1" applyAlignment="1">
      <alignment horizontal="left" vertical="center"/>
    </xf>
    <xf numFmtId="0" fontId="43" fillId="5" borderId="88" xfId="0" applyFont="1" applyFill="1" applyBorder="1" applyAlignment="1">
      <alignment horizontal="center"/>
    </xf>
    <xf numFmtId="0" fontId="43" fillId="5" borderId="8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left"/>
    </xf>
    <xf numFmtId="0" fontId="39" fillId="6" borderId="110" xfId="0" applyFont="1" applyFill="1" applyBorder="1" applyAlignment="1">
      <alignment horizontal="center" vertical="center"/>
    </xf>
    <xf numFmtId="0" fontId="44" fillId="0" borderId="110" xfId="0" applyFont="1" applyBorder="1" applyAlignment="1">
      <alignment horizontal="center" vertical="center"/>
    </xf>
    <xf numFmtId="0" fontId="39" fillId="6" borderId="114" xfId="0" applyFont="1" applyFill="1" applyBorder="1" applyAlignment="1">
      <alignment horizontal="center" vertical="center"/>
    </xf>
    <xf numFmtId="0" fontId="44" fillId="0" borderId="114" xfId="0" applyFont="1" applyBorder="1" applyAlignment="1">
      <alignment horizontal="center" vertical="center"/>
    </xf>
    <xf numFmtId="0" fontId="43" fillId="9" borderId="115" xfId="0" applyFont="1" applyFill="1" applyBorder="1" applyAlignment="1">
      <alignment horizontal="center" vertical="center"/>
    </xf>
    <xf numFmtId="0" fontId="44" fillId="0" borderId="88" xfId="0" applyFont="1" applyFill="1" applyBorder="1" applyAlignment="1">
      <alignment horizontal="center" vertical="center"/>
    </xf>
    <xf numFmtId="0" fontId="43" fillId="6" borderId="88" xfId="0" applyFont="1" applyFill="1" applyBorder="1" applyAlignment="1">
      <alignment horizontal="center" vertical="center"/>
    </xf>
    <xf numFmtId="0" fontId="44" fillId="0" borderId="88" xfId="0" applyFont="1" applyBorder="1" applyAlignment="1">
      <alignment horizontal="center" vertical="center"/>
    </xf>
    <xf numFmtId="0" fontId="43" fillId="5" borderId="94" xfId="0" applyFont="1" applyFill="1" applyBorder="1" applyAlignment="1">
      <alignment horizontal="center"/>
    </xf>
    <xf numFmtId="0" fontId="43" fillId="9" borderId="128" xfId="0" applyFont="1" applyFill="1" applyBorder="1" applyAlignment="1">
      <alignment horizontal="center" vertical="center"/>
    </xf>
    <xf numFmtId="0" fontId="44" fillId="0" borderId="126" xfId="0" applyFont="1" applyBorder="1" applyAlignment="1">
      <alignment horizontal="center" vertical="center"/>
    </xf>
    <xf numFmtId="0" fontId="44" fillId="7" borderId="88" xfId="0" applyFont="1" applyFill="1" applyBorder="1" applyAlignment="1">
      <alignment horizontal="center" vertical="center"/>
    </xf>
    <xf numFmtId="0" fontId="40" fillId="0" borderId="88" xfId="0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horizontal="center" vertical="center"/>
    </xf>
    <xf numFmtId="0" fontId="44" fillId="0" borderId="88" xfId="0" applyFont="1" applyBorder="1" applyAlignment="1" applyProtection="1">
      <alignment horizontal="center" vertical="center"/>
      <protection locked="0"/>
    </xf>
    <xf numFmtId="0" fontId="43" fillId="6" borderId="90" xfId="0" applyFont="1" applyFill="1" applyBorder="1" applyAlignment="1">
      <alignment horizontal="center" vertical="center"/>
    </xf>
    <xf numFmtId="0" fontId="44" fillId="0" borderId="90" xfId="0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3" fillId="6" borderId="127" xfId="0" applyFont="1" applyFill="1" applyBorder="1" applyAlignment="1">
      <alignment horizontal="center" vertical="center"/>
    </xf>
    <xf numFmtId="0" fontId="44" fillId="0" borderId="127" xfId="0" applyFont="1" applyBorder="1" applyAlignment="1">
      <alignment horizontal="center" vertical="center"/>
    </xf>
    <xf numFmtId="0" fontId="44" fillId="0" borderId="125" xfId="0" applyFont="1" applyBorder="1" applyAlignment="1">
      <alignment horizontal="center" vertical="center"/>
    </xf>
    <xf numFmtId="0" fontId="43" fillId="6" borderId="124" xfId="0" applyFont="1" applyFill="1" applyBorder="1" applyAlignment="1">
      <alignment horizontal="center" vertical="center"/>
    </xf>
    <xf numFmtId="0" fontId="44" fillId="0" borderId="98" xfId="0" applyFont="1" applyBorder="1" applyAlignment="1">
      <alignment horizontal="center" vertical="center"/>
    </xf>
    <xf numFmtId="0" fontId="44" fillId="0" borderId="98" xfId="0" applyFont="1" applyFill="1" applyBorder="1" applyAlignment="1">
      <alignment horizontal="center" vertical="center"/>
    </xf>
    <xf numFmtId="0" fontId="43" fillId="6" borderId="94" xfId="0" applyFont="1" applyFill="1" applyBorder="1" applyAlignment="1">
      <alignment horizontal="center" vertical="center"/>
    </xf>
    <xf numFmtId="0" fontId="43" fillId="3" borderId="101" xfId="0" applyFont="1" applyFill="1" applyBorder="1" applyAlignment="1">
      <alignment horizontal="center" vertical="center"/>
    </xf>
    <xf numFmtId="0" fontId="43" fillId="3" borderId="17" xfId="0" applyFont="1" applyFill="1" applyBorder="1" applyAlignment="1">
      <alignment horizontal="center" vertical="center"/>
    </xf>
    <xf numFmtId="0" fontId="45" fillId="5" borderId="87" xfId="0" applyFont="1" applyFill="1" applyBorder="1" applyAlignment="1">
      <alignment horizontal="center" vertical="center"/>
    </xf>
    <xf numFmtId="0" fontId="45" fillId="5" borderId="88" xfId="0" applyFont="1" applyFill="1" applyBorder="1"/>
    <xf numFmtId="0" fontId="45" fillId="0" borderId="88" xfId="0" applyFont="1" applyFill="1" applyBorder="1" applyAlignment="1">
      <alignment horizontal="left"/>
    </xf>
    <xf numFmtId="0" fontId="43" fillId="6" borderId="85" xfId="0" applyFont="1" applyFill="1" applyBorder="1" applyAlignment="1">
      <alignment horizontal="center" vertical="center"/>
    </xf>
    <xf numFmtId="0" fontId="44" fillId="0" borderId="85" xfId="0" applyFont="1" applyFill="1" applyBorder="1" applyAlignment="1">
      <alignment horizontal="center" vertical="center"/>
    </xf>
    <xf numFmtId="0" fontId="45" fillId="5" borderId="89" xfId="0" applyFont="1" applyFill="1" applyBorder="1" applyAlignment="1">
      <alignment horizontal="center" vertical="center"/>
    </xf>
    <xf numFmtId="0" fontId="45" fillId="5" borderId="90" xfId="0" applyFont="1" applyFill="1" applyBorder="1"/>
    <xf numFmtId="0" fontId="44" fillId="0" borderId="103" xfId="0" applyFont="1" applyFill="1" applyBorder="1" applyAlignment="1">
      <alignment horizontal="center" vertical="center"/>
    </xf>
    <xf numFmtId="0" fontId="45" fillId="5" borderId="81" xfId="0" applyFont="1" applyFill="1" applyBorder="1" applyAlignment="1">
      <alignment horizontal="center" vertical="center"/>
    </xf>
    <xf numFmtId="0" fontId="45" fillId="5" borderId="82" xfId="0" applyFont="1" applyFill="1" applyBorder="1"/>
    <xf numFmtId="0" fontId="43" fillId="6" borderId="82" xfId="0" applyFont="1" applyFill="1" applyBorder="1" applyAlignment="1">
      <alignment horizontal="center" vertical="center"/>
    </xf>
    <xf numFmtId="0" fontId="44" fillId="0" borderId="82" xfId="0" applyFont="1" applyFill="1" applyBorder="1" applyAlignment="1">
      <alignment horizontal="center" vertical="center"/>
    </xf>
    <xf numFmtId="0" fontId="44" fillId="0" borderId="99" xfId="0" applyFont="1" applyFill="1" applyBorder="1" applyAlignment="1">
      <alignment horizontal="center" vertical="center"/>
    </xf>
    <xf numFmtId="0" fontId="45" fillId="5" borderId="92" xfId="0" applyFont="1" applyFill="1" applyBorder="1" applyAlignment="1">
      <alignment horizontal="center" vertical="center"/>
    </xf>
    <xf numFmtId="0" fontId="45" fillId="5" borderId="93" xfId="0" applyFont="1" applyFill="1" applyBorder="1"/>
    <xf numFmtId="0" fontId="43" fillId="6" borderId="93" xfId="0" applyFont="1" applyFill="1" applyBorder="1" applyAlignment="1">
      <alignment horizontal="center" vertical="center"/>
    </xf>
    <xf numFmtId="0" fontId="44" fillId="0" borderId="93" xfId="0" applyFont="1" applyFill="1" applyBorder="1" applyAlignment="1">
      <alignment horizontal="center" vertical="center"/>
    </xf>
    <xf numFmtId="0" fontId="40" fillId="0" borderId="93" xfId="0" applyFont="1" applyFill="1" applyBorder="1" applyAlignment="1">
      <alignment horizontal="center" vertical="center"/>
    </xf>
    <xf numFmtId="0" fontId="44" fillId="0" borderId="100" xfId="0" applyFont="1" applyFill="1" applyBorder="1" applyAlignment="1">
      <alignment horizontal="center" vertical="center"/>
    </xf>
    <xf numFmtId="0" fontId="45" fillId="5" borderId="83" xfId="0" applyFont="1" applyFill="1" applyBorder="1"/>
    <xf numFmtId="0" fontId="43" fillId="6" borderId="83" xfId="0" applyFont="1" applyFill="1" applyBorder="1" applyAlignment="1">
      <alignment horizontal="center" vertical="center"/>
    </xf>
    <xf numFmtId="0" fontId="44" fillId="0" borderId="83" xfId="0" applyFont="1" applyFill="1" applyBorder="1" applyAlignment="1">
      <alignment horizontal="center" vertical="center"/>
    </xf>
    <xf numFmtId="0" fontId="40" fillId="0" borderId="83" xfId="0" applyFont="1" applyFill="1" applyBorder="1" applyAlignment="1">
      <alignment horizontal="center" vertical="center"/>
    </xf>
    <xf numFmtId="0" fontId="44" fillId="0" borderId="108" xfId="0" applyFont="1" applyFill="1" applyBorder="1" applyAlignment="1">
      <alignment horizontal="center" vertical="center"/>
    </xf>
    <xf numFmtId="0" fontId="44" fillId="0" borderId="124" xfId="0" applyFont="1" applyFill="1" applyBorder="1" applyAlignment="1">
      <alignment horizontal="center" vertical="center"/>
    </xf>
    <xf numFmtId="0" fontId="40" fillId="0" borderId="100" xfId="0" applyFont="1" applyFill="1" applyBorder="1" applyAlignment="1">
      <alignment horizontal="center" vertical="center"/>
    </xf>
    <xf numFmtId="0" fontId="45" fillId="5" borderId="88" xfId="0" applyFont="1" applyFill="1" applyBorder="1" applyAlignment="1">
      <alignment horizontal="left" vertical="center"/>
    </xf>
    <xf numFmtId="0" fontId="45" fillId="6" borderId="88" xfId="0" applyFont="1" applyFill="1" applyBorder="1" applyAlignment="1">
      <alignment horizontal="center" vertical="center"/>
    </xf>
    <xf numFmtId="0" fontId="45" fillId="5" borderId="90" xfId="0" applyFont="1" applyFill="1" applyBorder="1" applyAlignment="1">
      <alignment horizontal="left" vertical="center"/>
    </xf>
    <xf numFmtId="0" fontId="45" fillId="6" borderId="90" xfId="0" applyFont="1" applyFill="1" applyBorder="1" applyAlignment="1">
      <alignment horizontal="center" vertical="center"/>
    </xf>
    <xf numFmtId="0" fontId="45" fillId="5" borderId="82" xfId="0" applyFont="1" applyFill="1" applyBorder="1" applyAlignment="1">
      <alignment horizontal="left" vertical="center"/>
    </xf>
    <xf numFmtId="0" fontId="40" fillId="0" borderId="82" xfId="0" applyFont="1" applyFill="1" applyBorder="1" applyAlignment="1">
      <alignment horizontal="center" vertical="center"/>
    </xf>
    <xf numFmtId="0" fontId="45" fillId="6" borderId="82" xfId="0" applyFont="1" applyFill="1" applyBorder="1" applyAlignment="1">
      <alignment horizontal="center" vertical="center"/>
    </xf>
    <xf numFmtId="0" fontId="41" fillId="7" borderId="88" xfId="0" applyFont="1" applyFill="1" applyBorder="1" applyAlignment="1"/>
    <xf numFmtId="0" fontId="45" fillId="5" borderId="88" xfId="0" applyFont="1" applyFill="1" applyBorder="1" applyAlignment="1">
      <alignment horizontal="left"/>
    </xf>
    <xf numFmtId="0" fontId="45" fillId="7" borderId="88" xfId="0" applyFont="1" applyFill="1" applyBorder="1" applyAlignment="1"/>
    <xf numFmtId="0" fontId="40" fillId="0" borderId="88" xfId="0" applyFont="1" applyBorder="1" applyAlignment="1">
      <alignment horizontal="center" vertical="center"/>
    </xf>
    <xf numFmtId="0" fontId="45" fillId="5" borderId="94" xfId="0" applyFont="1" applyFill="1" applyBorder="1" applyAlignment="1">
      <alignment horizontal="left" vertical="center"/>
    </xf>
    <xf numFmtId="0" fontId="41" fillId="7" borderId="94" xfId="0" applyFont="1" applyFill="1" applyBorder="1" applyAlignment="1"/>
    <xf numFmtId="0" fontId="44" fillId="0" borderId="94" xfId="0" applyFont="1" applyFill="1" applyBorder="1" applyAlignment="1">
      <alignment horizontal="center" vertical="center"/>
    </xf>
    <xf numFmtId="0" fontId="40" fillId="0" borderId="94" xfId="0" applyFont="1" applyFill="1" applyBorder="1" applyAlignment="1">
      <alignment horizontal="center" vertical="center"/>
    </xf>
    <xf numFmtId="0" fontId="40" fillId="0" borderId="97" xfId="0" applyFont="1" applyFill="1" applyBorder="1" applyAlignment="1">
      <alignment horizontal="center" vertical="center"/>
    </xf>
    <xf numFmtId="0" fontId="45" fillId="5" borderId="96" xfId="0" applyFont="1" applyFill="1" applyBorder="1" applyAlignment="1">
      <alignment horizontal="center" vertical="center"/>
    </xf>
    <xf numFmtId="0" fontId="3" fillId="7" borderId="82" xfId="0" applyFont="1" applyFill="1" applyBorder="1" applyAlignment="1">
      <alignment horizontal="left" vertical="center"/>
    </xf>
    <xf numFmtId="0" fontId="38" fillId="0" borderId="83" xfId="0" applyFont="1" applyBorder="1" applyAlignment="1">
      <alignment horizontal="left" vertical="center"/>
    </xf>
    <xf numFmtId="0" fontId="38" fillId="0" borderId="88" xfId="0" applyFont="1" applyBorder="1" applyAlignment="1">
      <alignment horizontal="left" vertical="center"/>
    </xf>
    <xf numFmtId="0" fontId="41" fillId="2" borderId="84" xfId="0" applyFont="1" applyFill="1" applyBorder="1" applyAlignment="1">
      <alignment horizontal="center" vertical="top" wrapText="1"/>
    </xf>
    <xf numFmtId="0" fontId="45" fillId="2" borderId="85" xfId="0" applyFont="1" applyFill="1" applyBorder="1" applyAlignment="1">
      <alignment horizontal="center" vertical="center" wrapText="1"/>
    </xf>
    <xf numFmtId="0" fontId="41" fillId="2" borderId="85" xfId="0" applyFont="1" applyFill="1" applyBorder="1" applyAlignment="1">
      <alignment horizontal="center" vertical="center" wrapText="1"/>
    </xf>
    <xf numFmtId="0" fontId="45" fillId="5" borderId="88" xfId="0" applyFont="1" applyFill="1" applyBorder="1" applyAlignment="1">
      <alignment horizontal="center"/>
    </xf>
    <xf numFmtId="0" fontId="45" fillId="5" borderId="90" xfId="0" applyFont="1" applyFill="1" applyBorder="1" applyAlignment="1">
      <alignment horizontal="center"/>
    </xf>
    <xf numFmtId="0" fontId="45" fillId="5" borderId="82" xfId="0" applyFont="1" applyFill="1" applyBorder="1" applyAlignment="1">
      <alignment horizontal="center"/>
    </xf>
    <xf numFmtId="0" fontId="45" fillId="5" borderId="93" xfId="0" applyFont="1" applyFill="1" applyBorder="1" applyAlignment="1">
      <alignment horizontal="center"/>
    </xf>
    <xf numFmtId="0" fontId="41" fillId="6" borderId="110" xfId="0" applyFont="1" applyFill="1" applyBorder="1" applyAlignment="1">
      <alignment horizontal="center" vertical="center"/>
    </xf>
    <xf numFmtId="0" fontId="40" fillId="0" borderId="110" xfId="0" applyFont="1" applyBorder="1" applyAlignment="1">
      <alignment horizontal="center" vertical="center"/>
    </xf>
    <xf numFmtId="0" fontId="41" fillId="6" borderId="112" xfId="0" applyFont="1" applyFill="1" applyBorder="1" applyAlignment="1">
      <alignment horizontal="center" vertical="center"/>
    </xf>
    <xf numFmtId="0" fontId="40" fillId="0" borderId="112" xfId="0" applyFont="1" applyBorder="1" applyAlignment="1">
      <alignment horizontal="center" vertical="center"/>
    </xf>
    <xf numFmtId="0" fontId="41" fillId="6" borderId="114" xfId="0" applyFont="1" applyFill="1" applyBorder="1" applyAlignment="1">
      <alignment horizontal="center" vertical="center"/>
    </xf>
    <xf numFmtId="0" fontId="40" fillId="0" borderId="114" xfId="0" applyFont="1" applyBorder="1" applyAlignment="1">
      <alignment horizontal="center" vertical="center"/>
    </xf>
    <xf numFmtId="0" fontId="41" fillId="6" borderId="116" xfId="0" applyFont="1" applyFill="1" applyBorder="1" applyAlignment="1">
      <alignment horizontal="center" vertical="center"/>
    </xf>
    <xf numFmtId="0" fontId="40" fillId="0" borderId="116" xfId="0" applyFont="1" applyBorder="1" applyAlignment="1">
      <alignment horizontal="center" vertical="center"/>
    </xf>
    <xf numFmtId="0" fontId="45" fillId="0" borderId="88" xfId="0" applyFont="1" applyBorder="1" applyAlignment="1">
      <alignment horizontal="center" vertical="center"/>
    </xf>
    <xf numFmtId="0" fontId="45" fillId="5" borderId="83" xfId="0" applyFont="1" applyFill="1" applyBorder="1" applyAlignment="1">
      <alignment horizontal="center"/>
    </xf>
    <xf numFmtId="0" fontId="41" fillId="6" borderId="119" xfId="0" applyFont="1" applyFill="1" applyBorder="1" applyAlignment="1">
      <alignment horizontal="center" vertical="center"/>
    </xf>
    <xf numFmtId="0" fontId="40" fillId="0" borderId="119" xfId="0" applyFont="1" applyBorder="1" applyAlignment="1">
      <alignment horizontal="center" vertical="center"/>
    </xf>
    <xf numFmtId="0" fontId="45" fillId="9" borderId="118" xfId="0" applyFont="1" applyFill="1" applyBorder="1" applyAlignment="1">
      <alignment horizontal="center" vertical="center"/>
    </xf>
    <xf numFmtId="0" fontId="45" fillId="6" borderId="95" xfId="0" applyFont="1" applyFill="1" applyBorder="1" applyAlignment="1">
      <alignment horizontal="center" vertical="center"/>
    </xf>
    <xf numFmtId="0" fontId="45" fillId="5" borderId="94" xfId="0" applyFont="1" applyFill="1" applyBorder="1" applyAlignment="1">
      <alignment horizontal="center"/>
    </xf>
    <xf numFmtId="0" fontId="41" fillId="6" borderId="121" xfId="0" applyFont="1" applyFill="1" applyBorder="1" applyAlignment="1">
      <alignment horizontal="center" vertical="center"/>
    </xf>
    <xf numFmtId="0" fontId="45" fillId="9" borderId="129" xfId="0" applyFont="1" applyFill="1" applyBorder="1" applyAlignment="1">
      <alignment horizontal="center" vertical="center"/>
    </xf>
    <xf numFmtId="0" fontId="45" fillId="6" borderId="127" xfId="0" applyFont="1" applyFill="1" applyBorder="1" applyAlignment="1">
      <alignment horizontal="center" vertical="center"/>
    </xf>
    <xf numFmtId="0" fontId="40" fillId="0" borderId="127" xfId="0" applyFont="1" applyBorder="1" applyAlignment="1">
      <alignment horizontal="center" vertical="center"/>
    </xf>
    <xf numFmtId="0" fontId="45" fillId="3" borderId="105" xfId="0" applyFont="1" applyFill="1" applyBorder="1" applyAlignment="1">
      <alignment horizontal="center" vertical="center"/>
    </xf>
    <xf numFmtId="0" fontId="45" fillId="3" borderId="106" xfId="0" applyFont="1" applyFill="1" applyBorder="1" applyAlignment="1">
      <alignment horizontal="center" vertical="center"/>
    </xf>
    <xf numFmtId="0" fontId="45" fillId="3" borderId="107" xfId="0" applyFont="1" applyFill="1" applyBorder="1" applyAlignment="1">
      <alignment horizontal="center" vertical="center"/>
    </xf>
    <xf numFmtId="0" fontId="40" fillId="0" borderId="121" xfId="0" applyFont="1" applyBorder="1" applyAlignment="1">
      <alignment horizontal="center" vertical="center"/>
    </xf>
    <xf numFmtId="0" fontId="45" fillId="9" borderId="122" xfId="0" applyFont="1" applyFill="1" applyBorder="1" applyAlignment="1">
      <alignment horizontal="center" vertical="center"/>
    </xf>
    <xf numFmtId="0" fontId="41" fillId="6" borderId="123" xfId="0" applyFont="1" applyFill="1" applyBorder="1" applyAlignment="1">
      <alignment horizontal="center" vertical="center"/>
    </xf>
    <xf numFmtId="0" fontId="40" fillId="0" borderId="123" xfId="0" applyFont="1" applyBorder="1" applyAlignment="1">
      <alignment horizontal="center" vertical="center"/>
    </xf>
    <xf numFmtId="0" fontId="45" fillId="9" borderId="109" xfId="0" applyFont="1" applyFill="1" applyBorder="1" applyAlignment="1">
      <alignment horizontal="center" vertical="center"/>
    </xf>
    <xf numFmtId="0" fontId="43" fillId="3" borderId="104" xfId="0" applyFont="1" applyFill="1" applyBorder="1" applyAlignment="1">
      <alignment horizontal="center" vertical="center"/>
    </xf>
    <xf numFmtId="0" fontId="37" fillId="12" borderId="101" xfId="0" applyFont="1" applyFill="1" applyBorder="1" applyAlignment="1">
      <alignment horizontal="left"/>
    </xf>
    <xf numFmtId="0" fontId="43" fillId="3" borderId="102" xfId="0" applyFont="1" applyFill="1" applyBorder="1" applyAlignment="1">
      <alignment horizontal="center" vertical="center"/>
    </xf>
    <xf numFmtId="0" fontId="3" fillId="7" borderId="90" xfId="0" applyFont="1" applyFill="1" applyBorder="1" applyAlignment="1">
      <alignment horizontal="left" vertical="center"/>
    </xf>
    <xf numFmtId="0" fontId="45" fillId="9" borderId="111" xfId="0" applyFont="1" applyFill="1" applyBorder="1" applyAlignment="1">
      <alignment horizontal="center" vertical="center"/>
    </xf>
    <xf numFmtId="0" fontId="45" fillId="9" borderId="113" xfId="0" applyFont="1" applyFill="1" applyBorder="1" applyAlignment="1">
      <alignment horizontal="center" vertical="center"/>
    </xf>
    <xf numFmtId="0" fontId="45" fillId="9" borderId="115" xfId="0" applyFont="1" applyFill="1" applyBorder="1" applyAlignment="1">
      <alignment horizontal="center" vertical="center"/>
    </xf>
    <xf numFmtId="0" fontId="45" fillId="9" borderId="117" xfId="0" applyFont="1" applyFill="1" applyBorder="1" applyAlignment="1">
      <alignment horizontal="center" vertical="center"/>
    </xf>
    <xf numFmtId="0" fontId="45" fillId="9" borderId="120" xfId="0" applyFont="1" applyFill="1" applyBorder="1" applyAlignment="1">
      <alignment horizontal="center" vertical="center"/>
    </xf>
    <xf numFmtId="0" fontId="41" fillId="9" borderId="111" xfId="0" applyFont="1" applyFill="1" applyBorder="1" applyAlignment="1">
      <alignment horizontal="center" vertical="center"/>
    </xf>
    <xf numFmtId="0" fontId="41" fillId="9" borderId="118" xfId="0" applyFont="1" applyFill="1" applyBorder="1" applyAlignment="1">
      <alignment horizontal="center" vertical="center"/>
    </xf>
    <xf numFmtId="0" fontId="45" fillId="9" borderId="128" xfId="0" applyFont="1" applyFill="1" applyBorder="1" applyAlignment="1">
      <alignment horizontal="center" vertical="center"/>
    </xf>
    <xf numFmtId="0" fontId="45" fillId="9" borderId="117" xfId="0" applyFont="1" applyFill="1" applyBorder="1" applyAlignment="1">
      <alignment horizontal="center"/>
    </xf>
    <xf numFmtId="0" fontId="44" fillId="9" borderId="115" xfId="0" applyFont="1" applyFill="1" applyBorder="1" applyAlignment="1">
      <alignment horizontal="center" vertical="center"/>
    </xf>
    <xf numFmtId="0" fontId="44" fillId="9" borderId="111" xfId="0" applyFont="1" applyFill="1" applyBorder="1" applyAlignment="1">
      <alignment horizontal="center" vertical="center"/>
    </xf>
    <xf numFmtId="0" fontId="43" fillId="6" borderId="85" xfId="0" applyFont="1" applyFill="1" applyBorder="1" applyAlignment="1">
      <alignment horizontal="right" vertical="top" wrapText="1"/>
    </xf>
    <xf numFmtId="0" fontId="44" fillId="5" borderId="85" xfId="0" applyFont="1" applyFill="1" applyBorder="1" applyAlignment="1">
      <alignment horizontal="right" vertical="top" wrapText="1"/>
    </xf>
    <xf numFmtId="0" fontId="44" fillId="5" borderId="86" xfId="0" applyFont="1" applyFill="1" applyBorder="1" applyAlignment="1">
      <alignment horizontal="right" vertical="top" wrapText="1"/>
    </xf>
    <xf numFmtId="0" fontId="43" fillId="6" borderId="58" xfId="0" applyFont="1" applyFill="1" applyBorder="1" applyAlignment="1">
      <alignment horizontal="center" vertical="top" wrapText="1"/>
    </xf>
    <xf numFmtId="0" fontId="44" fillId="5" borderId="59" xfId="0" applyFont="1" applyFill="1" applyBorder="1" applyAlignment="1">
      <alignment horizontal="center" vertical="top" wrapText="1"/>
    </xf>
    <xf numFmtId="0" fontId="3" fillId="3" borderId="62" xfId="0" applyFont="1" applyFill="1" applyBorder="1" applyAlignment="1">
      <alignment horizontal="center" vertical="top" wrapText="1"/>
    </xf>
    <xf numFmtId="0" fontId="40" fillId="2" borderId="47" xfId="0" applyFont="1" applyFill="1" applyBorder="1" applyAlignment="1">
      <alignment horizontal="center" vertical="top" wrapText="1"/>
    </xf>
    <xf numFmtId="0" fontId="3" fillId="3" borderId="47" xfId="0" applyFont="1" applyFill="1" applyBorder="1" applyAlignment="1">
      <alignment horizontal="center" vertical="top" wrapText="1"/>
    </xf>
    <xf numFmtId="0" fontId="16" fillId="2" borderId="47" xfId="0" applyFont="1" applyFill="1" applyBorder="1" applyAlignment="1">
      <alignment horizontal="left" vertical="top" wrapText="1"/>
    </xf>
    <xf numFmtId="0" fontId="16" fillId="2" borderId="47" xfId="0" applyFont="1" applyFill="1" applyBorder="1" applyAlignment="1">
      <alignment horizontal="center" vertical="top" wrapText="1"/>
    </xf>
    <xf numFmtId="0" fontId="37" fillId="3" borderId="47" xfId="0" applyFont="1" applyFill="1" applyBorder="1" applyAlignment="1">
      <alignment horizontal="center" vertical="top" wrapText="1"/>
    </xf>
    <xf numFmtId="0" fontId="42" fillId="2" borderId="47" xfId="0" applyFont="1" applyFill="1" applyBorder="1" applyAlignment="1">
      <alignment horizontal="center" vertical="top" wrapText="1"/>
    </xf>
    <xf numFmtId="0" fontId="42" fillId="2" borderId="63" xfId="0" applyFont="1" applyFill="1" applyBorder="1" applyAlignment="1">
      <alignment horizontal="center" vertical="top" wrapText="1"/>
    </xf>
    <xf numFmtId="0" fontId="24" fillId="3" borderId="84" xfId="0" applyFont="1" applyFill="1" applyBorder="1" applyAlignment="1">
      <alignment horizontal="left" vertical="center" wrapText="1"/>
    </xf>
    <xf numFmtId="0" fontId="40" fillId="2" borderId="85" xfId="0" applyFont="1" applyFill="1" applyBorder="1" applyAlignment="1">
      <alignment horizontal="left" vertical="top" wrapText="1"/>
    </xf>
    <xf numFmtId="0" fontId="41" fillId="9" borderId="91" xfId="0" applyFont="1" applyFill="1" applyBorder="1" applyAlignment="1">
      <alignment horizontal="center" vertical="top" wrapText="1"/>
    </xf>
    <xf numFmtId="0" fontId="0" fillId="0" borderId="0" xfId="0"/>
    <xf numFmtId="0" fontId="3" fillId="0" borderId="88" xfId="0" applyFont="1" applyFill="1" applyBorder="1" applyAlignment="1">
      <alignment horizontal="left" vertical="center"/>
    </xf>
    <xf numFmtId="0" fontId="24" fillId="7" borderId="88" xfId="0" applyFont="1" applyFill="1" applyBorder="1" applyAlignment="1"/>
    <xf numFmtId="0" fontId="3" fillId="7" borderId="88" xfId="0" applyFont="1" applyFill="1" applyBorder="1" applyAlignment="1"/>
    <xf numFmtId="0" fontId="3" fillId="7" borderId="88" xfId="0" applyFont="1" applyFill="1" applyBorder="1" applyAlignment="1">
      <alignment horizontal="left" vertical="center"/>
    </xf>
    <xf numFmtId="0" fontId="3" fillId="0" borderId="82" xfId="0" applyFont="1" applyFill="1" applyBorder="1" applyAlignment="1">
      <alignment horizontal="left" vertical="center"/>
    </xf>
    <xf numFmtId="0" fontId="3" fillId="0" borderId="82" xfId="0" applyFont="1" applyFill="1" applyBorder="1" applyAlignment="1">
      <alignment horizontal="left"/>
    </xf>
    <xf numFmtId="0" fontId="3" fillId="0" borderId="88" xfId="0" applyFont="1" applyFill="1" applyBorder="1" applyAlignment="1">
      <alignment horizontal="left"/>
    </xf>
    <xf numFmtId="0" fontId="3" fillId="7" borderId="88" xfId="0" applyFont="1" applyFill="1" applyBorder="1" applyAlignment="1">
      <alignment vertical="center"/>
    </xf>
    <xf numFmtId="0" fontId="3" fillId="0" borderId="90" xfId="0" applyFont="1" applyFill="1" applyBorder="1" applyAlignment="1">
      <alignment horizontal="left"/>
    </xf>
    <xf numFmtId="0" fontId="38" fillId="0" borderId="88" xfId="0" applyFont="1" applyBorder="1" applyAlignment="1">
      <alignment horizontal="left"/>
    </xf>
    <xf numFmtId="0" fontId="3" fillId="7" borderId="93" xfId="0" applyFont="1" applyFill="1" applyBorder="1" applyAlignment="1">
      <alignment horizontal="left" vertical="center"/>
    </xf>
    <xf numFmtId="0" fontId="24" fillId="7" borderId="94" xfId="0" applyFont="1" applyFill="1" applyBorder="1" applyAlignment="1"/>
    <xf numFmtId="0" fontId="3" fillId="0" borderId="93" xfId="0" applyFont="1" applyFill="1" applyBorder="1" applyAlignment="1">
      <alignment horizontal="left" vertical="center"/>
    </xf>
    <xf numFmtId="0" fontId="43" fillId="5" borderId="88" xfId="0" applyFont="1" applyFill="1" applyBorder="1" applyAlignment="1">
      <alignment horizontal="center"/>
    </xf>
    <xf numFmtId="0" fontId="43" fillId="5" borderId="90" xfId="0" applyFont="1" applyFill="1" applyBorder="1" applyAlignment="1">
      <alignment horizontal="center"/>
    </xf>
    <xf numFmtId="0" fontId="43" fillId="5" borderId="8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left"/>
    </xf>
    <xf numFmtId="0" fontId="39" fillId="6" borderId="110" xfId="0" applyFont="1" applyFill="1" applyBorder="1" applyAlignment="1">
      <alignment horizontal="center" vertical="center"/>
    </xf>
    <xf numFmtId="0" fontId="44" fillId="0" borderId="110" xfId="0" applyFont="1" applyBorder="1" applyAlignment="1">
      <alignment horizontal="center" vertical="center"/>
    </xf>
    <xf numFmtId="0" fontId="43" fillId="9" borderId="111" xfId="0" applyFont="1" applyFill="1" applyBorder="1" applyAlignment="1">
      <alignment horizontal="center" vertical="center"/>
    </xf>
    <xf numFmtId="0" fontId="39" fillId="6" borderId="114" xfId="0" applyFont="1" applyFill="1" applyBorder="1" applyAlignment="1">
      <alignment horizontal="center" vertical="center"/>
    </xf>
    <xf numFmtId="0" fontId="44" fillId="0" borderId="114" xfId="0" applyFont="1" applyBorder="1" applyAlignment="1">
      <alignment horizontal="center" vertical="center"/>
    </xf>
    <xf numFmtId="0" fontId="43" fillId="9" borderId="115" xfId="0" applyFont="1" applyFill="1" applyBorder="1" applyAlignment="1">
      <alignment horizontal="center" vertical="center"/>
    </xf>
    <xf numFmtId="0" fontId="44" fillId="0" borderId="88" xfId="0" applyFont="1" applyFill="1" applyBorder="1" applyAlignment="1">
      <alignment horizontal="center" vertical="center"/>
    </xf>
    <xf numFmtId="0" fontId="43" fillId="6" borderId="88" xfId="0" applyFont="1" applyFill="1" applyBorder="1" applyAlignment="1">
      <alignment horizontal="center" vertical="center"/>
    </xf>
    <xf numFmtId="0" fontId="44" fillId="0" borderId="88" xfId="0" applyFont="1" applyBorder="1" applyAlignment="1">
      <alignment horizontal="center" vertical="center"/>
    </xf>
    <xf numFmtId="0" fontId="39" fillId="9" borderId="111" xfId="0" applyFont="1" applyFill="1" applyBorder="1" applyAlignment="1">
      <alignment horizontal="center" vertical="center"/>
    </xf>
    <xf numFmtId="0" fontId="43" fillId="6" borderId="95" xfId="0" applyFont="1" applyFill="1" applyBorder="1" applyAlignment="1">
      <alignment horizontal="center" vertical="center"/>
    </xf>
    <xf numFmtId="0" fontId="43" fillId="5" borderId="94" xfId="0" applyFont="1" applyFill="1" applyBorder="1" applyAlignment="1">
      <alignment horizontal="center"/>
    </xf>
    <xf numFmtId="0" fontId="43" fillId="9" borderId="128" xfId="0" applyFont="1" applyFill="1" applyBorder="1" applyAlignment="1">
      <alignment horizontal="center" vertical="center"/>
    </xf>
    <xf numFmtId="0" fontId="44" fillId="0" borderId="126" xfId="0" applyFont="1" applyBorder="1" applyAlignment="1">
      <alignment horizontal="center" vertical="center"/>
    </xf>
    <xf numFmtId="0" fontId="44" fillId="7" borderId="88" xfId="0" applyFont="1" applyFill="1" applyBorder="1" applyAlignment="1">
      <alignment horizontal="center" vertical="center"/>
    </xf>
    <xf numFmtId="0" fontId="43" fillId="9" borderId="118" xfId="0" applyFont="1" applyFill="1" applyBorder="1" applyAlignment="1">
      <alignment horizontal="center" vertical="center"/>
    </xf>
    <xf numFmtId="0" fontId="40" fillId="0" borderId="88" xfId="0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horizontal="center" vertical="center"/>
    </xf>
    <xf numFmtId="0" fontId="39" fillId="9" borderId="118" xfId="0" applyFont="1" applyFill="1" applyBorder="1" applyAlignment="1">
      <alignment horizontal="center" vertical="center"/>
    </xf>
    <xf numFmtId="0" fontId="44" fillId="0" borderId="88" xfId="0" applyFont="1" applyBorder="1" applyAlignment="1" applyProtection="1">
      <alignment horizontal="center" vertical="center"/>
      <protection locked="0"/>
    </xf>
    <xf numFmtId="0" fontId="43" fillId="6" borderId="90" xfId="0" applyFont="1" applyFill="1" applyBorder="1" applyAlignment="1">
      <alignment horizontal="center" vertical="center"/>
    </xf>
    <xf numFmtId="0" fontId="44" fillId="0" borderId="90" xfId="0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3" fillId="6" borderId="127" xfId="0" applyFont="1" applyFill="1" applyBorder="1" applyAlignment="1">
      <alignment horizontal="center" vertical="center"/>
    </xf>
    <xf numFmtId="0" fontId="44" fillId="0" borderId="127" xfId="0" applyFont="1" applyBorder="1" applyAlignment="1">
      <alignment horizontal="center" vertical="center"/>
    </xf>
    <xf numFmtId="0" fontId="44" fillId="0" borderId="125" xfId="0" applyFont="1" applyBorder="1" applyAlignment="1">
      <alignment horizontal="center" vertical="center"/>
    </xf>
    <xf numFmtId="0" fontId="43" fillId="6" borderId="124" xfId="0" applyFont="1" applyFill="1" applyBorder="1" applyAlignment="1">
      <alignment horizontal="center" vertical="center"/>
    </xf>
    <xf numFmtId="0" fontId="44" fillId="0" borderId="98" xfId="0" applyFont="1" applyBorder="1" applyAlignment="1">
      <alignment horizontal="center" vertical="center"/>
    </xf>
    <xf numFmtId="0" fontId="44" fillId="0" borderId="98" xfId="0" applyFont="1" applyFill="1" applyBorder="1" applyAlignment="1">
      <alignment horizontal="center" vertical="center"/>
    </xf>
    <xf numFmtId="0" fontId="43" fillId="6" borderId="94" xfId="0" applyFont="1" applyFill="1" applyBorder="1" applyAlignment="1">
      <alignment horizontal="center" vertical="center"/>
    </xf>
    <xf numFmtId="0" fontId="43" fillId="9" borderId="129" xfId="0" applyFont="1" applyFill="1" applyBorder="1" applyAlignment="1">
      <alignment horizontal="center" vertical="center"/>
    </xf>
    <xf numFmtId="0" fontId="43" fillId="3" borderId="101" xfId="0" applyFont="1" applyFill="1" applyBorder="1" applyAlignment="1">
      <alignment horizontal="center" vertical="center"/>
    </xf>
    <xf numFmtId="0" fontId="43" fillId="3" borderId="17" xfId="0" applyFont="1" applyFill="1" applyBorder="1" applyAlignment="1">
      <alignment horizontal="center" vertical="center"/>
    </xf>
    <xf numFmtId="0" fontId="45" fillId="5" borderId="87" xfId="0" applyFont="1" applyFill="1" applyBorder="1" applyAlignment="1">
      <alignment horizontal="center" vertical="center"/>
    </xf>
    <xf numFmtId="0" fontId="45" fillId="5" borderId="88" xfId="0" applyFont="1" applyFill="1" applyBorder="1"/>
    <xf numFmtId="0" fontId="45" fillId="0" borderId="88" xfId="0" applyFont="1" applyFill="1" applyBorder="1" applyAlignment="1">
      <alignment horizontal="left"/>
    </xf>
    <xf numFmtId="0" fontId="43" fillId="6" borderId="85" xfId="0" applyFont="1" applyFill="1" applyBorder="1" applyAlignment="1">
      <alignment horizontal="center" vertical="center"/>
    </xf>
    <xf numFmtId="0" fontId="44" fillId="0" borderId="85" xfId="0" applyFont="1" applyFill="1" applyBorder="1" applyAlignment="1">
      <alignment horizontal="center" vertical="center"/>
    </xf>
    <xf numFmtId="0" fontId="45" fillId="5" borderId="89" xfId="0" applyFont="1" applyFill="1" applyBorder="1" applyAlignment="1">
      <alignment horizontal="center" vertical="center"/>
    </xf>
    <xf numFmtId="0" fontId="45" fillId="5" borderId="90" xfId="0" applyFont="1" applyFill="1" applyBorder="1"/>
    <xf numFmtId="0" fontId="44" fillId="0" borderId="103" xfId="0" applyFont="1" applyFill="1" applyBorder="1" applyAlignment="1">
      <alignment horizontal="center" vertical="center"/>
    </xf>
    <xf numFmtId="0" fontId="45" fillId="5" borderId="81" xfId="0" applyFont="1" applyFill="1" applyBorder="1" applyAlignment="1">
      <alignment horizontal="center" vertical="center"/>
    </xf>
    <xf numFmtId="0" fontId="45" fillId="5" borderId="82" xfId="0" applyFont="1" applyFill="1" applyBorder="1"/>
    <xf numFmtId="0" fontId="43" fillId="6" borderId="82" xfId="0" applyFont="1" applyFill="1" applyBorder="1" applyAlignment="1">
      <alignment horizontal="center" vertical="center"/>
    </xf>
    <xf numFmtId="0" fontId="44" fillId="0" borderId="82" xfId="0" applyFont="1" applyFill="1" applyBorder="1" applyAlignment="1">
      <alignment horizontal="center" vertical="center"/>
    </xf>
    <xf numFmtId="0" fontId="44" fillId="0" borderId="99" xfId="0" applyFont="1" applyFill="1" applyBorder="1" applyAlignment="1">
      <alignment horizontal="center" vertical="center"/>
    </xf>
    <xf numFmtId="0" fontId="45" fillId="5" borderId="92" xfId="0" applyFont="1" applyFill="1" applyBorder="1" applyAlignment="1">
      <alignment horizontal="center" vertical="center"/>
    </xf>
    <xf numFmtId="0" fontId="45" fillId="5" borderId="93" xfId="0" applyFont="1" applyFill="1" applyBorder="1"/>
    <xf numFmtId="0" fontId="43" fillId="6" borderId="93" xfId="0" applyFont="1" applyFill="1" applyBorder="1" applyAlignment="1">
      <alignment horizontal="center" vertical="center"/>
    </xf>
    <xf numFmtId="0" fontId="44" fillId="0" borderId="93" xfId="0" applyFont="1" applyFill="1" applyBorder="1" applyAlignment="1">
      <alignment horizontal="center" vertical="center"/>
    </xf>
    <xf numFmtId="0" fontId="40" fillId="0" borderId="93" xfId="0" applyFont="1" applyFill="1" applyBorder="1" applyAlignment="1">
      <alignment horizontal="center" vertical="center"/>
    </xf>
    <xf numFmtId="0" fontId="44" fillId="0" borderId="100" xfId="0" applyFont="1" applyFill="1" applyBorder="1" applyAlignment="1">
      <alignment horizontal="center" vertical="center"/>
    </xf>
    <xf numFmtId="0" fontId="45" fillId="5" borderId="83" xfId="0" applyFont="1" applyFill="1" applyBorder="1"/>
    <xf numFmtId="0" fontId="43" fillId="6" borderId="83" xfId="0" applyFont="1" applyFill="1" applyBorder="1" applyAlignment="1">
      <alignment horizontal="center" vertical="center"/>
    </xf>
    <xf numFmtId="0" fontId="44" fillId="0" borderId="83" xfId="0" applyFont="1" applyFill="1" applyBorder="1" applyAlignment="1">
      <alignment horizontal="center" vertical="center"/>
    </xf>
    <xf numFmtId="0" fontId="40" fillId="0" borderId="83" xfId="0" applyFont="1" applyFill="1" applyBorder="1" applyAlignment="1">
      <alignment horizontal="center" vertical="center"/>
    </xf>
    <xf numFmtId="0" fontId="44" fillId="0" borderId="108" xfId="0" applyFont="1" applyFill="1" applyBorder="1" applyAlignment="1">
      <alignment horizontal="center" vertical="center"/>
    </xf>
    <xf numFmtId="0" fontId="44" fillId="0" borderId="124" xfId="0" applyFont="1" applyFill="1" applyBorder="1" applyAlignment="1">
      <alignment horizontal="center" vertical="center"/>
    </xf>
    <xf numFmtId="0" fontId="40" fillId="0" borderId="100" xfId="0" applyFont="1" applyFill="1" applyBorder="1" applyAlignment="1">
      <alignment horizontal="center" vertical="center"/>
    </xf>
    <xf numFmtId="0" fontId="45" fillId="5" borderId="88" xfId="0" applyFont="1" applyFill="1" applyBorder="1" applyAlignment="1">
      <alignment horizontal="left" vertical="center"/>
    </xf>
    <xf numFmtId="0" fontId="45" fillId="6" borderId="88" xfId="0" applyFont="1" applyFill="1" applyBorder="1" applyAlignment="1">
      <alignment horizontal="center" vertical="center"/>
    </xf>
    <xf numFmtId="0" fontId="45" fillId="5" borderId="90" xfId="0" applyFont="1" applyFill="1" applyBorder="1" applyAlignment="1">
      <alignment horizontal="left" vertical="center"/>
    </xf>
    <xf numFmtId="0" fontId="45" fillId="6" borderId="90" xfId="0" applyFont="1" applyFill="1" applyBorder="1" applyAlignment="1">
      <alignment horizontal="center" vertical="center"/>
    </xf>
    <xf numFmtId="0" fontId="45" fillId="5" borderId="82" xfId="0" applyFont="1" applyFill="1" applyBorder="1" applyAlignment="1">
      <alignment horizontal="left" vertical="center"/>
    </xf>
    <xf numFmtId="0" fontId="40" fillId="0" borderId="82" xfId="0" applyFont="1" applyFill="1" applyBorder="1" applyAlignment="1">
      <alignment horizontal="center" vertical="center"/>
    </xf>
    <xf numFmtId="0" fontId="45" fillId="6" borderId="82" xfId="0" applyFont="1" applyFill="1" applyBorder="1" applyAlignment="1">
      <alignment horizontal="center" vertical="center"/>
    </xf>
    <xf numFmtId="0" fontId="45" fillId="5" borderId="93" xfId="0" applyFont="1" applyFill="1" applyBorder="1" applyAlignment="1">
      <alignment horizontal="left" vertical="center"/>
    </xf>
    <xf numFmtId="0" fontId="41" fillId="7" borderId="88" xfId="0" applyFont="1" applyFill="1" applyBorder="1" applyAlignment="1"/>
    <xf numFmtId="0" fontId="45" fillId="5" borderId="88" xfId="0" applyFont="1" applyFill="1" applyBorder="1" applyAlignment="1">
      <alignment horizontal="left"/>
    </xf>
    <xf numFmtId="0" fontId="45" fillId="7" borderId="88" xfId="0" applyFont="1" applyFill="1" applyBorder="1" applyAlignment="1"/>
    <xf numFmtId="0" fontId="45" fillId="5" borderId="94" xfId="0" applyFont="1" applyFill="1" applyBorder="1" applyAlignment="1">
      <alignment horizontal="left" vertical="center"/>
    </xf>
    <xf numFmtId="0" fontId="41" fillId="7" borderId="94" xfId="0" applyFont="1" applyFill="1" applyBorder="1" applyAlignment="1"/>
    <xf numFmtId="0" fontId="44" fillId="0" borderId="94" xfId="0" applyFont="1" applyFill="1" applyBorder="1" applyAlignment="1">
      <alignment horizontal="center" vertical="center"/>
    </xf>
    <xf numFmtId="0" fontId="40" fillId="0" borderId="94" xfId="0" applyFont="1" applyFill="1" applyBorder="1" applyAlignment="1">
      <alignment horizontal="center" vertical="center"/>
    </xf>
    <xf numFmtId="0" fontId="40" fillId="0" borderId="97" xfId="0" applyFont="1" applyFill="1" applyBorder="1" applyAlignment="1">
      <alignment horizontal="center" vertical="center"/>
    </xf>
    <xf numFmtId="0" fontId="45" fillId="5" borderId="96" xfId="0" applyFont="1" applyFill="1" applyBorder="1" applyAlignment="1">
      <alignment horizontal="center" vertical="center"/>
    </xf>
    <xf numFmtId="0" fontId="3" fillId="7" borderId="82" xfId="0" applyFont="1" applyFill="1" applyBorder="1" applyAlignment="1">
      <alignment horizontal="left" vertical="center"/>
    </xf>
    <xf numFmtId="0" fontId="38" fillId="0" borderId="83" xfId="0" applyFont="1" applyBorder="1" applyAlignment="1">
      <alignment horizontal="left" vertical="center"/>
    </xf>
    <xf numFmtId="0" fontId="38" fillId="0" borderId="88" xfId="0" applyFont="1" applyBorder="1" applyAlignment="1">
      <alignment horizontal="left" vertical="center"/>
    </xf>
    <xf numFmtId="0" fontId="41" fillId="2" borderId="84" xfId="0" applyFont="1" applyFill="1" applyBorder="1" applyAlignment="1">
      <alignment horizontal="center" vertical="top" wrapText="1"/>
    </xf>
    <xf numFmtId="0" fontId="45" fillId="2" borderId="85" xfId="0" applyFont="1" applyFill="1" applyBorder="1" applyAlignment="1">
      <alignment horizontal="center" vertical="center" wrapText="1"/>
    </xf>
    <xf numFmtId="0" fontId="24" fillId="2" borderId="85" xfId="0" applyFont="1" applyFill="1" applyBorder="1" applyAlignment="1">
      <alignment horizontal="center" vertical="center" wrapText="1"/>
    </xf>
    <xf numFmtId="0" fontId="41" fillId="2" borderId="85" xfId="0" applyFont="1" applyFill="1" applyBorder="1" applyAlignment="1">
      <alignment horizontal="center" vertical="center" wrapText="1"/>
    </xf>
    <xf numFmtId="0" fontId="41" fillId="6" borderId="110" xfId="0" applyFont="1" applyFill="1" applyBorder="1" applyAlignment="1">
      <alignment horizontal="center" vertical="center"/>
    </xf>
    <xf numFmtId="0" fontId="40" fillId="0" borderId="110" xfId="0" applyFont="1" applyBorder="1" applyAlignment="1">
      <alignment horizontal="center" vertical="center"/>
    </xf>
    <xf numFmtId="0" fontId="41" fillId="6" borderId="112" xfId="0" applyFont="1" applyFill="1" applyBorder="1" applyAlignment="1">
      <alignment horizontal="center" vertical="center"/>
    </xf>
    <xf numFmtId="0" fontId="40" fillId="0" borderId="112" xfId="0" applyFont="1" applyBorder="1" applyAlignment="1">
      <alignment horizontal="center" vertical="center"/>
    </xf>
    <xf numFmtId="0" fontId="41" fillId="6" borderId="114" xfId="0" applyFont="1" applyFill="1" applyBorder="1" applyAlignment="1">
      <alignment horizontal="center" vertical="center"/>
    </xf>
    <xf numFmtId="0" fontId="40" fillId="0" borderId="114" xfId="0" applyFont="1" applyBorder="1" applyAlignment="1">
      <alignment horizontal="center" vertical="center"/>
    </xf>
    <xf numFmtId="0" fontId="41" fillId="6" borderId="116" xfId="0" applyFont="1" applyFill="1" applyBorder="1" applyAlignment="1">
      <alignment horizontal="center" vertical="center"/>
    </xf>
    <xf numFmtId="0" fontId="40" fillId="0" borderId="116" xfId="0" applyFont="1" applyBorder="1" applyAlignment="1">
      <alignment horizontal="center" vertical="center"/>
    </xf>
    <xf numFmtId="0" fontId="41" fillId="6" borderId="119" xfId="0" applyFont="1" applyFill="1" applyBorder="1" applyAlignment="1">
      <alignment horizontal="center" vertical="center"/>
    </xf>
    <xf numFmtId="0" fontId="40" fillId="0" borderId="119" xfId="0" applyFont="1" applyBorder="1" applyAlignment="1">
      <alignment horizontal="center" vertical="center"/>
    </xf>
    <xf numFmtId="0" fontId="41" fillId="6" borderId="121" xfId="0" applyFont="1" applyFill="1" applyBorder="1" applyAlignment="1">
      <alignment horizontal="center" vertical="center"/>
    </xf>
    <xf numFmtId="0" fontId="40" fillId="0" borderId="121" xfId="0" applyFont="1" applyBorder="1" applyAlignment="1">
      <alignment horizontal="center" vertical="center"/>
    </xf>
    <xf numFmtId="0" fontId="45" fillId="9" borderId="122" xfId="0" applyFont="1" applyFill="1" applyBorder="1" applyAlignment="1">
      <alignment horizontal="center" vertical="center"/>
    </xf>
    <xf numFmtId="0" fontId="41" fillId="6" borderId="123" xfId="0" applyFont="1" applyFill="1" applyBorder="1" applyAlignment="1">
      <alignment horizontal="center" vertical="center"/>
    </xf>
    <xf numFmtId="0" fontId="40" fillId="0" borderId="123" xfId="0" applyFont="1" applyBorder="1" applyAlignment="1">
      <alignment horizontal="center" vertical="center"/>
    </xf>
    <xf numFmtId="0" fontId="45" fillId="9" borderId="109" xfId="0" applyFont="1" applyFill="1" applyBorder="1" applyAlignment="1">
      <alignment horizontal="center" vertical="center"/>
    </xf>
    <xf numFmtId="0" fontId="43" fillId="9" borderId="113" xfId="0" applyFont="1" applyFill="1" applyBorder="1" applyAlignment="1">
      <alignment horizontal="center" vertical="center"/>
    </xf>
    <xf numFmtId="0" fontId="43" fillId="9" borderId="117" xfId="0" applyFont="1" applyFill="1" applyBorder="1" applyAlignment="1">
      <alignment horizontal="center" vertical="center"/>
    </xf>
    <xf numFmtId="0" fontId="43" fillId="3" borderId="104" xfId="0" applyFont="1" applyFill="1" applyBorder="1" applyAlignment="1">
      <alignment horizontal="center" vertical="center"/>
    </xf>
    <xf numFmtId="0" fontId="37" fillId="12" borderId="101" xfId="0" applyFont="1" applyFill="1" applyBorder="1" applyAlignment="1">
      <alignment horizontal="left"/>
    </xf>
    <xf numFmtId="0" fontId="43" fillId="3" borderId="102" xfId="0" applyFont="1" applyFill="1" applyBorder="1" applyAlignment="1">
      <alignment horizontal="center" vertical="center"/>
    </xf>
    <xf numFmtId="0" fontId="3" fillId="7" borderId="90" xfId="0" applyFont="1" applyFill="1" applyBorder="1" applyAlignment="1">
      <alignment horizontal="left" vertical="center"/>
    </xf>
    <xf numFmtId="0" fontId="43" fillId="5" borderId="93" xfId="0" applyFont="1" applyFill="1" applyBorder="1" applyAlignment="1">
      <alignment horizontal="center"/>
    </xf>
    <xf numFmtId="0" fontId="43" fillId="5" borderId="83" xfId="0" applyFont="1" applyFill="1" applyBorder="1" applyAlignment="1">
      <alignment horizontal="center"/>
    </xf>
    <xf numFmtId="0" fontId="43" fillId="9" borderId="120" xfId="0" applyFont="1" applyFill="1" applyBorder="1" applyAlignment="1">
      <alignment horizontal="center" vertical="center"/>
    </xf>
    <xf numFmtId="0" fontId="43" fillId="9" borderId="117" xfId="0" applyFont="1" applyFill="1" applyBorder="1" applyAlignment="1">
      <alignment horizontal="center"/>
    </xf>
    <xf numFmtId="0" fontId="43" fillId="0" borderId="88" xfId="0" applyFont="1" applyBorder="1" applyAlignment="1">
      <alignment horizontal="center" vertical="center"/>
    </xf>
    <xf numFmtId="0" fontId="43" fillId="3" borderId="105" xfId="0" applyFont="1" applyFill="1" applyBorder="1" applyAlignment="1">
      <alignment horizontal="center" vertical="center"/>
    </xf>
    <xf numFmtId="0" fontId="43" fillId="3" borderId="106" xfId="0" applyFont="1" applyFill="1" applyBorder="1" applyAlignment="1">
      <alignment horizontal="center" vertical="center"/>
    </xf>
    <xf numFmtId="0" fontId="43" fillId="3" borderId="107" xfId="0" applyFont="1" applyFill="1" applyBorder="1" applyAlignment="1">
      <alignment horizontal="center" vertical="center"/>
    </xf>
    <xf numFmtId="0" fontId="43" fillId="6" borderId="85" xfId="0" applyFont="1" applyFill="1" applyBorder="1" applyAlignment="1">
      <alignment horizontal="right" vertical="top" wrapText="1"/>
    </xf>
    <xf numFmtId="0" fontId="44" fillId="5" borderId="85" xfId="0" applyFont="1" applyFill="1" applyBorder="1" applyAlignment="1">
      <alignment horizontal="right" vertical="top" wrapText="1"/>
    </xf>
    <xf numFmtId="0" fontId="44" fillId="5" borderId="86" xfId="0" applyFont="1" applyFill="1" applyBorder="1" applyAlignment="1">
      <alignment horizontal="right" vertical="top" wrapText="1"/>
    </xf>
    <xf numFmtId="0" fontId="43" fillId="6" borderId="58" xfId="0" applyFont="1" applyFill="1" applyBorder="1" applyAlignment="1">
      <alignment horizontal="center" vertical="top" wrapText="1"/>
    </xf>
    <xf numFmtId="0" fontId="44" fillId="5" borderId="59" xfId="0" applyFont="1" applyFill="1" applyBorder="1" applyAlignment="1">
      <alignment horizontal="center" vertical="top" wrapText="1"/>
    </xf>
    <xf numFmtId="0" fontId="37" fillId="3" borderId="62" xfId="0" applyFont="1" applyFill="1" applyBorder="1" applyAlignment="1">
      <alignment horizontal="center" vertical="top" wrapText="1"/>
    </xf>
    <xf numFmtId="0" fontId="44" fillId="2" borderId="47" xfId="0" applyFont="1" applyFill="1" applyBorder="1" applyAlignment="1">
      <alignment horizontal="center" vertical="top" wrapText="1"/>
    </xf>
    <xf numFmtId="0" fontId="37" fillId="3" borderId="47" xfId="0" applyFont="1" applyFill="1" applyBorder="1" applyAlignment="1">
      <alignment horizontal="center" vertical="top" wrapText="1"/>
    </xf>
    <xf numFmtId="0" fontId="42" fillId="2" borderId="47" xfId="0" applyFont="1" applyFill="1" applyBorder="1" applyAlignment="1">
      <alignment horizontal="left" vertical="top" wrapText="1"/>
    </xf>
    <xf numFmtId="0" fontId="42" fillId="2" borderId="47" xfId="0" applyFont="1" applyFill="1" applyBorder="1" applyAlignment="1">
      <alignment horizontal="center" vertical="top" wrapText="1"/>
    </xf>
    <xf numFmtId="0" fontId="42" fillId="2" borderId="63" xfId="0" applyFont="1" applyFill="1" applyBorder="1" applyAlignment="1">
      <alignment horizontal="center" vertical="top" wrapText="1"/>
    </xf>
    <xf numFmtId="0" fontId="24" fillId="3" borderId="84" xfId="0" applyFont="1" applyFill="1" applyBorder="1" applyAlignment="1">
      <alignment horizontal="left" vertical="center" wrapText="1"/>
    </xf>
    <xf numFmtId="0" fontId="40" fillId="2" borderId="85" xfId="0" applyFont="1" applyFill="1" applyBorder="1" applyAlignment="1">
      <alignment horizontal="left" vertical="top" wrapText="1"/>
    </xf>
    <xf numFmtId="0" fontId="41" fillId="9" borderId="91" xfId="0" applyFont="1" applyFill="1" applyBorder="1" applyAlignment="1">
      <alignment horizontal="center" vertical="top" wrapText="1"/>
    </xf>
    <xf numFmtId="0" fontId="0" fillId="15" borderId="0" xfId="0" applyFill="1"/>
    <xf numFmtId="0" fontId="49" fillId="13" borderId="0" xfId="0" applyFont="1" applyFill="1" applyAlignment="1">
      <alignment vertical="center"/>
    </xf>
    <xf numFmtId="0" fontId="0" fillId="13" borderId="0" xfId="0" applyFill="1" applyBorder="1"/>
    <xf numFmtId="0" fontId="43" fillId="6" borderId="8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/>
    </xf>
    <xf numFmtId="43" fontId="2" fillId="7" borderId="0" xfId="0" applyNumberFormat="1" applyFont="1" applyFill="1" applyBorder="1" applyAlignment="1">
      <alignment horizontal="left" vertical="center"/>
    </xf>
    <xf numFmtId="166" fontId="3" fillId="4" borderId="13" xfId="0" applyNumberFormat="1" applyFont="1" applyFill="1" applyBorder="1" applyAlignment="1">
      <alignment horizontal="center" vertical="center" wrapText="1"/>
    </xf>
    <xf numFmtId="166" fontId="3" fillId="4" borderId="46" xfId="0" applyNumberFormat="1" applyFont="1" applyFill="1" applyBorder="1" applyAlignment="1">
      <alignment horizontal="center" vertical="center" wrapText="1"/>
    </xf>
    <xf numFmtId="166" fontId="3" fillId="4" borderId="8" xfId="0" applyNumberFormat="1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left" vertical="center"/>
    </xf>
    <xf numFmtId="0" fontId="47" fillId="14" borderId="130" xfId="0" applyFont="1" applyFill="1" applyBorder="1" applyAlignment="1">
      <alignment horizontal="center" vertical="center"/>
    </xf>
    <xf numFmtId="0" fontId="47" fillId="14" borderId="131" xfId="0" applyFont="1" applyFill="1" applyBorder="1" applyAlignment="1">
      <alignment horizontal="center" vertical="center"/>
    </xf>
    <xf numFmtId="0" fontId="47" fillId="14" borderId="132" xfId="0" applyFont="1" applyFill="1" applyBorder="1" applyAlignment="1">
      <alignment horizontal="center" vertical="center"/>
    </xf>
    <xf numFmtId="0" fontId="19" fillId="15" borderId="37" xfId="0" applyFont="1" applyFill="1" applyBorder="1" applyAlignment="1">
      <alignment horizontal="center" vertical="center"/>
    </xf>
    <xf numFmtId="0" fontId="19" fillId="15" borderId="23" xfId="0" applyFont="1" applyFill="1" applyBorder="1" applyAlignment="1">
      <alignment horizontal="center" vertical="center"/>
    </xf>
    <xf numFmtId="0" fontId="49" fillId="13" borderId="0" xfId="0" applyFont="1" applyFill="1" applyAlignment="1">
      <alignment horizontal="center" vertical="center"/>
    </xf>
    <xf numFmtId="0" fontId="50" fillId="13" borderId="0" xfId="0" applyFont="1" applyFill="1" applyAlignment="1">
      <alignment horizontal="center"/>
    </xf>
    <xf numFmtId="0" fontId="46" fillId="13" borderId="0" xfId="0" applyFont="1" applyFill="1" applyAlignment="1">
      <alignment horizontal="center"/>
    </xf>
    <xf numFmtId="0" fontId="48" fillId="14" borderId="0" xfId="0" applyFont="1" applyFill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0" fillId="7" borderId="137" xfId="0" applyFill="1" applyBorder="1" applyAlignment="1">
      <alignment horizontal="center"/>
    </xf>
    <xf numFmtId="0" fontId="0" fillId="7" borderId="138" xfId="0" applyFill="1" applyBorder="1" applyAlignment="1">
      <alignment horizontal="center"/>
    </xf>
    <xf numFmtId="0" fontId="0" fillId="7" borderId="139" xfId="0" applyFill="1" applyBorder="1" applyAlignment="1">
      <alignment horizontal="center"/>
    </xf>
    <xf numFmtId="0" fontId="35" fillId="13" borderId="0" xfId="0" applyFont="1" applyFill="1" applyAlignment="1">
      <alignment horizontal="center"/>
    </xf>
    <xf numFmtId="0" fontId="49" fillId="13" borderId="0" xfId="0" applyFont="1" applyFill="1" applyBorder="1" applyAlignment="1">
      <alignment horizontal="center" vertical="center"/>
    </xf>
    <xf numFmtId="0" fontId="19" fillId="15" borderId="38" xfId="0" applyFont="1" applyFill="1" applyBorder="1" applyAlignment="1">
      <alignment horizontal="center" vertical="center"/>
    </xf>
    <xf numFmtId="3" fontId="7" fillId="15" borderId="133" xfId="0" applyNumberFormat="1" applyFont="1" applyFill="1" applyBorder="1" applyAlignment="1">
      <alignment horizontal="center"/>
    </xf>
    <xf numFmtId="3" fontId="7" fillId="15" borderId="134" xfId="0" applyNumberFormat="1" applyFont="1" applyFill="1" applyBorder="1" applyAlignment="1">
      <alignment horizontal="center"/>
    </xf>
    <xf numFmtId="3" fontId="7" fillId="15" borderId="135" xfId="0" applyNumberFormat="1" applyFont="1" applyFill="1" applyBorder="1" applyAlignment="1">
      <alignment horizontal="center"/>
    </xf>
    <xf numFmtId="3" fontId="7" fillId="15" borderId="13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1" builtinId="3"/>
    <cellStyle name="Comma 2" xfId="2"/>
    <cellStyle name="Comma 2 2" xfId="4"/>
    <cellStyle name="Currency" xfId="3" builtinId="4"/>
    <cellStyle name="Normal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Dashboard!$A$10</c:f>
          <c:strCache>
            <c:ptCount val="1"/>
            <c:pt idx="0">
              <c:v> Stock Report Of  NP5-12</c:v>
            </c:pt>
          </c:strCache>
        </c:strRef>
      </c:tx>
      <c:layout>
        <c:manualLayout>
          <c:xMode val="edge"/>
          <c:yMode val="edge"/>
          <c:x val="0.30312047067470843"/>
          <c:y val="2.9525134083888942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16472092560518"/>
          <c:y val="0.15210921912175882"/>
          <c:w val="0.66213736855782479"/>
          <c:h val="0.7731901547315031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Purchase</c:v>
          </c:tx>
          <c:invertIfNegative val="0"/>
          <c:val>
            <c:numRef>
              <c:f>Dashboard!$B$17</c:f>
              <c:numCache>
                <c:formatCode>General</c:formatCode>
                <c:ptCount val="1"/>
                <c:pt idx="0">
                  <c:v>7412</c:v>
                </c:pt>
              </c:numCache>
            </c:numRef>
          </c:val>
        </c:ser>
        <c:ser>
          <c:idx val="1"/>
          <c:order val="1"/>
          <c:tx>
            <c:v>Total Sales</c:v>
          </c:tx>
          <c:spPr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Dashboard!$B$21</c:f>
              <c:numCache>
                <c:formatCode>General</c:formatCode>
                <c:ptCount val="1"/>
                <c:pt idx="0">
                  <c:v>1388</c:v>
                </c:pt>
              </c:numCache>
            </c:numRef>
          </c:val>
        </c:ser>
        <c:ser>
          <c:idx val="2"/>
          <c:order val="2"/>
          <c:tx>
            <c:v>Balance Stock</c:v>
          </c:tx>
          <c:invertIfNegative val="0"/>
          <c:val>
            <c:numRef>
              <c:f>Dashboard!$B$13</c:f>
              <c:numCache>
                <c:formatCode>General</c:formatCode>
                <c:ptCount val="1"/>
                <c:pt idx="0">
                  <c:v>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gapDepth val="124"/>
        <c:shape val="box"/>
        <c:axId val="352599424"/>
        <c:axId val="352601216"/>
        <c:axId val="0"/>
      </c:bar3DChart>
      <c:catAx>
        <c:axId val="35259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2601216"/>
        <c:crosses val="autoZero"/>
        <c:auto val="1"/>
        <c:lblAlgn val="ctr"/>
        <c:lblOffset val="100"/>
        <c:noMultiLvlLbl val="0"/>
      </c:catAx>
      <c:valAx>
        <c:axId val="352601216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35259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57150">
      <a:solidFill>
        <a:schemeClr val="bg1"/>
      </a:solidFill>
      <a:prstDash val="sysDot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Dashboard!$N$8</c:f>
          <c:strCache>
            <c:ptCount val="1"/>
            <c:pt idx="0">
              <c:v> Total Stock Report Of 2018</c:v>
            </c:pt>
          </c:strCache>
        </c:strRef>
      </c:tx>
      <c:layout/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390535601893427"/>
          <c:y val="0.12371908351693799"/>
          <c:w val="0.6638873578302712"/>
          <c:h val="0.8326195683872849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Purchase</c:v>
          </c:tx>
          <c:invertIfNegative val="0"/>
          <c:val>
            <c:numRef>
              <c:f>Dashboard!$N$10</c:f>
              <c:numCache>
                <c:formatCode>#,##0</c:formatCode>
                <c:ptCount val="1"/>
                <c:pt idx="0">
                  <c:v>17452</c:v>
                </c:pt>
              </c:numCache>
            </c:numRef>
          </c:val>
        </c:ser>
        <c:ser>
          <c:idx val="1"/>
          <c:order val="1"/>
          <c:tx>
            <c:v>Total Sales</c:v>
          </c:tx>
          <c:invertIfNegative val="0"/>
          <c:val>
            <c:numRef>
              <c:f>Dashboard!$P$10</c:f>
              <c:numCache>
                <c:formatCode>#,##0</c:formatCode>
                <c:ptCount val="1"/>
                <c:pt idx="0">
                  <c:v>8117</c:v>
                </c:pt>
              </c:numCache>
            </c:numRef>
          </c:val>
        </c:ser>
        <c:ser>
          <c:idx val="2"/>
          <c:order val="2"/>
          <c:tx>
            <c:v>Balance Stock</c:v>
          </c:tx>
          <c:invertIfNegative val="0"/>
          <c:val>
            <c:numRef>
              <c:f>Dashboard!$R$10</c:f>
              <c:numCache>
                <c:formatCode>#,##0</c:formatCode>
                <c:ptCount val="1"/>
                <c:pt idx="0">
                  <c:v>9335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635904"/>
        <c:axId val="352641792"/>
        <c:axId val="0"/>
      </c:bar3DChart>
      <c:catAx>
        <c:axId val="3526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641792"/>
        <c:crosses val="autoZero"/>
        <c:auto val="1"/>
        <c:lblAlgn val="ctr"/>
        <c:lblOffset val="100"/>
        <c:noMultiLvlLbl val="0"/>
      </c:catAx>
      <c:valAx>
        <c:axId val="352641792"/>
        <c:scaling>
          <c:orientation val="minMax"/>
        </c:scaling>
        <c:delete val="0"/>
        <c:axPos val="l"/>
        <c:minorGridlines/>
        <c:numFmt formatCode="#,##0;\-#,##0" sourceLinked="0"/>
        <c:majorTickMark val="out"/>
        <c:minorTickMark val="none"/>
        <c:tickLblPos val="nextTo"/>
        <c:crossAx val="35263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57150">
      <a:solidFill>
        <a:schemeClr val="bg1"/>
      </a:solidFill>
      <a:prstDash val="sysDot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Dashboard!$G$44</c:f>
          <c:strCache>
            <c:ptCount val="1"/>
            <c:pt idx="0">
              <c:v>Stock Report Of Dec19 - SURTRK2</c:v>
            </c:pt>
          </c:strCache>
        </c:strRef>
      </c:tx>
      <c:layout>
        <c:manualLayout>
          <c:xMode val="edge"/>
          <c:yMode val="edge"/>
          <c:x val="0.30312047067470843"/>
          <c:y val="2.9525134083888942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16472092560518"/>
          <c:y val="0.15210921912175882"/>
          <c:w val="0.66213736855782479"/>
          <c:h val="0.7731901547315031"/>
        </c:manualLayout>
      </c:layout>
      <c:bar3DChart>
        <c:barDir val="col"/>
        <c:grouping val="clustered"/>
        <c:varyColors val="0"/>
        <c:ser>
          <c:idx val="0"/>
          <c:order val="0"/>
          <c:tx>
            <c:v>This Month Purchase</c:v>
          </c:tx>
          <c:invertIfNegative val="0"/>
          <c:val>
            <c:numRef>
              <c:f>Dashboard!$F$40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This Month Sales</c:v>
          </c:tx>
          <c:invertIfNegative val="0"/>
          <c:val>
            <c:numRef>
              <c:f>Dashboard!$J$40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gapDepth val="124"/>
        <c:shape val="box"/>
        <c:axId val="353511296"/>
        <c:axId val="353512832"/>
        <c:axId val="0"/>
      </c:bar3DChart>
      <c:catAx>
        <c:axId val="3535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353512832"/>
        <c:crosses val="autoZero"/>
        <c:auto val="1"/>
        <c:lblAlgn val="ctr"/>
        <c:lblOffset val="100"/>
        <c:noMultiLvlLbl val="0"/>
      </c:catAx>
      <c:valAx>
        <c:axId val="35351283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35351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57150">
      <a:solidFill>
        <a:schemeClr val="bg1"/>
      </a:solidFill>
      <a:prstDash val="sysDot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0" fmlaLink="'Working sheet'!$C$10" fmlaRange="'Working sheet'!$C$6:$C$9" sel="3" val="0"/>
</file>

<file path=xl/ctrlProps/ctrlProp2.xml><?xml version="1.0" encoding="utf-8"?>
<formControlPr xmlns="http://schemas.microsoft.com/office/spreadsheetml/2009/9/main" objectType="Drop" dropStyle="combo" dx="20" fmlaLink="'Working sheet'!$C$10" fmlaRange="'Working sheet'!$C$6:$C$9" sel="3" val="0"/>
</file>

<file path=xl/ctrlProps/ctrlProp3.xml><?xml version="1.0" encoding="utf-8"?>
<formControlPr xmlns="http://schemas.microsoft.com/office/spreadsheetml/2009/9/main" objectType="Drop" dropStyle="combo" dx="20" fmlaLink="'Working sheet'!$H$18" fmlaRange="'Working sheet'!$H$6:$H$17" noThreeD="1" sel="12" val="4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57149</xdr:colOff>
      <xdr:row>519</xdr:row>
      <xdr:rowOff>9525</xdr:rowOff>
    </xdr:from>
    <xdr:to>
      <xdr:col>14</xdr:col>
      <xdr:colOff>809624</xdr:colOff>
      <xdr:row>567</xdr:row>
      <xdr:rowOff>0</xdr:rowOff>
    </xdr:to>
    <xdr:sp macro="" textlink="">
      <xdr:nvSpPr>
        <xdr:cNvPr id="2" name="Right Brace 1"/>
        <xdr:cNvSpPr/>
      </xdr:nvSpPr>
      <xdr:spPr>
        <a:xfrm>
          <a:off x="12439649" y="100155375"/>
          <a:ext cx="752475" cy="91344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666750</xdr:colOff>
      <xdr:row>717</xdr:row>
      <xdr:rowOff>0</xdr:rowOff>
    </xdr:from>
    <xdr:to>
      <xdr:col>12</xdr:col>
      <xdr:colOff>85725</xdr:colOff>
      <xdr:row>720</xdr:row>
      <xdr:rowOff>19050</xdr:rowOff>
    </xdr:to>
    <xdr:sp macro="" textlink="">
      <xdr:nvSpPr>
        <xdr:cNvPr id="3" name="Right Brace 2"/>
        <xdr:cNvSpPr/>
      </xdr:nvSpPr>
      <xdr:spPr>
        <a:xfrm>
          <a:off x="10448925" y="137941050"/>
          <a:ext cx="95250" cy="5905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514350</xdr:colOff>
      <xdr:row>956</xdr:row>
      <xdr:rowOff>9525</xdr:rowOff>
    </xdr:from>
    <xdr:to>
      <xdr:col>10</xdr:col>
      <xdr:colOff>590550</xdr:colOff>
      <xdr:row>963</xdr:row>
      <xdr:rowOff>0</xdr:rowOff>
    </xdr:to>
    <xdr:sp macro="" textlink="">
      <xdr:nvSpPr>
        <xdr:cNvPr id="4" name="Right Brace 3"/>
        <xdr:cNvSpPr/>
      </xdr:nvSpPr>
      <xdr:spPr>
        <a:xfrm>
          <a:off x="9829800" y="182489475"/>
          <a:ext cx="76200" cy="1323975"/>
        </a:xfrm>
        <a:prstGeom prst="rightBrace">
          <a:avLst/>
        </a:prstGeom>
        <a:solidFill>
          <a:schemeClr val="accent2"/>
        </a:solidFill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581024</xdr:colOff>
      <xdr:row>963</xdr:row>
      <xdr:rowOff>38100</xdr:rowOff>
    </xdr:from>
    <xdr:to>
      <xdr:col>10</xdr:col>
      <xdr:colOff>626743</xdr:colOff>
      <xdr:row>968</xdr:row>
      <xdr:rowOff>9525</xdr:rowOff>
    </xdr:to>
    <xdr:sp macro="" textlink="">
      <xdr:nvSpPr>
        <xdr:cNvPr id="5" name="Right Brace 4"/>
        <xdr:cNvSpPr/>
      </xdr:nvSpPr>
      <xdr:spPr>
        <a:xfrm>
          <a:off x="9896474" y="183851550"/>
          <a:ext cx="45719" cy="923925"/>
        </a:xfrm>
        <a:prstGeom prst="rightBrace">
          <a:avLst/>
        </a:prstGeom>
        <a:solidFill>
          <a:schemeClr val="accent2"/>
        </a:solidFill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609600</xdr:colOff>
      <xdr:row>985</xdr:row>
      <xdr:rowOff>190499</xdr:rowOff>
    </xdr:from>
    <xdr:to>
      <xdr:col>12</xdr:col>
      <xdr:colOff>161925</xdr:colOff>
      <xdr:row>993</xdr:row>
      <xdr:rowOff>180975</xdr:rowOff>
    </xdr:to>
    <xdr:sp macro="" textlink="">
      <xdr:nvSpPr>
        <xdr:cNvPr id="7" name="Right Brace 6"/>
        <xdr:cNvSpPr/>
      </xdr:nvSpPr>
      <xdr:spPr>
        <a:xfrm>
          <a:off x="10572750" y="188194949"/>
          <a:ext cx="228600" cy="1514476"/>
        </a:xfrm>
        <a:prstGeom prst="rightBrace">
          <a:avLst/>
        </a:prstGeom>
        <a:solidFill>
          <a:sysClr val="window" lastClr="FFFFFF"/>
        </a:solidFill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1133475</xdr:colOff>
      <xdr:row>1037</xdr:row>
      <xdr:rowOff>19050</xdr:rowOff>
    </xdr:from>
    <xdr:to>
      <xdr:col>9</xdr:col>
      <xdr:colOff>1647825</xdr:colOff>
      <xdr:row>1052</xdr:row>
      <xdr:rowOff>0</xdr:rowOff>
    </xdr:to>
    <xdr:sp macro="" textlink="">
      <xdr:nvSpPr>
        <xdr:cNvPr id="6" name="Right Brace 5"/>
        <xdr:cNvSpPr/>
      </xdr:nvSpPr>
      <xdr:spPr>
        <a:xfrm>
          <a:off x="8524875" y="197929500"/>
          <a:ext cx="514350" cy="28384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357809</xdr:colOff>
      <xdr:row>0</xdr:row>
      <xdr:rowOff>59638</xdr:rowOff>
    </xdr:from>
    <xdr:to>
      <xdr:col>3</xdr:col>
      <xdr:colOff>487658</xdr:colOff>
      <xdr:row>4</xdr:row>
      <xdr:rowOff>92766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809" y="59638"/>
          <a:ext cx="2038162" cy="775250"/>
        </a:xfrm>
        <a:prstGeom prst="rect">
          <a:avLst/>
        </a:prstGeom>
        <a:solidFill>
          <a:schemeClr val="accent1">
            <a:lumMod val="50000"/>
          </a:schemeClr>
        </a:solidFill>
      </xdr:spPr>
    </xdr:pic>
    <xdr:clientData/>
  </xdr:twoCellAnchor>
  <xdr:twoCellAnchor>
    <xdr:from>
      <xdr:col>6</xdr:col>
      <xdr:colOff>59636</xdr:colOff>
      <xdr:row>1</xdr:row>
      <xdr:rowOff>26504</xdr:rowOff>
    </xdr:from>
    <xdr:to>
      <xdr:col>12</xdr:col>
      <xdr:colOff>185530</xdr:colOff>
      <xdr:row>3</xdr:row>
      <xdr:rowOff>86138</xdr:rowOff>
    </xdr:to>
    <xdr:sp macro="" textlink="">
      <xdr:nvSpPr>
        <xdr:cNvPr id="3" name="TextBox 2"/>
        <xdr:cNvSpPr txBox="1"/>
      </xdr:nvSpPr>
      <xdr:spPr>
        <a:xfrm>
          <a:off x="3611219" y="212034"/>
          <a:ext cx="3783494" cy="43069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 Rounded MT Bold" pitchFamily="34" charset="0"/>
            </a:rPr>
            <a:t>WARHOUSE</a:t>
          </a:r>
          <a:r>
            <a:rPr lang="en-US" sz="1400" b="1" baseline="0">
              <a:solidFill>
                <a:schemeClr val="bg1"/>
              </a:solidFill>
              <a:latin typeface="Arial Rounded MT Bold" pitchFamily="34" charset="0"/>
            </a:rPr>
            <a:t> INVENTORY DASHBOARD</a:t>
          </a:r>
          <a:endParaRPr lang="en-US" sz="1400" b="1">
            <a:solidFill>
              <a:schemeClr val="bg1"/>
            </a:solidFill>
            <a:latin typeface="Arial Rounded MT Bold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175260</xdr:colOff>
          <xdr:row>7</xdr:row>
          <xdr:rowOff>15240</xdr:rowOff>
        </xdr:from>
        <xdr:to>
          <xdr:col>4</xdr:col>
          <xdr:colOff>99060</xdr:colOff>
          <xdr:row>7</xdr:row>
          <xdr:rowOff>167640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331304</xdr:colOff>
      <xdr:row>11</xdr:row>
      <xdr:rowOff>115957</xdr:rowOff>
    </xdr:from>
    <xdr:to>
      <xdr:col>11</xdr:col>
      <xdr:colOff>516835</xdr:colOff>
      <xdr:row>25</xdr:row>
      <xdr:rowOff>46384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503582</xdr:colOff>
      <xdr:row>11</xdr:row>
      <xdr:rowOff>112643</xdr:rowOff>
    </xdr:from>
    <xdr:to>
      <xdr:col>20</xdr:col>
      <xdr:colOff>19877</xdr:colOff>
      <xdr:row>25</xdr:row>
      <xdr:rowOff>53010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32</xdr:row>
          <xdr:rowOff>45720</xdr:rowOff>
        </xdr:from>
        <xdr:to>
          <xdr:col>4</xdr:col>
          <xdr:colOff>137160</xdr:colOff>
          <xdr:row>32</xdr:row>
          <xdr:rowOff>198120</xdr:rowOff>
        </xdr:to>
        <xdr:sp macro="" textlink="">
          <xdr:nvSpPr>
            <xdr:cNvPr id="5125" name="Drop Down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289560</xdr:colOff>
          <xdr:row>34</xdr:row>
          <xdr:rowOff>45720</xdr:rowOff>
        </xdr:from>
        <xdr:to>
          <xdr:col>4</xdr:col>
          <xdr:colOff>281940</xdr:colOff>
          <xdr:row>34</xdr:row>
          <xdr:rowOff>198120</xdr:rowOff>
        </xdr:to>
        <xdr:sp macro="" textlink="">
          <xdr:nvSpPr>
            <xdr:cNvPr id="5128" name="Drop Down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430695</xdr:colOff>
      <xdr:row>45</xdr:row>
      <xdr:rowOff>86139</xdr:rowOff>
    </xdr:from>
    <xdr:to>
      <xdr:col>8</xdr:col>
      <xdr:colOff>258417</xdr:colOff>
      <xdr:row>59</xdr:row>
      <xdr:rowOff>56322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543339</xdr:colOff>
      <xdr:row>41</xdr:row>
      <xdr:rowOff>112645</xdr:rowOff>
    </xdr:from>
    <xdr:to>
      <xdr:col>10</xdr:col>
      <xdr:colOff>99391</xdr:colOff>
      <xdr:row>43</xdr:row>
      <xdr:rowOff>0</xdr:rowOff>
    </xdr:to>
    <xdr:sp macro="" textlink="">
      <xdr:nvSpPr>
        <xdr:cNvPr id="21" name="Up Arrow 20"/>
        <xdr:cNvSpPr/>
      </xdr:nvSpPr>
      <xdr:spPr>
        <a:xfrm>
          <a:off x="5923722" y="7911549"/>
          <a:ext cx="165652" cy="258416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470452</xdr:colOff>
      <xdr:row>41</xdr:row>
      <xdr:rowOff>106018</xdr:rowOff>
    </xdr:from>
    <xdr:to>
      <xdr:col>7</xdr:col>
      <xdr:colOff>26504</xdr:colOff>
      <xdr:row>42</xdr:row>
      <xdr:rowOff>159026</xdr:rowOff>
    </xdr:to>
    <xdr:sp macro="" textlink="">
      <xdr:nvSpPr>
        <xdr:cNvPr id="26" name="Up Arrow 25"/>
        <xdr:cNvSpPr/>
      </xdr:nvSpPr>
      <xdr:spPr>
        <a:xfrm>
          <a:off x="4022035" y="7904922"/>
          <a:ext cx="165652" cy="238539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140"/>
  <sheetViews>
    <sheetView view="pageBreakPreview" zoomScaleNormal="100" zoomScaleSheetLayoutView="100" workbookViewId="0">
      <pane ySplit="1" topLeftCell="A2" activePane="bottomLeft" state="frozen"/>
      <selection activeCell="M19" sqref="M19"/>
      <selection pane="bottomLeft" activeCell="M19" sqref="M19"/>
    </sheetView>
  </sheetViews>
  <sheetFormatPr defaultRowHeight="14.4"/>
  <cols>
    <col min="1" max="1" width="6.44140625" style="19" customWidth="1"/>
    <col min="2" max="2" width="38.5546875" style="22" hidden="1" customWidth="1"/>
    <col min="3" max="3" width="18.5546875" style="21" customWidth="1"/>
    <col min="4" max="4" width="7.6640625" style="21" customWidth="1"/>
    <col min="5" max="9" width="7.6640625" customWidth="1"/>
    <col min="10" max="10" width="7.6640625" style="60" customWidth="1"/>
    <col min="11" max="11" width="7.6640625" style="56" customWidth="1"/>
    <col min="12" max="12" width="7.6640625" style="60" customWidth="1"/>
    <col min="13" max="13" width="7.6640625" style="56" customWidth="1"/>
    <col min="14" max="14" width="7.6640625" style="60" customWidth="1"/>
    <col min="15" max="15" width="7.6640625" style="56" customWidth="1"/>
    <col min="16" max="16" width="7.6640625" style="60" customWidth="1"/>
    <col min="17" max="17" width="7.6640625" style="56" customWidth="1"/>
    <col min="18" max="18" width="7.6640625" style="60" customWidth="1"/>
    <col min="19" max="19" width="7.6640625" style="56" customWidth="1"/>
    <col min="20" max="20" width="7.6640625" style="60" customWidth="1"/>
    <col min="21" max="21" width="7.6640625" style="56" customWidth="1"/>
    <col min="22" max="23" width="7.6640625" customWidth="1"/>
    <col min="24" max="24" width="7.6640625" style="60" customWidth="1"/>
    <col min="25" max="27" width="7.6640625" customWidth="1"/>
    <col min="28" max="28" width="9" customWidth="1"/>
    <col min="29" max="30" width="9.109375" bestFit="1" customWidth="1"/>
    <col min="31" max="31" width="10.44140625" bestFit="1" customWidth="1"/>
    <col min="32" max="32" width="9.109375" bestFit="1" customWidth="1"/>
    <col min="33" max="33" width="0.44140625" customWidth="1"/>
    <col min="34" max="34" width="14.5546875" bestFit="1" customWidth="1"/>
    <col min="35" max="35" width="14.44140625" customWidth="1"/>
    <col min="36" max="36" width="10.44140625" bestFit="1" customWidth="1"/>
    <col min="37" max="37" width="14.44140625" bestFit="1" customWidth="1"/>
    <col min="38" max="38" width="10.44140625" bestFit="1" customWidth="1"/>
    <col min="39" max="39" width="16" bestFit="1" customWidth="1"/>
    <col min="40" max="40" width="20.44140625" bestFit="1" customWidth="1"/>
  </cols>
  <sheetData>
    <row r="1" spans="1:39" ht="42.75" customHeight="1" thickBot="1">
      <c r="A1" s="24" t="s">
        <v>0</v>
      </c>
      <c r="B1" s="25" t="s">
        <v>1</v>
      </c>
      <c r="C1" s="25" t="s">
        <v>2</v>
      </c>
      <c r="D1" s="25" t="s">
        <v>3</v>
      </c>
      <c r="E1" s="739" t="s">
        <v>4</v>
      </c>
      <c r="F1" s="740" t="s">
        <v>5</v>
      </c>
      <c r="G1" s="739" t="s">
        <v>6</v>
      </c>
      <c r="H1" s="740" t="s">
        <v>7</v>
      </c>
      <c r="I1" s="739" t="s">
        <v>8</v>
      </c>
      <c r="J1" s="741" t="s">
        <v>9</v>
      </c>
      <c r="K1" s="742" t="s">
        <v>10</v>
      </c>
      <c r="L1" s="741" t="s">
        <v>11</v>
      </c>
      <c r="M1" s="742" t="s">
        <v>12</v>
      </c>
      <c r="N1" s="741" t="s">
        <v>13</v>
      </c>
      <c r="O1" s="742" t="s">
        <v>14</v>
      </c>
      <c r="P1" s="741" t="s">
        <v>15</v>
      </c>
      <c r="Q1" s="742" t="s">
        <v>16</v>
      </c>
      <c r="R1" s="741" t="s">
        <v>17</v>
      </c>
      <c r="S1" s="742" t="s">
        <v>18</v>
      </c>
      <c r="T1" s="741" t="s">
        <v>19</v>
      </c>
      <c r="U1" s="742" t="s">
        <v>20</v>
      </c>
      <c r="V1" s="743" t="s">
        <v>275</v>
      </c>
      <c r="W1" s="739" t="s">
        <v>21</v>
      </c>
      <c r="X1" s="741" t="s">
        <v>22</v>
      </c>
      <c r="Y1" s="744" t="s">
        <v>23</v>
      </c>
      <c r="Z1" s="745" t="s">
        <v>265</v>
      </c>
      <c r="AA1" s="25" t="s">
        <v>266</v>
      </c>
      <c r="AB1" s="89"/>
      <c r="AC1" s="95" t="s">
        <v>269</v>
      </c>
      <c r="AD1" s="94" t="s">
        <v>270</v>
      </c>
      <c r="AE1" s="94" t="s">
        <v>271</v>
      </c>
      <c r="AF1" s="94" t="s">
        <v>273</v>
      </c>
      <c r="AG1" s="94"/>
      <c r="AH1" s="94" t="s">
        <v>268</v>
      </c>
      <c r="AI1" s="94" t="s">
        <v>274</v>
      </c>
      <c r="AJ1" s="94" t="s">
        <v>272</v>
      </c>
      <c r="AK1" s="94" t="s">
        <v>276</v>
      </c>
      <c r="AL1" s="94" t="s">
        <v>267</v>
      </c>
      <c r="AM1" s="94" t="s">
        <v>277</v>
      </c>
    </row>
    <row r="2" spans="1:39" ht="15.6">
      <c r="A2" s="23">
        <v>1</v>
      </c>
      <c r="B2" s="1" t="s">
        <v>24</v>
      </c>
      <c r="C2" s="38" t="s">
        <v>223</v>
      </c>
      <c r="D2" s="72">
        <v>3074</v>
      </c>
      <c r="E2" s="43"/>
      <c r="F2" s="49">
        <v>0</v>
      </c>
      <c r="G2" s="45">
        <v>3000</v>
      </c>
      <c r="H2" s="49">
        <v>136</v>
      </c>
      <c r="I2" s="45"/>
      <c r="J2" s="49">
        <v>144</v>
      </c>
      <c r="K2" s="45"/>
      <c r="L2" s="49">
        <v>472</v>
      </c>
      <c r="M2" s="45"/>
      <c r="N2" s="49">
        <v>48</v>
      </c>
      <c r="O2" s="45"/>
      <c r="P2" s="49">
        <v>576</v>
      </c>
      <c r="Q2" s="45">
        <v>16</v>
      </c>
      <c r="R2" s="49">
        <v>728</v>
      </c>
      <c r="S2" s="45">
        <v>6000</v>
      </c>
      <c r="T2" s="49">
        <v>88</v>
      </c>
      <c r="U2" s="45"/>
      <c r="V2" s="79">
        <v>88</v>
      </c>
      <c r="W2" s="26">
        <f>SUM(D2,E2,G2,I2,K2,M2,O2,Q2,S2,U2)</f>
        <v>12090</v>
      </c>
      <c r="X2" s="49">
        <f>SUM(F2,H2,J2,L2,N2,P2,R2,T2,V2)</f>
        <v>2280</v>
      </c>
      <c r="Y2" s="68">
        <f>SUM(W2-X2)</f>
        <v>9810</v>
      </c>
      <c r="Z2" s="87">
        <f t="shared" ref="Z2:Z33" si="0">SUM(Y2-S2-U2)</f>
        <v>3810</v>
      </c>
      <c r="AA2" s="85">
        <f t="shared" ref="AA2:AA33" si="1">SUM(S2+U2)</f>
        <v>6000</v>
      </c>
      <c r="AB2" s="27"/>
      <c r="AC2" s="90">
        <v>3796</v>
      </c>
      <c r="AD2" s="90">
        <v>5740</v>
      </c>
      <c r="AE2" s="90">
        <v>260</v>
      </c>
      <c r="AF2" s="90">
        <f t="shared" ref="AF2:AF33" si="2">AC2+AD2+AE2</f>
        <v>9796</v>
      </c>
      <c r="AG2" s="90">
        <f t="shared" ref="AG2:AG41" si="3">Y2-AF2</f>
        <v>14</v>
      </c>
      <c r="AH2" s="91">
        <v>26.2</v>
      </c>
      <c r="AI2" s="91">
        <f t="shared" ref="AI2:AI11" si="4">AC2*AH2</f>
        <v>99455.2</v>
      </c>
      <c r="AJ2" s="92">
        <f>7.4*4.21</f>
        <v>31.154</v>
      </c>
      <c r="AK2" s="92">
        <f t="shared" ref="AK2:AK9" si="5">AJ2*AD2</f>
        <v>178823.96</v>
      </c>
      <c r="AL2" s="92">
        <f>8.95*4.3</f>
        <v>38.484999999999992</v>
      </c>
      <c r="AM2" s="110">
        <f t="shared" ref="AM2:AM12" si="6">AE2*AL2</f>
        <v>10006.099999999999</v>
      </c>
    </row>
    <row r="3" spans="1:39" ht="15.6">
      <c r="A3" s="3">
        <v>2</v>
      </c>
      <c r="B3" s="1" t="s">
        <v>25</v>
      </c>
      <c r="C3" s="39" t="s">
        <v>224</v>
      </c>
      <c r="D3" s="73">
        <v>2320</v>
      </c>
      <c r="E3" s="44"/>
      <c r="F3" s="50">
        <v>150</v>
      </c>
      <c r="G3" s="46"/>
      <c r="H3" s="50">
        <v>127</v>
      </c>
      <c r="I3" s="46"/>
      <c r="J3" s="50">
        <v>14</v>
      </c>
      <c r="K3" s="46"/>
      <c r="L3" s="50">
        <v>27</v>
      </c>
      <c r="M3" s="46"/>
      <c r="N3" s="50">
        <v>0</v>
      </c>
      <c r="O3" s="46"/>
      <c r="P3" s="50">
        <v>29</v>
      </c>
      <c r="Q3" s="46"/>
      <c r="R3" s="50">
        <v>32</v>
      </c>
      <c r="S3" s="46">
        <v>2000</v>
      </c>
      <c r="T3" s="50">
        <v>17</v>
      </c>
      <c r="U3" s="46"/>
      <c r="V3" s="80">
        <v>8</v>
      </c>
      <c r="W3" s="26">
        <f t="shared" ref="W3:W66" si="7">SUM(D3,E3,G3,I3,K3,M3,O3,Q3,S3,U3)</f>
        <v>4320</v>
      </c>
      <c r="X3" s="49">
        <f t="shared" ref="X3:X66" si="8">SUM(F3,H3,J3,L3,N3,P3,R3,T3,V3)</f>
        <v>404</v>
      </c>
      <c r="Y3" s="68">
        <f>SUM(W3-X3)</f>
        <v>3916</v>
      </c>
      <c r="Z3" s="87">
        <f t="shared" si="0"/>
        <v>1916</v>
      </c>
      <c r="AA3" s="85">
        <f t="shared" si="1"/>
        <v>2000</v>
      </c>
      <c r="AB3" s="28"/>
      <c r="AC3" s="90">
        <v>1916</v>
      </c>
      <c r="AD3" s="90">
        <v>2000</v>
      </c>
      <c r="AE3" s="90">
        <v>0</v>
      </c>
      <c r="AF3" s="90">
        <f t="shared" si="2"/>
        <v>3916</v>
      </c>
      <c r="AG3" s="90">
        <f t="shared" si="3"/>
        <v>0</v>
      </c>
      <c r="AH3" s="91">
        <v>35.130000000000003</v>
      </c>
      <c r="AI3" s="91">
        <f t="shared" si="4"/>
        <v>67309.08</v>
      </c>
      <c r="AJ3" s="92">
        <f>8.95*4.21</f>
        <v>37.679499999999997</v>
      </c>
      <c r="AK3" s="92">
        <f t="shared" si="5"/>
        <v>75359</v>
      </c>
      <c r="AL3" s="92">
        <v>37.679499999999997</v>
      </c>
      <c r="AM3" s="110">
        <f t="shared" si="6"/>
        <v>0</v>
      </c>
    </row>
    <row r="4" spans="1:39" ht="15.6">
      <c r="A4" s="23">
        <v>3</v>
      </c>
      <c r="B4" s="1" t="s">
        <v>26</v>
      </c>
      <c r="C4" s="39" t="s">
        <v>225</v>
      </c>
      <c r="D4" s="73">
        <v>127</v>
      </c>
      <c r="E4" s="44"/>
      <c r="F4" s="50">
        <v>0</v>
      </c>
      <c r="G4" s="46"/>
      <c r="H4" s="50">
        <v>32</v>
      </c>
      <c r="I4" s="46"/>
      <c r="J4" s="50">
        <v>0</v>
      </c>
      <c r="K4" s="46"/>
      <c r="L4" s="50">
        <v>32</v>
      </c>
      <c r="M4" s="46"/>
      <c r="N4" s="50">
        <v>0</v>
      </c>
      <c r="O4" s="46"/>
      <c r="P4" s="50">
        <v>4</v>
      </c>
      <c r="Q4" s="46"/>
      <c r="R4" s="50"/>
      <c r="S4" s="46"/>
      <c r="T4" s="50"/>
      <c r="U4" s="46"/>
      <c r="V4" s="80"/>
      <c r="W4" s="26">
        <f t="shared" si="7"/>
        <v>127</v>
      </c>
      <c r="X4" s="49">
        <f t="shared" si="8"/>
        <v>68</v>
      </c>
      <c r="Y4" s="68">
        <f>SUM(W4-X4)</f>
        <v>59</v>
      </c>
      <c r="Z4" s="87">
        <f t="shared" si="0"/>
        <v>59</v>
      </c>
      <c r="AA4" s="85">
        <f t="shared" si="1"/>
        <v>0</v>
      </c>
      <c r="AB4" s="28"/>
      <c r="AC4" s="90">
        <v>59</v>
      </c>
      <c r="AD4" s="90">
        <v>0</v>
      </c>
      <c r="AE4" s="90">
        <v>0</v>
      </c>
      <c r="AF4" s="90">
        <f t="shared" si="2"/>
        <v>59</v>
      </c>
      <c r="AG4" s="90">
        <f t="shared" si="3"/>
        <v>0</v>
      </c>
      <c r="AH4" s="91">
        <v>200.49</v>
      </c>
      <c r="AI4" s="91">
        <f t="shared" si="4"/>
        <v>11828.91</v>
      </c>
      <c r="AJ4" s="92">
        <v>0</v>
      </c>
      <c r="AK4" s="92">
        <f t="shared" si="5"/>
        <v>0</v>
      </c>
      <c r="AL4" s="92">
        <v>0</v>
      </c>
      <c r="AM4" s="110">
        <f t="shared" si="6"/>
        <v>0</v>
      </c>
    </row>
    <row r="5" spans="1:39" ht="15.6">
      <c r="A5" s="3">
        <v>4</v>
      </c>
      <c r="B5" s="4" t="s">
        <v>27</v>
      </c>
      <c r="C5" s="40" t="s">
        <v>226</v>
      </c>
      <c r="D5" s="271">
        <v>633</v>
      </c>
      <c r="E5" s="69"/>
      <c r="F5" s="51">
        <v>0</v>
      </c>
      <c r="G5" s="47"/>
      <c r="H5" s="51">
        <v>43</v>
      </c>
      <c r="I5" s="47"/>
      <c r="J5" s="51">
        <v>68</v>
      </c>
      <c r="K5" s="47"/>
      <c r="L5" s="51">
        <v>2</v>
      </c>
      <c r="M5" s="47"/>
      <c r="N5" s="51">
        <v>0</v>
      </c>
      <c r="O5" s="47"/>
      <c r="P5" s="51">
        <v>12</v>
      </c>
      <c r="Q5" s="47"/>
      <c r="R5" s="51">
        <v>32</v>
      </c>
      <c r="S5" s="47"/>
      <c r="T5" s="51">
        <v>0</v>
      </c>
      <c r="U5" s="47"/>
      <c r="V5" s="272">
        <v>0</v>
      </c>
      <c r="W5" s="122">
        <f t="shared" si="7"/>
        <v>633</v>
      </c>
      <c r="X5" s="51">
        <f t="shared" si="8"/>
        <v>157</v>
      </c>
      <c r="Y5" s="78">
        <f>SUM(W5-X5)</f>
        <v>476</v>
      </c>
      <c r="Z5" s="88">
        <f t="shared" si="0"/>
        <v>476</v>
      </c>
      <c r="AA5" s="86">
        <f t="shared" si="1"/>
        <v>0</v>
      </c>
      <c r="AB5" s="29"/>
      <c r="AC5" s="113">
        <v>484</v>
      </c>
      <c r="AD5" s="114">
        <v>0</v>
      </c>
      <c r="AE5" s="114">
        <v>0</v>
      </c>
      <c r="AF5" s="114">
        <f t="shared" si="2"/>
        <v>484</v>
      </c>
      <c r="AG5" s="114">
        <f t="shared" si="3"/>
        <v>-8</v>
      </c>
      <c r="AH5" s="115">
        <v>93.1</v>
      </c>
      <c r="AI5" s="115">
        <f t="shared" si="4"/>
        <v>45060.399999999994</v>
      </c>
      <c r="AJ5" s="116">
        <v>0</v>
      </c>
      <c r="AK5" s="116">
        <f t="shared" si="5"/>
        <v>0</v>
      </c>
      <c r="AL5" s="116">
        <v>0</v>
      </c>
      <c r="AM5" s="117">
        <f t="shared" si="6"/>
        <v>0</v>
      </c>
    </row>
    <row r="6" spans="1:39" ht="15.6">
      <c r="A6" s="23">
        <v>5</v>
      </c>
      <c r="B6" s="5" t="s">
        <v>28</v>
      </c>
      <c r="C6" s="41" t="s">
        <v>29</v>
      </c>
      <c r="D6" s="72">
        <v>164</v>
      </c>
      <c r="E6" s="43"/>
      <c r="F6" s="49">
        <v>15</v>
      </c>
      <c r="G6" s="45"/>
      <c r="H6" s="49">
        <v>20</v>
      </c>
      <c r="I6" s="45">
        <v>200</v>
      </c>
      <c r="J6" s="49">
        <v>21</v>
      </c>
      <c r="K6" s="45"/>
      <c r="L6" s="49">
        <v>138</v>
      </c>
      <c r="M6" s="45">
        <v>200</v>
      </c>
      <c r="N6" s="49">
        <v>35</v>
      </c>
      <c r="O6" s="45"/>
      <c r="P6" s="49">
        <v>29</v>
      </c>
      <c r="Q6" s="45"/>
      <c r="R6" s="49">
        <v>21</v>
      </c>
      <c r="S6" s="45"/>
      <c r="T6" s="49">
        <v>30</v>
      </c>
      <c r="U6" s="45"/>
      <c r="V6" s="79">
        <v>1</v>
      </c>
      <c r="W6" s="26">
        <f t="shared" si="7"/>
        <v>564</v>
      </c>
      <c r="X6" s="49">
        <f t="shared" si="8"/>
        <v>310</v>
      </c>
      <c r="Y6" s="68">
        <f t="shared" ref="Y6:Y66" si="9">SUM(W6-X6)</f>
        <v>254</v>
      </c>
      <c r="Z6" s="87">
        <f t="shared" si="0"/>
        <v>254</v>
      </c>
      <c r="AA6" s="85">
        <f t="shared" si="1"/>
        <v>0</v>
      </c>
      <c r="AB6" s="27"/>
      <c r="AC6" s="90">
        <v>226</v>
      </c>
      <c r="AD6" s="90">
        <v>0</v>
      </c>
      <c r="AE6" s="90">
        <v>0</v>
      </c>
      <c r="AF6" s="90">
        <f t="shared" si="2"/>
        <v>226</v>
      </c>
      <c r="AG6" s="90">
        <f t="shared" si="3"/>
        <v>28</v>
      </c>
      <c r="AH6" s="91">
        <v>408</v>
      </c>
      <c r="AI6" s="91">
        <f t="shared" si="4"/>
        <v>92208</v>
      </c>
      <c r="AJ6" s="93">
        <v>0</v>
      </c>
      <c r="AK6" s="92">
        <f t="shared" si="5"/>
        <v>0</v>
      </c>
      <c r="AL6" s="92">
        <v>0</v>
      </c>
      <c r="AM6" s="110">
        <f t="shared" si="6"/>
        <v>0</v>
      </c>
    </row>
    <row r="7" spans="1:39" ht="15.6">
      <c r="A7" s="3">
        <v>6</v>
      </c>
      <c r="B7" s="1" t="s">
        <v>28</v>
      </c>
      <c r="C7" s="39" t="s">
        <v>30</v>
      </c>
      <c r="D7" s="73">
        <v>193</v>
      </c>
      <c r="E7" s="44"/>
      <c r="F7" s="50">
        <v>1</v>
      </c>
      <c r="G7" s="46"/>
      <c r="H7" s="50">
        <v>3</v>
      </c>
      <c r="I7" s="46"/>
      <c r="J7" s="50">
        <v>42</v>
      </c>
      <c r="K7" s="46"/>
      <c r="L7" s="50">
        <v>9</v>
      </c>
      <c r="M7" s="46"/>
      <c r="N7" s="50">
        <v>16</v>
      </c>
      <c r="O7" s="46"/>
      <c r="P7" s="50">
        <v>35</v>
      </c>
      <c r="Q7" s="46"/>
      <c r="R7" s="50">
        <v>9</v>
      </c>
      <c r="S7" s="46"/>
      <c r="T7" s="50">
        <v>2</v>
      </c>
      <c r="U7" s="46"/>
      <c r="V7" s="80">
        <v>7</v>
      </c>
      <c r="W7" s="26">
        <f t="shared" si="7"/>
        <v>193</v>
      </c>
      <c r="X7" s="49">
        <f t="shared" si="8"/>
        <v>124</v>
      </c>
      <c r="Y7" s="68">
        <f t="shared" si="9"/>
        <v>69</v>
      </c>
      <c r="Z7" s="87">
        <f t="shared" si="0"/>
        <v>69</v>
      </c>
      <c r="AA7" s="85">
        <f t="shared" si="1"/>
        <v>0</v>
      </c>
      <c r="AB7" s="28"/>
      <c r="AC7" s="90">
        <v>69</v>
      </c>
      <c r="AD7" s="90">
        <v>0</v>
      </c>
      <c r="AE7" s="90">
        <v>0</v>
      </c>
      <c r="AF7" s="90">
        <f t="shared" si="2"/>
        <v>69</v>
      </c>
      <c r="AG7" s="90">
        <f t="shared" si="3"/>
        <v>0</v>
      </c>
      <c r="AH7" s="91">
        <v>342</v>
      </c>
      <c r="AI7" s="91">
        <f t="shared" si="4"/>
        <v>23598</v>
      </c>
      <c r="AJ7" s="93">
        <v>0</v>
      </c>
      <c r="AK7" s="92">
        <f t="shared" si="5"/>
        <v>0</v>
      </c>
      <c r="AL7" s="92">
        <v>0</v>
      </c>
      <c r="AM7" s="110">
        <f t="shared" si="6"/>
        <v>0</v>
      </c>
    </row>
    <row r="8" spans="1:39" ht="15.6">
      <c r="A8" s="23">
        <v>7</v>
      </c>
      <c r="B8" s="1" t="s">
        <v>28</v>
      </c>
      <c r="C8" s="39" t="s">
        <v>31</v>
      </c>
      <c r="D8" s="73">
        <v>154</v>
      </c>
      <c r="E8" s="44"/>
      <c r="F8" s="50">
        <v>0</v>
      </c>
      <c r="G8" s="46"/>
      <c r="H8" s="50">
        <v>29</v>
      </c>
      <c r="I8" s="46">
        <v>182</v>
      </c>
      <c r="J8" s="50">
        <v>81</v>
      </c>
      <c r="K8" s="46"/>
      <c r="L8" s="50">
        <v>153</v>
      </c>
      <c r="M8" s="46">
        <v>118</v>
      </c>
      <c r="N8" s="50">
        <v>35</v>
      </c>
      <c r="O8" s="46"/>
      <c r="P8" s="50">
        <v>10</v>
      </c>
      <c r="Q8" s="46"/>
      <c r="R8" s="50">
        <v>66</v>
      </c>
      <c r="S8" s="46"/>
      <c r="T8" s="50">
        <v>2</v>
      </c>
      <c r="U8" s="46"/>
      <c r="V8" s="80">
        <v>4</v>
      </c>
      <c r="W8" s="26">
        <f t="shared" si="7"/>
        <v>454</v>
      </c>
      <c r="X8" s="49">
        <f t="shared" si="8"/>
        <v>380</v>
      </c>
      <c r="Y8" s="68">
        <f t="shared" si="9"/>
        <v>74</v>
      </c>
      <c r="Z8" s="87">
        <f t="shared" si="0"/>
        <v>74</v>
      </c>
      <c r="AA8" s="85">
        <f t="shared" si="1"/>
        <v>0</v>
      </c>
      <c r="AB8" s="28"/>
      <c r="AC8" s="90">
        <v>74</v>
      </c>
      <c r="AD8" s="90">
        <v>0</v>
      </c>
      <c r="AE8" s="90">
        <v>0</v>
      </c>
      <c r="AF8" s="90">
        <f t="shared" si="2"/>
        <v>74</v>
      </c>
      <c r="AG8" s="90">
        <f t="shared" si="3"/>
        <v>0</v>
      </c>
      <c r="AH8" s="91">
        <v>342</v>
      </c>
      <c r="AI8" s="91">
        <f t="shared" si="4"/>
        <v>25308</v>
      </c>
      <c r="AJ8" s="93">
        <v>0</v>
      </c>
      <c r="AK8" s="92">
        <f t="shared" si="5"/>
        <v>0</v>
      </c>
      <c r="AL8" s="92">
        <v>0</v>
      </c>
      <c r="AM8" s="110">
        <f t="shared" si="6"/>
        <v>0</v>
      </c>
    </row>
    <row r="9" spans="1:39" ht="15.6">
      <c r="A9" s="3">
        <v>8</v>
      </c>
      <c r="B9" s="1" t="s">
        <v>32</v>
      </c>
      <c r="C9" s="39" t="s">
        <v>33</v>
      </c>
      <c r="D9" s="73">
        <v>26</v>
      </c>
      <c r="E9" s="44"/>
      <c r="F9" s="50"/>
      <c r="G9" s="46"/>
      <c r="H9" s="50"/>
      <c r="I9" s="46"/>
      <c r="J9" s="50">
        <v>5</v>
      </c>
      <c r="K9" s="46"/>
      <c r="L9" s="50">
        <v>7</v>
      </c>
      <c r="M9" s="46"/>
      <c r="N9" s="50">
        <v>1</v>
      </c>
      <c r="O9" s="46"/>
      <c r="P9" s="50">
        <v>13</v>
      </c>
      <c r="Q9" s="46"/>
      <c r="R9" s="50"/>
      <c r="S9" s="46"/>
      <c r="T9" s="50"/>
      <c r="U9" s="46">
        <v>0</v>
      </c>
      <c r="V9" s="80">
        <v>0</v>
      </c>
      <c r="W9" s="26">
        <f t="shared" si="7"/>
        <v>26</v>
      </c>
      <c r="X9" s="49">
        <f t="shared" si="8"/>
        <v>26</v>
      </c>
      <c r="Y9" s="68">
        <f t="shared" si="9"/>
        <v>0</v>
      </c>
      <c r="Z9" s="87">
        <f t="shared" si="0"/>
        <v>0</v>
      </c>
      <c r="AA9" s="85">
        <f t="shared" si="1"/>
        <v>0</v>
      </c>
      <c r="AB9" s="28"/>
      <c r="AC9" s="90">
        <v>0</v>
      </c>
      <c r="AD9" s="90">
        <v>0</v>
      </c>
      <c r="AE9" s="90">
        <v>0</v>
      </c>
      <c r="AF9" s="90">
        <f t="shared" si="2"/>
        <v>0</v>
      </c>
      <c r="AG9" s="90">
        <f t="shared" si="3"/>
        <v>0</v>
      </c>
      <c r="AH9" s="91">
        <v>777.00000000000011</v>
      </c>
      <c r="AI9" s="91">
        <f t="shared" si="4"/>
        <v>0</v>
      </c>
      <c r="AJ9" s="92">
        <f>207.2*3.75</f>
        <v>777</v>
      </c>
      <c r="AK9" s="92">
        <f t="shared" si="5"/>
        <v>0</v>
      </c>
      <c r="AL9" s="92">
        <v>777</v>
      </c>
      <c r="AM9" s="110">
        <f t="shared" si="6"/>
        <v>0</v>
      </c>
    </row>
    <row r="10" spans="1:39" ht="15.6">
      <c r="A10" s="23">
        <v>9</v>
      </c>
      <c r="B10" s="2" t="s">
        <v>34</v>
      </c>
      <c r="C10" s="39" t="s">
        <v>35</v>
      </c>
      <c r="D10" s="73">
        <v>31</v>
      </c>
      <c r="E10" s="44"/>
      <c r="F10" s="50">
        <v>5</v>
      </c>
      <c r="G10" s="46">
        <v>60</v>
      </c>
      <c r="H10" s="50">
        <v>8</v>
      </c>
      <c r="I10" s="46">
        <v>15</v>
      </c>
      <c r="J10" s="50">
        <v>10</v>
      </c>
      <c r="K10" s="46"/>
      <c r="L10" s="50">
        <v>79</v>
      </c>
      <c r="M10" s="48">
        <v>22</v>
      </c>
      <c r="N10" s="50">
        <v>20</v>
      </c>
      <c r="O10" s="46">
        <v>30</v>
      </c>
      <c r="P10" s="50">
        <v>6</v>
      </c>
      <c r="Q10" s="46"/>
      <c r="R10" s="50">
        <v>9</v>
      </c>
      <c r="S10" s="46"/>
      <c r="T10" s="50">
        <v>6</v>
      </c>
      <c r="U10" s="46">
        <v>0</v>
      </c>
      <c r="V10" s="80">
        <v>0</v>
      </c>
      <c r="W10" s="26">
        <f t="shared" si="7"/>
        <v>158</v>
      </c>
      <c r="X10" s="49">
        <f t="shared" si="8"/>
        <v>143</v>
      </c>
      <c r="Y10" s="70">
        <f t="shared" si="9"/>
        <v>15</v>
      </c>
      <c r="Z10" s="87">
        <f t="shared" si="0"/>
        <v>15</v>
      </c>
      <c r="AA10" s="85">
        <f t="shared" si="1"/>
        <v>0</v>
      </c>
      <c r="AB10" s="28"/>
      <c r="AC10" s="90">
        <v>15</v>
      </c>
      <c r="AD10" s="90">
        <v>0</v>
      </c>
      <c r="AE10" s="90">
        <v>0</v>
      </c>
      <c r="AF10" s="90">
        <f t="shared" si="2"/>
        <v>15</v>
      </c>
      <c r="AG10" s="90">
        <f t="shared" si="3"/>
        <v>0</v>
      </c>
      <c r="AH10" s="91">
        <v>2224.9499999999998</v>
      </c>
      <c r="AI10" s="91">
        <f t="shared" si="4"/>
        <v>33374.25</v>
      </c>
      <c r="AJ10" s="93">
        <v>2202</v>
      </c>
      <c r="AK10" s="92">
        <f t="shared" ref="AK10:AK73" si="10">AJ10*AD10</f>
        <v>0</v>
      </c>
      <c r="AL10" s="92">
        <v>2202</v>
      </c>
      <c r="AM10" s="110">
        <f t="shared" si="6"/>
        <v>0</v>
      </c>
    </row>
    <row r="11" spans="1:39" ht="15.6">
      <c r="A11" s="3">
        <v>10</v>
      </c>
      <c r="B11" s="6" t="s">
        <v>36</v>
      </c>
      <c r="C11" s="39" t="s">
        <v>37</v>
      </c>
      <c r="D11" s="73">
        <v>12</v>
      </c>
      <c r="E11" s="44"/>
      <c r="F11" s="50">
        <v>2</v>
      </c>
      <c r="G11" s="46">
        <v>10</v>
      </c>
      <c r="H11" s="50">
        <v>7</v>
      </c>
      <c r="I11" s="46"/>
      <c r="J11" s="50">
        <v>2</v>
      </c>
      <c r="K11" s="46"/>
      <c r="L11" s="50">
        <v>5</v>
      </c>
      <c r="M11" s="46"/>
      <c r="N11" s="50">
        <v>6</v>
      </c>
      <c r="O11" s="46"/>
      <c r="P11" s="50"/>
      <c r="Q11" s="46"/>
      <c r="R11" s="50"/>
      <c r="S11" s="46"/>
      <c r="T11" s="50"/>
      <c r="U11" s="46">
        <v>15</v>
      </c>
      <c r="V11" s="80">
        <v>1</v>
      </c>
      <c r="W11" s="26">
        <f t="shared" si="7"/>
        <v>37</v>
      </c>
      <c r="X11" s="49">
        <f t="shared" si="8"/>
        <v>23</v>
      </c>
      <c r="Y11" s="70">
        <f t="shared" si="9"/>
        <v>14</v>
      </c>
      <c r="Z11" s="87">
        <f t="shared" si="0"/>
        <v>-1</v>
      </c>
      <c r="AA11" s="85">
        <f t="shared" si="1"/>
        <v>15</v>
      </c>
      <c r="AB11" s="28"/>
      <c r="AC11" s="90">
        <v>0</v>
      </c>
      <c r="AD11" s="90">
        <v>0</v>
      </c>
      <c r="AE11" s="90">
        <v>14</v>
      </c>
      <c r="AF11" s="90">
        <f t="shared" si="2"/>
        <v>14</v>
      </c>
      <c r="AG11" s="90">
        <f t="shared" si="3"/>
        <v>0</v>
      </c>
      <c r="AH11" s="91">
        <v>6553.76</v>
      </c>
      <c r="AI11" s="91">
        <f t="shared" si="4"/>
        <v>0</v>
      </c>
      <c r="AJ11" s="93">
        <v>6420</v>
      </c>
      <c r="AK11" s="92">
        <f t="shared" si="10"/>
        <v>0</v>
      </c>
      <c r="AL11" s="92">
        <v>6420</v>
      </c>
      <c r="AM11" s="110">
        <f t="shared" si="6"/>
        <v>89880</v>
      </c>
    </row>
    <row r="12" spans="1:39" ht="15.6">
      <c r="A12" s="23">
        <v>11</v>
      </c>
      <c r="B12" s="1" t="s">
        <v>38</v>
      </c>
      <c r="C12" s="39" t="s">
        <v>39</v>
      </c>
      <c r="D12" s="73">
        <v>9</v>
      </c>
      <c r="E12" s="44"/>
      <c r="F12" s="50"/>
      <c r="G12" s="46"/>
      <c r="H12" s="50"/>
      <c r="I12" s="46"/>
      <c r="J12" s="50">
        <v>3</v>
      </c>
      <c r="K12" s="46"/>
      <c r="L12" s="50"/>
      <c r="M12" s="46"/>
      <c r="N12" s="50">
        <v>1</v>
      </c>
      <c r="O12" s="46"/>
      <c r="P12" s="50">
        <v>5</v>
      </c>
      <c r="Q12" s="46"/>
      <c r="R12" s="50"/>
      <c r="S12" s="46"/>
      <c r="T12" s="50"/>
      <c r="U12" s="46">
        <v>0</v>
      </c>
      <c r="V12" s="80">
        <v>0</v>
      </c>
      <c r="W12" s="26">
        <f t="shared" si="7"/>
        <v>9</v>
      </c>
      <c r="X12" s="49">
        <f t="shared" si="8"/>
        <v>9</v>
      </c>
      <c r="Y12" s="68">
        <f t="shared" si="9"/>
        <v>0</v>
      </c>
      <c r="Z12" s="87">
        <f t="shared" si="0"/>
        <v>0</v>
      </c>
      <c r="AA12" s="85">
        <f t="shared" si="1"/>
        <v>0</v>
      </c>
      <c r="AB12" s="28"/>
      <c r="AC12" s="90">
        <v>0</v>
      </c>
      <c r="AD12" s="90">
        <v>0</v>
      </c>
      <c r="AE12" s="90">
        <v>0</v>
      </c>
      <c r="AF12" s="90">
        <f t="shared" si="2"/>
        <v>0</v>
      </c>
      <c r="AG12" s="90">
        <f t="shared" si="3"/>
        <v>0</v>
      </c>
      <c r="AH12" s="91">
        <v>3180</v>
      </c>
      <c r="AI12" s="91">
        <f t="shared" ref="AI12:AI75" si="11">AC12*AH12</f>
        <v>0</v>
      </c>
      <c r="AJ12" s="92">
        <f>848*3.75</f>
        <v>3180</v>
      </c>
      <c r="AK12" s="92">
        <f t="shared" si="10"/>
        <v>0</v>
      </c>
      <c r="AL12" s="92">
        <v>3180</v>
      </c>
      <c r="AM12" s="110">
        <f t="shared" si="6"/>
        <v>0</v>
      </c>
    </row>
    <row r="13" spans="1:39" ht="15.6">
      <c r="A13" s="3">
        <v>12</v>
      </c>
      <c r="B13" s="2" t="s">
        <v>40</v>
      </c>
      <c r="C13" s="39" t="s">
        <v>41</v>
      </c>
      <c r="D13" s="73">
        <v>8</v>
      </c>
      <c r="E13" s="44"/>
      <c r="F13" s="50">
        <v>1</v>
      </c>
      <c r="G13" s="46">
        <v>5</v>
      </c>
      <c r="H13" s="50">
        <v>1</v>
      </c>
      <c r="I13" s="46">
        <v>5</v>
      </c>
      <c r="J13" s="50">
        <v>2</v>
      </c>
      <c r="K13" s="46">
        <v>10</v>
      </c>
      <c r="L13" s="50">
        <v>8</v>
      </c>
      <c r="M13" s="46"/>
      <c r="N13" s="50">
        <v>2</v>
      </c>
      <c r="O13" s="46">
        <v>4</v>
      </c>
      <c r="P13" s="50">
        <v>1</v>
      </c>
      <c r="Q13" s="46"/>
      <c r="R13" s="50">
        <v>1</v>
      </c>
      <c r="S13" s="46"/>
      <c r="T13" s="50"/>
      <c r="U13" s="46"/>
      <c r="V13" s="80">
        <v>0</v>
      </c>
      <c r="W13" s="26">
        <f t="shared" si="7"/>
        <v>32</v>
      </c>
      <c r="X13" s="49">
        <f t="shared" si="8"/>
        <v>16</v>
      </c>
      <c r="Y13" s="70">
        <f t="shared" si="9"/>
        <v>16</v>
      </c>
      <c r="Z13" s="87">
        <f t="shared" si="0"/>
        <v>16</v>
      </c>
      <c r="AA13" s="85">
        <f t="shared" si="1"/>
        <v>0</v>
      </c>
      <c r="AB13" s="28"/>
      <c r="AC13" s="90">
        <v>16</v>
      </c>
      <c r="AD13" s="90">
        <v>0</v>
      </c>
      <c r="AE13" s="90">
        <v>0</v>
      </c>
      <c r="AF13" s="90">
        <f t="shared" si="2"/>
        <v>16</v>
      </c>
      <c r="AG13" s="90">
        <f t="shared" si="3"/>
        <v>0</v>
      </c>
      <c r="AH13" s="91">
        <v>10473.75</v>
      </c>
      <c r="AI13" s="91">
        <f t="shared" si="11"/>
        <v>167580</v>
      </c>
      <c r="AJ13" s="93">
        <v>0</v>
      </c>
      <c r="AK13" s="92">
        <f t="shared" si="10"/>
        <v>0</v>
      </c>
      <c r="AL13" s="92">
        <v>0</v>
      </c>
      <c r="AM13" s="110">
        <f t="shared" ref="AM13:AM76" si="12">AE13*AL13</f>
        <v>0</v>
      </c>
    </row>
    <row r="14" spans="1:39" ht="15.6">
      <c r="A14" s="23">
        <v>13</v>
      </c>
      <c r="B14" s="2" t="s">
        <v>42</v>
      </c>
      <c r="C14" s="39" t="s">
        <v>43</v>
      </c>
      <c r="D14" s="73">
        <v>82</v>
      </c>
      <c r="E14" s="44"/>
      <c r="F14" s="50">
        <v>6</v>
      </c>
      <c r="G14" s="46"/>
      <c r="H14" s="50">
        <v>1</v>
      </c>
      <c r="I14" s="46"/>
      <c r="J14" s="50">
        <v>23</v>
      </c>
      <c r="K14" s="46"/>
      <c r="L14" s="50">
        <v>5</v>
      </c>
      <c r="M14" s="46"/>
      <c r="N14" s="50">
        <v>26</v>
      </c>
      <c r="O14" s="46"/>
      <c r="P14" s="50">
        <v>12</v>
      </c>
      <c r="Q14" s="46">
        <v>7</v>
      </c>
      <c r="R14" s="50">
        <v>14</v>
      </c>
      <c r="S14" s="46"/>
      <c r="T14" s="50"/>
      <c r="U14" s="46">
        <v>15</v>
      </c>
      <c r="V14" s="80">
        <v>1</v>
      </c>
      <c r="W14" s="26">
        <f t="shared" si="7"/>
        <v>104</v>
      </c>
      <c r="X14" s="49">
        <f t="shared" si="8"/>
        <v>88</v>
      </c>
      <c r="Y14" s="70">
        <f t="shared" si="9"/>
        <v>16</v>
      </c>
      <c r="Z14" s="87">
        <f t="shared" si="0"/>
        <v>1</v>
      </c>
      <c r="AA14" s="85">
        <f t="shared" si="1"/>
        <v>15</v>
      </c>
      <c r="AB14" s="28"/>
      <c r="AC14" s="90">
        <v>1</v>
      </c>
      <c r="AD14" s="90">
        <v>0</v>
      </c>
      <c r="AE14" s="90">
        <v>15</v>
      </c>
      <c r="AF14" s="90">
        <f t="shared" si="2"/>
        <v>16</v>
      </c>
      <c r="AG14" s="90">
        <f t="shared" si="3"/>
        <v>0</v>
      </c>
      <c r="AH14" s="91">
        <v>4554.6000000000004</v>
      </c>
      <c r="AI14" s="91">
        <f t="shared" si="11"/>
        <v>4554.6000000000004</v>
      </c>
      <c r="AJ14" s="92">
        <f>1268*3.75</f>
        <v>4755</v>
      </c>
      <c r="AK14" s="92">
        <f t="shared" si="10"/>
        <v>0</v>
      </c>
      <c r="AL14" s="92">
        <v>4755</v>
      </c>
      <c r="AM14" s="110">
        <f t="shared" si="12"/>
        <v>71325</v>
      </c>
    </row>
    <row r="15" spans="1:39" ht="15.6">
      <c r="A15" s="3">
        <v>14</v>
      </c>
      <c r="B15" s="1" t="s">
        <v>44</v>
      </c>
      <c r="C15" s="39" t="s">
        <v>45</v>
      </c>
      <c r="D15" s="73">
        <v>53</v>
      </c>
      <c r="E15" s="44"/>
      <c r="F15" s="50"/>
      <c r="G15" s="46"/>
      <c r="H15" s="50">
        <v>22</v>
      </c>
      <c r="I15" s="46">
        <v>165</v>
      </c>
      <c r="J15" s="50">
        <v>45</v>
      </c>
      <c r="K15" s="46"/>
      <c r="L15" s="50">
        <v>16</v>
      </c>
      <c r="M15" s="83"/>
      <c r="N15" s="50">
        <v>33</v>
      </c>
      <c r="O15" s="46"/>
      <c r="P15" s="50">
        <v>7</v>
      </c>
      <c r="Q15" s="46"/>
      <c r="R15" s="50">
        <v>31</v>
      </c>
      <c r="S15" s="46"/>
      <c r="T15" s="50">
        <v>4</v>
      </c>
      <c r="U15" s="46">
        <v>0</v>
      </c>
      <c r="V15" s="80">
        <v>20</v>
      </c>
      <c r="W15" s="26">
        <f t="shared" si="7"/>
        <v>218</v>
      </c>
      <c r="X15" s="49">
        <f t="shared" si="8"/>
        <v>178</v>
      </c>
      <c r="Y15" s="70">
        <f t="shared" si="9"/>
        <v>40</v>
      </c>
      <c r="Z15" s="87">
        <f t="shared" si="0"/>
        <v>40</v>
      </c>
      <c r="AA15" s="85">
        <f t="shared" si="1"/>
        <v>0</v>
      </c>
      <c r="AB15" s="28"/>
      <c r="AC15" s="90">
        <v>40</v>
      </c>
      <c r="AD15" s="90">
        <v>0</v>
      </c>
      <c r="AE15" s="90">
        <v>0</v>
      </c>
      <c r="AF15" s="90">
        <f t="shared" si="2"/>
        <v>40</v>
      </c>
      <c r="AG15" s="90">
        <f t="shared" si="3"/>
        <v>0</v>
      </c>
      <c r="AH15" s="91">
        <v>2993.66</v>
      </c>
      <c r="AI15" s="91">
        <f t="shared" si="11"/>
        <v>119746.4</v>
      </c>
      <c r="AJ15" s="93">
        <v>0</v>
      </c>
      <c r="AK15" s="92">
        <f t="shared" si="10"/>
        <v>0</v>
      </c>
      <c r="AL15" s="92">
        <v>0</v>
      </c>
      <c r="AM15" s="110">
        <f t="shared" si="12"/>
        <v>0</v>
      </c>
    </row>
    <row r="16" spans="1:39" ht="15.6">
      <c r="A16" s="23">
        <v>15</v>
      </c>
      <c r="B16" s="1" t="s">
        <v>46</v>
      </c>
      <c r="C16" s="39" t="s">
        <v>47</v>
      </c>
      <c r="D16" s="73">
        <v>25</v>
      </c>
      <c r="E16" s="44"/>
      <c r="F16" s="50">
        <v>3</v>
      </c>
      <c r="G16" s="46"/>
      <c r="H16" s="50"/>
      <c r="I16" s="46">
        <v>30</v>
      </c>
      <c r="J16" s="50">
        <v>12</v>
      </c>
      <c r="K16" s="46"/>
      <c r="L16" s="50">
        <v>7</v>
      </c>
      <c r="M16" s="46"/>
      <c r="N16" s="50">
        <v>3</v>
      </c>
      <c r="O16" s="46"/>
      <c r="P16" s="50"/>
      <c r="Q16" s="46"/>
      <c r="R16" s="50">
        <v>19</v>
      </c>
      <c r="S16" s="46"/>
      <c r="T16" s="50">
        <v>2</v>
      </c>
      <c r="U16" s="46">
        <v>30</v>
      </c>
      <c r="V16" s="80">
        <v>2</v>
      </c>
      <c r="W16" s="26">
        <f t="shared" si="7"/>
        <v>85</v>
      </c>
      <c r="X16" s="49">
        <f t="shared" si="8"/>
        <v>48</v>
      </c>
      <c r="Y16" s="70">
        <f t="shared" si="9"/>
        <v>37</v>
      </c>
      <c r="Z16" s="87">
        <f t="shared" si="0"/>
        <v>7</v>
      </c>
      <c r="AA16" s="85">
        <f t="shared" si="1"/>
        <v>30</v>
      </c>
      <c r="AB16" s="28"/>
      <c r="AC16" s="90">
        <v>7</v>
      </c>
      <c r="AD16" s="90">
        <v>0</v>
      </c>
      <c r="AE16" s="90">
        <v>30</v>
      </c>
      <c r="AF16" s="90">
        <f t="shared" si="2"/>
        <v>37</v>
      </c>
      <c r="AG16" s="90">
        <f t="shared" si="3"/>
        <v>0</v>
      </c>
      <c r="AH16" s="91">
        <v>2250</v>
      </c>
      <c r="AI16" s="91">
        <f t="shared" si="11"/>
        <v>15750</v>
      </c>
      <c r="AJ16" s="92">
        <f>600*3.75</f>
        <v>2250</v>
      </c>
      <c r="AK16" s="92">
        <f t="shared" si="10"/>
        <v>0</v>
      </c>
      <c r="AL16" s="92">
        <v>2250</v>
      </c>
      <c r="AM16" s="110">
        <f t="shared" si="12"/>
        <v>67500</v>
      </c>
    </row>
    <row r="17" spans="1:39" ht="15.6">
      <c r="A17" s="23">
        <v>17</v>
      </c>
      <c r="B17" s="1" t="s">
        <v>48</v>
      </c>
      <c r="C17" s="39" t="s">
        <v>49</v>
      </c>
      <c r="D17" s="73">
        <v>47</v>
      </c>
      <c r="E17" s="44"/>
      <c r="F17" s="50">
        <v>6</v>
      </c>
      <c r="G17" s="48">
        <v>5</v>
      </c>
      <c r="H17" s="50">
        <v>7</v>
      </c>
      <c r="I17" s="46">
        <v>50</v>
      </c>
      <c r="J17" s="50">
        <v>5</v>
      </c>
      <c r="K17" s="46"/>
      <c r="L17" s="50">
        <v>43</v>
      </c>
      <c r="M17" s="48">
        <v>21</v>
      </c>
      <c r="N17" s="50">
        <v>20</v>
      </c>
      <c r="O17" s="46">
        <v>40</v>
      </c>
      <c r="P17" s="50">
        <v>8</v>
      </c>
      <c r="Q17" s="46"/>
      <c r="R17" s="50">
        <v>14</v>
      </c>
      <c r="S17" s="46"/>
      <c r="T17" s="50">
        <v>27</v>
      </c>
      <c r="U17" s="46">
        <v>40</v>
      </c>
      <c r="V17" s="80">
        <v>8</v>
      </c>
      <c r="W17" s="26">
        <f t="shared" si="7"/>
        <v>203</v>
      </c>
      <c r="X17" s="49">
        <f t="shared" si="8"/>
        <v>138</v>
      </c>
      <c r="Y17" s="70">
        <f t="shared" si="9"/>
        <v>65</v>
      </c>
      <c r="Z17" s="87">
        <f t="shared" si="0"/>
        <v>25</v>
      </c>
      <c r="AA17" s="85">
        <f t="shared" si="1"/>
        <v>40</v>
      </c>
      <c r="AB17" s="28"/>
      <c r="AC17" s="90">
        <v>25</v>
      </c>
      <c r="AD17" s="90">
        <v>0</v>
      </c>
      <c r="AE17" s="90">
        <v>40</v>
      </c>
      <c r="AF17" s="90">
        <f t="shared" si="2"/>
        <v>65</v>
      </c>
      <c r="AG17" s="90">
        <f t="shared" si="3"/>
        <v>0</v>
      </c>
      <c r="AH17" s="91">
        <v>7377.34</v>
      </c>
      <c r="AI17" s="91">
        <f t="shared" si="11"/>
        <v>184433.5</v>
      </c>
      <c r="AJ17" s="93">
        <v>7455</v>
      </c>
      <c r="AK17" s="92">
        <f t="shared" si="10"/>
        <v>0</v>
      </c>
      <c r="AL17" s="92">
        <v>7455</v>
      </c>
      <c r="AM17" s="110">
        <f t="shared" si="12"/>
        <v>298200</v>
      </c>
    </row>
    <row r="18" spans="1:39" ht="15.6">
      <c r="A18" s="3">
        <v>18</v>
      </c>
      <c r="B18" s="2" t="s">
        <v>50</v>
      </c>
      <c r="C18" s="39" t="s">
        <v>51</v>
      </c>
      <c r="D18" s="73">
        <v>58</v>
      </c>
      <c r="E18" s="44"/>
      <c r="F18" s="50">
        <v>1</v>
      </c>
      <c r="G18" s="46"/>
      <c r="H18" s="50">
        <v>5</v>
      </c>
      <c r="I18" s="46"/>
      <c r="J18" s="50">
        <v>24</v>
      </c>
      <c r="K18" s="46"/>
      <c r="L18" s="50">
        <v>9</v>
      </c>
      <c r="M18" s="46"/>
      <c r="N18" s="50">
        <v>15</v>
      </c>
      <c r="O18" s="46">
        <f>20+2</f>
        <v>22</v>
      </c>
      <c r="P18" s="50">
        <v>21</v>
      </c>
      <c r="Q18" s="46"/>
      <c r="R18" s="50">
        <v>2</v>
      </c>
      <c r="S18" s="46"/>
      <c r="T18" s="50"/>
      <c r="U18" s="46">
        <v>0</v>
      </c>
      <c r="V18" s="80">
        <v>0</v>
      </c>
      <c r="W18" s="26">
        <f t="shared" si="7"/>
        <v>80</v>
      </c>
      <c r="X18" s="49">
        <f t="shared" si="8"/>
        <v>77</v>
      </c>
      <c r="Y18" s="70">
        <f t="shared" si="9"/>
        <v>3</v>
      </c>
      <c r="Z18" s="87">
        <f t="shared" si="0"/>
        <v>3</v>
      </c>
      <c r="AA18" s="85">
        <f t="shared" si="1"/>
        <v>0</v>
      </c>
      <c r="AB18" s="28"/>
      <c r="AC18" s="90">
        <v>3</v>
      </c>
      <c r="AD18" s="90">
        <v>0</v>
      </c>
      <c r="AE18" s="90">
        <v>0</v>
      </c>
      <c r="AF18" s="90">
        <f t="shared" si="2"/>
        <v>3</v>
      </c>
      <c r="AG18" s="90">
        <f>Y18-AF18</f>
        <v>0</v>
      </c>
      <c r="AH18" s="91">
        <v>1989</v>
      </c>
      <c r="AI18" s="91">
        <f t="shared" si="11"/>
        <v>5967</v>
      </c>
      <c r="AJ18" s="93">
        <v>2040</v>
      </c>
      <c r="AK18" s="92">
        <f t="shared" si="10"/>
        <v>0</v>
      </c>
      <c r="AL18" s="92">
        <v>2040</v>
      </c>
      <c r="AM18" s="110">
        <f t="shared" si="12"/>
        <v>0</v>
      </c>
    </row>
    <row r="19" spans="1:39" ht="15.6">
      <c r="A19" s="23">
        <v>19</v>
      </c>
      <c r="B19" s="2" t="s">
        <v>50</v>
      </c>
      <c r="C19" s="39" t="s">
        <v>52</v>
      </c>
      <c r="D19" s="73">
        <v>65</v>
      </c>
      <c r="E19" s="44">
        <v>50</v>
      </c>
      <c r="F19" s="50">
        <v>0</v>
      </c>
      <c r="G19" s="46">
        <v>77</v>
      </c>
      <c r="H19" s="50">
        <v>9</v>
      </c>
      <c r="I19" s="46"/>
      <c r="J19" s="50">
        <v>59</v>
      </c>
      <c r="K19" s="46"/>
      <c r="L19" s="50">
        <v>104</v>
      </c>
      <c r="M19" s="46"/>
      <c r="N19" s="50">
        <v>10</v>
      </c>
      <c r="O19" s="46">
        <v>30</v>
      </c>
      <c r="P19" s="50"/>
      <c r="Q19" s="46"/>
      <c r="R19" s="50">
        <v>34</v>
      </c>
      <c r="S19" s="46"/>
      <c r="T19" s="50">
        <v>2</v>
      </c>
      <c r="U19" s="46">
        <v>0</v>
      </c>
      <c r="V19" s="80">
        <v>0</v>
      </c>
      <c r="W19" s="26">
        <f t="shared" si="7"/>
        <v>222</v>
      </c>
      <c r="X19" s="49">
        <f t="shared" si="8"/>
        <v>218</v>
      </c>
      <c r="Y19" s="70">
        <f t="shared" si="9"/>
        <v>4</v>
      </c>
      <c r="Z19" s="87">
        <f t="shared" si="0"/>
        <v>4</v>
      </c>
      <c r="AA19" s="85">
        <f t="shared" si="1"/>
        <v>0</v>
      </c>
      <c r="AB19" s="28"/>
      <c r="AC19" s="90">
        <v>4</v>
      </c>
      <c r="AD19" s="90">
        <v>0</v>
      </c>
      <c r="AE19" s="90">
        <v>0</v>
      </c>
      <c r="AF19" s="90">
        <f t="shared" si="2"/>
        <v>4</v>
      </c>
      <c r="AG19" s="90">
        <f t="shared" si="3"/>
        <v>0</v>
      </c>
      <c r="AH19" s="91">
        <v>1152</v>
      </c>
      <c r="AI19" s="91">
        <f t="shared" si="11"/>
        <v>4608</v>
      </c>
      <c r="AJ19" s="93">
        <v>0</v>
      </c>
      <c r="AK19" s="92">
        <f t="shared" si="10"/>
        <v>0</v>
      </c>
      <c r="AL19" s="92">
        <v>0</v>
      </c>
      <c r="AM19" s="110">
        <f t="shared" si="12"/>
        <v>0</v>
      </c>
    </row>
    <row r="20" spans="1:39" ht="15.6">
      <c r="A20" s="3">
        <v>20</v>
      </c>
      <c r="B20" s="1" t="s">
        <v>53</v>
      </c>
      <c r="C20" s="39" t="s">
        <v>54</v>
      </c>
      <c r="D20" s="73">
        <v>15</v>
      </c>
      <c r="E20" s="44"/>
      <c r="F20" s="50"/>
      <c r="G20" s="46"/>
      <c r="H20" s="50">
        <v>9</v>
      </c>
      <c r="I20" s="46">
        <v>5</v>
      </c>
      <c r="J20" s="50">
        <v>6</v>
      </c>
      <c r="K20" s="46">
        <v>30</v>
      </c>
      <c r="L20" s="50">
        <v>5</v>
      </c>
      <c r="M20" s="46"/>
      <c r="N20" s="50">
        <v>1</v>
      </c>
      <c r="O20" s="46"/>
      <c r="P20" s="50">
        <v>2</v>
      </c>
      <c r="Q20" s="46"/>
      <c r="R20" s="50"/>
      <c r="S20" s="46"/>
      <c r="T20" s="50">
        <v>8</v>
      </c>
      <c r="U20" s="46">
        <v>30</v>
      </c>
      <c r="V20" s="80">
        <v>0</v>
      </c>
      <c r="W20" s="26">
        <f t="shared" si="7"/>
        <v>80</v>
      </c>
      <c r="X20" s="49">
        <f t="shared" si="8"/>
        <v>31</v>
      </c>
      <c r="Y20" s="70">
        <f t="shared" si="9"/>
        <v>49</v>
      </c>
      <c r="Z20" s="87">
        <f t="shared" si="0"/>
        <v>19</v>
      </c>
      <c r="AA20" s="85">
        <f t="shared" si="1"/>
        <v>30</v>
      </c>
      <c r="AB20" s="28"/>
      <c r="AC20" s="90">
        <v>19</v>
      </c>
      <c r="AD20" s="90">
        <v>0</v>
      </c>
      <c r="AE20" s="90">
        <v>30</v>
      </c>
      <c r="AF20" s="90">
        <f t="shared" si="2"/>
        <v>49</v>
      </c>
      <c r="AG20" s="90">
        <f t="shared" si="3"/>
        <v>0</v>
      </c>
      <c r="AH20" s="91">
        <v>3435</v>
      </c>
      <c r="AI20" s="91">
        <f t="shared" si="11"/>
        <v>65265</v>
      </c>
      <c r="AJ20" s="93">
        <v>3435</v>
      </c>
      <c r="AK20" s="92">
        <f t="shared" si="10"/>
        <v>0</v>
      </c>
      <c r="AL20" s="92">
        <v>3435</v>
      </c>
      <c r="AM20" s="110">
        <f t="shared" si="12"/>
        <v>103050</v>
      </c>
    </row>
    <row r="21" spans="1:39" ht="15.6">
      <c r="A21" s="23">
        <v>21</v>
      </c>
      <c r="B21" s="7" t="s">
        <v>55</v>
      </c>
      <c r="C21" s="39" t="s">
        <v>56</v>
      </c>
      <c r="D21" s="73">
        <v>7</v>
      </c>
      <c r="E21" s="44">
        <v>10</v>
      </c>
      <c r="F21" s="50">
        <v>0</v>
      </c>
      <c r="G21" s="46"/>
      <c r="H21" s="50"/>
      <c r="I21" s="46">
        <v>5</v>
      </c>
      <c r="J21" s="50">
        <v>2</v>
      </c>
      <c r="K21" s="46"/>
      <c r="L21" s="50"/>
      <c r="M21" s="46">
        <v>7</v>
      </c>
      <c r="N21" s="50">
        <v>5</v>
      </c>
      <c r="O21" s="46"/>
      <c r="P21" s="50">
        <v>1</v>
      </c>
      <c r="Q21" s="46"/>
      <c r="R21" s="50"/>
      <c r="S21" s="46"/>
      <c r="T21" s="50"/>
      <c r="U21" s="46">
        <v>0</v>
      </c>
      <c r="V21" s="80">
        <v>0</v>
      </c>
      <c r="W21" s="26">
        <f t="shared" si="7"/>
        <v>29</v>
      </c>
      <c r="X21" s="49">
        <f t="shared" si="8"/>
        <v>8</v>
      </c>
      <c r="Y21" s="70">
        <f t="shared" si="9"/>
        <v>21</v>
      </c>
      <c r="Z21" s="87">
        <f t="shared" si="0"/>
        <v>21</v>
      </c>
      <c r="AA21" s="85">
        <f t="shared" si="1"/>
        <v>0</v>
      </c>
      <c r="AB21" s="28"/>
      <c r="AC21" s="90">
        <v>21</v>
      </c>
      <c r="AD21" s="90">
        <v>0</v>
      </c>
      <c r="AE21" s="90">
        <v>0</v>
      </c>
      <c r="AF21" s="90">
        <f t="shared" si="2"/>
        <v>21</v>
      </c>
      <c r="AG21" s="90">
        <f t="shared" si="3"/>
        <v>0</v>
      </c>
      <c r="AH21" s="91">
        <v>6480</v>
      </c>
      <c r="AI21" s="91">
        <f t="shared" si="11"/>
        <v>136080</v>
      </c>
      <c r="AJ21" s="93">
        <v>0</v>
      </c>
      <c r="AK21" s="92">
        <f t="shared" si="10"/>
        <v>0</v>
      </c>
      <c r="AL21" s="92">
        <v>0</v>
      </c>
      <c r="AM21" s="110">
        <f t="shared" si="12"/>
        <v>0</v>
      </c>
    </row>
    <row r="22" spans="1:39" ht="15.6">
      <c r="A22" s="3">
        <v>22</v>
      </c>
      <c r="B22" s="2" t="s">
        <v>57</v>
      </c>
      <c r="C22" s="39" t="s">
        <v>58</v>
      </c>
      <c r="D22" s="73">
        <v>2</v>
      </c>
      <c r="E22" s="44"/>
      <c r="F22" s="50">
        <v>1</v>
      </c>
      <c r="G22" s="46"/>
      <c r="H22" s="50">
        <v>1</v>
      </c>
      <c r="I22" s="46">
        <v>8</v>
      </c>
      <c r="J22" s="50"/>
      <c r="K22" s="46">
        <v>5</v>
      </c>
      <c r="L22" s="50">
        <v>3</v>
      </c>
      <c r="M22" s="46"/>
      <c r="N22" s="50">
        <v>1</v>
      </c>
      <c r="O22" s="46"/>
      <c r="P22" s="50"/>
      <c r="Q22" s="46"/>
      <c r="R22" s="50"/>
      <c r="S22" s="46"/>
      <c r="T22" s="50">
        <v>1</v>
      </c>
      <c r="U22" s="46">
        <v>5</v>
      </c>
      <c r="V22" s="80">
        <v>0</v>
      </c>
      <c r="W22" s="26">
        <f t="shared" si="7"/>
        <v>20</v>
      </c>
      <c r="X22" s="49">
        <f t="shared" si="8"/>
        <v>7</v>
      </c>
      <c r="Y22" s="70">
        <f t="shared" si="9"/>
        <v>13</v>
      </c>
      <c r="Z22" s="87">
        <f t="shared" si="0"/>
        <v>8</v>
      </c>
      <c r="AA22" s="85">
        <f t="shared" si="1"/>
        <v>5</v>
      </c>
      <c r="AB22" s="28"/>
      <c r="AC22" s="90">
        <v>8</v>
      </c>
      <c r="AD22" s="90">
        <v>0</v>
      </c>
      <c r="AE22" s="90">
        <v>5</v>
      </c>
      <c r="AF22" s="90">
        <f t="shared" si="2"/>
        <v>13</v>
      </c>
      <c r="AG22" s="90">
        <f t="shared" si="3"/>
        <v>0</v>
      </c>
      <c r="AH22" s="91">
        <v>23601.38</v>
      </c>
      <c r="AI22" s="91">
        <f t="shared" si="11"/>
        <v>188811.04</v>
      </c>
      <c r="AJ22" s="93">
        <v>23310</v>
      </c>
      <c r="AK22" s="92">
        <f t="shared" si="10"/>
        <v>0</v>
      </c>
      <c r="AL22" s="92">
        <v>23310</v>
      </c>
      <c r="AM22" s="110">
        <f t="shared" si="12"/>
        <v>116550</v>
      </c>
    </row>
    <row r="23" spans="1:39" ht="15.6">
      <c r="A23" s="23">
        <v>23</v>
      </c>
      <c r="B23" s="2" t="s">
        <v>59</v>
      </c>
      <c r="C23" s="39" t="s">
        <v>60</v>
      </c>
      <c r="D23" s="73">
        <v>8</v>
      </c>
      <c r="E23" s="44"/>
      <c r="F23" s="50">
        <v>1</v>
      </c>
      <c r="G23" s="48">
        <f>10+25</f>
        <v>35</v>
      </c>
      <c r="H23" s="50">
        <v>16</v>
      </c>
      <c r="I23" s="46">
        <v>50</v>
      </c>
      <c r="J23" s="50">
        <v>32</v>
      </c>
      <c r="K23" s="46"/>
      <c r="L23" s="50">
        <v>44</v>
      </c>
      <c r="M23" s="46"/>
      <c r="N23" s="50"/>
      <c r="O23" s="46">
        <v>100</v>
      </c>
      <c r="P23" s="50">
        <v>24</v>
      </c>
      <c r="Q23" s="46"/>
      <c r="R23" s="50">
        <v>31</v>
      </c>
      <c r="S23" s="46"/>
      <c r="T23" s="50">
        <v>32</v>
      </c>
      <c r="U23" s="46">
        <v>50</v>
      </c>
      <c r="V23" s="80">
        <v>30</v>
      </c>
      <c r="W23" s="26">
        <f t="shared" si="7"/>
        <v>243</v>
      </c>
      <c r="X23" s="49">
        <f t="shared" si="8"/>
        <v>210</v>
      </c>
      <c r="Y23" s="70">
        <f t="shared" si="9"/>
        <v>33</v>
      </c>
      <c r="Z23" s="87">
        <f t="shared" si="0"/>
        <v>-17</v>
      </c>
      <c r="AA23" s="85">
        <f t="shared" si="1"/>
        <v>50</v>
      </c>
      <c r="AB23" s="28"/>
      <c r="AC23" s="90">
        <v>0</v>
      </c>
      <c r="AD23" s="90">
        <v>0</v>
      </c>
      <c r="AE23" s="90">
        <v>33</v>
      </c>
      <c r="AF23" s="90">
        <f t="shared" si="2"/>
        <v>33</v>
      </c>
      <c r="AG23" s="90">
        <f t="shared" si="3"/>
        <v>0</v>
      </c>
      <c r="AH23" s="91">
        <v>1080</v>
      </c>
      <c r="AI23" s="91">
        <f t="shared" si="11"/>
        <v>0</v>
      </c>
      <c r="AJ23" s="93">
        <v>1080</v>
      </c>
      <c r="AK23" s="92">
        <f t="shared" si="10"/>
        <v>0</v>
      </c>
      <c r="AL23" s="92">
        <v>1080</v>
      </c>
      <c r="AM23" s="110">
        <f t="shared" si="12"/>
        <v>35640</v>
      </c>
    </row>
    <row r="24" spans="1:39" ht="15.6">
      <c r="A24" s="3">
        <v>24</v>
      </c>
      <c r="B24" s="1" t="s">
        <v>61</v>
      </c>
      <c r="C24" s="39" t="s">
        <v>62</v>
      </c>
      <c r="D24" s="73">
        <v>33</v>
      </c>
      <c r="E24" s="44"/>
      <c r="F24" s="50"/>
      <c r="G24" s="46">
        <v>50</v>
      </c>
      <c r="H24" s="50">
        <v>14</v>
      </c>
      <c r="I24" s="46"/>
      <c r="J24" s="50">
        <v>4</v>
      </c>
      <c r="K24" s="46"/>
      <c r="L24" s="50">
        <v>32</v>
      </c>
      <c r="M24" s="46">
        <v>50</v>
      </c>
      <c r="N24" s="61">
        <v>10</v>
      </c>
      <c r="O24" s="57"/>
      <c r="P24" s="50">
        <v>3</v>
      </c>
      <c r="Q24" s="46"/>
      <c r="R24" s="50">
        <v>61</v>
      </c>
      <c r="S24" s="46"/>
      <c r="T24" s="50">
        <v>3</v>
      </c>
      <c r="U24" s="46">
        <v>0</v>
      </c>
      <c r="V24" s="80">
        <v>6</v>
      </c>
      <c r="W24" s="26">
        <f t="shared" si="7"/>
        <v>133</v>
      </c>
      <c r="X24" s="49">
        <f t="shared" si="8"/>
        <v>133</v>
      </c>
      <c r="Y24" s="71">
        <f t="shared" si="9"/>
        <v>0</v>
      </c>
      <c r="Z24" s="87">
        <f t="shared" si="0"/>
        <v>0</v>
      </c>
      <c r="AA24" s="85">
        <f t="shared" si="1"/>
        <v>0</v>
      </c>
      <c r="AB24" s="28"/>
      <c r="AC24" s="90">
        <v>0</v>
      </c>
      <c r="AD24" s="90">
        <v>0</v>
      </c>
      <c r="AE24" s="90">
        <v>0</v>
      </c>
      <c r="AF24" s="90">
        <f t="shared" si="2"/>
        <v>0</v>
      </c>
      <c r="AG24" s="90">
        <f t="shared" si="3"/>
        <v>0</v>
      </c>
      <c r="AH24" s="91">
        <v>1452</v>
      </c>
      <c r="AI24" s="91">
        <f t="shared" si="11"/>
        <v>0</v>
      </c>
      <c r="AJ24" s="93">
        <v>1452</v>
      </c>
      <c r="AK24" s="92">
        <f t="shared" si="10"/>
        <v>0</v>
      </c>
      <c r="AL24" s="92">
        <v>1452</v>
      </c>
      <c r="AM24" s="110">
        <f t="shared" si="12"/>
        <v>0</v>
      </c>
    </row>
    <row r="25" spans="1:39" ht="15.6">
      <c r="A25" s="23">
        <v>25</v>
      </c>
      <c r="B25" s="2" t="s">
        <v>63</v>
      </c>
      <c r="C25" s="39" t="s">
        <v>64</v>
      </c>
      <c r="D25" s="73">
        <v>13</v>
      </c>
      <c r="E25" s="44"/>
      <c r="F25" s="50"/>
      <c r="G25" s="46">
        <v>65</v>
      </c>
      <c r="H25" s="50">
        <v>2</v>
      </c>
      <c r="I25" s="46"/>
      <c r="J25" s="50">
        <v>2</v>
      </c>
      <c r="K25" s="46"/>
      <c r="L25" s="50">
        <v>2</v>
      </c>
      <c r="M25" s="46">
        <v>20</v>
      </c>
      <c r="N25" s="61">
        <v>6</v>
      </c>
      <c r="O25" s="57"/>
      <c r="P25" s="50">
        <v>15</v>
      </c>
      <c r="Q25" s="46"/>
      <c r="R25" s="50">
        <v>23</v>
      </c>
      <c r="S25" s="46"/>
      <c r="T25" s="50">
        <v>1</v>
      </c>
      <c r="U25" s="46">
        <v>0</v>
      </c>
      <c r="V25" s="80">
        <v>0</v>
      </c>
      <c r="W25" s="26">
        <f t="shared" si="7"/>
        <v>98</v>
      </c>
      <c r="X25" s="49">
        <f t="shared" si="8"/>
        <v>51</v>
      </c>
      <c r="Y25" s="70">
        <f t="shared" si="9"/>
        <v>47</v>
      </c>
      <c r="Z25" s="87">
        <f t="shared" si="0"/>
        <v>47</v>
      </c>
      <c r="AA25" s="85">
        <f t="shared" si="1"/>
        <v>0</v>
      </c>
      <c r="AB25" s="28"/>
      <c r="AC25" s="90">
        <v>47</v>
      </c>
      <c r="AD25" s="90">
        <v>0</v>
      </c>
      <c r="AE25" s="90">
        <v>0</v>
      </c>
      <c r="AF25" s="90">
        <f t="shared" si="2"/>
        <v>47</v>
      </c>
      <c r="AG25" s="90">
        <f t="shared" si="3"/>
        <v>0</v>
      </c>
      <c r="AH25" s="91">
        <v>1930.91</v>
      </c>
      <c r="AI25" s="91">
        <f t="shared" si="11"/>
        <v>90752.77</v>
      </c>
      <c r="AJ25" s="92">
        <f>509.6*3.75</f>
        <v>1911</v>
      </c>
      <c r="AK25" s="92">
        <f t="shared" si="10"/>
        <v>0</v>
      </c>
      <c r="AL25" s="92">
        <v>1911</v>
      </c>
      <c r="AM25" s="110">
        <f t="shared" si="12"/>
        <v>0</v>
      </c>
    </row>
    <row r="26" spans="1:39" ht="15.6">
      <c r="A26" s="3">
        <v>26</v>
      </c>
      <c r="B26" s="2" t="s">
        <v>65</v>
      </c>
      <c r="C26" s="39" t="s">
        <v>66</v>
      </c>
      <c r="D26" s="73">
        <v>45</v>
      </c>
      <c r="E26" s="44"/>
      <c r="F26" s="50"/>
      <c r="G26" s="46"/>
      <c r="H26" s="50">
        <v>1</v>
      </c>
      <c r="I26" s="46"/>
      <c r="J26" s="50">
        <v>10</v>
      </c>
      <c r="K26" s="46"/>
      <c r="L26" s="50"/>
      <c r="M26" s="46"/>
      <c r="N26" s="61"/>
      <c r="O26" s="57"/>
      <c r="P26" s="50">
        <v>5</v>
      </c>
      <c r="Q26" s="46"/>
      <c r="R26" s="50">
        <v>21</v>
      </c>
      <c r="S26" s="46"/>
      <c r="T26" s="50"/>
      <c r="U26" s="46">
        <v>0</v>
      </c>
      <c r="V26" s="80">
        <v>0</v>
      </c>
      <c r="W26" s="26">
        <f t="shared" si="7"/>
        <v>45</v>
      </c>
      <c r="X26" s="49">
        <f t="shared" si="8"/>
        <v>37</v>
      </c>
      <c r="Y26" s="70">
        <f t="shared" si="9"/>
        <v>8</v>
      </c>
      <c r="Z26" s="87">
        <f t="shared" si="0"/>
        <v>8</v>
      </c>
      <c r="AA26" s="85">
        <f t="shared" si="1"/>
        <v>0</v>
      </c>
      <c r="AB26" s="28"/>
      <c r="AC26" s="90">
        <v>8</v>
      </c>
      <c r="AD26" s="90">
        <v>0</v>
      </c>
      <c r="AE26" s="90">
        <v>0</v>
      </c>
      <c r="AF26" s="90">
        <f t="shared" si="2"/>
        <v>8</v>
      </c>
      <c r="AG26" s="90">
        <f t="shared" si="3"/>
        <v>0</v>
      </c>
      <c r="AH26" s="91">
        <v>1521</v>
      </c>
      <c r="AI26" s="91">
        <f t="shared" si="11"/>
        <v>12168</v>
      </c>
      <c r="AJ26" s="93">
        <v>1521</v>
      </c>
      <c r="AK26" s="92">
        <f t="shared" si="10"/>
        <v>0</v>
      </c>
      <c r="AL26" s="92">
        <v>1521</v>
      </c>
      <c r="AM26" s="110">
        <f t="shared" si="12"/>
        <v>0</v>
      </c>
    </row>
    <row r="27" spans="1:39" ht="15.6">
      <c r="A27" s="23">
        <v>27</v>
      </c>
      <c r="B27" s="2" t="s">
        <v>67</v>
      </c>
      <c r="C27" s="39" t="s">
        <v>68</v>
      </c>
      <c r="D27" s="73">
        <v>11</v>
      </c>
      <c r="E27" s="44"/>
      <c r="F27" s="50"/>
      <c r="G27" s="46">
        <v>5</v>
      </c>
      <c r="H27" s="50">
        <v>2</v>
      </c>
      <c r="I27" s="46">
        <v>15</v>
      </c>
      <c r="J27" s="50">
        <v>2</v>
      </c>
      <c r="K27" s="46"/>
      <c r="L27" s="50">
        <v>2</v>
      </c>
      <c r="M27" s="46"/>
      <c r="N27" s="61">
        <v>19</v>
      </c>
      <c r="O27" s="57"/>
      <c r="P27" s="50">
        <v>2</v>
      </c>
      <c r="Q27" s="46"/>
      <c r="R27" s="50">
        <v>2</v>
      </c>
      <c r="S27" s="46"/>
      <c r="T27" s="50"/>
      <c r="U27" s="46">
        <v>10</v>
      </c>
      <c r="V27" s="80">
        <v>0</v>
      </c>
      <c r="W27" s="26">
        <f t="shared" si="7"/>
        <v>41</v>
      </c>
      <c r="X27" s="49">
        <f t="shared" si="8"/>
        <v>29</v>
      </c>
      <c r="Y27" s="70">
        <f t="shared" si="9"/>
        <v>12</v>
      </c>
      <c r="Z27" s="87">
        <f t="shared" si="0"/>
        <v>2</v>
      </c>
      <c r="AA27" s="85">
        <f t="shared" si="1"/>
        <v>10</v>
      </c>
      <c r="AB27" s="28"/>
      <c r="AC27" s="90">
        <v>2</v>
      </c>
      <c r="AD27" s="90">
        <v>0</v>
      </c>
      <c r="AE27" s="90">
        <v>10</v>
      </c>
      <c r="AF27" s="90">
        <f t="shared" si="2"/>
        <v>12</v>
      </c>
      <c r="AG27" s="90">
        <f t="shared" si="3"/>
        <v>0</v>
      </c>
      <c r="AH27" s="91">
        <v>3135</v>
      </c>
      <c r="AI27" s="91">
        <f t="shared" si="11"/>
        <v>6270</v>
      </c>
      <c r="AJ27" s="93">
        <v>3135</v>
      </c>
      <c r="AK27" s="92">
        <f t="shared" si="10"/>
        <v>0</v>
      </c>
      <c r="AL27" s="92">
        <v>3135</v>
      </c>
      <c r="AM27" s="110">
        <f t="shared" si="12"/>
        <v>31350</v>
      </c>
    </row>
    <row r="28" spans="1:39" ht="15.6">
      <c r="A28" s="3">
        <v>28</v>
      </c>
      <c r="B28" s="2" t="s">
        <v>69</v>
      </c>
      <c r="C28" s="39" t="s">
        <v>70</v>
      </c>
      <c r="D28" s="73">
        <v>15</v>
      </c>
      <c r="E28" s="44"/>
      <c r="F28" s="50">
        <v>5</v>
      </c>
      <c r="G28" s="46">
        <v>15</v>
      </c>
      <c r="H28" s="50">
        <v>2</v>
      </c>
      <c r="I28" s="46"/>
      <c r="J28" s="50">
        <v>7</v>
      </c>
      <c r="K28" s="46">
        <v>40</v>
      </c>
      <c r="L28" s="50">
        <v>11</v>
      </c>
      <c r="M28" s="46">
        <v>15</v>
      </c>
      <c r="N28" s="61">
        <v>8</v>
      </c>
      <c r="O28" s="57"/>
      <c r="P28" s="50">
        <v>3</v>
      </c>
      <c r="Q28" s="46"/>
      <c r="R28" s="50">
        <v>1</v>
      </c>
      <c r="S28" s="46"/>
      <c r="T28" s="50">
        <v>32</v>
      </c>
      <c r="U28" s="46">
        <v>0</v>
      </c>
      <c r="V28" s="80">
        <v>1</v>
      </c>
      <c r="W28" s="26">
        <f t="shared" si="7"/>
        <v>85</v>
      </c>
      <c r="X28" s="49">
        <f t="shared" si="8"/>
        <v>70</v>
      </c>
      <c r="Y28" s="70">
        <f t="shared" si="9"/>
        <v>15</v>
      </c>
      <c r="Z28" s="87">
        <f t="shared" si="0"/>
        <v>15</v>
      </c>
      <c r="AA28" s="85">
        <f t="shared" si="1"/>
        <v>0</v>
      </c>
      <c r="AB28" s="28"/>
      <c r="AC28" s="90">
        <v>15</v>
      </c>
      <c r="AD28" s="90">
        <v>0</v>
      </c>
      <c r="AE28" s="90">
        <v>0</v>
      </c>
      <c r="AF28" s="90">
        <f t="shared" si="2"/>
        <v>15</v>
      </c>
      <c r="AG28" s="90">
        <f t="shared" si="3"/>
        <v>0</v>
      </c>
      <c r="AH28" s="91">
        <v>12424.24</v>
      </c>
      <c r="AI28" s="91">
        <f t="shared" si="11"/>
        <v>186363.6</v>
      </c>
      <c r="AJ28" s="93">
        <v>12420</v>
      </c>
      <c r="AK28" s="92">
        <f t="shared" si="10"/>
        <v>0</v>
      </c>
      <c r="AL28" s="92">
        <v>12420</v>
      </c>
      <c r="AM28" s="110">
        <f t="shared" si="12"/>
        <v>0</v>
      </c>
    </row>
    <row r="29" spans="1:39" ht="15.6">
      <c r="A29" s="3">
        <v>30</v>
      </c>
      <c r="B29" s="1" t="s">
        <v>71</v>
      </c>
      <c r="C29" s="39" t="s">
        <v>71</v>
      </c>
      <c r="D29" s="73">
        <v>22</v>
      </c>
      <c r="E29" s="44"/>
      <c r="F29" s="50">
        <v>1</v>
      </c>
      <c r="G29" s="46">
        <v>107</v>
      </c>
      <c r="H29" s="50">
        <v>4</v>
      </c>
      <c r="I29" s="46"/>
      <c r="J29" s="50">
        <v>20</v>
      </c>
      <c r="K29" s="46"/>
      <c r="L29" s="50">
        <v>48</v>
      </c>
      <c r="M29" s="46"/>
      <c r="N29" s="61">
        <v>11</v>
      </c>
      <c r="O29" s="57"/>
      <c r="P29" s="50">
        <v>8</v>
      </c>
      <c r="Q29" s="46"/>
      <c r="R29" s="50">
        <v>1</v>
      </c>
      <c r="S29" s="46"/>
      <c r="T29" s="50">
        <v>5</v>
      </c>
      <c r="U29" s="46">
        <v>0</v>
      </c>
      <c r="V29" s="80">
        <v>0</v>
      </c>
      <c r="W29" s="26">
        <f t="shared" si="7"/>
        <v>129</v>
      </c>
      <c r="X29" s="49">
        <f t="shared" si="8"/>
        <v>98</v>
      </c>
      <c r="Y29" s="70">
        <f t="shared" si="9"/>
        <v>31</v>
      </c>
      <c r="Z29" s="87">
        <f t="shared" si="0"/>
        <v>31</v>
      </c>
      <c r="AA29" s="85">
        <f t="shared" si="1"/>
        <v>0</v>
      </c>
      <c r="AB29" s="28"/>
      <c r="AC29" s="90">
        <v>31</v>
      </c>
      <c r="AD29" s="90">
        <v>0</v>
      </c>
      <c r="AE29" s="90">
        <v>0</v>
      </c>
      <c r="AF29" s="90">
        <f t="shared" si="2"/>
        <v>31</v>
      </c>
      <c r="AG29" s="90">
        <f t="shared" si="3"/>
        <v>0</v>
      </c>
      <c r="AH29" s="91">
        <v>1658.74</v>
      </c>
      <c r="AI29" s="91">
        <f t="shared" si="11"/>
        <v>51420.94</v>
      </c>
      <c r="AJ29" s="92"/>
      <c r="AK29" s="92">
        <f t="shared" si="10"/>
        <v>0</v>
      </c>
      <c r="AL29" s="92"/>
      <c r="AM29" s="110">
        <f t="shared" si="12"/>
        <v>0</v>
      </c>
    </row>
    <row r="30" spans="1:39" ht="15.6">
      <c r="A30" s="23">
        <v>31</v>
      </c>
      <c r="B30" s="1" t="s">
        <v>72</v>
      </c>
      <c r="C30" s="39" t="s">
        <v>73</v>
      </c>
      <c r="D30" s="73">
        <v>1</v>
      </c>
      <c r="E30" s="44"/>
      <c r="F30" s="50"/>
      <c r="G30" s="46"/>
      <c r="H30" s="50"/>
      <c r="I30" s="46"/>
      <c r="J30" s="50"/>
      <c r="K30" s="46"/>
      <c r="L30" s="50"/>
      <c r="M30" s="46"/>
      <c r="N30" s="61">
        <v>2</v>
      </c>
      <c r="O30" s="57">
        <v>2</v>
      </c>
      <c r="P30" s="50"/>
      <c r="Q30" s="46"/>
      <c r="R30" s="50"/>
      <c r="S30" s="46"/>
      <c r="T30" s="50">
        <v>1</v>
      </c>
      <c r="U30" s="46">
        <v>0</v>
      </c>
      <c r="V30" s="80">
        <v>0</v>
      </c>
      <c r="W30" s="26">
        <f t="shared" si="7"/>
        <v>3</v>
      </c>
      <c r="X30" s="49">
        <f t="shared" si="8"/>
        <v>3</v>
      </c>
      <c r="Y30" s="68">
        <f t="shared" si="9"/>
        <v>0</v>
      </c>
      <c r="Z30" s="87">
        <f t="shared" si="0"/>
        <v>0</v>
      </c>
      <c r="AA30" s="85">
        <f t="shared" si="1"/>
        <v>0</v>
      </c>
      <c r="AB30" s="28"/>
      <c r="AC30" s="90">
        <v>0</v>
      </c>
      <c r="AD30" s="90">
        <v>0</v>
      </c>
      <c r="AE30" s="90">
        <v>0</v>
      </c>
      <c r="AF30" s="90">
        <f t="shared" si="2"/>
        <v>0</v>
      </c>
      <c r="AG30" s="90">
        <f t="shared" si="3"/>
        <v>0</v>
      </c>
      <c r="AH30" s="91">
        <v>17955</v>
      </c>
      <c r="AI30" s="91">
        <f t="shared" si="11"/>
        <v>0</v>
      </c>
      <c r="AJ30" s="93">
        <v>17955</v>
      </c>
      <c r="AK30" s="92">
        <f t="shared" si="10"/>
        <v>0</v>
      </c>
      <c r="AL30" s="92">
        <v>17955</v>
      </c>
      <c r="AM30" s="110">
        <f t="shared" si="12"/>
        <v>0</v>
      </c>
    </row>
    <row r="31" spans="1:39" ht="15.6">
      <c r="A31" s="3">
        <v>32</v>
      </c>
      <c r="B31" s="2" t="s">
        <v>74</v>
      </c>
      <c r="C31" s="39" t="s">
        <v>75</v>
      </c>
      <c r="D31" s="73">
        <v>5</v>
      </c>
      <c r="E31" s="44"/>
      <c r="F31" s="50">
        <v>1</v>
      </c>
      <c r="G31" s="46"/>
      <c r="H31" s="50"/>
      <c r="I31" s="46">
        <v>4</v>
      </c>
      <c r="J31" s="50">
        <v>3</v>
      </c>
      <c r="K31" s="46"/>
      <c r="L31" s="50"/>
      <c r="M31" s="46"/>
      <c r="N31" s="61">
        <v>1</v>
      </c>
      <c r="O31" s="57"/>
      <c r="P31" s="50"/>
      <c r="Q31" s="46"/>
      <c r="R31" s="50"/>
      <c r="S31" s="46"/>
      <c r="T31" s="50">
        <v>1</v>
      </c>
      <c r="U31" s="46">
        <v>6</v>
      </c>
      <c r="V31" s="80">
        <v>0</v>
      </c>
      <c r="W31" s="26">
        <f t="shared" si="7"/>
        <v>15</v>
      </c>
      <c r="X31" s="49">
        <f t="shared" si="8"/>
        <v>6</v>
      </c>
      <c r="Y31" s="70">
        <f t="shared" si="9"/>
        <v>9</v>
      </c>
      <c r="Z31" s="87">
        <f t="shared" si="0"/>
        <v>3</v>
      </c>
      <c r="AA31" s="85">
        <f t="shared" si="1"/>
        <v>6</v>
      </c>
      <c r="AB31" s="28"/>
      <c r="AC31" s="90">
        <v>3</v>
      </c>
      <c r="AD31" s="90">
        <v>0</v>
      </c>
      <c r="AE31" s="90">
        <v>6</v>
      </c>
      <c r="AF31" s="90">
        <f t="shared" si="2"/>
        <v>9</v>
      </c>
      <c r="AG31" s="90">
        <f t="shared" si="3"/>
        <v>0</v>
      </c>
      <c r="AH31" s="91">
        <v>26069.06</v>
      </c>
      <c r="AI31" s="91">
        <f t="shared" si="11"/>
        <v>78207.180000000008</v>
      </c>
      <c r="AJ31" s="93">
        <v>26910</v>
      </c>
      <c r="AK31" s="92">
        <f t="shared" si="10"/>
        <v>0</v>
      </c>
      <c r="AL31" s="92">
        <v>26910</v>
      </c>
      <c r="AM31" s="110">
        <f t="shared" si="12"/>
        <v>161460</v>
      </c>
    </row>
    <row r="32" spans="1:39" ht="15.6">
      <c r="A32" s="23">
        <v>33</v>
      </c>
      <c r="B32" s="2" t="s">
        <v>76</v>
      </c>
      <c r="C32" s="39" t="s">
        <v>77</v>
      </c>
      <c r="D32" s="73">
        <v>62</v>
      </c>
      <c r="E32" s="44"/>
      <c r="F32" s="50">
        <v>0</v>
      </c>
      <c r="G32" s="46">
        <v>15</v>
      </c>
      <c r="H32" s="50">
        <v>1</v>
      </c>
      <c r="I32" s="46"/>
      <c r="J32" s="50">
        <v>1</v>
      </c>
      <c r="K32" s="46"/>
      <c r="L32" s="50"/>
      <c r="M32" s="46"/>
      <c r="N32" s="61">
        <v>2</v>
      </c>
      <c r="O32" s="57"/>
      <c r="P32" s="50">
        <v>2</v>
      </c>
      <c r="Q32" s="46"/>
      <c r="R32" s="50"/>
      <c r="S32" s="46"/>
      <c r="T32" s="50">
        <v>4</v>
      </c>
      <c r="U32" s="46">
        <v>0</v>
      </c>
      <c r="V32" s="80">
        <v>0</v>
      </c>
      <c r="W32" s="26">
        <f t="shared" si="7"/>
        <v>77</v>
      </c>
      <c r="X32" s="49">
        <f t="shared" si="8"/>
        <v>10</v>
      </c>
      <c r="Y32" s="70">
        <f t="shared" si="9"/>
        <v>67</v>
      </c>
      <c r="Z32" s="87">
        <f t="shared" si="0"/>
        <v>67</v>
      </c>
      <c r="AA32" s="85">
        <f t="shared" si="1"/>
        <v>0</v>
      </c>
      <c r="AB32" s="28"/>
      <c r="AC32" s="90">
        <v>67</v>
      </c>
      <c r="AD32" s="90">
        <v>0</v>
      </c>
      <c r="AE32" s="90">
        <v>0</v>
      </c>
      <c r="AF32" s="90">
        <f t="shared" si="2"/>
        <v>67</v>
      </c>
      <c r="AG32" s="90">
        <f t="shared" si="3"/>
        <v>0</v>
      </c>
      <c r="AH32" s="91">
        <v>572.14</v>
      </c>
      <c r="AI32" s="91">
        <f t="shared" si="11"/>
        <v>38333.379999999997</v>
      </c>
      <c r="AJ32" s="92"/>
      <c r="AK32" s="92">
        <f t="shared" si="10"/>
        <v>0</v>
      </c>
      <c r="AL32" s="92"/>
      <c r="AM32" s="110">
        <f t="shared" si="12"/>
        <v>0</v>
      </c>
    </row>
    <row r="33" spans="1:39" ht="15.6">
      <c r="A33" s="3">
        <v>34</v>
      </c>
      <c r="B33" s="2" t="s">
        <v>76</v>
      </c>
      <c r="C33" s="39" t="s">
        <v>78</v>
      </c>
      <c r="D33" s="73">
        <v>12</v>
      </c>
      <c r="E33" s="44"/>
      <c r="F33" s="50"/>
      <c r="G33" s="46">
        <v>10</v>
      </c>
      <c r="H33" s="50"/>
      <c r="I33" s="46"/>
      <c r="J33" s="50">
        <v>1</v>
      </c>
      <c r="K33" s="46"/>
      <c r="L33" s="50">
        <v>1</v>
      </c>
      <c r="M33" s="46"/>
      <c r="N33" s="61">
        <v>1</v>
      </c>
      <c r="O33" s="57"/>
      <c r="P33" s="50"/>
      <c r="Q33" s="46"/>
      <c r="R33" s="50">
        <v>1</v>
      </c>
      <c r="S33" s="46"/>
      <c r="T33" s="50"/>
      <c r="U33" s="46">
        <v>0</v>
      </c>
      <c r="V33" s="80">
        <v>0</v>
      </c>
      <c r="W33" s="26">
        <f t="shared" si="7"/>
        <v>22</v>
      </c>
      <c r="X33" s="49">
        <f t="shared" si="8"/>
        <v>4</v>
      </c>
      <c r="Y33" s="70">
        <f t="shared" si="9"/>
        <v>18</v>
      </c>
      <c r="Z33" s="87">
        <f t="shared" si="0"/>
        <v>18</v>
      </c>
      <c r="AA33" s="85">
        <f t="shared" si="1"/>
        <v>0</v>
      </c>
      <c r="AB33" s="28"/>
      <c r="AC33" s="90">
        <v>18</v>
      </c>
      <c r="AD33" s="90">
        <v>0</v>
      </c>
      <c r="AE33" s="90">
        <v>0</v>
      </c>
      <c r="AF33" s="90">
        <f t="shared" si="2"/>
        <v>18</v>
      </c>
      <c r="AG33" s="90">
        <f t="shared" si="3"/>
        <v>0</v>
      </c>
      <c r="AH33" s="91">
        <v>975</v>
      </c>
      <c r="AI33" s="91">
        <f t="shared" si="11"/>
        <v>17550</v>
      </c>
      <c r="AJ33" s="93">
        <v>975</v>
      </c>
      <c r="AK33" s="92">
        <f t="shared" si="10"/>
        <v>0</v>
      </c>
      <c r="AL33" s="92">
        <v>975</v>
      </c>
      <c r="AM33" s="110">
        <f t="shared" si="12"/>
        <v>0</v>
      </c>
    </row>
    <row r="34" spans="1:39" ht="15.6">
      <c r="A34" s="23">
        <v>35</v>
      </c>
      <c r="B34" s="1" t="s">
        <v>79</v>
      </c>
      <c r="C34" s="39" t="s">
        <v>80</v>
      </c>
      <c r="D34" s="73">
        <v>38</v>
      </c>
      <c r="E34" s="44"/>
      <c r="F34" s="50"/>
      <c r="G34" s="46">
        <v>20</v>
      </c>
      <c r="H34" s="50">
        <v>35</v>
      </c>
      <c r="I34" s="46"/>
      <c r="J34" s="50">
        <v>1</v>
      </c>
      <c r="K34" s="46"/>
      <c r="L34" s="50">
        <v>16</v>
      </c>
      <c r="M34" s="46"/>
      <c r="N34" s="61">
        <v>5</v>
      </c>
      <c r="O34" s="57"/>
      <c r="P34" s="50"/>
      <c r="Q34" s="46"/>
      <c r="R34" s="50"/>
      <c r="S34" s="46"/>
      <c r="T34" s="50"/>
      <c r="U34" s="46">
        <v>30</v>
      </c>
      <c r="V34" s="80">
        <v>0</v>
      </c>
      <c r="W34" s="26">
        <f t="shared" si="7"/>
        <v>88</v>
      </c>
      <c r="X34" s="49">
        <f t="shared" si="8"/>
        <v>57</v>
      </c>
      <c r="Y34" s="70">
        <f t="shared" si="9"/>
        <v>31</v>
      </c>
      <c r="Z34" s="87">
        <f t="shared" ref="Z34:Z65" si="13">SUM(Y34-S34-U34)</f>
        <v>1</v>
      </c>
      <c r="AA34" s="85">
        <f t="shared" ref="AA34:AA65" si="14">SUM(S34+U34)</f>
        <v>30</v>
      </c>
      <c r="AB34" s="28"/>
      <c r="AC34" s="90">
        <v>1</v>
      </c>
      <c r="AD34" s="90">
        <v>0</v>
      </c>
      <c r="AE34" s="90">
        <v>30</v>
      </c>
      <c r="AF34" s="90">
        <f t="shared" ref="AF34:AF65" si="15">AC34+AD34+AE34</f>
        <v>31</v>
      </c>
      <c r="AG34" s="90">
        <f t="shared" si="3"/>
        <v>0</v>
      </c>
      <c r="AH34" s="91">
        <v>702</v>
      </c>
      <c r="AI34" s="91">
        <f t="shared" si="11"/>
        <v>702</v>
      </c>
      <c r="AJ34" s="93">
        <v>702</v>
      </c>
      <c r="AK34" s="92">
        <f t="shared" si="10"/>
        <v>0</v>
      </c>
      <c r="AL34" s="92">
        <v>702</v>
      </c>
      <c r="AM34" s="110">
        <f t="shared" si="12"/>
        <v>21060</v>
      </c>
    </row>
    <row r="35" spans="1:39" ht="15.6">
      <c r="A35" s="3">
        <v>36</v>
      </c>
      <c r="B35" s="2" t="s">
        <v>81</v>
      </c>
      <c r="C35" s="39" t="s">
        <v>82</v>
      </c>
      <c r="D35" s="73">
        <v>0</v>
      </c>
      <c r="E35" s="44">
        <v>50</v>
      </c>
      <c r="F35" s="50"/>
      <c r="G35" s="46"/>
      <c r="H35" s="50">
        <v>8</v>
      </c>
      <c r="I35" s="46"/>
      <c r="J35" s="50">
        <v>8</v>
      </c>
      <c r="K35" s="46"/>
      <c r="L35" s="50">
        <v>21</v>
      </c>
      <c r="M35" s="46">
        <v>20</v>
      </c>
      <c r="N35" s="61">
        <v>16</v>
      </c>
      <c r="O35" s="57">
        <v>30</v>
      </c>
      <c r="P35" s="50">
        <v>1</v>
      </c>
      <c r="Q35" s="46"/>
      <c r="R35" s="50">
        <v>41</v>
      </c>
      <c r="S35" s="46"/>
      <c r="T35" s="50"/>
      <c r="U35" s="46">
        <v>0</v>
      </c>
      <c r="V35" s="80">
        <v>2</v>
      </c>
      <c r="W35" s="26">
        <f t="shared" si="7"/>
        <v>100</v>
      </c>
      <c r="X35" s="49">
        <f t="shared" si="8"/>
        <v>97</v>
      </c>
      <c r="Y35" s="70">
        <f t="shared" si="9"/>
        <v>3</v>
      </c>
      <c r="Z35" s="87">
        <f t="shared" si="13"/>
        <v>3</v>
      </c>
      <c r="AA35" s="85">
        <f t="shared" si="14"/>
        <v>0</v>
      </c>
      <c r="AB35" s="28"/>
      <c r="AC35" s="90">
        <v>3</v>
      </c>
      <c r="AD35" s="90">
        <v>0</v>
      </c>
      <c r="AE35" s="90">
        <v>0</v>
      </c>
      <c r="AF35" s="90">
        <f t="shared" si="15"/>
        <v>3</v>
      </c>
      <c r="AG35" s="90">
        <f t="shared" si="3"/>
        <v>0</v>
      </c>
      <c r="AH35" s="91">
        <v>3622.35</v>
      </c>
      <c r="AI35" s="91">
        <f t="shared" si="11"/>
        <v>10867.05</v>
      </c>
      <c r="AJ35" s="93">
        <v>3585</v>
      </c>
      <c r="AK35" s="92">
        <f t="shared" si="10"/>
        <v>0</v>
      </c>
      <c r="AL35" s="92">
        <v>3585</v>
      </c>
      <c r="AM35" s="110">
        <f t="shared" si="12"/>
        <v>0</v>
      </c>
    </row>
    <row r="36" spans="1:39" s="106" customFormat="1" ht="15.6">
      <c r="A36" s="3">
        <v>37</v>
      </c>
      <c r="B36" s="2" t="s">
        <v>83</v>
      </c>
      <c r="C36" s="39" t="s">
        <v>84</v>
      </c>
      <c r="D36" s="73">
        <v>1</v>
      </c>
      <c r="E36" s="44">
        <v>1</v>
      </c>
      <c r="F36" s="50"/>
      <c r="G36" s="46">
        <v>3</v>
      </c>
      <c r="H36" s="50">
        <v>2</v>
      </c>
      <c r="I36" s="46"/>
      <c r="J36" s="50"/>
      <c r="K36" s="46"/>
      <c r="L36" s="50"/>
      <c r="M36" s="46"/>
      <c r="N36" s="61">
        <v>1</v>
      </c>
      <c r="O36" s="57"/>
      <c r="P36" s="50"/>
      <c r="Q36" s="46"/>
      <c r="R36" s="50"/>
      <c r="S36" s="46"/>
      <c r="T36" s="50"/>
      <c r="U36" s="46">
        <v>0</v>
      </c>
      <c r="V36" s="80">
        <v>0</v>
      </c>
      <c r="W36" s="26">
        <f t="shared" si="7"/>
        <v>5</v>
      </c>
      <c r="X36" s="49">
        <f t="shared" si="8"/>
        <v>3</v>
      </c>
      <c r="Y36" s="70">
        <f t="shared" si="9"/>
        <v>2</v>
      </c>
      <c r="Z36" s="87">
        <f t="shared" si="13"/>
        <v>2</v>
      </c>
      <c r="AA36" s="85">
        <f t="shared" si="14"/>
        <v>0</v>
      </c>
      <c r="AB36" s="103"/>
      <c r="AC36" s="104">
        <v>2</v>
      </c>
      <c r="AD36" s="104">
        <v>0</v>
      </c>
      <c r="AE36" s="104">
        <v>0</v>
      </c>
      <c r="AF36" s="104">
        <f t="shared" si="15"/>
        <v>2</v>
      </c>
      <c r="AG36" s="104">
        <f t="shared" si="3"/>
        <v>0</v>
      </c>
      <c r="AH36" s="93">
        <v>27498.04</v>
      </c>
      <c r="AI36" s="93">
        <f t="shared" si="11"/>
        <v>54996.08</v>
      </c>
      <c r="AJ36" s="105"/>
      <c r="AK36" s="105">
        <f t="shared" si="10"/>
        <v>0</v>
      </c>
      <c r="AL36" s="105"/>
      <c r="AM36" s="111">
        <f t="shared" si="12"/>
        <v>0</v>
      </c>
    </row>
    <row r="37" spans="1:39" ht="15.6">
      <c r="A37" s="3">
        <v>38</v>
      </c>
      <c r="B37" s="2" t="s">
        <v>85</v>
      </c>
      <c r="C37" s="39" t="s">
        <v>86</v>
      </c>
      <c r="D37" s="73">
        <v>0</v>
      </c>
      <c r="E37" s="44"/>
      <c r="F37" s="50"/>
      <c r="G37" s="53">
        <f>14+3</f>
        <v>17</v>
      </c>
      <c r="H37" s="50">
        <v>3</v>
      </c>
      <c r="I37" s="46"/>
      <c r="J37" s="50">
        <v>2</v>
      </c>
      <c r="K37" s="46"/>
      <c r="L37" s="50">
        <v>4</v>
      </c>
      <c r="M37" s="46">
        <v>20</v>
      </c>
      <c r="N37" s="61">
        <v>4</v>
      </c>
      <c r="O37" s="57"/>
      <c r="P37" s="50">
        <v>2</v>
      </c>
      <c r="Q37" s="46"/>
      <c r="R37" s="50">
        <v>1</v>
      </c>
      <c r="S37" s="46"/>
      <c r="T37" s="50">
        <v>1</v>
      </c>
      <c r="U37" s="46">
        <v>0</v>
      </c>
      <c r="V37" s="80">
        <v>0</v>
      </c>
      <c r="W37" s="26">
        <f t="shared" si="7"/>
        <v>37</v>
      </c>
      <c r="X37" s="49">
        <f t="shared" si="8"/>
        <v>17</v>
      </c>
      <c r="Y37" s="70">
        <f t="shared" si="9"/>
        <v>20</v>
      </c>
      <c r="Z37" s="87">
        <f t="shared" si="13"/>
        <v>20</v>
      </c>
      <c r="AA37" s="85">
        <f t="shared" si="14"/>
        <v>0</v>
      </c>
      <c r="AB37" s="28"/>
      <c r="AC37" s="90">
        <v>20</v>
      </c>
      <c r="AD37" s="90">
        <v>0</v>
      </c>
      <c r="AE37" s="90">
        <v>0</v>
      </c>
      <c r="AF37" s="90">
        <f t="shared" si="15"/>
        <v>20</v>
      </c>
      <c r="AG37" s="90">
        <f t="shared" si="3"/>
        <v>0</v>
      </c>
      <c r="AH37" s="91">
        <v>8835</v>
      </c>
      <c r="AI37" s="91">
        <f t="shared" si="11"/>
        <v>176700</v>
      </c>
      <c r="AJ37" s="92"/>
      <c r="AK37" s="92">
        <f t="shared" si="10"/>
        <v>0</v>
      </c>
      <c r="AL37" s="92"/>
      <c r="AM37" s="110">
        <f t="shared" si="12"/>
        <v>0</v>
      </c>
    </row>
    <row r="38" spans="1:39" ht="15.6">
      <c r="A38" s="23">
        <v>39</v>
      </c>
      <c r="B38" s="8" t="s">
        <v>87</v>
      </c>
      <c r="C38" s="39" t="s">
        <v>88</v>
      </c>
      <c r="D38" s="73">
        <v>0</v>
      </c>
      <c r="E38" s="44"/>
      <c r="F38" s="50"/>
      <c r="G38" s="46"/>
      <c r="H38" s="50"/>
      <c r="I38" s="46">
        <v>2</v>
      </c>
      <c r="J38" s="50"/>
      <c r="K38" s="46"/>
      <c r="L38" s="50">
        <v>2</v>
      </c>
      <c r="M38" s="46"/>
      <c r="N38" s="61"/>
      <c r="O38" s="57"/>
      <c r="P38" s="50"/>
      <c r="Q38" s="46"/>
      <c r="R38" s="50"/>
      <c r="S38" s="46"/>
      <c r="T38" s="50"/>
      <c r="U38" s="46">
        <v>0</v>
      </c>
      <c r="V38" s="80">
        <v>0</v>
      </c>
      <c r="W38" s="26">
        <f t="shared" si="7"/>
        <v>2</v>
      </c>
      <c r="X38" s="49">
        <f t="shared" si="8"/>
        <v>2</v>
      </c>
      <c r="Y38" s="68">
        <f t="shared" si="9"/>
        <v>0</v>
      </c>
      <c r="Z38" s="87">
        <f t="shared" si="13"/>
        <v>0</v>
      </c>
      <c r="AA38" s="85">
        <f t="shared" si="14"/>
        <v>0</v>
      </c>
      <c r="AB38" s="28"/>
      <c r="AC38" s="90">
        <v>0</v>
      </c>
      <c r="AD38" s="90">
        <v>0</v>
      </c>
      <c r="AE38" s="90">
        <v>0</v>
      </c>
      <c r="AF38" s="90">
        <f t="shared" si="15"/>
        <v>0</v>
      </c>
      <c r="AG38" s="90">
        <f t="shared" si="3"/>
        <v>0</v>
      </c>
      <c r="AH38" s="91">
        <v>20287.5</v>
      </c>
      <c r="AI38" s="91">
        <f t="shared" si="11"/>
        <v>0</v>
      </c>
      <c r="AJ38" s="92"/>
      <c r="AK38" s="92">
        <f t="shared" si="10"/>
        <v>0</v>
      </c>
      <c r="AL38" s="92"/>
      <c r="AM38" s="110">
        <f t="shared" si="12"/>
        <v>0</v>
      </c>
    </row>
    <row r="39" spans="1:39" ht="15.6">
      <c r="A39" s="3">
        <v>40</v>
      </c>
      <c r="B39" s="8" t="s">
        <v>89</v>
      </c>
      <c r="C39" s="39" t="s">
        <v>90</v>
      </c>
      <c r="D39" s="73">
        <v>0</v>
      </c>
      <c r="E39" s="44"/>
      <c r="F39" s="50"/>
      <c r="G39" s="46"/>
      <c r="H39" s="50"/>
      <c r="I39" s="46">
        <v>150</v>
      </c>
      <c r="J39" s="50">
        <v>25</v>
      </c>
      <c r="K39" s="46"/>
      <c r="L39" s="50">
        <v>1</v>
      </c>
      <c r="M39" s="46"/>
      <c r="N39" s="61">
        <v>95</v>
      </c>
      <c r="O39" s="57"/>
      <c r="P39" s="50">
        <v>29</v>
      </c>
      <c r="Q39" s="46"/>
      <c r="R39" s="50"/>
      <c r="S39" s="46"/>
      <c r="T39" s="50"/>
      <c r="U39" s="46">
        <v>0</v>
      </c>
      <c r="V39" s="80">
        <v>0</v>
      </c>
      <c r="W39" s="26">
        <f t="shared" si="7"/>
        <v>150</v>
      </c>
      <c r="X39" s="49">
        <f t="shared" si="8"/>
        <v>150</v>
      </c>
      <c r="Y39" s="68">
        <f t="shared" si="9"/>
        <v>0</v>
      </c>
      <c r="Z39" s="87">
        <f t="shared" si="13"/>
        <v>0</v>
      </c>
      <c r="AA39" s="85">
        <f t="shared" si="14"/>
        <v>0</v>
      </c>
      <c r="AB39" s="28"/>
      <c r="AC39" s="90">
        <v>0</v>
      </c>
      <c r="AD39" s="90">
        <v>0</v>
      </c>
      <c r="AE39" s="90">
        <v>0</v>
      </c>
      <c r="AF39" s="90">
        <f t="shared" si="15"/>
        <v>0</v>
      </c>
      <c r="AG39" s="90">
        <f t="shared" si="3"/>
        <v>0</v>
      </c>
      <c r="AH39" s="91">
        <v>231</v>
      </c>
      <c r="AI39" s="91">
        <f t="shared" si="11"/>
        <v>0</v>
      </c>
      <c r="AJ39" s="92"/>
      <c r="AK39" s="92">
        <f t="shared" si="10"/>
        <v>0</v>
      </c>
      <c r="AL39" s="92"/>
      <c r="AM39" s="110">
        <f t="shared" si="12"/>
        <v>0</v>
      </c>
    </row>
    <row r="40" spans="1:39" ht="15.6">
      <c r="A40" s="23">
        <v>41</v>
      </c>
      <c r="B40" s="2" t="s">
        <v>50</v>
      </c>
      <c r="C40" s="39" t="s">
        <v>91</v>
      </c>
      <c r="D40" s="73">
        <v>0</v>
      </c>
      <c r="E40" s="44">
        <v>15</v>
      </c>
      <c r="F40" s="50"/>
      <c r="G40" s="46">
        <v>30</v>
      </c>
      <c r="H40" s="50">
        <v>14</v>
      </c>
      <c r="I40" s="48">
        <v>2</v>
      </c>
      <c r="J40" s="50">
        <v>13</v>
      </c>
      <c r="K40" s="53">
        <f>10+5</f>
        <v>15</v>
      </c>
      <c r="L40" s="50">
        <v>28</v>
      </c>
      <c r="M40" s="46">
        <v>15</v>
      </c>
      <c r="N40" s="61">
        <v>13</v>
      </c>
      <c r="O40" s="57">
        <v>20</v>
      </c>
      <c r="P40" s="50">
        <v>20</v>
      </c>
      <c r="Q40" s="46"/>
      <c r="R40" s="50">
        <v>2</v>
      </c>
      <c r="S40" s="46"/>
      <c r="T40" s="50">
        <v>3</v>
      </c>
      <c r="U40" s="46">
        <v>0</v>
      </c>
      <c r="V40" s="80">
        <v>0</v>
      </c>
      <c r="W40" s="26">
        <f t="shared" si="7"/>
        <v>97</v>
      </c>
      <c r="X40" s="49">
        <f t="shared" si="8"/>
        <v>93</v>
      </c>
      <c r="Y40" s="70">
        <f t="shared" si="9"/>
        <v>4</v>
      </c>
      <c r="Z40" s="87">
        <f t="shared" si="13"/>
        <v>4</v>
      </c>
      <c r="AA40" s="85">
        <f t="shared" si="14"/>
        <v>0</v>
      </c>
      <c r="AB40" s="28"/>
      <c r="AC40" s="90">
        <v>4</v>
      </c>
      <c r="AD40" s="90">
        <v>0</v>
      </c>
      <c r="AE40" s="90">
        <v>0</v>
      </c>
      <c r="AF40" s="90">
        <f t="shared" si="15"/>
        <v>4</v>
      </c>
      <c r="AG40" s="90">
        <f t="shared" si="3"/>
        <v>0</v>
      </c>
      <c r="AH40" s="91">
        <v>2295.98</v>
      </c>
      <c r="AI40" s="91">
        <f t="shared" si="11"/>
        <v>9183.92</v>
      </c>
      <c r="AJ40" s="93">
        <v>2283</v>
      </c>
      <c r="AK40" s="92">
        <f t="shared" si="10"/>
        <v>0</v>
      </c>
      <c r="AL40" s="92">
        <v>2283</v>
      </c>
      <c r="AM40" s="110">
        <f t="shared" si="12"/>
        <v>0</v>
      </c>
    </row>
    <row r="41" spans="1:39" ht="15.6">
      <c r="A41" s="3">
        <v>42</v>
      </c>
      <c r="B41" s="7" t="s">
        <v>92</v>
      </c>
      <c r="C41" s="39" t="s">
        <v>93</v>
      </c>
      <c r="D41" s="73">
        <v>3</v>
      </c>
      <c r="E41" s="44"/>
      <c r="F41" s="50"/>
      <c r="G41" s="46"/>
      <c r="H41" s="50">
        <v>2</v>
      </c>
      <c r="I41" s="46"/>
      <c r="J41" s="50"/>
      <c r="K41" s="46"/>
      <c r="L41" s="50"/>
      <c r="M41" s="46">
        <v>2</v>
      </c>
      <c r="N41" s="61">
        <v>1</v>
      </c>
      <c r="O41" s="57"/>
      <c r="P41" s="50"/>
      <c r="Q41" s="46"/>
      <c r="R41" s="50"/>
      <c r="S41" s="46"/>
      <c r="T41" s="50"/>
      <c r="U41" s="46">
        <v>0</v>
      </c>
      <c r="V41" s="80">
        <v>0</v>
      </c>
      <c r="W41" s="26">
        <f t="shared" si="7"/>
        <v>5</v>
      </c>
      <c r="X41" s="49">
        <f t="shared" si="8"/>
        <v>3</v>
      </c>
      <c r="Y41" s="70">
        <f t="shared" si="9"/>
        <v>2</v>
      </c>
      <c r="Z41" s="87">
        <f t="shared" si="13"/>
        <v>2</v>
      </c>
      <c r="AA41" s="85">
        <f t="shared" si="14"/>
        <v>0</v>
      </c>
      <c r="AB41" s="28"/>
      <c r="AC41" s="90">
        <v>2</v>
      </c>
      <c r="AD41" s="90">
        <v>0</v>
      </c>
      <c r="AE41" s="90">
        <v>0</v>
      </c>
      <c r="AF41" s="90">
        <f t="shared" si="15"/>
        <v>2</v>
      </c>
      <c r="AG41" s="90">
        <f t="shared" si="3"/>
        <v>0</v>
      </c>
      <c r="AH41" s="91">
        <v>27862.5</v>
      </c>
      <c r="AI41" s="91">
        <f t="shared" si="11"/>
        <v>55725</v>
      </c>
      <c r="AJ41" s="92"/>
      <c r="AK41" s="92">
        <f t="shared" si="10"/>
        <v>0</v>
      </c>
      <c r="AL41" s="92"/>
      <c r="AM41" s="110">
        <f t="shared" si="12"/>
        <v>0</v>
      </c>
    </row>
    <row r="42" spans="1:39" ht="15.6">
      <c r="A42" s="23">
        <v>43</v>
      </c>
      <c r="B42" s="2" t="s">
        <v>94</v>
      </c>
      <c r="C42" s="39" t="s">
        <v>95</v>
      </c>
      <c r="D42" s="73">
        <v>5</v>
      </c>
      <c r="E42" s="44">
        <v>3</v>
      </c>
      <c r="F42" s="50"/>
      <c r="G42" s="46"/>
      <c r="H42" s="50"/>
      <c r="I42" s="46"/>
      <c r="J42" s="50">
        <v>1</v>
      </c>
      <c r="K42" s="46"/>
      <c r="L42" s="50">
        <v>2</v>
      </c>
      <c r="M42" s="46">
        <v>6</v>
      </c>
      <c r="N42" s="61">
        <v>4</v>
      </c>
      <c r="O42" s="57"/>
      <c r="P42" s="50"/>
      <c r="Q42" s="46"/>
      <c r="R42" s="50">
        <v>6</v>
      </c>
      <c r="S42" s="46"/>
      <c r="T42" s="50"/>
      <c r="U42" s="46">
        <v>3</v>
      </c>
      <c r="V42" s="80">
        <v>0</v>
      </c>
      <c r="W42" s="26">
        <f t="shared" si="7"/>
        <v>17</v>
      </c>
      <c r="X42" s="49">
        <f t="shared" si="8"/>
        <v>13</v>
      </c>
      <c r="Y42" s="70">
        <f t="shared" si="9"/>
        <v>4</v>
      </c>
      <c r="Z42" s="87">
        <f t="shared" si="13"/>
        <v>1</v>
      </c>
      <c r="AA42" s="85">
        <f t="shared" si="14"/>
        <v>3</v>
      </c>
      <c r="AB42" s="28"/>
      <c r="AC42" s="90">
        <v>1</v>
      </c>
      <c r="AD42" s="90">
        <v>0</v>
      </c>
      <c r="AE42" s="90">
        <v>3</v>
      </c>
      <c r="AF42" s="90">
        <f t="shared" si="15"/>
        <v>4</v>
      </c>
      <c r="AG42" s="90">
        <f t="shared" ref="AG42:AG105" si="16">Y42-AF42</f>
        <v>0</v>
      </c>
      <c r="AH42" s="91">
        <v>26613.11</v>
      </c>
      <c r="AI42" s="91">
        <f t="shared" si="11"/>
        <v>26613.11</v>
      </c>
      <c r="AJ42" s="93">
        <v>26070</v>
      </c>
      <c r="AK42" s="92">
        <f t="shared" si="10"/>
        <v>0</v>
      </c>
      <c r="AL42" s="92">
        <v>26070</v>
      </c>
      <c r="AM42" s="110">
        <f t="shared" si="12"/>
        <v>78210</v>
      </c>
    </row>
    <row r="43" spans="1:39" ht="15.6">
      <c r="A43" s="3">
        <v>44</v>
      </c>
      <c r="B43" s="8" t="s">
        <v>96</v>
      </c>
      <c r="C43" s="39" t="s">
        <v>97</v>
      </c>
      <c r="D43" s="73">
        <v>0</v>
      </c>
      <c r="E43" s="44"/>
      <c r="F43" s="50"/>
      <c r="G43" s="46">
        <v>2</v>
      </c>
      <c r="H43" s="50">
        <v>2</v>
      </c>
      <c r="I43" s="46"/>
      <c r="J43" s="50"/>
      <c r="K43" s="46"/>
      <c r="L43" s="50"/>
      <c r="M43" s="46"/>
      <c r="N43" s="61"/>
      <c r="O43" s="57"/>
      <c r="P43" s="50"/>
      <c r="Q43" s="46"/>
      <c r="R43" s="50"/>
      <c r="S43" s="46"/>
      <c r="T43" s="50"/>
      <c r="U43" s="46">
        <v>0</v>
      </c>
      <c r="V43" s="80">
        <v>0</v>
      </c>
      <c r="W43" s="26">
        <f t="shared" si="7"/>
        <v>2</v>
      </c>
      <c r="X43" s="49">
        <f t="shared" si="8"/>
        <v>2</v>
      </c>
      <c r="Y43" s="68">
        <f t="shared" si="9"/>
        <v>0</v>
      </c>
      <c r="Z43" s="87">
        <f t="shared" si="13"/>
        <v>0</v>
      </c>
      <c r="AA43" s="85">
        <f t="shared" si="14"/>
        <v>0</v>
      </c>
      <c r="AB43" s="28"/>
      <c r="AC43" s="90">
        <v>0</v>
      </c>
      <c r="AD43" s="90">
        <v>0</v>
      </c>
      <c r="AE43" s="90">
        <v>0</v>
      </c>
      <c r="AF43" s="90">
        <f t="shared" si="15"/>
        <v>0</v>
      </c>
      <c r="AG43" s="90">
        <f t="shared" si="16"/>
        <v>0</v>
      </c>
      <c r="AH43" s="91">
        <v>3110.63</v>
      </c>
      <c r="AI43" s="91">
        <f t="shared" si="11"/>
        <v>0</v>
      </c>
      <c r="AJ43" s="92"/>
      <c r="AK43" s="92">
        <f t="shared" si="10"/>
        <v>0</v>
      </c>
      <c r="AL43" s="92"/>
      <c r="AM43" s="110">
        <f t="shared" si="12"/>
        <v>0</v>
      </c>
    </row>
    <row r="44" spans="1:39" ht="15.6">
      <c r="A44" s="23">
        <v>45</v>
      </c>
      <c r="B44" s="8" t="s">
        <v>98</v>
      </c>
      <c r="C44" s="39" t="s">
        <v>99</v>
      </c>
      <c r="D44" s="73">
        <v>0</v>
      </c>
      <c r="E44" s="44"/>
      <c r="F44" s="50"/>
      <c r="G44" s="46">
        <v>2</v>
      </c>
      <c r="H44" s="50">
        <v>2</v>
      </c>
      <c r="I44" s="46"/>
      <c r="J44" s="50"/>
      <c r="K44" s="46"/>
      <c r="L44" s="50"/>
      <c r="M44" s="46"/>
      <c r="N44" s="61"/>
      <c r="O44" s="57"/>
      <c r="P44" s="50"/>
      <c r="Q44" s="46"/>
      <c r="R44" s="50"/>
      <c r="S44" s="46"/>
      <c r="T44" s="50"/>
      <c r="U44" s="46">
        <v>0</v>
      </c>
      <c r="V44" s="80">
        <v>0</v>
      </c>
      <c r="W44" s="26">
        <f t="shared" si="7"/>
        <v>2</v>
      </c>
      <c r="X44" s="49">
        <f t="shared" si="8"/>
        <v>2</v>
      </c>
      <c r="Y44" s="68">
        <f t="shared" si="9"/>
        <v>0</v>
      </c>
      <c r="Z44" s="87">
        <f t="shared" si="13"/>
        <v>0</v>
      </c>
      <c r="AA44" s="85">
        <f t="shared" si="14"/>
        <v>0</v>
      </c>
      <c r="AB44" s="28"/>
      <c r="AC44" s="90">
        <v>0</v>
      </c>
      <c r="AD44" s="90">
        <v>0</v>
      </c>
      <c r="AE44" s="90">
        <v>0</v>
      </c>
      <c r="AF44" s="90">
        <f t="shared" si="15"/>
        <v>0</v>
      </c>
      <c r="AG44" s="90">
        <f t="shared" si="16"/>
        <v>0</v>
      </c>
      <c r="AH44" s="91">
        <v>9776.25</v>
      </c>
      <c r="AI44" s="91">
        <f t="shared" si="11"/>
        <v>0</v>
      </c>
      <c r="AJ44" s="92"/>
      <c r="AK44" s="92">
        <f t="shared" si="10"/>
        <v>0</v>
      </c>
      <c r="AL44" s="92"/>
      <c r="AM44" s="110">
        <f t="shared" si="12"/>
        <v>0</v>
      </c>
    </row>
    <row r="45" spans="1:39" ht="15.6">
      <c r="A45" s="3">
        <v>46</v>
      </c>
      <c r="B45" s="8" t="s">
        <v>100</v>
      </c>
      <c r="C45" s="39" t="s">
        <v>101</v>
      </c>
      <c r="D45" s="73">
        <v>1</v>
      </c>
      <c r="E45" s="44"/>
      <c r="F45" s="50">
        <v>1</v>
      </c>
      <c r="G45" s="46"/>
      <c r="H45" s="50"/>
      <c r="I45" s="46"/>
      <c r="J45" s="50"/>
      <c r="K45" s="46"/>
      <c r="L45" s="50"/>
      <c r="M45" s="46"/>
      <c r="N45" s="61"/>
      <c r="O45" s="57"/>
      <c r="P45" s="50"/>
      <c r="Q45" s="46"/>
      <c r="R45" s="50"/>
      <c r="S45" s="46"/>
      <c r="T45" s="50"/>
      <c r="U45" s="46">
        <v>0</v>
      </c>
      <c r="V45" s="80">
        <v>0</v>
      </c>
      <c r="W45" s="26">
        <f t="shared" si="7"/>
        <v>1</v>
      </c>
      <c r="X45" s="49">
        <f t="shared" si="8"/>
        <v>1</v>
      </c>
      <c r="Y45" s="68">
        <f t="shared" si="9"/>
        <v>0</v>
      </c>
      <c r="Z45" s="87">
        <f t="shared" si="13"/>
        <v>0</v>
      </c>
      <c r="AA45" s="85">
        <f t="shared" si="14"/>
        <v>0</v>
      </c>
      <c r="AB45" s="28"/>
      <c r="AC45" s="90">
        <v>0</v>
      </c>
      <c r="AD45" s="90">
        <v>0</v>
      </c>
      <c r="AE45" s="90">
        <v>0</v>
      </c>
      <c r="AF45" s="90">
        <f t="shared" si="15"/>
        <v>0</v>
      </c>
      <c r="AG45" s="90">
        <f t="shared" si="16"/>
        <v>0</v>
      </c>
      <c r="AH45" s="91">
        <v>2053.13</v>
      </c>
      <c r="AI45" s="91">
        <f t="shared" si="11"/>
        <v>0</v>
      </c>
      <c r="AJ45" s="92"/>
      <c r="AK45" s="92">
        <f t="shared" si="10"/>
        <v>0</v>
      </c>
      <c r="AL45" s="92"/>
      <c r="AM45" s="110">
        <f t="shared" si="12"/>
        <v>0</v>
      </c>
    </row>
    <row r="46" spans="1:39" ht="15.6">
      <c r="A46" s="23">
        <v>47</v>
      </c>
      <c r="B46" s="8" t="s">
        <v>102</v>
      </c>
      <c r="C46" s="39" t="s">
        <v>103</v>
      </c>
      <c r="D46" s="73">
        <v>1</v>
      </c>
      <c r="E46" s="44"/>
      <c r="F46" s="50">
        <v>1</v>
      </c>
      <c r="G46" s="46"/>
      <c r="H46" s="50"/>
      <c r="I46" s="46"/>
      <c r="J46" s="50"/>
      <c r="K46" s="46"/>
      <c r="L46" s="50"/>
      <c r="M46" s="46"/>
      <c r="N46" s="61"/>
      <c r="O46" s="57"/>
      <c r="P46" s="50"/>
      <c r="Q46" s="46"/>
      <c r="R46" s="50"/>
      <c r="S46" s="46"/>
      <c r="T46" s="50"/>
      <c r="U46" s="46">
        <v>0</v>
      </c>
      <c r="V46" s="80">
        <v>0</v>
      </c>
      <c r="W46" s="26">
        <f t="shared" si="7"/>
        <v>1</v>
      </c>
      <c r="X46" s="49">
        <f t="shared" si="8"/>
        <v>1</v>
      </c>
      <c r="Y46" s="68">
        <f t="shared" si="9"/>
        <v>0</v>
      </c>
      <c r="Z46" s="87">
        <f t="shared" si="13"/>
        <v>0</v>
      </c>
      <c r="AA46" s="85">
        <f t="shared" si="14"/>
        <v>0</v>
      </c>
      <c r="AB46" s="28"/>
      <c r="AC46" s="90">
        <v>0</v>
      </c>
      <c r="AD46" s="90">
        <v>0</v>
      </c>
      <c r="AE46" s="90">
        <v>0</v>
      </c>
      <c r="AF46" s="90">
        <f t="shared" si="15"/>
        <v>0</v>
      </c>
      <c r="AG46" s="90">
        <f t="shared" si="16"/>
        <v>0</v>
      </c>
      <c r="AH46" s="91">
        <v>8306.25</v>
      </c>
      <c r="AI46" s="91">
        <f t="shared" si="11"/>
        <v>0</v>
      </c>
      <c r="AJ46" s="92"/>
      <c r="AK46" s="92">
        <f t="shared" si="10"/>
        <v>0</v>
      </c>
      <c r="AL46" s="92"/>
      <c r="AM46" s="110">
        <f t="shared" si="12"/>
        <v>0</v>
      </c>
    </row>
    <row r="47" spans="1:39" ht="15.6">
      <c r="A47" s="3">
        <v>48</v>
      </c>
      <c r="B47" s="8" t="s">
        <v>104</v>
      </c>
      <c r="C47" s="39" t="s">
        <v>105</v>
      </c>
      <c r="D47" s="73">
        <v>1</v>
      </c>
      <c r="E47" s="44"/>
      <c r="F47" s="50"/>
      <c r="G47" s="46"/>
      <c r="H47" s="50">
        <v>1</v>
      </c>
      <c r="I47" s="46"/>
      <c r="J47" s="50"/>
      <c r="K47" s="46"/>
      <c r="L47" s="50"/>
      <c r="M47" s="46"/>
      <c r="N47" s="61"/>
      <c r="O47" s="57"/>
      <c r="P47" s="50"/>
      <c r="Q47" s="46"/>
      <c r="R47" s="50"/>
      <c r="S47" s="46"/>
      <c r="T47" s="50"/>
      <c r="U47" s="46">
        <v>0</v>
      </c>
      <c r="V47" s="80">
        <v>0</v>
      </c>
      <c r="W47" s="26">
        <f t="shared" si="7"/>
        <v>1</v>
      </c>
      <c r="X47" s="49">
        <f t="shared" si="8"/>
        <v>1</v>
      </c>
      <c r="Y47" s="68">
        <f t="shared" si="9"/>
        <v>0</v>
      </c>
      <c r="Z47" s="87">
        <f t="shared" si="13"/>
        <v>0</v>
      </c>
      <c r="AA47" s="85">
        <f t="shared" si="14"/>
        <v>0</v>
      </c>
      <c r="AB47" s="28"/>
      <c r="AC47" s="90">
        <v>0</v>
      </c>
      <c r="AD47" s="90">
        <v>0</v>
      </c>
      <c r="AE47" s="90">
        <v>0</v>
      </c>
      <c r="AF47" s="90">
        <f t="shared" si="15"/>
        <v>0</v>
      </c>
      <c r="AG47" s="90">
        <f t="shared" si="16"/>
        <v>0</v>
      </c>
      <c r="AH47" s="91">
        <v>9874.99</v>
      </c>
      <c r="AI47" s="91">
        <f t="shared" si="11"/>
        <v>0</v>
      </c>
      <c r="AJ47" s="92"/>
      <c r="AK47" s="92">
        <f t="shared" si="10"/>
        <v>0</v>
      </c>
      <c r="AL47" s="92"/>
      <c r="AM47" s="110">
        <f t="shared" si="12"/>
        <v>0</v>
      </c>
    </row>
    <row r="48" spans="1:39" s="106" customFormat="1" ht="15.6">
      <c r="A48" s="3">
        <v>49</v>
      </c>
      <c r="B48" s="8" t="s">
        <v>106</v>
      </c>
      <c r="C48" s="39" t="s">
        <v>107</v>
      </c>
      <c r="D48" s="73">
        <v>7</v>
      </c>
      <c r="E48" s="44"/>
      <c r="F48" s="50"/>
      <c r="G48" s="46"/>
      <c r="H48" s="50"/>
      <c r="I48" s="46">
        <v>2</v>
      </c>
      <c r="J48" s="50">
        <v>2</v>
      </c>
      <c r="K48" s="46">
        <v>2</v>
      </c>
      <c r="L48" s="50">
        <v>2</v>
      </c>
      <c r="M48" s="46"/>
      <c r="N48" s="61">
        <v>3</v>
      </c>
      <c r="O48" s="57"/>
      <c r="P48" s="50">
        <v>2</v>
      </c>
      <c r="Q48" s="46"/>
      <c r="R48" s="50"/>
      <c r="S48" s="46"/>
      <c r="T48" s="50">
        <v>1</v>
      </c>
      <c r="U48" s="46">
        <v>6</v>
      </c>
      <c r="V48" s="80">
        <v>0</v>
      </c>
      <c r="W48" s="26">
        <f t="shared" si="7"/>
        <v>17</v>
      </c>
      <c r="X48" s="49">
        <f t="shared" si="8"/>
        <v>10</v>
      </c>
      <c r="Y48" s="70">
        <f t="shared" si="9"/>
        <v>7</v>
      </c>
      <c r="Z48" s="87">
        <f t="shared" si="13"/>
        <v>1</v>
      </c>
      <c r="AA48" s="85">
        <f t="shared" si="14"/>
        <v>6</v>
      </c>
      <c r="AB48" s="103"/>
      <c r="AC48" s="104">
        <v>1</v>
      </c>
      <c r="AD48" s="104">
        <v>0</v>
      </c>
      <c r="AE48" s="104">
        <v>6</v>
      </c>
      <c r="AF48" s="104">
        <f t="shared" si="15"/>
        <v>7</v>
      </c>
      <c r="AG48" s="90">
        <f t="shared" si="16"/>
        <v>0</v>
      </c>
      <c r="AH48" s="93">
        <v>28332.19</v>
      </c>
      <c r="AI48" s="93">
        <f t="shared" si="11"/>
        <v>28332.19</v>
      </c>
      <c r="AJ48" s="105">
        <v>28935</v>
      </c>
      <c r="AK48" s="105">
        <f t="shared" si="10"/>
        <v>0</v>
      </c>
      <c r="AL48" s="105">
        <v>28935</v>
      </c>
      <c r="AM48" s="111">
        <f t="shared" si="12"/>
        <v>173610</v>
      </c>
    </row>
    <row r="49" spans="1:39" ht="15.6">
      <c r="A49" s="3">
        <v>50</v>
      </c>
      <c r="B49" s="7" t="s">
        <v>108</v>
      </c>
      <c r="C49" s="39" t="s">
        <v>109</v>
      </c>
      <c r="D49" s="73">
        <v>0</v>
      </c>
      <c r="E49" s="44"/>
      <c r="F49" s="50"/>
      <c r="G49" s="46"/>
      <c r="H49" s="50"/>
      <c r="I49" s="46"/>
      <c r="J49" s="50"/>
      <c r="K49" s="46"/>
      <c r="L49" s="50"/>
      <c r="M49" s="46"/>
      <c r="N49" s="61"/>
      <c r="O49" s="57">
        <v>1</v>
      </c>
      <c r="P49" s="50"/>
      <c r="Q49" s="46"/>
      <c r="R49" s="50"/>
      <c r="S49" s="46"/>
      <c r="T49" s="50"/>
      <c r="U49" s="46">
        <v>0</v>
      </c>
      <c r="V49" s="80">
        <v>0</v>
      </c>
      <c r="W49" s="26">
        <f t="shared" si="7"/>
        <v>1</v>
      </c>
      <c r="X49" s="49">
        <f t="shared" si="8"/>
        <v>0</v>
      </c>
      <c r="Y49" s="70">
        <f t="shared" si="9"/>
        <v>1</v>
      </c>
      <c r="Z49" s="87">
        <f t="shared" si="13"/>
        <v>1</v>
      </c>
      <c r="AA49" s="85">
        <f t="shared" si="14"/>
        <v>0</v>
      </c>
      <c r="AB49" s="28"/>
      <c r="AC49" s="90">
        <v>1</v>
      </c>
      <c r="AD49" s="90">
        <v>0</v>
      </c>
      <c r="AE49" s="90">
        <v>0</v>
      </c>
      <c r="AF49" s="90">
        <f t="shared" si="15"/>
        <v>1</v>
      </c>
      <c r="AG49" s="90">
        <f t="shared" si="16"/>
        <v>0</v>
      </c>
      <c r="AH49" s="91">
        <v>35310</v>
      </c>
      <c r="AI49" s="91">
        <f t="shared" si="11"/>
        <v>35310</v>
      </c>
      <c r="AJ49" s="92"/>
      <c r="AK49" s="92">
        <f t="shared" si="10"/>
        <v>0</v>
      </c>
      <c r="AL49" s="92"/>
      <c r="AM49" s="110">
        <f t="shared" si="12"/>
        <v>0</v>
      </c>
    </row>
    <row r="50" spans="1:39" ht="15.6">
      <c r="A50" s="23">
        <v>51</v>
      </c>
      <c r="B50" s="7" t="s">
        <v>110</v>
      </c>
      <c r="C50" s="39" t="s">
        <v>111</v>
      </c>
      <c r="D50" s="73">
        <v>0</v>
      </c>
      <c r="E50" s="44"/>
      <c r="F50" s="50"/>
      <c r="G50" s="46"/>
      <c r="H50" s="50"/>
      <c r="I50" s="46"/>
      <c r="J50" s="50"/>
      <c r="K50" s="46"/>
      <c r="L50" s="50"/>
      <c r="M50" s="46"/>
      <c r="N50" s="61"/>
      <c r="O50" s="57">
        <v>1</v>
      </c>
      <c r="P50" s="50"/>
      <c r="Q50" s="46"/>
      <c r="R50" s="50"/>
      <c r="S50" s="46"/>
      <c r="T50" s="50"/>
      <c r="U50" s="46">
        <v>0</v>
      </c>
      <c r="V50" s="80">
        <v>0</v>
      </c>
      <c r="W50" s="26">
        <f t="shared" si="7"/>
        <v>1</v>
      </c>
      <c r="X50" s="49">
        <f t="shared" si="8"/>
        <v>0</v>
      </c>
      <c r="Y50" s="70">
        <f t="shared" si="9"/>
        <v>1</v>
      </c>
      <c r="Z50" s="87">
        <f t="shared" si="13"/>
        <v>1</v>
      </c>
      <c r="AA50" s="85">
        <f t="shared" si="14"/>
        <v>0</v>
      </c>
      <c r="AB50" s="28"/>
      <c r="AC50" s="90">
        <v>1</v>
      </c>
      <c r="AD50" s="90">
        <v>0</v>
      </c>
      <c r="AE50" s="90">
        <v>0</v>
      </c>
      <c r="AF50" s="90">
        <f t="shared" si="15"/>
        <v>1</v>
      </c>
      <c r="AG50" s="90">
        <f t="shared" si="16"/>
        <v>0</v>
      </c>
      <c r="AH50" s="91">
        <v>33495</v>
      </c>
      <c r="AI50" s="91">
        <f t="shared" si="11"/>
        <v>33495</v>
      </c>
      <c r="AJ50" s="92"/>
      <c r="AK50" s="92">
        <f t="shared" si="10"/>
        <v>0</v>
      </c>
      <c r="AL50" s="92"/>
      <c r="AM50" s="110">
        <f t="shared" si="12"/>
        <v>0</v>
      </c>
    </row>
    <row r="51" spans="1:39" ht="15.6">
      <c r="A51" s="3">
        <v>52</v>
      </c>
      <c r="B51" s="7" t="s">
        <v>112</v>
      </c>
      <c r="C51" s="39" t="s">
        <v>227</v>
      </c>
      <c r="D51" s="73">
        <v>0</v>
      </c>
      <c r="E51" s="44"/>
      <c r="F51" s="50"/>
      <c r="G51" s="46"/>
      <c r="H51" s="50"/>
      <c r="I51" s="46"/>
      <c r="J51" s="50"/>
      <c r="K51" s="46"/>
      <c r="L51" s="50"/>
      <c r="M51" s="46"/>
      <c r="N51" s="61"/>
      <c r="O51" s="57">
        <v>1</v>
      </c>
      <c r="P51" s="50"/>
      <c r="Q51" s="46"/>
      <c r="R51" s="50"/>
      <c r="S51" s="46"/>
      <c r="T51" s="50"/>
      <c r="U51" s="46">
        <v>0</v>
      </c>
      <c r="V51" s="80">
        <v>0</v>
      </c>
      <c r="W51" s="26">
        <f t="shared" si="7"/>
        <v>1</v>
      </c>
      <c r="X51" s="49">
        <f t="shared" si="8"/>
        <v>0</v>
      </c>
      <c r="Y51" s="70">
        <f t="shared" si="9"/>
        <v>1</v>
      </c>
      <c r="Z51" s="87">
        <f t="shared" si="13"/>
        <v>1</v>
      </c>
      <c r="AA51" s="85">
        <f t="shared" si="14"/>
        <v>0</v>
      </c>
      <c r="AB51" s="28"/>
      <c r="AC51" s="90">
        <v>1</v>
      </c>
      <c r="AD51" s="90">
        <v>0</v>
      </c>
      <c r="AE51" s="90">
        <v>0</v>
      </c>
      <c r="AF51" s="90">
        <f t="shared" si="15"/>
        <v>1</v>
      </c>
      <c r="AG51" s="90">
        <f t="shared" si="16"/>
        <v>0</v>
      </c>
      <c r="AH51" s="91">
        <v>43170</v>
      </c>
      <c r="AI51" s="91">
        <f t="shared" si="11"/>
        <v>43170</v>
      </c>
      <c r="AJ51" s="92"/>
      <c r="AK51" s="92">
        <f t="shared" si="10"/>
        <v>0</v>
      </c>
      <c r="AL51" s="92"/>
      <c r="AM51" s="110">
        <f t="shared" si="12"/>
        <v>0</v>
      </c>
    </row>
    <row r="52" spans="1:39" ht="15.6">
      <c r="A52" s="23">
        <v>53</v>
      </c>
      <c r="B52" s="7" t="s">
        <v>113</v>
      </c>
      <c r="C52" s="39" t="s">
        <v>114</v>
      </c>
      <c r="D52" s="73">
        <v>0</v>
      </c>
      <c r="E52" s="44"/>
      <c r="F52" s="50"/>
      <c r="G52" s="46"/>
      <c r="H52" s="50"/>
      <c r="I52" s="46"/>
      <c r="J52" s="50"/>
      <c r="K52" s="46"/>
      <c r="L52" s="50"/>
      <c r="M52" s="46"/>
      <c r="N52" s="61"/>
      <c r="O52" s="57">
        <v>1</v>
      </c>
      <c r="P52" s="50"/>
      <c r="Q52" s="46"/>
      <c r="R52" s="50"/>
      <c r="S52" s="46"/>
      <c r="T52" s="50"/>
      <c r="U52" s="46">
        <v>0</v>
      </c>
      <c r="V52" s="80">
        <v>0</v>
      </c>
      <c r="W52" s="26">
        <f t="shared" si="7"/>
        <v>1</v>
      </c>
      <c r="X52" s="49">
        <f t="shared" si="8"/>
        <v>0</v>
      </c>
      <c r="Y52" s="70">
        <f t="shared" si="9"/>
        <v>1</v>
      </c>
      <c r="Z52" s="87">
        <f t="shared" si="13"/>
        <v>1</v>
      </c>
      <c r="AA52" s="85">
        <f t="shared" si="14"/>
        <v>0</v>
      </c>
      <c r="AB52" s="28"/>
      <c r="AC52" s="90">
        <v>1</v>
      </c>
      <c r="AD52" s="90">
        <v>0</v>
      </c>
      <c r="AE52" s="90">
        <v>0</v>
      </c>
      <c r="AF52" s="90">
        <f t="shared" si="15"/>
        <v>1</v>
      </c>
      <c r="AG52" s="90">
        <f t="shared" si="16"/>
        <v>0</v>
      </c>
      <c r="AH52" s="91">
        <v>40980</v>
      </c>
      <c r="AI52" s="91">
        <f t="shared" si="11"/>
        <v>40980</v>
      </c>
      <c r="AJ52" s="92"/>
      <c r="AK52" s="92">
        <f t="shared" si="10"/>
        <v>0</v>
      </c>
      <c r="AL52" s="92"/>
      <c r="AM52" s="110">
        <f t="shared" si="12"/>
        <v>0</v>
      </c>
    </row>
    <row r="53" spans="1:39" ht="15.6">
      <c r="A53" s="3">
        <v>54</v>
      </c>
      <c r="B53" s="8" t="s">
        <v>115</v>
      </c>
      <c r="C53" s="39" t="s">
        <v>116</v>
      </c>
      <c r="D53" s="73">
        <v>2</v>
      </c>
      <c r="E53" s="44"/>
      <c r="F53" s="50"/>
      <c r="G53" s="46">
        <v>2</v>
      </c>
      <c r="H53" s="50">
        <v>2</v>
      </c>
      <c r="I53" s="46">
        <v>1</v>
      </c>
      <c r="J53" s="50">
        <v>3</v>
      </c>
      <c r="K53" s="46"/>
      <c r="L53" s="50"/>
      <c r="M53" s="46"/>
      <c r="N53" s="61"/>
      <c r="O53" s="57"/>
      <c r="P53" s="50"/>
      <c r="Q53" s="46"/>
      <c r="R53" s="50"/>
      <c r="S53" s="46"/>
      <c r="T53" s="50"/>
      <c r="U53" s="46">
        <v>0</v>
      </c>
      <c r="V53" s="80">
        <v>0</v>
      </c>
      <c r="W53" s="26">
        <f t="shared" si="7"/>
        <v>5</v>
      </c>
      <c r="X53" s="49">
        <f t="shared" si="8"/>
        <v>5</v>
      </c>
      <c r="Y53" s="71">
        <f t="shared" si="9"/>
        <v>0</v>
      </c>
      <c r="Z53" s="87">
        <f t="shared" si="13"/>
        <v>0</v>
      </c>
      <c r="AA53" s="85">
        <f t="shared" si="14"/>
        <v>0</v>
      </c>
      <c r="AB53" s="28"/>
      <c r="AC53" s="90">
        <v>0</v>
      </c>
      <c r="AD53" s="90">
        <v>0</v>
      </c>
      <c r="AE53" s="90">
        <v>0</v>
      </c>
      <c r="AF53" s="90">
        <f t="shared" si="15"/>
        <v>0</v>
      </c>
      <c r="AG53" s="90">
        <f t="shared" si="16"/>
        <v>0</v>
      </c>
      <c r="AH53" s="91">
        <v>1496.25</v>
      </c>
      <c r="AI53" s="91">
        <f t="shared" si="11"/>
        <v>0</v>
      </c>
      <c r="AJ53" s="92"/>
      <c r="AK53" s="92">
        <f t="shared" si="10"/>
        <v>0</v>
      </c>
      <c r="AL53" s="92"/>
      <c r="AM53" s="110">
        <f t="shared" si="12"/>
        <v>0</v>
      </c>
    </row>
    <row r="54" spans="1:39" ht="15.6">
      <c r="A54" s="23">
        <v>55</v>
      </c>
      <c r="B54" s="7" t="s">
        <v>117</v>
      </c>
      <c r="C54" s="39" t="s">
        <v>118</v>
      </c>
      <c r="D54" s="73">
        <v>2</v>
      </c>
      <c r="E54" s="44"/>
      <c r="F54" s="50"/>
      <c r="G54" s="46"/>
      <c r="H54" s="50"/>
      <c r="I54" s="46">
        <v>4</v>
      </c>
      <c r="J54" s="50"/>
      <c r="K54" s="46"/>
      <c r="L54" s="50">
        <v>4</v>
      </c>
      <c r="M54" s="46"/>
      <c r="N54" s="61"/>
      <c r="O54" s="57"/>
      <c r="P54" s="50"/>
      <c r="Q54" s="46"/>
      <c r="R54" s="50"/>
      <c r="S54" s="46"/>
      <c r="T54" s="50"/>
      <c r="U54" s="46">
        <v>0</v>
      </c>
      <c r="V54" s="80">
        <v>0</v>
      </c>
      <c r="W54" s="26">
        <f t="shared" si="7"/>
        <v>6</v>
      </c>
      <c r="X54" s="49">
        <f t="shared" si="8"/>
        <v>4</v>
      </c>
      <c r="Y54" s="70">
        <f t="shared" si="9"/>
        <v>2</v>
      </c>
      <c r="Z54" s="87">
        <f t="shared" si="13"/>
        <v>2</v>
      </c>
      <c r="AA54" s="85">
        <f t="shared" si="14"/>
        <v>0</v>
      </c>
      <c r="AB54" s="28"/>
      <c r="AC54" s="90">
        <v>2</v>
      </c>
      <c r="AD54" s="90">
        <v>0</v>
      </c>
      <c r="AE54" s="90">
        <v>0</v>
      </c>
      <c r="AF54" s="90">
        <f t="shared" si="15"/>
        <v>2</v>
      </c>
      <c r="AG54" s="90">
        <f t="shared" si="16"/>
        <v>0</v>
      </c>
      <c r="AH54" s="91">
        <v>10901.25</v>
      </c>
      <c r="AI54" s="91">
        <f t="shared" si="11"/>
        <v>21802.5</v>
      </c>
      <c r="AJ54" s="92"/>
      <c r="AK54" s="92">
        <f t="shared" si="10"/>
        <v>0</v>
      </c>
      <c r="AL54" s="92"/>
      <c r="AM54" s="110">
        <f t="shared" si="12"/>
        <v>0</v>
      </c>
    </row>
    <row r="55" spans="1:39" ht="15.6">
      <c r="A55" s="3">
        <v>56</v>
      </c>
      <c r="B55" s="8" t="s">
        <v>119</v>
      </c>
      <c r="C55" s="39" t="s">
        <v>120</v>
      </c>
      <c r="D55" s="73">
        <v>0</v>
      </c>
      <c r="E55" s="44"/>
      <c r="F55" s="50"/>
      <c r="G55" s="46"/>
      <c r="H55" s="50"/>
      <c r="I55" s="46">
        <v>5</v>
      </c>
      <c r="J55" s="50"/>
      <c r="K55" s="46"/>
      <c r="L55" s="50">
        <v>5</v>
      </c>
      <c r="M55" s="46"/>
      <c r="N55" s="61"/>
      <c r="O55" s="57"/>
      <c r="P55" s="50"/>
      <c r="Q55" s="46"/>
      <c r="R55" s="50"/>
      <c r="S55" s="46"/>
      <c r="T55" s="50"/>
      <c r="U55" s="46">
        <v>0</v>
      </c>
      <c r="V55" s="80">
        <v>0</v>
      </c>
      <c r="W55" s="26">
        <f t="shared" si="7"/>
        <v>5</v>
      </c>
      <c r="X55" s="49">
        <f t="shared" si="8"/>
        <v>5</v>
      </c>
      <c r="Y55" s="71">
        <f t="shared" si="9"/>
        <v>0</v>
      </c>
      <c r="Z55" s="87">
        <f t="shared" si="13"/>
        <v>0</v>
      </c>
      <c r="AA55" s="85">
        <f t="shared" si="14"/>
        <v>0</v>
      </c>
      <c r="AB55" s="28"/>
      <c r="AC55" s="90">
        <v>0</v>
      </c>
      <c r="AD55" s="90">
        <v>0</v>
      </c>
      <c r="AE55" s="90">
        <v>0</v>
      </c>
      <c r="AF55" s="90">
        <f t="shared" si="15"/>
        <v>0</v>
      </c>
      <c r="AG55" s="90">
        <f t="shared" si="16"/>
        <v>0</v>
      </c>
      <c r="AH55" s="91">
        <v>12023.24</v>
      </c>
      <c r="AI55" s="91">
        <f t="shared" si="11"/>
        <v>0</v>
      </c>
      <c r="AJ55" s="92"/>
      <c r="AK55" s="92">
        <f t="shared" si="10"/>
        <v>0</v>
      </c>
      <c r="AL55" s="92"/>
      <c r="AM55" s="110">
        <f t="shared" si="12"/>
        <v>0</v>
      </c>
    </row>
    <row r="56" spans="1:39" ht="15.6">
      <c r="A56" s="23">
        <v>57</v>
      </c>
      <c r="B56" s="8" t="s">
        <v>121</v>
      </c>
      <c r="C56" s="39" t="s">
        <v>122</v>
      </c>
      <c r="D56" s="73">
        <v>0</v>
      </c>
      <c r="E56" s="44"/>
      <c r="F56" s="50"/>
      <c r="G56" s="46"/>
      <c r="H56" s="50"/>
      <c r="I56" s="46"/>
      <c r="J56" s="50"/>
      <c r="K56" s="46"/>
      <c r="L56" s="50"/>
      <c r="M56" s="46"/>
      <c r="N56" s="61"/>
      <c r="O56" s="57"/>
      <c r="P56" s="50"/>
      <c r="Q56" s="46">
        <v>4</v>
      </c>
      <c r="R56" s="50"/>
      <c r="S56" s="46"/>
      <c r="T56" s="50"/>
      <c r="U56" s="46">
        <v>0</v>
      </c>
      <c r="V56" s="80">
        <v>0</v>
      </c>
      <c r="W56" s="26">
        <f t="shared" si="7"/>
        <v>4</v>
      </c>
      <c r="X56" s="49">
        <f t="shared" si="8"/>
        <v>0</v>
      </c>
      <c r="Y56" s="70">
        <f t="shared" si="9"/>
        <v>4</v>
      </c>
      <c r="Z56" s="87">
        <f t="shared" si="13"/>
        <v>4</v>
      </c>
      <c r="AA56" s="85">
        <f t="shared" si="14"/>
        <v>0</v>
      </c>
      <c r="AB56" s="28"/>
      <c r="AC56" s="90">
        <v>4</v>
      </c>
      <c r="AD56" s="90">
        <v>0</v>
      </c>
      <c r="AE56" s="90">
        <v>0</v>
      </c>
      <c r="AF56" s="90">
        <f t="shared" si="15"/>
        <v>4</v>
      </c>
      <c r="AG56" s="90">
        <f t="shared" si="16"/>
        <v>0</v>
      </c>
      <c r="AH56" s="91">
        <v>689.93</v>
      </c>
      <c r="AI56" s="91">
        <f t="shared" si="11"/>
        <v>2759.72</v>
      </c>
      <c r="AJ56" s="92"/>
      <c r="AK56" s="92">
        <f t="shared" si="10"/>
        <v>0</v>
      </c>
      <c r="AL56" s="92"/>
      <c r="AM56" s="110">
        <f t="shared" si="12"/>
        <v>0</v>
      </c>
    </row>
    <row r="57" spans="1:39" ht="15.6">
      <c r="A57" s="23">
        <v>59</v>
      </c>
      <c r="B57" s="8" t="s">
        <v>123</v>
      </c>
      <c r="C57" s="39" t="s">
        <v>124</v>
      </c>
      <c r="D57" s="73">
        <v>0</v>
      </c>
      <c r="E57" s="44"/>
      <c r="F57" s="50"/>
      <c r="G57" s="46"/>
      <c r="H57" s="50"/>
      <c r="I57" s="46">
        <v>1</v>
      </c>
      <c r="J57" s="50"/>
      <c r="K57" s="46"/>
      <c r="L57" s="50">
        <v>1</v>
      </c>
      <c r="M57" s="46"/>
      <c r="N57" s="61"/>
      <c r="O57" s="57"/>
      <c r="P57" s="50"/>
      <c r="Q57" s="46"/>
      <c r="R57" s="50"/>
      <c r="S57" s="46"/>
      <c r="T57" s="50"/>
      <c r="U57" s="46">
        <v>0</v>
      </c>
      <c r="V57" s="80">
        <v>0</v>
      </c>
      <c r="W57" s="26">
        <f t="shared" si="7"/>
        <v>1</v>
      </c>
      <c r="X57" s="49">
        <f t="shared" si="8"/>
        <v>1</v>
      </c>
      <c r="Y57" s="71">
        <f t="shared" si="9"/>
        <v>0</v>
      </c>
      <c r="Z57" s="87">
        <f t="shared" si="13"/>
        <v>0</v>
      </c>
      <c r="AA57" s="85">
        <f t="shared" si="14"/>
        <v>0</v>
      </c>
      <c r="AB57" s="28"/>
      <c r="AC57" s="90">
        <v>0</v>
      </c>
      <c r="AD57" s="90">
        <v>0</v>
      </c>
      <c r="AE57" s="90">
        <v>0</v>
      </c>
      <c r="AF57" s="90">
        <f t="shared" si="15"/>
        <v>0</v>
      </c>
      <c r="AG57" s="90">
        <f t="shared" si="16"/>
        <v>0</v>
      </c>
      <c r="AH57" s="91">
        <v>4275</v>
      </c>
      <c r="AI57" s="91">
        <f t="shared" si="11"/>
        <v>0</v>
      </c>
      <c r="AJ57" s="92"/>
      <c r="AK57" s="92">
        <f t="shared" si="10"/>
        <v>0</v>
      </c>
      <c r="AL57" s="92"/>
      <c r="AM57" s="110">
        <f t="shared" si="12"/>
        <v>0</v>
      </c>
    </row>
    <row r="58" spans="1:39" ht="15.6">
      <c r="A58" s="3">
        <v>60</v>
      </c>
      <c r="B58" s="8" t="s">
        <v>125</v>
      </c>
      <c r="C58" s="39" t="s">
        <v>126</v>
      </c>
      <c r="D58" s="73">
        <v>0</v>
      </c>
      <c r="E58" s="44"/>
      <c r="F58" s="50"/>
      <c r="G58" s="46"/>
      <c r="H58" s="50"/>
      <c r="I58" s="46">
        <v>1</v>
      </c>
      <c r="J58" s="50"/>
      <c r="K58" s="46"/>
      <c r="L58" s="50">
        <v>1</v>
      </c>
      <c r="M58" s="46"/>
      <c r="N58" s="61"/>
      <c r="O58" s="57"/>
      <c r="P58" s="50"/>
      <c r="Q58" s="46"/>
      <c r="R58" s="50"/>
      <c r="S58" s="46"/>
      <c r="T58" s="50"/>
      <c r="U58" s="46">
        <v>0</v>
      </c>
      <c r="V58" s="80">
        <v>0</v>
      </c>
      <c r="W58" s="26">
        <f t="shared" si="7"/>
        <v>1</v>
      </c>
      <c r="X58" s="49">
        <f t="shared" si="8"/>
        <v>1</v>
      </c>
      <c r="Y58" s="71">
        <f t="shared" si="9"/>
        <v>0</v>
      </c>
      <c r="Z58" s="87">
        <f t="shared" si="13"/>
        <v>0</v>
      </c>
      <c r="AA58" s="85">
        <f t="shared" si="14"/>
        <v>0</v>
      </c>
      <c r="AB58" s="28"/>
      <c r="AC58" s="90">
        <v>0</v>
      </c>
      <c r="AD58" s="90">
        <v>0</v>
      </c>
      <c r="AE58" s="90">
        <v>0</v>
      </c>
      <c r="AF58" s="90">
        <f t="shared" si="15"/>
        <v>0</v>
      </c>
      <c r="AG58" s="90">
        <f t="shared" si="16"/>
        <v>0</v>
      </c>
      <c r="AH58" s="91">
        <v>87.19</v>
      </c>
      <c r="AI58" s="91">
        <f t="shared" si="11"/>
        <v>0</v>
      </c>
      <c r="AJ58" s="92"/>
      <c r="AK58" s="92">
        <f t="shared" si="10"/>
        <v>0</v>
      </c>
      <c r="AL58" s="92"/>
      <c r="AM58" s="110">
        <f t="shared" si="12"/>
        <v>0</v>
      </c>
    </row>
    <row r="59" spans="1:39" ht="15.6">
      <c r="A59" s="23">
        <v>61</v>
      </c>
      <c r="B59" s="8" t="s">
        <v>127</v>
      </c>
      <c r="C59" s="39" t="s">
        <v>128</v>
      </c>
      <c r="D59" s="73">
        <v>0</v>
      </c>
      <c r="E59" s="44"/>
      <c r="F59" s="50"/>
      <c r="G59" s="46"/>
      <c r="H59" s="50"/>
      <c r="I59" s="46">
        <v>1</v>
      </c>
      <c r="J59" s="50"/>
      <c r="K59" s="46"/>
      <c r="L59" s="50">
        <v>1</v>
      </c>
      <c r="M59" s="46"/>
      <c r="N59" s="61"/>
      <c r="O59" s="57"/>
      <c r="P59" s="50"/>
      <c r="Q59" s="46"/>
      <c r="R59" s="50"/>
      <c r="S59" s="46"/>
      <c r="T59" s="50"/>
      <c r="U59" s="46">
        <v>0</v>
      </c>
      <c r="V59" s="80">
        <v>0</v>
      </c>
      <c r="W59" s="26">
        <f t="shared" si="7"/>
        <v>1</v>
      </c>
      <c r="X59" s="49">
        <f t="shared" si="8"/>
        <v>1</v>
      </c>
      <c r="Y59" s="71">
        <f t="shared" si="9"/>
        <v>0</v>
      </c>
      <c r="Z59" s="87">
        <f t="shared" si="13"/>
        <v>0</v>
      </c>
      <c r="AA59" s="85">
        <f t="shared" si="14"/>
        <v>0</v>
      </c>
      <c r="AB59" s="28"/>
      <c r="AC59" s="90">
        <v>0</v>
      </c>
      <c r="AD59" s="90">
        <v>0</v>
      </c>
      <c r="AE59" s="90">
        <v>0</v>
      </c>
      <c r="AF59" s="90">
        <f t="shared" si="15"/>
        <v>0</v>
      </c>
      <c r="AG59" s="90">
        <f t="shared" si="16"/>
        <v>0</v>
      </c>
      <c r="AH59" s="91">
        <v>3768.25</v>
      </c>
      <c r="AI59" s="91">
        <f t="shared" si="11"/>
        <v>0</v>
      </c>
      <c r="AJ59" s="92"/>
      <c r="AK59" s="92">
        <f t="shared" si="10"/>
        <v>0</v>
      </c>
      <c r="AL59" s="92"/>
      <c r="AM59" s="110">
        <f t="shared" si="12"/>
        <v>0</v>
      </c>
    </row>
    <row r="60" spans="1:39" ht="15.6">
      <c r="A60" s="3">
        <v>62</v>
      </c>
      <c r="B60" s="8" t="s">
        <v>129</v>
      </c>
      <c r="C60" s="39" t="s">
        <v>130</v>
      </c>
      <c r="D60" s="73">
        <v>0</v>
      </c>
      <c r="E60" s="44"/>
      <c r="F60" s="50"/>
      <c r="G60" s="46"/>
      <c r="H60" s="50"/>
      <c r="I60" s="46">
        <v>1</v>
      </c>
      <c r="J60" s="50"/>
      <c r="K60" s="46"/>
      <c r="L60" s="50">
        <v>1</v>
      </c>
      <c r="M60" s="46"/>
      <c r="N60" s="61"/>
      <c r="O60" s="57"/>
      <c r="P60" s="50"/>
      <c r="Q60" s="46"/>
      <c r="R60" s="50"/>
      <c r="S60" s="46">
        <v>1</v>
      </c>
      <c r="T60" s="50">
        <v>1</v>
      </c>
      <c r="U60" s="46">
        <v>0</v>
      </c>
      <c r="V60" s="80">
        <v>0</v>
      </c>
      <c r="W60" s="26">
        <f t="shared" si="7"/>
        <v>2</v>
      </c>
      <c r="X60" s="49">
        <f t="shared" si="8"/>
        <v>2</v>
      </c>
      <c r="Y60" s="71">
        <f t="shared" si="9"/>
        <v>0</v>
      </c>
      <c r="Z60" s="87">
        <f t="shared" si="13"/>
        <v>-1</v>
      </c>
      <c r="AA60" s="85">
        <f t="shared" si="14"/>
        <v>1</v>
      </c>
      <c r="AB60" s="28"/>
      <c r="AC60" s="90">
        <v>0</v>
      </c>
      <c r="AD60" s="90">
        <v>0</v>
      </c>
      <c r="AE60" s="90">
        <v>0</v>
      </c>
      <c r="AF60" s="90">
        <f t="shared" si="15"/>
        <v>0</v>
      </c>
      <c r="AG60" s="90">
        <f t="shared" si="16"/>
        <v>0</v>
      </c>
      <c r="AH60" s="91">
        <v>15962.51</v>
      </c>
      <c r="AI60" s="91">
        <f t="shared" si="11"/>
        <v>0</v>
      </c>
      <c r="AJ60" s="93">
        <v>15468.75</v>
      </c>
      <c r="AK60" s="92">
        <f t="shared" si="10"/>
        <v>0</v>
      </c>
      <c r="AL60" s="92">
        <v>15468.75</v>
      </c>
      <c r="AM60" s="110">
        <f t="shared" si="12"/>
        <v>0</v>
      </c>
    </row>
    <row r="61" spans="1:39" ht="15.6">
      <c r="A61" s="23">
        <v>63</v>
      </c>
      <c r="B61" s="8" t="s">
        <v>131</v>
      </c>
      <c r="C61" s="39" t="s">
        <v>132</v>
      </c>
      <c r="D61" s="73">
        <v>0</v>
      </c>
      <c r="E61" s="44"/>
      <c r="F61" s="50"/>
      <c r="G61" s="46"/>
      <c r="H61" s="50"/>
      <c r="I61" s="46">
        <v>2</v>
      </c>
      <c r="J61" s="50"/>
      <c r="K61" s="46">
        <v>0</v>
      </c>
      <c r="L61" s="50"/>
      <c r="M61" s="46"/>
      <c r="N61" s="61">
        <v>2</v>
      </c>
      <c r="O61" s="57"/>
      <c r="P61" s="50"/>
      <c r="Q61" s="46"/>
      <c r="R61" s="50"/>
      <c r="S61" s="46"/>
      <c r="T61" s="50"/>
      <c r="U61" s="46">
        <v>0</v>
      </c>
      <c r="V61" s="80">
        <v>0</v>
      </c>
      <c r="W61" s="26">
        <f t="shared" si="7"/>
        <v>2</v>
      </c>
      <c r="X61" s="49">
        <f t="shared" si="8"/>
        <v>2</v>
      </c>
      <c r="Y61" s="68">
        <f t="shared" si="9"/>
        <v>0</v>
      </c>
      <c r="Z61" s="87">
        <f t="shared" si="13"/>
        <v>0</v>
      </c>
      <c r="AA61" s="85">
        <f t="shared" si="14"/>
        <v>0</v>
      </c>
      <c r="AB61" s="28"/>
      <c r="AC61" s="90">
        <v>0</v>
      </c>
      <c r="AD61" s="90">
        <v>0</v>
      </c>
      <c r="AE61" s="90">
        <v>0</v>
      </c>
      <c r="AF61" s="90">
        <f t="shared" si="15"/>
        <v>0</v>
      </c>
      <c r="AG61" s="90">
        <f t="shared" si="16"/>
        <v>0</v>
      </c>
      <c r="AH61" s="91">
        <v>543.75</v>
      </c>
      <c r="AI61" s="91">
        <f t="shared" si="11"/>
        <v>0</v>
      </c>
      <c r="AJ61" s="92"/>
      <c r="AK61" s="92">
        <f t="shared" si="10"/>
        <v>0</v>
      </c>
      <c r="AL61" s="92"/>
      <c r="AM61" s="110">
        <f t="shared" si="12"/>
        <v>0</v>
      </c>
    </row>
    <row r="62" spans="1:39" ht="15.6">
      <c r="A62" s="3">
        <v>64</v>
      </c>
      <c r="B62" s="8" t="s">
        <v>133</v>
      </c>
      <c r="C62" s="39" t="s">
        <v>134</v>
      </c>
      <c r="D62" s="73">
        <v>0</v>
      </c>
      <c r="E62" s="44"/>
      <c r="F62" s="50"/>
      <c r="G62" s="46"/>
      <c r="H62" s="50"/>
      <c r="I62" s="46">
        <v>2</v>
      </c>
      <c r="J62" s="50"/>
      <c r="K62" s="46">
        <v>0</v>
      </c>
      <c r="L62" s="50"/>
      <c r="M62" s="46"/>
      <c r="N62" s="61">
        <v>2</v>
      </c>
      <c r="O62" s="57"/>
      <c r="P62" s="50"/>
      <c r="Q62" s="46"/>
      <c r="R62" s="50"/>
      <c r="S62" s="46"/>
      <c r="T62" s="50"/>
      <c r="U62" s="46">
        <v>0</v>
      </c>
      <c r="V62" s="80">
        <v>0</v>
      </c>
      <c r="W62" s="26">
        <f t="shared" si="7"/>
        <v>2</v>
      </c>
      <c r="X62" s="49">
        <f t="shared" si="8"/>
        <v>2</v>
      </c>
      <c r="Y62" s="68">
        <f t="shared" si="9"/>
        <v>0</v>
      </c>
      <c r="Z62" s="87">
        <f t="shared" si="13"/>
        <v>0</v>
      </c>
      <c r="AA62" s="85">
        <f t="shared" si="14"/>
        <v>0</v>
      </c>
      <c r="AB62" s="28"/>
      <c r="AC62" s="90">
        <v>0</v>
      </c>
      <c r="AD62" s="90">
        <v>0</v>
      </c>
      <c r="AE62" s="90">
        <v>0</v>
      </c>
      <c r="AF62" s="90">
        <f t="shared" si="15"/>
        <v>0</v>
      </c>
      <c r="AG62" s="90">
        <f t="shared" si="16"/>
        <v>0</v>
      </c>
      <c r="AH62" s="91">
        <v>1500</v>
      </c>
      <c r="AI62" s="91">
        <f t="shared" si="11"/>
        <v>0</v>
      </c>
      <c r="AJ62" s="92"/>
      <c r="AK62" s="92">
        <f t="shared" si="10"/>
        <v>0</v>
      </c>
      <c r="AL62" s="92"/>
      <c r="AM62" s="110">
        <f t="shared" si="12"/>
        <v>0</v>
      </c>
    </row>
    <row r="63" spans="1:39" ht="15.6">
      <c r="A63" s="23">
        <v>65</v>
      </c>
      <c r="B63" s="8" t="s">
        <v>135</v>
      </c>
      <c r="C63" s="39" t="s">
        <v>136</v>
      </c>
      <c r="D63" s="73">
        <v>0</v>
      </c>
      <c r="E63" s="44"/>
      <c r="F63" s="50"/>
      <c r="G63" s="46"/>
      <c r="H63" s="50"/>
      <c r="I63" s="46">
        <v>2</v>
      </c>
      <c r="J63" s="50"/>
      <c r="K63" s="46">
        <v>0</v>
      </c>
      <c r="L63" s="50"/>
      <c r="M63" s="46"/>
      <c r="N63" s="61">
        <v>2</v>
      </c>
      <c r="O63" s="57"/>
      <c r="P63" s="50"/>
      <c r="Q63" s="46"/>
      <c r="R63" s="50"/>
      <c r="S63" s="46"/>
      <c r="T63" s="50"/>
      <c r="U63" s="46">
        <v>0</v>
      </c>
      <c r="V63" s="80">
        <v>0</v>
      </c>
      <c r="W63" s="26">
        <f t="shared" si="7"/>
        <v>2</v>
      </c>
      <c r="X63" s="49">
        <f t="shared" si="8"/>
        <v>2</v>
      </c>
      <c r="Y63" s="68">
        <f t="shared" si="9"/>
        <v>0</v>
      </c>
      <c r="Z63" s="87">
        <f t="shared" si="13"/>
        <v>0</v>
      </c>
      <c r="AA63" s="85">
        <f t="shared" si="14"/>
        <v>0</v>
      </c>
      <c r="AB63" s="28"/>
      <c r="AC63" s="90">
        <v>0</v>
      </c>
      <c r="AD63" s="90">
        <v>0</v>
      </c>
      <c r="AE63" s="90">
        <v>0</v>
      </c>
      <c r="AF63" s="90">
        <f t="shared" si="15"/>
        <v>0</v>
      </c>
      <c r="AG63" s="90">
        <f t="shared" si="16"/>
        <v>0</v>
      </c>
      <c r="AH63" s="91">
        <v>4950</v>
      </c>
      <c r="AI63" s="91">
        <f t="shared" si="11"/>
        <v>0</v>
      </c>
      <c r="AJ63" s="92"/>
      <c r="AK63" s="92">
        <f t="shared" si="10"/>
        <v>0</v>
      </c>
      <c r="AL63" s="92"/>
      <c r="AM63" s="110">
        <f t="shared" si="12"/>
        <v>0</v>
      </c>
    </row>
    <row r="64" spans="1:39" ht="15.6">
      <c r="A64" s="3">
        <v>66</v>
      </c>
      <c r="B64" s="8" t="s">
        <v>137</v>
      </c>
      <c r="C64" s="39" t="s">
        <v>138</v>
      </c>
      <c r="D64" s="73">
        <v>0</v>
      </c>
      <c r="E64" s="44"/>
      <c r="F64" s="50"/>
      <c r="G64" s="46"/>
      <c r="H64" s="50"/>
      <c r="I64" s="46">
        <v>2</v>
      </c>
      <c r="J64" s="50"/>
      <c r="K64" s="46">
        <v>0</v>
      </c>
      <c r="L64" s="50"/>
      <c r="M64" s="46"/>
      <c r="N64" s="61">
        <v>2</v>
      </c>
      <c r="O64" s="57"/>
      <c r="P64" s="50"/>
      <c r="Q64" s="46"/>
      <c r="R64" s="50"/>
      <c r="S64" s="46"/>
      <c r="T64" s="50"/>
      <c r="U64" s="46">
        <v>0</v>
      </c>
      <c r="V64" s="80">
        <v>0</v>
      </c>
      <c r="W64" s="26">
        <f t="shared" si="7"/>
        <v>2</v>
      </c>
      <c r="X64" s="49">
        <f t="shared" si="8"/>
        <v>2</v>
      </c>
      <c r="Y64" s="68">
        <f t="shared" si="9"/>
        <v>0</v>
      </c>
      <c r="Z64" s="87">
        <f t="shared" si="13"/>
        <v>0</v>
      </c>
      <c r="AA64" s="85">
        <f t="shared" si="14"/>
        <v>0</v>
      </c>
      <c r="AB64" s="28"/>
      <c r="AC64" s="90">
        <v>0</v>
      </c>
      <c r="AD64" s="90">
        <v>0</v>
      </c>
      <c r="AE64" s="90">
        <v>0</v>
      </c>
      <c r="AF64" s="90">
        <f t="shared" si="15"/>
        <v>0</v>
      </c>
      <c r="AG64" s="90">
        <f t="shared" si="16"/>
        <v>0</v>
      </c>
      <c r="AH64" s="91">
        <v>4068.75</v>
      </c>
      <c r="AI64" s="91">
        <f t="shared" si="11"/>
        <v>0</v>
      </c>
      <c r="AJ64" s="92"/>
      <c r="AK64" s="92">
        <f t="shared" si="10"/>
        <v>0</v>
      </c>
      <c r="AL64" s="92"/>
      <c r="AM64" s="110">
        <f t="shared" si="12"/>
        <v>0</v>
      </c>
    </row>
    <row r="65" spans="1:39" ht="15.6">
      <c r="A65" s="23">
        <v>67</v>
      </c>
      <c r="B65" s="8" t="s">
        <v>139</v>
      </c>
      <c r="C65" s="39" t="s">
        <v>140</v>
      </c>
      <c r="D65" s="73">
        <v>0</v>
      </c>
      <c r="E65" s="44"/>
      <c r="F65" s="50"/>
      <c r="G65" s="46"/>
      <c r="H65" s="50"/>
      <c r="I65" s="46">
        <v>2</v>
      </c>
      <c r="J65" s="50"/>
      <c r="K65" s="46">
        <v>0</v>
      </c>
      <c r="L65" s="50"/>
      <c r="M65" s="46"/>
      <c r="N65" s="61">
        <v>2</v>
      </c>
      <c r="O65" s="57"/>
      <c r="P65" s="50"/>
      <c r="Q65" s="46"/>
      <c r="R65" s="50"/>
      <c r="S65" s="46"/>
      <c r="T65" s="50"/>
      <c r="U65" s="46">
        <v>0</v>
      </c>
      <c r="V65" s="80">
        <v>0</v>
      </c>
      <c r="W65" s="26">
        <f t="shared" si="7"/>
        <v>2</v>
      </c>
      <c r="X65" s="49">
        <f t="shared" si="8"/>
        <v>2</v>
      </c>
      <c r="Y65" s="68">
        <f t="shared" si="9"/>
        <v>0</v>
      </c>
      <c r="Z65" s="87">
        <f t="shared" si="13"/>
        <v>0</v>
      </c>
      <c r="AA65" s="85">
        <f t="shared" si="14"/>
        <v>0</v>
      </c>
      <c r="AB65" s="28"/>
      <c r="AC65" s="90">
        <v>0</v>
      </c>
      <c r="AD65" s="90">
        <v>0</v>
      </c>
      <c r="AE65" s="90">
        <v>0</v>
      </c>
      <c r="AF65" s="90">
        <f t="shared" si="15"/>
        <v>0</v>
      </c>
      <c r="AG65" s="90">
        <f t="shared" si="16"/>
        <v>0</v>
      </c>
      <c r="AH65" s="91">
        <v>273.75</v>
      </c>
      <c r="AI65" s="91">
        <f t="shared" si="11"/>
        <v>0</v>
      </c>
      <c r="AJ65" s="92"/>
      <c r="AK65" s="92">
        <f t="shared" si="10"/>
        <v>0</v>
      </c>
      <c r="AL65" s="92"/>
      <c r="AM65" s="110">
        <f t="shared" si="12"/>
        <v>0</v>
      </c>
    </row>
    <row r="66" spans="1:39" ht="15.6">
      <c r="A66" s="3">
        <v>68</v>
      </c>
      <c r="B66" s="8" t="s">
        <v>141</v>
      </c>
      <c r="C66" s="39" t="s">
        <v>142</v>
      </c>
      <c r="D66" s="73">
        <v>0</v>
      </c>
      <c r="E66" s="44"/>
      <c r="F66" s="50"/>
      <c r="G66" s="46"/>
      <c r="H66" s="50"/>
      <c r="I66" s="46">
        <v>2</v>
      </c>
      <c r="J66" s="50"/>
      <c r="K66" s="46">
        <v>0</v>
      </c>
      <c r="L66" s="50"/>
      <c r="M66" s="46"/>
      <c r="N66" s="61">
        <v>2</v>
      </c>
      <c r="O66" s="57"/>
      <c r="P66" s="50"/>
      <c r="Q66" s="46"/>
      <c r="R66" s="50"/>
      <c r="S66" s="46"/>
      <c r="T66" s="50"/>
      <c r="U66" s="46">
        <v>0</v>
      </c>
      <c r="V66" s="80">
        <v>0</v>
      </c>
      <c r="W66" s="26">
        <f t="shared" si="7"/>
        <v>2</v>
      </c>
      <c r="X66" s="49">
        <f t="shared" si="8"/>
        <v>2</v>
      </c>
      <c r="Y66" s="68">
        <f t="shared" si="9"/>
        <v>0</v>
      </c>
      <c r="Z66" s="87">
        <f t="shared" ref="Z66:Z97" si="17">SUM(Y66-S66-U66)</f>
        <v>0</v>
      </c>
      <c r="AA66" s="85">
        <f t="shared" ref="AA66:AA97" si="18">SUM(S66+U66)</f>
        <v>0</v>
      </c>
      <c r="AB66" s="28"/>
      <c r="AC66" s="90">
        <v>0</v>
      </c>
      <c r="AD66" s="90">
        <v>0</v>
      </c>
      <c r="AE66" s="90">
        <v>0</v>
      </c>
      <c r="AF66" s="90">
        <f t="shared" ref="AF66:AF97" si="19">AC66+AD66+AE66</f>
        <v>0</v>
      </c>
      <c r="AG66" s="90">
        <f t="shared" si="16"/>
        <v>0</v>
      </c>
      <c r="AH66" s="91">
        <v>817.5</v>
      </c>
      <c r="AI66" s="91">
        <f t="shared" si="11"/>
        <v>0</v>
      </c>
      <c r="AJ66" s="92"/>
      <c r="AK66" s="92">
        <f t="shared" si="10"/>
        <v>0</v>
      </c>
      <c r="AL66" s="92"/>
      <c r="AM66" s="110">
        <f t="shared" si="12"/>
        <v>0</v>
      </c>
    </row>
    <row r="67" spans="1:39" ht="15.6">
      <c r="A67" s="23">
        <v>69</v>
      </c>
      <c r="B67" s="8" t="s">
        <v>143</v>
      </c>
      <c r="C67" s="39" t="s">
        <v>144</v>
      </c>
      <c r="D67" s="73">
        <v>0</v>
      </c>
      <c r="E67" s="44"/>
      <c r="F67" s="50"/>
      <c r="G67" s="46"/>
      <c r="H67" s="50"/>
      <c r="I67" s="46">
        <v>2</v>
      </c>
      <c r="J67" s="50"/>
      <c r="K67" s="46">
        <v>0</v>
      </c>
      <c r="L67" s="50"/>
      <c r="M67" s="46"/>
      <c r="N67" s="61">
        <v>2</v>
      </c>
      <c r="O67" s="57"/>
      <c r="P67" s="50"/>
      <c r="Q67" s="46"/>
      <c r="R67" s="50"/>
      <c r="S67" s="46"/>
      <c r="T67" s="50"/>
      <c r="U67" s="46">
        <v>0</v>
      </c>
      <c r="V67" s="80">
        <v>0</v>
      </c>
      <c r="W67" s="26">
        <f t="shared" ref="W67:W130" si="20">SUM(D67,E67,G67,I67,K67,M67,O67,Q67,S67,U67)</f>
        <v>2</v>
      </c>
      <c r="X67" s="49">
        <f t="shared" ref="X67:X130" si="21">SUM(F67,H67,J67,L67,N67,P67,R67,T67,V67)</f>
        <v>2</v>
      </c>
      <c r="Y67" s="68">
        <f t="shared" ref="Y67:Y120" si="22">SUM(W67-X67)</f>
        <v>0</v>
      </c>
      <c r="Z67" s="87">
        <f t="shared" si="17"/>
        <v>0</v>
      </c>
      <c r="AA67" s="85">
        <f t="shared" si="18"/>
        <v>0</v>
      </c>
      <c r="AB67" s="28"/>
      <c r="AC67" s="90">
        <v>0</v>
      </c>
      <c r="AD67" s="90">
        <v>0</v>
      </c>
      <c r="AE67" s="90">
        <v>0</v>
      </c>
      <c r="AF67" s="90">
        <f t="shared" si="19"/>
        <v>0</v>
      </c>
      <c r="AG67" s="90">
        <f t="shared" si="16"/>
        <v>0</v>
      </c>
      <c r="AH67" s="91">
        <v>1132.5</v>
      </c>
      <c r="AI67" s="91">
        <f t="shared" si="11"/>
        <v>0</v>
      </c>
      <c r="AJ67" s="92"/>
      <c r="AK67" s="92">
        <f t="shared" si="10"/>
        <v>0</v>
      </c>
      <c r="AL67" s="92"/>
      <c r="AM67" s="110">
        <f t="shared" si="12"/>
        <v>0</v>
      </c>
    </row>
    <row r="68" spans="1:39" ht="15.6">
      <c r="A68" s="3">
        <v>70</v>
      </c>
      <c r="B68" s="8" t="s">
        <v>145</v>
      </c>
      <c r="C68" s="39" t="s">
        <v>146</v>
      </c>
      <c r="D68" s="73">
        <v>0</v>
      </c>
      <c r="E68" s="44"/>
      <c r="F68" s="50"/>
      <c r="G68" s="46"/>
      <c r="H68" s="50"/>
      <c r="I68" s="46">
        <v>2</v>
      </c>
      <c r="J68" s="50"/>
      <c r="K68" s="46">
        <v>0</v>
      </c>
      <c r="L68" s="50"/>
      <c r="M68" s="46"/>
      <c r="N68" s="61">
        <v>2</v>
      </c>
      <c r="O68" s="57"/>
      <c r="P68" s="50"/>
      <c r="Q68" s="46"/>
      <c r="R68" s="50"/>
      <c r="S68" s="46"/>
      <c r="T68" s="50"/>
      <c r="U68" s="46">
        <v>0</v>
      </c>
      <c r="V68" s="80">
        <v>0</v>
      </c>
      <c r="W68" s="26">
        <f t="shared" si="20"/>
        <v>2</v>
      </c>
      <c r="X68" s="49">
        <f t="shared" si="21"/>
        <v>2</v>
      </c>
      <c r="Y68" s="68">
        <f t="shared" si="22"/>
        <v>0</v>
      </c>
      <c r="Z68" s="87">
        <f t="shared" si="17"/>
        <v>0</v>
      </c>
      <c r="AA68" s="85">
        <f t="shared" si="18"/>
        <v>0</v>
      </c>
      <c r="AB68" s="28"/>
      <c r="AC68" s="90">
        <v>0</v>
      </c>
      <c r="AD68" s="90">
        <v>0</v>
      </c>
      <c r="AE68" s="90">
        <v>0</v>
      </c>
      <c r="AF68" s="90">
        <f t="shared" si="19"/>
        <v>0</v>
      </c>
      <c r="AG68" s="90">
        <f t="shared" si="16"/>
        <v>0</v>
      </c>
      <c r="AH68" s="91">
        <v>371.25</v>
      </c>
      <c r="AI68" s="91">
        <f t="shared" si="11"/>
        <v>0</v>
      </c>
      <c r="AJ68" s="92"/>
      <c r="AK68" s="92">
        <f t="shared" si="10"/>
        <v>0</v>
      </c>
      <c r="AL68" s="92"/>
      <c r="AM68" s="110">
        <f t="shared" si="12"/>
        <v>0</v>
      </c>
    </row>
    <row r="69" spans="1:39" ht="15.6">
      <c r="A69" s="23">
        <v>71</v>
      </c>
      <c r="B69" s="8" t="s">
        <v>147</v>
      </c>
      <c r="C69" s="39" t="s">
        <v>148</v>
      </c>
      <c r="D69" s="73">
        <v>0</v>
      </c>
      <c r="E69" s="44"/>
      <c r="F69" s="50"/>
      <c r="G69" s="46"/>
      <c r="H69" s="50"/>
      <c r="I69" s="46">
        <v>2</v>
      </c>
      <c r="J69" s="50"/>
      <c r="K69" s="46">
        <v>0</v>
      </c>
      <c r="L69" s="50">
        <v>2</v>
      </c>
      <c r="M69" s="46"/>
      <c r="N69" s="61"/>
      <c r="O69" s="57"/>
      <c r="P69" s="50"/>
      <c r="Q69" s="46"/>
      <c r="R69" s="50"/>
      <c r="S69" s="46"/>
      <c r="T69" s="50"/>
      <c r="U69" s="46">
        <v>0</v>
      </c>
      <c r="V69" s="80">
        <v>0</v>
      </c>
      <c r="W69" s="26">
        <f t="shared" si="20"/>
        <v>2</v>
      </c>
      <c r="X69" s="49">
        <f t="shared" si="21"/>
        <v>2</v>
      </c>
      <c r="Y69" s="71">
        <f t="shared" si="22"/>
        <v>0</v>
      </c>
      <c r="Z69" s="87">
        <f t="shared" si="17"/>
        <v>0</v>
      </c>
      <c r="AA69" s="85">
        <f t="shared" si="18"/>
        <v>0</v>
      </c>
      <c r="AB69" s="28"/>
      <c r="AC69" s="90">
        <v>0</v>
      </c>
      <c r="AD69" s="90">
        <v>0</v>
      </c>
      <c r="AE69" s="90">
        <v>0</v>
      </c>
      <c r="AF69" s="90">
        <f t="shared" si="19"/>
        <v>0</v>
      </c>
      <c r="AG69" s="90">
        <f t="shared" si="16"/>
        <v>0</v>
      </c>
      <c r="AH69" s="91">
        <v>690</v>
      </c>
      <c r="AI69" s="91">
        <f t="shared" si="11"/>
        <v>0</v>
      </c>
      <c r="AJ69" s="92"/>
      <c r="AK69" s="92">
        <f t="shared" si="10"/>
        <v>0</v>
      </c>
      <c r="AL69" s="92"/>
      <c r="AM69" s="110">
        <f t="shared" si="12"/>
        <v>0</v>
      </c>
    </row>
    <row r="70" spans="1:39" ht="15.6">
      <c r="A70" s="3">
        <v>72</v>
      </c>
      <c r="B70" s="8" t="s">
        <v>149</v>
      </c>
      <c r="C70" s="39" t="s">
        <v>150</v>
      </c>
      <c r="D70" s="73">
        <v>0</v>
      </c>
      <c r="E70" s="44"/>
      <c r="F70" s="50"/>
      <c r="G70" s="46"/>
      <c r="H70" s="50"/>
      <c r="I70" s="46">
        <v>2</v>
      </c>
      <c r="J70" s="50"/>
      <c r="K70" s="46"/>
      <c r="L70" s="50">
        <v>2</v>
      </c>
      <c r="M70" s="46"/>
      <c r="N70" s="61"/>
      <c r="O70" s="57"/>
      <c r="P70" s="50"/>
      <c r="Q70" s="46"/>
      <c r="R70" s="50"/>
      <c r="S70" s="46"/>
      <c r="T70" s="50"/>
      <c r="U70" s="46">
        <v>0</v>
      </c>
      <c r="V70" s="80">
        <v>0</v>
      </c>
      <c r="W70" s="26">
        <f t="shared" si="20"/>
        <v>2</v>
      </c>
      <c r="X70" s="49">
        <f t="shared" si="21"/>
        <v>2</v>
      </c>
      <c r="Y70" s="71">
        <f t="shared" si="22"/>
        <v>0</v>
      </c>
      <c r="Z70" s="87">
        <f t="shared" si="17"/>
        <v>0</v>
      </c>
      <c r="AA70" s="85">
        <f t="shared" si="18"/>
        <v>0</v>
      </c>
      <c r="AB70" s="28"/>
      <c r="AC70" s="90">
        <v>0</v>
      </c>
      <c r="AD70" s="90">
        <v>0</v>
      </c>
      <c r="AE70" s="90">
        <v>0</v>
      </c>
      <c r="AF70" s="90">
        <f t="shared" si="19"/>
        <v>0</v>
      </c>
      <c r="AG70" s="90">
        <f t="shared" si="16"/>
        <v>0</v>
      </c>
      <c r="AH70" s="91">
        <v>663.75</v>
      </c>
      <c r="AI70" s="91">
        <f t="shared" si="11"/>
        <v>0</v>
      </c>
      <c r="AJ70" s="92"/>
      <c r="AK70" s="92">
        <f t="shared" si="10"/>
        <v>0</v>
      </c>
      <c r="AL70" s="92"/>
      <c r="AM70" s="110">
        <f t="shared" si="12"/>
        <v>0</v>
      </c>
    </row>
    <row r="71" spans="1:39" ht="15.6">
      <c r="A71" s="23">
        <v>73</v>
      </c>
      <c r="B71" s="8" t="s">
        <v>151</v>
      </c>
      <c r="C71" s="39" t="s">
        <v>152</v>
      </c>
      <c r="D71" s="73">
        <v>0</v>
      </c>
      <c r="E71" s="44"/>
      <c r="F71" s="50"/>
      <c r="G71" s="46"/>
      <c r="H71" s="50"/>
      <c r="I71" s="46"/>
      <c r="J71" s="50"/>
      <c r="K71" s="46">
        <v>1</v>
      </c>
      <c r="L71" s="50">
        <v>1</v>
      </c>
      <c r="M71" s="46"/>
      <c r="N71" s="61"/>
      <c r="O71" s="57"/>
      <c r="P71" s="50"/>
      <c r="Q71" s="46"/>
      <c r="R71" s="50"/>
      <c r="S71" s="46"/>
      <c r="T71" s="50"/>
      <c r="U71" s="46">
        <v>0</v>
      </c>
      <c r="V71" s="80">
        <v>0</v>
      </c>
      <c r="W71" s="26">
        <f t="shared" si="20"/>
        <v>1</v>
      </c>
      <c r="X71" s="49">
        <f t="shared" si="21"/>
        <v>1</v>
      </c>
      <c r="Y71" s="71">
        <f t="shared" si="22"/>
        <v>0</v>
      </c>
      <c r="Z71" s="87">
        <f t="shared" si="17"/>
        <v>0</v>
      </c>
      <c r="AA71" s="85">
        <f t="shared" si="18"/>
        <v>0</v>
      </c>
      <c r="AB71" s="28"/>
      <c r="AC71" s="90">
        <v>0</v>
      </c>
      <c r="AD71" s="90">
        <v>0</v>
      </c>
      <c r="AE71" s="90">
        <v>0</v>
      </c>
      <c r="AF71" s="90">
        <f t="shared" si="19"/>
        <v>0</v>
      </c>
      <c r="AG71" s="90">
        <f t="shared" si="16"/>
        <v>0</v>
      </c>
      <c r="AH71" s="91">
        <v>1106.25</v>
      </c>
      <c r="AI71" s="91">
        <f t="shared" si="11"/>
        <v>0</v>
      </c>
      <c r="AJ71" s="92"/>
      <c r="AK71" s="92">
        <f t="shared" si="10"/>
        <v>0</v>
      </c>
      <c r="AL71" s="92"/>
      <c r="AM71" s="110">
        <f t="shared" si="12"/>
        <v>0</v>
      </c>
    </row>
    <row r="72" spans="1:39" ht="15.6">
      <c r="A72" s="3">
        <v>74</v>
      </c>
      <c r="B72" s="8" t="s">
        <v>153</v>
      </c>
      <c r="C72" s="39" t="s">
        <v>154</v>
      </c>
      <c r="D72" s="73">
        <v>0</v>
      </c>
      <c r="E72" s="44"/>
      <c r="F72" s="50"/>
      <c r="G72" s="46"/>
      <c r="H72" s="50"/>
      <c r="I72" s="46"/>
      <c r="J72" s="50"/>
      <c r="K72" s="46">
        <v>1</v>
      </c>
      <c r="L72" s="50">
        <v>1</v>
      </c>
      <c r="M72" s="46"/>
      <c r="N72" s="61"/>
      <c r="O72" s="57"/>
      <c r="P72" s="50"/>
      <c r="Q72" s="46"/>
      <c r="R72" s="50"/>
      <c r="S72" s="46"/>
      <c r="T72" s="50"/>
      <c r="U72" s="46">
        <v>0</v>
      </c>
      <c r="V72" s="80">
        <v>0</v>
      </c>
      <c r="W72" s="26">
        <f t="shared" si="20"/>
        <v>1</v>
      </c>
      <c r="X72" s="49">
        <f t="shared" si="21"/>
        <v>1</v>
      </c>
      <c r="Y72" s="71">
        <f t="shared" si="22"/>
        <v>0</v>
      </c>
      <c r="Z72" s="87">
        <f t="shared" si="17"/>
        <v>0</v>
      </c>
      <c r="AA72" s="85">
        <f t="shared" si="18"/>
        <v>0</v>
      </c>
      <c r="AB72" s="28"/>
      <c r="AC72" s="90">
        <v>0</v>
      </c>
      <c r="AD72" s="90">
        <v>0</v>
      </c>
      <c r="AE72" s="90">
        <v>0</v>
      </c>
      <c r="AF72" s="90">
        <f t="shared" si="19"/>
        <v>0</v>
      </c>
      <c r="AG72" s="90">
        <f t="shared" si="16"/>
        <v>0</v>
      </c>
      <c r="AH72" s="91">
        <v>1215</v>
      </c>
      <c r="AI72" s="91">
        <f t="shared" si="11"/>
        <v>0</v>
      </c>
      <c r="AJ72" s="92"/>
      <c r="AK72" s="92">
        <f t="shared" si="10"/>
        <v>0</v>
      </c>
      <c r="AL72" s="92"/>
      <c r="AM72" s="110">
        <f t="shared" si="12"/>
        <v>0</v>
      </c>
    </row>
    <row r="73" spans="1:39" ht="15.6">
      <c r="A73" s="23">
        <v>79</v>
      </c>
      <c r="B73" s="8" t="s">
        <v>155</v>
      </c>
      <c r="C73" s="10" t="s">
        <v>156</v>
      </c>
      <c r="D73" s="74">
        <v>0</v>
      </c>
      <c r="E73" s="44"/>
      <c r="F73" s="50"/>
      <c r="G73" s="46">
        <v>4</v>
      </c>
      <c r="H73" s="50">
        <v>4</v>
      </c>
      <c r="I73" s="46">
        <v>4</v>
      </c>
      <c r="J73" s="50">
        <v>4</v>
      </c>
      <c r="K73" s="46"/>
      <c r="L73" s="50"/>
      <c r="M73" s="46"/>
      <c r="N73" s="61"/>
      <c r="O73" s="57"/>
      <c r="P73" s="50"/>
      <c r="Q73" s="46"/>
      <c r="R73" s="50"/>
      <c r="S73" s="46"/>
      <c r="T73" s="50"/>
      <c r="U73" s="46">
        <v>0</v>
      </c>
      <c r="V73" s="80">
        <v>0</v>
      </c>
      <c r="W73" s="26">
        <f t="shared" si="20"/>
        <v>8</v>
      </c>
      <c r="X73" s="49">
        <f t="shared" si="21"/>
        <v>8</v>
      </c>
      <c r="Y73" s="71">
        <f t="shared" si="22"/>
        <v>0</v>
      </c>
      <c r="Z73" s="87">
        <f t="shared" si="17"/>
        <v>0</v>
      </c>
      <c r="AA73" s="85">
        <f t="shared" si="18"/>
        <v>0</v>
      </c>
      <c r="AB73" s="28"/>
      <c r="AC73" s="90">
        <v>0</v>
      </c>
      <c r="AD73" s="90">
        <v>0</v>
      </c>
      <c r="AE73" s="90">
        <v>0</v>
      </c>
      <c r="AF73" s="90">
        <f t="shared" si="19"/>
        <v>0</v>
      </c>
      <c r="AG73" s="90">
        <f t="shared" si="16"/>
        <v>0</v>
      </c>
      <c r="AH73" s="91">
        <v>1098.75</v>
      </c>
      <c r="AI73" s="91">
        <f t="shared" si="11"/>
        <v>0</v>
      </c>
      <c r="AJ73" s="92"/>
      <c r="AK73" s="92">
        <f t="shared" si="10"/>
        <v>0</v>
      </c>
      <c r="AL73" s="92"/>
      <c r="AM73" s="110">
        <f t="shared" si="12"/>
        <v>0</v>
      </c>
    </row>
    <row r="74" spans="1:39" s="106" customFormat="1" ht="15.6">
      <c r="A74" s="23">
        <v>80</v>
      </c>
      <c r="B74" s="1"/>
      <c r="C74" s="10" t="s">
        <v>220</v>
      </c>
      <c r="D74" s="96">
        <v>0</v>
      </c>
      <c r="E74" s="97"/>
      <c r="F74" s="98"/>
      <c r="G74" s="99">
        <v>1</v>
      </c>
      <c r="H74" s="98">
        <v>1</v>
      </c>
      <c r="I74" s="99"/>
      <c r="J74" s="98"/>
      <c r="K74" s="99"/>
      <c r="L74" s="98"/>
      <c r="M74" s="99"/>
      <c r="N74" s="100"/>
      <c r="O74" s="101"/>
      <c r="P74" s="98"/>
      <c r="Q74" s="99"/>
      <c r="R74" s="98"/>
      <c r="S74" s="46"/>
      <c r="T74" s="98"/>
      <c r="U74" s="46">
        <v>0</v>
      </c>
      <c r="V74" s="102">
        <v>0</v>
      </c>
      <c r="W74" s="26">
        <f t="shared" si="20"/>
        <v>1</v>
      </c>
      <c r="X74" s="49">
        <f t="shared" si="21"/>
        <v>1</v>
      </c>
      <c r="Y74" s="71">
        <f t="shared" si="22"/>
        <v>0</v>
      </c>
      <c r="Z74" s="87">
        <f t="shared" si="17"/>
        <v>0</v>
      </c>
      <c r="AA74" s="85">
        <f t="shared" si="18"/>
        <v>0</v>
      </c>
      <c r="AB74" s="103"/>
      <c r="AC74" s="104">
        <v>0</v>
      </c>
      <c r="AD74" s="104">
        <v>0</v>
      </c>
      <c r="AE74" s="90">
        <v>0</v>
      </c>
      <c r="AF74" s="104">
        <f t="shared" si="19"/>
        <v>0</v>
      </c>
      <c r="AG74" s="90">
        <f t="shared" si="16"/>
        <v>0</v>
      </c>
      <c r="AH74" s="93">
        <v>1728.75</v>
      </c>
      <c r="AI74" s="93">
        <f t="shared" si="11"/>
        <v>0</v>
      </c>
      <c r="AJ74" s="105"/>
      <c r="AK74" s="105">
        <f t="shared" ref="AK74:AK129" si="23">AJ74*AD74</f>
        <v>0</v>
      </c>
      <c r="AL74" s="105"/>
      <c r="AM74" s="111">
        <f t="shared" si="12"/>
        <v>0</v>
      </c>
    </row>
    <row r="75" spans="1:39" ht="15.6">
      <c r="A75" s="23">
        <v>81</v>
      </c>
      <c r="B75" s="8" t="s">
        <v>157</v>
      </c>
      <c r="C75" s="10" t="s">
        <v>158</v>
      </c>
      <c r="D75" s="74">
        <v>0</v>
      </c>
      <c r="E75" s="44"/>
      <c r="F75" s="50"/>
      <c r="G75" s="46">
        <v>1</v>
      </c>
      <c r="H75" s="50">
        <v>1</v>
      </c>
      <c r="I75" s="46"/>
      <c r="J75" s="50"/>
      <c r="K75" s="46"/>
      <c r="L75" s="50"/>
      <c r="M75" s="46"/>
      <c r="N75" s="61"/>
      <c r="O75" s="57"/>
      <c r="P75" s="50"/>
      <c r="Q75" s="46"/>
      <c r="R75" s="50"/>
      <c r="S75" s="46"/>
      <c r="T75" s="50"/>
      <c r="U75" s="46">
        <v>0</v>
      </c>
      <c r="V75" s="80">
        <v>0</v>
      </c>
      <c r="W75" s="26">
        <f t="shared" si="20"/>
        <v>1</v>
      </c>
      <c r="X75" s="49">
        <f t="shared" si="21"/>
        <v>1</v>
      </c>
      <c r="Y75" s="68">
        <f t="shared" si="22"/>
        <v>0</v>
      </c>
      <c r="Z75" s="87">
        <f t="shared" si="17"/>
        <v>0</v>
      </c>
      <c r="AA75" s="85">
        <f t="shared" si="18"/>
        <v>0</v>
      </c>
      <c r="AB75" s="28"/>
      <c r="AC75" s="90">
        <v>0</v>
      </c>
      <c r="AD75" s="90">
        <v>0</v>
      </c>
      <c r="AE75" s="90">
        <v>0</v>
      </c>
      <c r="AF75" s="90">
        <f t="shared" si="19"/>
        <v>0</v>
      </c>
      <c r="AG75" s="90">
        <f t="shared" si="16"/>
        <v>0</v>
      </c>
      <c r="AH75" s="91">
        <v>1076.25</v>
      </c>
      <c r="AI75" s="91">
        <f t="shared" si="11"/>
        <v>0</v>
      </c>
      <c r="AJ75" s="92"/>
      <c r="AK75" s="92">
        <f t="shared" si="23"/>
        <v>0</v>
      </c>
      <c r="AL75" s="92"/>
      <c r="AM75" s="110">
        <f t="shared" si="12"/>
        <v>0</v>
      </c>
    </row>
    <row r="76" spans="1:39" ht="15.6">
      <c r="A76" s="3">
        <v>82</v>
      </c>
      <c r="B76" s="8" t="s">
        <v>159</v>
      </c>
      <c r="C76" s="10" t="s">
        <v>160</v>
      </c>
      <c r="D76" s="74">
        <v>0</v>
      </c>
      <c r="E76" s="44"/>
      <c r="F76" s="50"/>
      <c r="G76" s="46">
        <v>1</v>
      </c>
      <c r="H76" s="50">
        <v>1</v>
      </c>
      <c r="I76" s="46"/>
      <c r="J76" s="50"/>
      <c r="K76" s="46"/>
      <c r="L76" s="50"/>
      <c r="M76" s="46"/>
      <c r="N76" s="61"/>
      <c r="O76" s="57"/>
      <c r="P76" s="50"/>
      <c r="Q76" s="46"/>
      <c r="R76" s="50"/>
      <c r="S76" s="46">
        <v>1</v>
      </c>
      <c r="T76" s="50">
        <v>1</v>
      </c>
      <c r="U76" s="46">
        <v>0</v>
      </c>
      <c r="V76" s="80">
        <v>0</v>
      </c>
      <c r="W76" s="26">
        <f t="shared" si="20"/>
        <v>2</v>
      </c>
      <c r="X76" s="49">
        <f t="shared" si="21"/>
        <v>2</v>
      </c>
      <c r="Y76" s="68">
        <f t="shared" si="22"/>
        <v>0</v>
      </c>
      <c r="Z76" s="87">
        <f t="shared" si="17"/>
        <v>-1</v>
      </c>
      <c r="AA76" s="85">
        <f t="shared" si="18"/>
        <v>1</v>
      </c>
      <c r="AB76" s="28"/>
      <c r="AC76" s="90">
        <v>0</v>
      </c>
      <c r="AD76" s="90">
        <v>0</v>
      </c>
      <c r="AE76" s="90">
        <v>0</v>
      </c>
      <c r="AF76" s="90">
        <f t="shared" si="19"/>
        <v>0</v>
      </c>
      <c r="AG76" s="90">
        <f t="shared" si="16"/>
        <v>0</v>
      </c>
      <c r="AH76" s="91">
        <v>3161.25</v>
      </c>
      <c r="AI76" s="91">
        <f t="shared" ref="AI76:AI130" si="24">AC76*AH76</f>
        <v>0</v>
      </c>
      <c r="AJ76" s="93">
        <v>3161.25</v>
      </c>
      <c r="AK76" s="92">
        <f t="shared" si="23"/>
        <v>0</v>
      </c>
      <c r="AL76" s="92">
        <v>3161.25</v>
      </c>
      <c r="AM76" s="110">
        <f t="shared" si="12"/>
        <v>0</v>
      </c>
    </row>
    <row r="77" spans="1:39" ht="15.6">
      <c r="A77" s="23">
        <v>83</v>
      </c>
      <c r="B77" s="7" t="s">
        <v>161</v>
      </c>
      <c r="C77" s="10" t="s">
        <v>162</v>
      </c>
      <c r="D77" s="74">
        <v>0</v>
      </c>
      <c r="E77" s="44"/>
      <c r="F77" s="50"/>
      <c r="G77" s="46">
        <v>2</v>
      </c>
      <c r="H77" s="50">
        <v>2</v>
      </c>
      <c r="I77" s="46"/>
      <c r="J77" s="50"/>
      <c r="K77" s="46"/>
      <c r="L77" s="50"/>
      <c r="M77" s="46"/>
      <c r="N77" s="61"/>
      <c r="O77" s="57"/>
      <c r="P77" s="50"/>
      <c r="Q77" s="46"/>
      <c r="R77" s="50"/>
      <c r="S77" s="46"/>
      <c r="T77" s="50"/>
      <c r="U77" s="46">
        <v>0</v>
      </c>
      <c r="V77" s="80">
        <v>0</v>
      </c>
      <c r="W77" s="26">
        <f t="shared" si="20"/>
        <v>2</v>
      </c>
      <c r="X77" s="49">
        <f t="shared" si="21"/>
        <v>2</v>
      </c>
      <c r="Y77" s="68">
        <f t="shared" si="22"/>
        <v>0</v>
      </c>
      <c r="Z77" s="87">
        <f t="shared" si="17"/>
        <v>0</v>
      </c>
      <c r="AA77" s="85">
        <f t="shared" si="18"/>
        <v>0</v>
      </c>
      <c r="AB77" s="28"/>
      <c r="AC77" s="90">
        <v>0</v>
      </c>
      <c r="AD77" s="90">
        <v>0</v>
      </c>
      <c r="AE77" s="90">
        <v>0</v>
      </c>
      <c r="AF77" s="90">
        <f t="shared" si="19"/>
        <v>0</v>
      </c>
      <c r="AG77" s="90">
        <f t="shared" si="16"/>
        <v>0</v>
      </c>
      <c r="AH77" s="91">
        <v>311.25</v>
      </c>
      <c r="AI77" s="91">
        <f t="shared" si="24"/>
        <v>0</v>
      </c>
      <c r="AJ77" s="92"/>
      <c r="AK77" s="92">
        <f t="shared" si="23"/>
        <v>0</v>
      </c>
      <c r="AL77" s="92"/>
      <c r="AM77" s="110">
        <f t="shared" ref="AM77:AM130" si="25">AE77*AL77</f>
        <v>0</v>
      </c>
    </row>
    <row r="78" spans="1:39" ht="15.6">
      <c r="A78" s="3">
        <v>84</v>
      </c>
      <c r="B78" s="8" t="s">
        <v>163</v>
      </c>
      <c r="C78" s="10" t="s">
        <v>164</v>
      </c>
      <c r="D78" s="74">
        <v>0</v>
      </c>
      <c r="E78" s="44"/>
      <c r="F78" s="50"/>
      <c r="G78" s="46">
        <v>1</v>
      </c>
      <c r="H78" s="50">
        <v>1</v>
      </c>
      <c r="I78" s="46"/>
      <c r="J78" s="50"/>
      <c r="K78" s="46"/>
      <c r="L78" s="50"/>
      <c r="M78" s="46"/>
      <c r="N78" s="61"/>
      <c r="O78" s="57"/>
      <c r="P78" s="50"/>
      <c r="Q78" s="46"/>
      <c r="R78" s="50"/>
      <c r="S78" s="46"/>
      <c r="T78" s="50"/>
      <c r="U78" s="46">
        <v>0</v>
      </c>
      <c r="V78" s="80">
        <v>0</v>
      </c>
      <c r="W78" s="26">
        <f t="shared" si="20"/>
        <v>1</v>
      </c>
      <c r="X78" s="49">
        <f t="shared" si="21"/>
        <v>1</v>
      </c>
      <c r="Y78" s="68">
        <f t="shared" si="22"/>
        <v>0</v>
      </c>
      <c r="Z78" s="87">
        <f t="shared" si="17"/>
        <v>0</v>
      </c>
      <c r="AA78" s="85">
        <f t="shared" si="18"/>
        <v>0</v>
      </c>
      <c r="AB78" s="28"/>
      <c r="AC78" s="90">
        <v>0</v>
      </c>
      <c r="AD78" s="90">
        <v>0</v>
      </c>
      <c r="AE78" s="90">
        <v>0</v>
      </c>
      <c r="AF78" s="90">
        <f t="shared" si="19"/>
        <v>0</v>
      </c>
      <c r="AG78" s="90">
        <f t="shared" si="16"/>
        <v>0</v>
      </c>
      <c r="AH78" s="91">
        <v>363.75</v>
      </c>
      <c r="AI78" s="91">
        <f t="shared" si="24"/>
        <v>0</v>
      </c>
      <c r="AJ78" s="92"/>
      <c r="AK78" s="92">
        <f t="shared" si="23"/>
        <v>0</v>
      </c>
      <c r="AL78" s="92"/>
      <c r="AM78" s="110">
        <f t="shared" si="25"/>
        <v>0</v>
      </c>
    </row>
    <row r="79" spans="1:39" ht="15.6">
      <c r="A79" s="23">
        <v>85</v>
      </c>
      <c r="B79" s="8" t="s">
        <v>165</v>
      </c>
      <c r="C79" s="10" t="s">
        <v>166</v>
      </c>
      <c r="D79" s="74">
        <v>2</v>
      </c>
      <c r="E79" s="44"/>
      <c r="F79" s="50"/>
      <c r="G79" s="46"/>
      <c r="H79" s="50">
        <v>2</v>
      </c>
      <c r="I79" s="46"/>
      <c r="J79" s="50"/>
      <c r="K79" s="46"/>
      <c r="L79" s="50"/>
      <c r="M79" s="46"/>
      <c r="N79" s="61"/>
      <c r="O79" s="57"/>
      <c r="P79" s="50"/>
      <c r="Q79" s="46"/>
      <c r="R79" s="50"/>
      <c r="S79" s="46"/>
      <c r="T79" s="50"/>
      <c r="U79" s="46">
        <v>0</v>
      </c>
      <c r="V79" s="80">
        <v>0</v>
      </c>
      <c r="W79" s="26">
        <f t="shared" si="20"/>
        <v>2</v>
      </c>
      <c r="X79" s="49">
        <f t="shared" si="21"/>
        <v>2</v>
      </c>
      <c r="Y79" s="68">
        <f t="shared" si="22"/>
        <v>0</v>
      </c>
      <c r="Z79" s="87">
        <f t="shared" si="17"/>
        <v>0</v>
      </c>
      <c r="AA79" s="85">
        <f t="shared" si="18"/>
        <v>0</v>
      </c>
      <c r="AB79" s="28"/>
      <c r="AC79" s="90">
        <v>0</v>
      </c>
      <c r="AD79" s="90">
        <v>0</v>
      </c>
      <c r="AE79" s="90">
        <v>0</v>
      </c>
      <c r="AF79" s="90">
        <f t="shared" si="19"/>
        <v>0</v>
      </c>
      <c r="AG79" s="90">
        <f t="shared" si="16"/>
        <v>0</v>
      </c>
      <c r="AH79" s="91">
        <v>6614.06</v>
      </c>
      <c r="AI79" s="91">
        <f t="shared" si="24"/>
        <v>0</v>
      </c>
      <c r="AJ79" s="92"/>
      <c r="AK79" s="92">
        <f t="shared" si="23"/>
        <v>0</v>
      </c>
      <c r="AL79" s="92"/>
      <c r="AM79" s="110">
        <f t="shared" si="25"/>
        <v>0</v>
      </c>
    </row>
    <row r="80" spans="1:39" ht="15.6">
      <c r="A80" s="3">
        <v>86</v>
      </c>
      <c r="B80" s="8" t="s">
        <v>167</v>
      </c>
      <c r="C80" s="10" t="s">
        <v>168</v>
      </c>
      <c r="D80" s="74">
        <v>2</v>
      </c>
      <c r="E80" s="44"/>
      <c r="F80" s="50"/>
      <c r="G80" s="46"/>
      <c r="H80" s="50">
        <v>2</v>
      </c>
      <c r="I80" s="46"/>
      <c r="J80" s="50"/>
      <c r="K80" s="46"/>
      <c r="L80" s="50"/>
      <c r="M80" s="46"/>
      <c r="N80" s="61"/>
      <c r="O80" s="57"/>
      <c r="P80" s="50"/>
      <c r="Q80" s="46"/>
      <c r="R80" s="50"/>
      <c r="S80" s="46"/>
      <c r="T80" s="50"/>
      <c r="U80" s="46">
        <v>0</v>
      </c>
      <c r="V80" s="80">
        <v>0</v>
      </c>
      <c r="W80" s="26">
        <f t="shared" si="20"/>
        <v>2</v>
      </c>
      <c r="X80" s="49">
        <f t="shared" si="21"/>
        <v>2</v>
      </c>
      <c r="Y80" s="68">
        <f t="shared" si="22"/>
        <v>0</v>
      </c>
      <c r="Z80" s="87">
        <f t="shared" si="17"/>
        <v>0</v>
      </c>
      <c r="AA80" s="85">
        <f t="shared" si="18"/>
        <v>0</v>
      </c>
      <c r="AB80" s="28"/>
      <c r="AC80" s="90">
        <v>0</v>
      </c>
      <c r="AD80" s="90">
        <v>0</v>
      </c>
      <c r="AE80" s="90">
        <v>0</v>
      </c>
      <c r="AF80" s="90">
        <f t="shared" si="19"/>
        <v>0</v>
      </c>
      <c r="AG80" s="90">
        <f t="shared" si="16"/>
        <v>0</v>
      </c>
      <c r="AH80" s="91">
        <v>172.13</v>
      </c>
      <c r="AI80" s="91">
        <f t="shared" si="24"/>
        <v>0</v>
      </c>
      <c r="AJ80" s="92"/>
      <c r="AK80" s="92">
        <f t="shared" si="23"/>
        <v>0</v>
      </c>
      <c r="AL80" s="92"/>
      <c r="AM80" s="110">
        <f t="shared" si="25"/>
        <v>0</v>
      </c>
    </row>
    <row r="81" spans="1:39" ht="15.6">
      <c r="A81" s="23">
        <v>87</v>
      </c>
      <c r="B81" s="8" t="s">
        <v>169</v>
      </c>
      <c r="C81" s="10" t="s">
        <v>170</v>
      </c>
      <c r="D81" s="74">
        <v>2</v>
      </c>
      <c r="E81" s="44"/>
      <c r="F81" s="50"/>
      <c r="G81" s="46"/>
      <c r="H81" s="50">
        <v>2</v>
      </c>
      <c r="I81" s="46"/>
      <c r="J81" s="50"/>
      <c r="K81" s="46"/>
      <c r="L81" s="50"/>
      <c r="M81" s="46"/>
      <c r="N81" s="61"/>
      <c r="O81" s="57"/>
      <c r="P81" s="50"/>
      <c r="Q81" s="46"/>
      <c r="R81" s="50"/>
      <c r="S81" s="46"/>
      <c r="T81" s="50"/>
      <c r="U81" s="46">
        <v>0</v>
      </c>
      <c r="V81" s="80">
        <v>0</v>
      </c>
      <c r="W81" s="26">
        <f t="shared" si="20"/>
        <v>2</v>
      </c>
      <c r="X81" s="49">
        <f t="shared" si="21"/>
        <v>2</v>
      </c>
      <c r="Y81" s="68">
        <f t="shared" si="22"/>
        <v>0</v>
      </c>
      <c r="Z81" s="87">
        <f t="shared" si="17"/>
        <v>0</v>
      </c>
      <c r="AA81" s="85">
        <f t="shared" si="18"/>
        <v>0</v>
      </c>
      <c r="AB81" s="28"/>
      <c r="AC81" s="90">
        <v>0</v>
      </c>
      <c r="AD81" s="90">
        <v>0</v>
      </c>
      <c r="AE81" s="90">
        <v>0</v>
      </c>
      <c r="AF81" s="90">
        <f t="shared" si="19"/>
        <v>0</v>
      </c>
      <c r="AG81" s="90">
        <f t="shared" si="16"/>
        <v>0</v>
      </c>
      <c r="AH81" s="91">
        <v>290.06</v>
      </c>
      <c r="AI81" s="91">
        <f t="shared" si="24"/>
        <v>0</v>
      </c>
      <c r="AJ81" s="92"/>
      <c r="AK81" s="92">
        <f t="shared" si="23"/>
        <v>0</v>
      </c>
      <c r="AL81" s="92"/>
      <c r="AM81" s="110">
        <f t="shared" si="25"/>
        <v>0</v>
      </c>
    </row>
    <row r="82" spans="1:39" ht="15.6">
      <c r="A82" s="23">
        <v>89</v>
      </c>
      <c r="B82" s="7" t="s">
        <v>171</v>
      </c>
      <c r="C82" s="42" t="s">
        <v>172</v>
      </c>
      <c r="D82" s="74">
        <v>35</v>
      </c>
      <c r="E82" s="44"/>
      <c r="F82" s="50"/>
      <c r="G82" s="46"/>
      <c r="H82" s="50"/>
      <c r="I82" s="46"/>
      <c r="J82" s="50">
        <v>4</v>
      </c>
      <c r="K82" s="46"/>
      <c r="L82" s="50">
        <v>44</v>
      </c>
      <c r="M82" s="46"/>
      <c r="N82" s="61"/>
      <c r="O82" s="57">
        <v>40</v>
      </c>
      <c r="P82" s="50"/>
      <c r="Q82" s="46"/>
      <c r="R82" s="50"/>
      <c r="S82" s="46"/>
      <c r="T82" s="50"/>
      <c r="U82" s="46">
        <v>0</v>
      </c>
      <c r="V82" s="80">
        <v>0</v>
      </c>
      <c r="W82" s="26">
        <f t="shared" si="20"/>
        <v>75</v>
      </c>
      <c r="X82" s="49">
        <f t="shared" si="21"/>
        <v>48</v>
      </c>
      <c r="Y82" s="70">
        <f t="shared" si="22"/>
        <v>27</v>
      </c>
      <c r="Z82" s="87">
        <f t="shared" si="17"/>
        <v>27</v>
      </c>
      <c r="AA82" s="85">
        <f t="shared" si="18"/>
        <v>0</v>
      </c>
      <c r="AB82" s="28"/>
      <c r="AC82" s="90">
        <v>27</v>
      </c>
      <c r="AD82" s="90">
        <v>0</v>
      </c>
      <c r="AE82" s="90">
        <v>0</v>
      </c>
      <c r="AF82" s="90">
        <f t="shared" si="19"/>
        <v>27</v>
      </c>
      <c r="AG82" s="90">
        <f t="shared" si="16"/>
        <v>0</v>
      </c>
      <c r="AH82" s="91">
        <v>1050.56</v>
      </c>
      <c r="AI82" s="91">
        <f t="shared" si="24"/>
        <v>28365.119999999999</v>
      </c>
      <c r="AJ82" s="92"/>
      <c r="AK82" s="92">
        <f t="shared" si="23"/>
        <v>0</v>
      </c>
      <c r="AL82" s="92"/>
      <c r="AM82" s="110">
        <f t="shared" si="25"/>
        <v>0</v>
      </c>
    </row>
    <row r="83" spans="1:39" ht="15.6">
      <c r="A83" s="3">
        <v>90</v>
      </c>
      <c r="B83" s="8" t="s">
        <v>173</v>
      </c>
      <c r="C83" s="10" t="s">
        <v>174</v>
      </c>
      <c r="D83" s="74">
        <v>0</v>
      </c>
      <c r="E83" s="44"/>
      <c r="F83" s="50"/>
      <c r="G83" s="46"/>
      <c r="H83" s="50"/>
      <c r="I83" s="46">
        <v>2</v>
      </c>
      <c r="J83" s="50">
        <v>2</v>
      </c>
      <c r="K83" s="46"/>
      <c r="L83" s="50"/>
      <c r="M83" s="46"/>
      <c r="N83" s="61"/>
      <c r="O83" s="57"/>
      <c r="P83" s="50"/>
      <c r="Q83" s="46"/>
      <c r="R83" s="50"/>
      <c r="S83" s="46"/>
      <c r="T83" s="50"/>
      <c r="U83" s="46">
        <v>0</v>
      </c>
      <c r="V83" s="80">
        <v>0</v>
      </c>
      <c r="W83" s="26">
        <f t="shared" si="20"/>
        <v>2</v>
      </c>
      <c r="X83" s="49">
        <f t="shared" si="21"/>
        <v>2</v>
      </c>
      <c r="Y83" s="71">
        <f t="shared" si="22"/>
        <v>0</v>
      </c>
      <c r="Z83" s="87">
        <f t="shared" si="17"/>
        <v>0</v>
      </c>
      <c r="AA83" s="85">
        <f t="shared" si="18"/>
        <v>0</v>
      </c>
      <c r="AB83" s="28"/>
      <c r="AC83" s="90">
        <v>0</v>
      </c>
      <c r="AD83" s="90">
        <v>0</v>
      </c>
      <c r="AE83" s="90">
        <v>0</v>
      </c>
      <c r="AF83" s="90">
        <f t="shared" si="19"/>
        <v>0</v>
      </c>
      <c r="AG83" s="90">
        <f t="shared" si="16"/>
        <v>0</v>
      </c>
      <c r="AH83" s="91">
        <v>8962.5</v>
      </c>
      <c r="AI83" s="91">
        <f t="shared" si="24"/>
        <v>0</v>
      </c>
      <c r="AJ83" s="92"/>
      <c r="AK83" s="92">
        <f t="shared" si="23"/>
        <v>0</v>
      </c>
      <c r="AL83" s="92"/>
      <c r="AM83" s="110">
        <f t="shared" si="25"/>
        <v>0</v>
      </c>
    </row>
    <row r="84" spans="1:39" ht="15.6">
      <c r="A84" s="23">
        <v>91</v>
      </c>
      <c r="B84" s="8" t="s">
        <v>175</v>
      </c>
      <c r="C84" s="10" t="s">
        <v>176</v>
      </c>
      <c r="D84" s="74">
        <v>4</v>
      </c>
      <c r="E84" s="44"/>
      <c r="F84" s="50"/>
      <c r="G84" s="46"/>
      <c r="H84" s="50"/>
      <c r="I84" s="46"/>
      <c r="J84" s="50">
        <v>4</v>
      </c>
      <c r="K84" s="46"/>
      <c r="L84" s="50"/>
      <c r="M84" s="46"/>
      <c r="N84" s="61"/>
      <c r="O84" s="57"/>
      <c r="P84" s="50"/>
      <c r="Q84" s="46"/>
      <c r="R84" s="50"/>
      <c r="S84" s="46"/>
      <c r="T84" s="50"/>
      <c r="U84" s="46">
        <v>0</v>
      </c>
      <c r="V84" s="80">
        <v>0</v>
      </c>
      <c r="W84" s="26">
        <f t="shared" si="20"/>
        <v>4</v>
      </c>
      <c r="X84" s="49">
        <f t="shared" si="21"/>
        <v>4</v>
      </c>
      <c r="Y84" s="68">
        <f t="shared" si="22"/>
        <v>0</v>
      </c>
      <c r="Z84" s="87">
        <f t="shared" si="17"/>
        <v>0</v>
      </c>
      <c r="AA84" s="85">
        <f t="shared" si="18"/>
        <v>0</v>
      </c>
      <c r="AB84" s="28"/>
      <c r="AC84" s="90">
        <v>0</v>
      </c>
      <c r="AD84" s="90">
        <v>0</v>
      </c>
      <c r="AE84" s="90">
        <v>0</v>
      </c>
      <c r="AF84" s="90">
        <f t="shared" si="19"/>
        <v>0</v>
      </c>
      <c r="AG84" s="90">
        <f t="shared" si="16"/>
        <v>0</v>
      </c>
      <c r="AH84" s="91">
        <v>236.25</v>
      </c>
      <c r="AI84" s="91">
        <f t="shared" si="24"/>
        <v>0</v>
      </c>
      <c r="AJ84" s="92"/>
      <c r="AK84" s="92">
        <f t="shared" si="23"/>
        <v>0</v>
      </c>
      <c r="AL84" s="92"/>
      <c r="AM84" s="110">
        <f t="shared" si="25"/>
        <v>0</v>
      </c>
    </row>
    <row r="85" spans="1:39" ht="15.6">
      <c r="A85" s="3">
        <v>92</v>
      </c>
      <c r="B85" s="8" t="s">
        <v>177</v>
      </c>
      <c r="C85" s="10" t="s">
        <v>178</v>
      </c>
      <c r="D85" s="74">
        <v>1</v>
      </c>
      <c r="E85" s="44"/>
      <c r="F85" s="50"/>
      <c r="G85" s="46"/>
      <c r="H85" s="50"/>
      <c r="I85" s="46"/>
      <c r="J85" s="50">
        <v>1</v>
      </c>
      <c r="K85" s="46"/>
      <c r="L85" s="50"/>
      <c r="M85" s="46"/>
      <c r="N85" s="61"/>
      <c r="O85" s="57"/>
      <c r="P85" s="50"/>
      <c r="Q85" s="46"/>
      <c r="R85" s="50"/>
      <c r="S85" s="46"/>
      <c r="T85" s="50"/>
      <c r="U85" s="46">
        <v>0</v>
      </c>
      <c r="V85" s="80">
        <v>0</v>
      </c>
      <c r="W85" s="26">
        <f t="shared" si="20"/>
        <v>1</v>
      </c>
      <c r="X85" s="49">
        <f t="shared" si="21"/>
        <v>1</v>
      </c>
      <c r="Y85" s="68">
        <f t="shared" si="22"/>
        <v>0</v>
      </c>
      <c r="Z85" s="87">
        <f t="shared" si="17"/>
        <v>0</v>
      </c>
      <c r="AA85" s="85">
        <f t="shared" si="18"/>
        <v>0</v>
      </c>
      <c r="AB85" s="28"/>
      <c r="AC85" s="90">
        <v>0</v>
      </c>
      <c r="AD85" s="90">
        <v>0</v>
      </c>
      <c r="AE85" s="90">
        <v>0</v>
      </c>
      <c r="AF85" s="90">
        <f t="shared" si="19"/>
        <v>0</v>
      </c>
      <c r="AG85" s="90">
        <f t="shared" si="16"/>
        <v>0</v>
      </c>
      <c r="AH85" s="91">
        <v>1147.5</v>
      </c>
      <c r="AI85" s="91">
        <f t="shared" si="24"/>
        <v>0</v>
      </c>
      <c r="AJ85" s="92"/>
      <c r="AK85" s="92">
        <f t="shared" si="23"/>
        <v>0</v>
      </c>
      <c r="AL85" s="92"/>
      <c r="AM85" s="110">
        <f t="shared" si="25"/>
        <v>0</v>
      </c>
    </row>
    <row r="86" spans="1:39" ht="15.6">
      <c r="A86" s="23">
        <v>93</v>
      </c>
      <c r="B86" s="8" t="s">
        <v>179</v>
      </c>
      <c r="C86" s="10" t="s">
        <v>180</v>
      </c>
      <c r="D86" s="74">
        <v>1</v>
      </c>
      <c r="E86" s="44"/>
      <c r="F86" s="50"/>
      <c r="G86" s="46"/>
      <c r="H86" s="50"/>
      <c r="I86" s="46">
        <v>11</v>
      </c>
      <c r="J86" s="50"/>
      <c r="K86" s="46">
        <v>0</v>
      </c>
      <c r="L86" s="50">
        <v>12</v>
      </c>
      <c r="M86" s="46"/>
      <c r="N86" s="61"/>
      <c r="O86" s="57"/>
      <c r="P86" s="50"/>
      <c r="Q86" s="46"/>
      <c r="R86" s="50"/>
      <c r="S86" s="46"/>
      <c r="T86" s="50"/>
      <c r="U86" s="46">
        <v>0</v>
      </c>
      <c r="V86" s="80">
        <v>0</v>
      </c>
      <c r="W86" s="26">
        <f t="shared" si="20"/>
        <v>12</v>
      </c>
      <c r="X86" s="49">
        <f t="shared" si="21"/>
        <v>12</v>
      </c>
      <c r="Y86" s="68">
        <f t="shared" si="22"/>
        <v>0</v>
      </c>
      <c r="Z86" s="87">
        <f t="shared" si="17"/>
        <v>0</v>
      </c>
      <c r="AA86" s="85">
        <f t="shared" si="18"/>
        <v>0</v>
      </c>
      <c r="AB86" s="28"/>
      <c r="AC86" s="90">
        <v>0</v>
      </c>
      <c r="AD86" s="90">
        <v>0</v>
      </c>
      <c r="AE86" s="90">
        <v>0</v>
      </c>
      <c r="AF86" s="90">
        <f t="shared" si="19"/>
        <v>0</v>
      </c>
      <c r="AG86" s="90">
        <f t="shared" si="16"/>
        <v>0</v>
      </c>
      <c r="AH86" s="91">
        <v>49.69</v>
      </c>
      <c r="AI86" s="91">
        <f t="shared" si="24"/>
        <v>0</v>
      </c>
      <c r="AJ86" s="92"/>
      <c r="AK86" s="92">
        <f t="shared" si="23"/>
        <v>0</v>
      </c>
      <c r="AL86" s="92"/>
      <c r="AM86" s="110">
        <f t="shared" si="25"/>
        <v>0</v>
      </c>
    </row>
    <row r="87" spans="1:39" ht="15.6">
      <c r="A87" s="23">
        <v>95</v>
      </c>
      <c r="B87" s="8" t="s">
        <v>181</v>
      </c>
      <c r="C87" s="10" t="s">
        <v>182</v>
      </c>
      <c r="D87" s="74">
        <v>0</v>
      </c>
      <c r="E87" s="44"/>
      <c r="F87" s="50"/>
      <c r="G87" s="46"/>
      <c r="H87" s="50"/>
      <c r="I87" s="46">
        <v>0</v>
      </c>
      <c r="J87" s="50"/>
      <c r="K87" s="46">
        <v>2</v>
      </c>
      <c r="L87" s="50">
        <v>2</v>
      </c>
      <c r="M87" s="46"/>
      <c r="N87" s="61"/>
      <c r="O87" s="57"/>
      <c r="P87" s="50"/>
      <c r="Q87" s="46"/>
      <c r="R87" s="50"/>
      <c r="S87" s="46"/>
      <c r="T87" s="50"/>
      <c r="U87" s="46"/>
      <c r="V87" s="80"/>
      <c r="W87" s="26">
        <f t="shared" si="20"/>
        <v>2</v>
      </c>
      <c r="X87" s="49">
        <f t="shared" si="21"/>
        <v>2</v>
      </c>
      <c r="Y87" s="68">
        <f t="shared" si="22"/>
        <v>0</v>
      </c>
      <c r="Z87" s="87">
        <f t="shared" si="17"/>
        <v>0</v>
      </c>
      <c r="AA87" s="85">
        <f t="shared" si="18"/>
        <v>0</v>
      </c>
      <c r="AB87" s="28"/>
      <c r="AC87" s="90">
        <v>0</v>
      </c>
      <c r="AD87" s="90">
        <v>0</v>
      </c>
      <c r="AE87" s="90">
        <v>0</v>
      </c>
      <c r="AF87" s="90">
        <f t="shared" si="19"/>
        <v>0</v>
      </c>
      <c r="AG87" s="90">
        <f t="shared" si="16"/>
        <v>0</v>
      </c>
      <c r="AH87" s="91">
        <v>6450</v>
      </c>
      <c r="AI87" s="91">
        <f t="shared" si="24"/>
        <v>0</v>
      </c>
      <c r="AJ87" s="92"/>
      <c r="AK87" s="92">
        <f t="shared" si="23"/>
        <v>0</v>
      </c>
      <c r="AL87" s="92"/>
      <c r="AM87" s="110">
        <f t="shared" si="25"/>
        <v>0</v>
      </c>
    </row>
    <row r="88" spans="1:39" ht="15.6">
      <c r="A88" s="23">
        <v>97</v>
      </c>
      <c r="B88" s="8" t="s">
        <v>183</v>
      </c>
      <c r="C88" s="10" t="s">
        <v>184</v>
      </c>
      <c r="D88" s="74">
        <v>0</v>
      </c>
      <c r="E88" s="44"/>
      <c r="F88" s="50"/>
      <c r="G88" s="46"/>
      <c r="H88" s="50"/>
      <c r="I88" s="46"/>
      <c r="J88" s="50"/>
      <c r="K88" s="46">
        <v>2</v>
      </c>
      <c r="L88" s="50"/>
      <c r="M88" s="46"/>
      <c r="N88" s="61">
        <v>2</v>
      </c>
      <c r="O88" s="57"/>
      <c r="P88" s="50"/>
      <c r="Q88" s="46"/>
      <c r="R88" s="50"/>
      <c r="S88" s="46"/>
      <c r="T88" s="50"/>
      <c r="U88" s="46"/>
      <c r="V88" s="80"/>
      <c r="W88" s="26">
        <f t="shared" si="20"/>
        <v>2</v>
      </c>
      <c r="X88" s="49">
        <f t="shared" si="21"/>
        <v>2</v>
      </c>
      <c r="Y88" s="68">
        <f t="shared" si="22"/>
        <v>0</v>
      </c>
      <c r="Z88" s="87">
        <f t="shared" si="17"/>
        <v>0</v>
      </c>
      <c r="AA88" s="85">
        <f t="shared" si="18"/>
        <v>0</v>
      </c>
      <c r="AB88" s="28"/>
      <c r="AC88" s="90">
        <v>0</v>
      </c>
      <c r="AD88" s="90">
        <v>0</v>
      </c>
      <c r="AE88" s="90">
        <v>0</v>
      </c>
      <c r="AF88" s="90">
        <f t="shared" si="19"/>
        <v>0</v>
      </c>
      <c r="AG88" s="90">
        <f t="shared" si="16"/>
        <v>0</v>
      </c>
      <c r="AH88" s="91">
        <v>311.25</v>
      </c>
      <c r="AI88" s="91">
        <f t="shared" si="24"/>
        <v>0</v>
      </c>
      <c r="AJ88" s="92"/>
      <c r="AK88" s="92">
        <f t="shared" si="23"/>
        <v>0</v>
      </c>
      <c r="AL88" s="92"/>
      <c r="AM88" s="110">
        <f t="shared" si="25"/>
        <v>0</v>
      </c>
    </row>
    <row r="89" spans="1:39" ht="15.6">
      <c r="A89" s="3">
        <v>98</v>
      </c>
      <c r="B89" s="8" t="s">
        <v>185</v>
      </c>
      <c r="C89" s="10" t="s">
        <v>186</v>
      </c>
      <c r="D89" s="74">
        <v>0</v>
      </c>
      <c r="E89" s="44"/>
      <c r="F89" s="50"/>
      <c r="G89" s="46"/>
      <c r="H89" s="50"/>
      <c r="I89" s="46"/>
      <c r="J89" s="50"/>
      <c r="K89" s="46">
        <v>6</v>
      </c>
      <c r="L89" s="50"/>
      <c r="M89" s="46"/>
      <c r="N89" s="61">
        <v>6</v>
      </c>
      <c r="O89" s="57"/>
      <c r="P89" s="50"/>
      <c r="Q89" s="46"/>
      <c r="R89" s="50"/>
      <c r="S89" s="46"/>
      <c r="T89" s="50"/>
      <c r="U89" s="46"/>
      <c r="V89" s="80"/>
      <c r="W89" s="26">
        <f t="shared" si="20"/>
        <v>6</v>
      </c>
      <c r="X89" s="49">
        <f t="shared" si="21"/>
        <v>6</v>
      </c>
      <c r="Y89" s="68">
        <f t="shared" si="22"/>
        <v>0</v>
      </c>
      <c r="Z89" s="87">
        <f t="shared" si="17"/>
        <v>0</v>
      </c>
      <c r="AA89" s="85">
        <f t="shared" si="18"/>
        <v>0</v>
      </c>
      <c r="AB89" s="28"/>
      <c r="AC89" s="90">
        <v>0</v>
      </c>
      <c r="AD89" s="90">
        <v>0</v>
      </c>
      <c r="AE89" s="90">
        <v>0</v>
      </c>
      <c r="AF89" s="90">
        <f t="shared" si="19"/>
        <v>0</v>
      </c>
      <c r="AG89" s="90">
        <f t="shared" si="16"/>
        <v>0</v>
      </c>
      <c r="AH89" s="91">
        <v>202.5</v>
      </c>
      <c r="AI89" s="91">
        <f t="shared" si="24"/>
        <v>0</v>
      </c>
      <c r="AJ89" s="92"/>
      <c r="AK89" s="92">
        <f t="shared" si="23"/>
        <v>0</v>
      </c>
      <c r="AL89" s="92"/>
      <c r="AM89" s="110">
        <f t="shared" si="25"/>
        <v>0</v>
      </c>
    </row>
    <row r="90" spans="1:39" ht="15.6">
      <c r="A90" s="23">
        <v>99</v>
      </c>
      <c r="B90" s="7" t="s">
        <v>187</v>
      </c>
      <c r="C90" s="10" t="s">
        <v>188</v>
      </c>
      <c r="D90" s="74">
        <v>0</v>
      </c>
      <c r="E90" s="44"/>
      <c r="F90" s="50"/>
      <c r="G90" s="46"/>
      <c r="H90" s="50"/>
      <c r="I90" s="46">
        <v>0</v>
      </c>
      <c r="J90" s="50"/>
      <c r="K90" s="46">
        <v>2</v>
      </c>
      <c r="L90" s="50"/>
      <c r="M90" s="46"/>
      <c r="N90" s="61">
        <v>2</v>
      </c>
      <c r="O90" s="57"/>
      <c r="P90" s="50"/>
      <c r="Q90" s="46"/>
      <c r="R90" s="50"/>
      <c r="S90" s="46">
        <v>1</v>
      </c>
      <c r="T90" s="50">
        <v>1</v>
      </c>
      <c r="U90" s="46">
        <v>0</v>
      </c>
      <c r="V90" s="80">
        <v>0</v>
      </c>
      <c r="W90" s="26">
        <f t="shared" si="20"/>
        <v>3</v>
      </c>
      <c r="X90" s="49">
        <f t="shared" si="21"/>
        <v>3</v>
      </c>
      <c r="Y90" s="68">
        <f t="shared" si="22"/>
        <v>0</v>
      </c>
      <c r="Z90" s="87">
        <f t="shared" si="17"/>
        <v>-1</v>
      </c>
      <c r="AA90" s="85">
        <f t="shared" si="18"/>
        <v>1</v>
      </c>
      <c r="AB90" s="28"/>
      <c r="AC90" s="90">
        <v>0</v>
      </c>
      <c r="AD90" s="90">
        <v>0</v>
      </c>
      <c r="AE90" s="90">
        <v>0</v>
      </c>
      <c r="AF90" s="90">
        <f t="shared" si="19"/>
        <v>0</v>
      </c>
      <c r="AG90" s="90">
        <f t="shared" si="16"/>
        <v>0</v>
      </c>
      <c r="AH90" s="91">
        <v>4837.5</v>
      </c>
      <c r="AI90" s="91">
        <f t="shared" si="24"/>
        <v>0</v>
      </c>
      <c r="AJ90" s="93">
        <v>4837.5</v>
      </c>
      <c r="AK90" s="92">
        <f t="shared" si="23"/>
        <v>0</v>
      </c>
      <c r="AL90" s="92">
        <v>4837.5</v>
      </c>
      <c r="AM90" s="110">
        <f t="shared" si="25"/>
        <v>0</v>
      </c>
    </row>
    <row r="91" spans="1:39" ht="15.6">
      <c r="A91" s="3">
        <v>100</v>
      </c>
      <c r="B91" s="8" t="s">
        <v>189</v>
      </c>
      <c r="C91" s="10" t="s">
        <v>190</v>
      </c>
      <c r="D91" s="74">
        <v>0</v>
      </c>
      <c r="E91" s="44"/>
      <c r="F91" s="50"/>
      <c r="G91" s="46">
        <v>2</v>
      </c>
      <c r="H91" s="50">
        <v>2</v>
      </c>
      <c r="I91" s="46"/>
      <c r="J91" s="50"/>
      <c r="K91" s="46"/>
      <c r="L91" s="50"/>
      <c r="M91" s="46"/>
      <c r="N91" s="61"/>
      <c r="O91" s="57"/>
      <c r="P91" s="50"/>
      <c r="Q91" s="46"/>
      <c r="R91" s="50"/>
      <c r="S91" s="46"/>
      <c r="T91" s="50"/>
      <c r="U91" s="46"/>
      <c r="V91" s="80"/>
      <c r="W91" s="26">
        <f t="shared" si="20"/>
        <v>2</v>
      </c>
      <c r="X91" s="49">
        <f t="shared" si="21"/>
        <v>2</v>
      </c>
      <c r="Y91" s="68">
        <f t="shared" si="22"/>
        <v>0</v>
      </c>
      <c r="Z91" s="87">
        <f t="shared" si="17"/>
        <v>0</v>
      </c>
      <c r="AA91" s="85">
        <f t="shared" si="18"/>
        <v>0</v>
      </c>
      <c r="AB91" s="28"/>
      <c r="AC91" s="90">
        <v>0</v>
      </c>
      <c r="AD91" s="90">
        <v>0</v>
      </c>
      <c r="AE91" s="90">
        <v>0</v>
      </c>
      <c r="AF91" s="90">
        <f t="shared" si="19"/>
        <v>0</v>
      </c>
      <c r="AG91" s="90">
        <f t="shared" si="16"/>
        <v>0</v>
      </c>
      <c r="AH91" s="91">
        <v>1128.75</v>
      </c>
      <c r="AI91" s="91">
        <f t="shared" si="24"/>
        <v>0</v>
      </c>
      <c r="AJ91" s="92"/>
      <c r="AK91" s="92">
        <f t="shared" si="23"/>
        <v>0</v>
      </c>
      <c r="AL91" s="92"/>
      <c r="AM91" s="110">
        <f t="shared" si="25"/>
        <v>0</v>
      </c>
    </row>
    <row r="92" spans="1:39" ht="15.6">
      <c r="A92" s="23">
        <v>101</v>
      </c>
      <c r="B92" s="8" t="s">
        <v>191</v>
      </c>
      <c r="C92" s="10" t="s">
        <v>192</v>
      </c>
      <c r="D92" s="74">
        <v>0</v>
      </c>
      <c r="E92" s="44"/>
      <c r="F92" s="50"/>
      <c r="G92" s="46">
        <v>2</v>
      </c>
      <c r="H92" s="50">
        <v>2</v>
      </c>
      <c r="I92" s="46"/>
      <c r="J92" s="50"/>
      <c r="K92" s="46"/>
      <c r="L92" s="50"/>
      <c r="M92" s="46"/>
      <c r="N92" s="61"/>
      <c r="O92" s="57"/>
      <c r="P92" s="50"/>
      <c r="Q92" s="46"/>
      <c r="R92" s="50"/>
      <c r="S92" s="46"/>
      <c r="T92" s="50"/>
      <c r="U92" s="46"/>
      <c r="V92" s="80"/>
      <c r="W92" s="26">
        <f t="shared" si="20"/>
        <v>2</v>
      </c>
      <c r="X92" s="49">
        <f t="shared" si="21"/>
        <v>2</v>
      </c>
      <c r="Y92" s="68">
        <f t="shared" si="22"/>
        <v>0</v>
      </c>
      <c r="Z92" s="87">
        <f t="shared" si="17"/>
        <v>0</v>
      </c>
      <c r="AA92" s="85">
        <f t="shared" si="18"/>
        <v>0</v>
      </c>
      <c r="AB92" s="28"/>
      <c r="AC92" s="90">
        <v>0</v>
      </c>
      <c r="AD92" s="90">
        <v>0</v>
      </c>
      <c r="AE92" s="90">
        <v>0</v>
      </c>
      <c r="AF92" s="90">
        <f t="shared" si="19"/>
        <v>0</v>
      </c>
      <c r="AG92" s="90">
        <f t="shared" si="16"/>
        <v>0</v>
      </c>
      <c r="AH92" s="91">
        <v>697.5</v>
      </c>
      <c r="AI92" s="91">
        <f t="shared" si="24"/>
        <v>0</v>
      </c>
      <c r="AJ92" s="92"/>
      <c r="AK92" s="92">
        <f t="shared" si="23"/>
        <v>0</v>
      </c>
      <c r="AL92" s="92"/>
      <c r="AM92" s="110">
        <f t="shared" si="25"/>
        <v>0</v>
      </c>
    </row>
    <row r="93" spans="1:39" ht="15.6">
      <c r="A93" s="3">
        <v>102</v>
      </c>
      <c r="B93" s="2" t="s">
        <v>194</v>
      </c>
      <c r="C93" s="10" t="s">
        <v>195</v>
      </c>
      <c r="D93" s="74">
        <v>0</v>
      </c>
      <c r="E93" s="44">
        <v>3</v>
      </c>
      <c r="F93" s="50">
        <v>1</v>
      </c>
      <c r="G93" s="46"/>
      <c r="H93" s="50"/>
      <c r="I93" s="46"/>
      <c r="J93" s="50">
        <v>1</v>
      </c>
      <c r="K93" s="46"/>
      <c r="L93" s="50"/>
      <c r="M93" s="46"/>
      <c r="N93" s="61"/>
      <c r="O93" s="57"/>
      <c r="P93" s="50"/>
      <c r="Q93" s="46"/>
      <c r="R93" s="50"/>
      <c r="S93" s="46"/>
      <c r="T93" s="50">
        <v>1</v>
      </c>
      <c r="U93" s="46"/>
      <c r="V93" s="80"/>
      <c r="W93" s="26">
        <f t="shared" si="20"/>
        <v>3</v>
      </c>
      <c r="X93" s="49">
        <f t="shared" si="21"/>
        <v>3</v>
      </c>
      <c r="Y93" s="68">
        <f t="shared" si="22"/>
        <v>0</v>
      </c>
      <c r="Z93" s="87">
        <f t="shared" si="17"/>
        <v>0</v>
      </c>
      <c r="AA93" s="85">
        <f t="shared" si="18"/>
        <v>0</v>
      </c>
      <c r="AB93" s="28"/>
      <c r="AC93" s="90">
        <v>0</v>
      </c>
      <c r="AD93" s="90">
        <v>0</v>
      </c>
      <c r="AE93" s="90">
        <v>0</v>
      </c>
      <c r="AF93" s="90">
        <f t="shared" si="19"/>
        <v>0</v>
      </c>
      <c r="AG93" s="90">
        <f t="shared" si="16"/>
        <v>0</v>
      </c>
      <c r="AH93" s="91"/>
      <c r="AI93" s="91">
        <f t="shared" si="24"/>
        <v>0</v>
      </c>
      <c r="AJ93" s="92"/>
      <c r="AK93" s="92">
        <f t="shared" si="23"/>
        <v>0</v>
      </c>
      <c r="AL93" s="92"/>
      <c r="AM93" s="110">
        <f t="shared" si="25"/>
        <v>0</v>
      </c>
    </row>
    <row r="94" spans="1:39" ht="15.6">
      <c r="A94" s="23">
        <v>103</v>
      </c>
      <c r="B94" s="8" t="s">
        <v>196</v>
      </c>
      <c r="C94" s="10" t="s">
        <v>197</v>
      </c>
      <c r="D94" s="74">
        <v>0</v>
      </c>
      <c r="E94" s="44"/>
      <c r="F94" s="50"/>
      <c r="G94" s="46"/>
      <c r="H94" s="50"/>
      <c r="I94" s="46"/>
      <c r="J94" s="50"/>
      <c r="K94" s="46"/>
      <c r="L94" s="50"/>
      <c r="M94" s="46">
        <v>1</v>
      </c>
      <c r="N94" s="61">
        <v>1</v>
      </c>
      <c r="O94" s="57"/>
      <c r="P94" s="50"/>
      <c r="Q94" s="46"/>
      <c r="R94" s="50"/>
      <c r="S94" s="46"/>
      <c r="T94" s="50"/>
      <c r="U94" s="46"/>
      <c r="V94" s="80"/>
      <c r="W94" s="26">
        <f t="shared" si="20"/>
        <v>1</v>
      </c>
      <c r="X94" s="49">
        <f t="shared" si="21"/>
        <v>1</v>
      </c>
      <c r="Y94" s="68">
        <f t="shared" si="22"/>
        <v>0</v>
      </c>
      <c r="Z94" s="87">
        <f t="shared" si="17"/>
        <v>0</v>
      </c>
      <c r="AA94" s="85">
        <f t="shared" si="18"/>
        <v>0</v>
      </c>
      <c r="AB94" s="28"/>
      <c r="AC94" s="90">
        <v>0</v>
      </c>
      <c r="AD94" s="90">
        <v>0</v>
      </c>
      <c r="AE94" s="90">
        <v>0</v>
      </c>
      <c r="AF94" s="90">
        <f t="shared" si="19"/>
        <v>0</v>
      </c>
      <c r="AG94" s="90">
        <f t="shared" si="16"/>
        <v>0</v>
      </c>
      <c r="AH94" s="91"/>
      <c r="AI94" s="91">
        <f t="shared" si="24"/>
        <v>0</v>
      </c>
      <c r="AJ94" s="92"/>
      <c r="AK94" s="92">
        <f t="shared" si="23"/>
        <v>0</v>
      </c>
      <c r="AL94" s="92"/>
      <c r="AM94" s="110">
        <f t="shared" si="25"/>
        <v>0</v>
      </c>
    </row>
    <row r="95" spans="1:39" ht="15.6">
      <c r="A95" s="3">
        <v>104</v>
      </c>
      <c r="B95" s="8" t="s">
        <v>198</v>
      </c>
      <c r="C95" s="10" t="s">
        <v>199</v>
      </c>
      <c r="D95" s="74">
        <v>0</v>
      </c>
      <c r="E95" s="44"/>
      <c r="F95" s="50"/>
      <c r="G95" s="46"/>
      <c r="H95" s="50"/>
      <c r="I95" s="46"/>
      <c r="J95" s="50"/>
      <c r="K95" s="46"/>
      <c r="L95" s="50"/>
      <c r="M95" s="46">
        <v>1</v>
      </c>
      <c r="N95" s="61">
        <v>1</v>
      </c>
      <c r="O95" s="57">
        <v>1</v>
      </c>
      <c r="P95" s="50">
        <v>1</v>
      </c>
      <c r="Q95" s="46"/>
      <c r="R95" s="50"/>
      <c r="S95" s="46"/>
      <c r="T95" s="50"/>
      <c r="U95" s="46"/>
      <c r="V95" s="80"/>
      <c r="W95" s="26">
        <f t="shared" si="20"/>
        <v>2</v>
      </c>
      <c r="X95" s="49">
        <f t="shared" si="21"/>
        <v>2</v>
      </c>
      <c r="Y95" s="68">
        <f t="shared" si="22"/>
        <v>0</v>
      </c>
      <c r="Z95" s="87">
        <f t="shared" si="17"/>
        <v>0</v>
      </c>
      <c r="AA95" s="85">
        <f t="shared" si="18"/>
        <v>0</v>
      </c>
      <c r="AB95" s="28"/>
      <c r="AC95" s="90">
        <v>0</v>
      </c>
      <c r="AD95" s="90">
        <v>0</v>
      </c>
      <c r="AE95" s="90">
        <v>0</v>
      </c>
      <c r="AF95" s="90">
        <f t="shared" si="19"/>
        <v>0</v>
      </c>
      <c r="AG95" s="90">
        <f t="shared" si="16"/>
        <v>0</v>
      </c>
      <c r="AH95" s="91"/>
      <c r="AI95" s="91">
        <f t="shared" si="24"/>
        <v>0</v>
      </c>
      <c r="AJ95" s="92"/>
      <c r="AK95" s="92">
        <f t="shared" si="23"/>
        <v>0</v>
      </c>
      <c r="AL95" s="92"/>
      <c r="AM95" s="110">
        <f t="shared" si="25"/>
        <v>0</v>
      </c>
    </row>
    <row r="96" spans="1:39" ht="15.6">
      <c r="A96" s="23">
        <v>105</v>
      </c>
      <c r="B96" s="8" t="s">
        <v>200</v>
      </c>
      <c r="C96" s="10" t="s">
        <v>201</v>
      </c>
      <c r="D96" s="74">
        <v>0</v>
      </c>
      <c r="E96" s="44"/>
      <c r="F96" s="50"/>
      <c r="G96" s="46"/>
      <c r="H96" s="50"/>
      <c r="I96" s="46"/>
      <c r="J96" s="50"/>
      <c r="K96" s="46"/>
      <c r="L96" s="50"/>
      <c r="M96" s="46">
        <v>1</v>
      </c>
      <c r="N96" s="61">
        <v>1</v>
      </c>
      <c r="O96" s="57">
        <v>1</v>
      </c>
      <c r="P96" s="50">
        <v>1</v>
      </c>
      <c r="Q96" s="46"/>
      <c r="R96" s="50"/>
      <c r="S96" s="46"/>
      <c r="T96" s="50"/>
      <c r="U96" s="46"/>
      <c r="V96" s="80"/>
      <c r="W96" s="26">
        <f t="shared" si="20"/>
        <v>2</v>
      </c>
      <c r="X96" s="49">
        <f t="shared" si="21"/>
        <v>2</v>
      </c>
      <c r="Y96" s="68">
        <f t="shared" si="22"/>
        <v>0</v>
      </c>
      <c r="Z96" s="87">
        <f t="shared" si="17"/>
        <v>0</v>
      </c>
      <c r="AA96" s="85">
        <f t="shared" si="18"/>
        <v>0</v>
      </c>
      <c r="AB96" s="28"/>
      <c r="AC96" s="90">
        <v>0</v>
      </c>
      <c r="AD96" s="90">
        <v>0</v>
      </c>
      <c r="AE96" s="90">
        <v>0</v>
      </c>
      <c r="AF96" s="90">
        <f t="shared" si="19"/>
        <v>0</v>
      </c>
      <c r="AG96" s="90">
        <f t="shared" si="16"/>
        <v>0</v>
      </c>
      <c r="AH96" s="91"/>
      <c r="AI96" s="91">
        <f t="shared" si="24"/>
        <v>0</v>
      </c>
      <c r="AJ96" s="92"/>
      <c r="AK96" s="92">
        <f t="shared" si="23"/>
        <v>0</v>
      </c>
      <c r="AL96" s="92"/>
      <c r="AM96" s="110">
        <f t="shared" si="25"/>
        <v>0</v>
      </c>
    </row>
    <row r="97" spans="1:39" ht="15.6">
      <c r="A97" s="3">
        <v>106</v>
      </c>
      <c r="B97" s="8" t="s">
        <v>202</v>
      </c>
      <c r="C97" s="10" t="s">
        <v>203</v>
      </c>
      <c r="D97" s="74">
        <v>0</v>
      </c>
      <c r="E97" s="44"/>
      <c r="F97" s="50"/>
      <c r="G97" s="46"/>
      <c r="H97" s="50"/>
      <c r="I97" s="46"/>
      <c r="J97" s="50"/>
      <c r="K97" s="46"/>
      <c r="L97" s="50"/>
      <c r="M97" s="46">
        <v>5</v>
      </c>
      <c r="N97" s="61">
        <v>5</v>
      </c>
      <c r="O97" s="57"/>
      <c r="P97" s="50"/>
      <c r="Q97" s="46"/>
      <c r="R97" s="50"/>
      <c r="S97" s="46"/>
      <c r="T97" s="50"/>
      <c r="U97" s="46"/>
      <c r="V97" s="80"/>
      <c r="W97" s="26">
        <f t="shared" si="20"/>
        <v>5</v>
      </c>
      <c r="X97" s="49">
        <f t="shared" si="21"/>
        <v>5</v>
      </c>
      <c r="Y97" s="68">
        <f t="shared" si="22"/>
        <v>0</v>
      </c>
      <c r="Z97" s="87">
        <f t="shared" si="17"/>
        <v>0</v>
      </c>
      <c r="AA97" s="85">
        <f t="shared" si="18"/>
        <v>0</v>
      </c>
      <c r="AB97" s="28"/>
      <c r="AC97" s="90">
        <v>0</v>
      </c>
      <c r="AD97" s="90">
        <v>0</v>
      </c>
      <c r="AE97" s="90">
        <v>0</v>
      </c>
      <c r="AF97" s="90">
        <f t="shared" si="19"/>
        <v>0</v>
      </c>
      <c r="AG97" s="90">
        <f t="shared" si="16"/>
        <v>0</v>
      </c>
      <c r="AH97" s="91"/>
      <c r="AI97" s="91">
        <f t="shared" si="24"/>
        <v>0</v>
      </c>
      <c r="AJ97" s="92"/>
      <c r="AK97" s="92">
        <f t="shared" si="23"/>
        <v>0</v>
      </c>
      <c r="AL97" s="92"/>
      <c r="AM97" s="110">
        <f t="shared" si="25"/>
        <v>0</v>
      </c>
    </row>
    <row r="98" spans="1:39" ht="15.6">
      <c r="A98" s="23">
        <v>107</v>
      </c>
      <c r="B98" s="8" t="s">
        <v>204</v>
      </c>
      <c r="C98" s="10" t="s">
        <v>205</v>
      </c>
      <c r="D98" s="74">
        <v>0</v>
      </c>
      <c r="E98" s="34"/>
      <c r="F98" s="50"/>
      <c r="G98" s="36"/>
      <c r="H98" s="50"/>
      <c r="I98" s="46"/>
      <c r="J98" s="50"/>
      <c r="K98" s="46"/>
      <c r="L98" s="50"/>
      <c r="M98" s="46"/>
      <c r="N98" s="61"/>
      <c r="O98" s="57">
        <v>4</v>
      </c>
      <c r="P98" s="50">
        <v>4</v>
      </c>
      <c r="Q98" s="46"/>
      <c r="R98" s="50"/>
      <c r="S98" s="46"/>
      <c r="T98" s="50"/>
      <c r="U98" s="46"/>
      <c r="V98" s="80"/>
      <c r="W98" s="26">
        <f t="shared" si="20"/>
        <v>4</v>
      </c>
      <c r="X98" s="49">
        <f t="shared" si="21"/>
        <v>4</v>
      </c>
      <c r="Y98" s="68">
        <f t="shared" si="22"/>
        <v>0</v>
      </c>
      <c r="Z98" s="87">
        <f t="shared" ref="Z98:Z129" si="26">SUM(Y98-S98-U98)</f>
        <v>0</v>
      </c>
      <c r="AA98" s="85">
        <f t="shared" ref="AA98:AA130" si="27">SUM(S98+U98)</f>
        <v>0</v>
      </c>
      <c r="AB98" s="28"/>
      <c r="AC98" s="90">
        <v>0</v>
      </c>
      <c r="AD98" s="90">
        <v>0</v>
      </c>
      <c r="AE98" s="90">
        <v>0</v>
      </c>
      <c r="AF98" s="90">
        <f t="shared" ref="AF98:AF128" si="28">AC98+AD98+AE98</f>
        <v>0</v>
      </c>
      <c r="AG98" s="90">
        <f t="shared" si="16"/>
        <v>0</v>
      </c>
      <c r="AH98" s="91"/>
      <c r="AI98" s="91">
        <f t="shared" si="24"/>
        <v>0</v>
      </c>
      <c r="AJ98" s="92"/>
      <c r="AK98" s="92">
        <f t="shared" si="23"/>
        <v>0</v>
      </c>
      <c r="AL98" s="92"/>
      <c r="AM98" s="110">
        <f t="shared" si="25"/>
        <v>0</v>
      </c>
    </row>
    <row r="99" spans="1:39" ht="15.6">
      <c r="A99" s="3">
        <v>108</v>
      </c>
      <c r="B99" s="8" t="s">
        <v>206</v>
      </c>
      <c r="C99" s="10" t="s">
        <v>207</v>
      </c>
      <c r="D99" s="74">
        <v>0</v>
      </c>
      <c r="E99" s="34"/>
      <c r="F99" s="50"/>
      <c r="G99" s="36"/>
      <c r="H99" s="50"/>
      <c r="I99" s="46"/>
      <c r="J99" s="50"/>
      <c r="K99" s="46"/>
      <c r="L99" s="50"/>
      <c r="M99" s="46"/>
      <c r="N99" s="61"/>
      <c r="O99" s="57">
        <v>4</v>
      </c>
      <c r="P99" s="50">
        <v>4</v>
      </c>
      <c r="Q99" s="46"/>
      <c r="R99" s="50"/>
      <c r="S99" s="46"/>
      <c r="T99" s="50"/>
      <c r="U99" s="46"/>
      <c r="V99" s="80"/>
      <c r="W99" s="26">
        <f t="shared" si="20"/>
        <v>4</v>
      </c>
      <c r="X99" s="49">
        <f t="shared" si="21"/>
        <v>4</v>
      </c>
      <c r="Y99" s="68">
        <f t="shared" si="22"/>
        <v>0</v>
      </c>
      <c r="Z99" s="87">
        <f t="shared" si="26"/>
        <v>0</v>
      </c>
      <c r="AA99" s="85">
        <f t="shared" si="27"/>
        <v>0</v>
      </c>
      <c r="AB99" s="28"/>
      <c r="AC99" s="90">
        <v>0</v>
      </c>
      <c r="AD99" s="90">
        <v>0</v>
      </c>
      <c r="AE99" s="90">
        <v>0</v>
      </c>
      <c r="AF99" s="90">
        <f t="shared" si="28"/>
        <v>0</v>
      </c>
      <c r="AG99" s="90">
        <f t="shared" si="16"/>
        <v>0</v>
      </c>
      <c r="AH99" s="91"/>
      <c r="AI99" s="91">
        <f t="shared" si="24"/>
        <v>0</v>
      </c>
      <c r="AJ99" s="92"/>
      <c r="AK99" s="92">
        <f t="shared" si="23"/>
        <v>0</v>
      </c>
      <c r="AL99" s="92"/>
      <c r="AM99" s="110">
        <f t="shared" si="25"/>
        <v>0</v>
      </c>
    </row>
    <row r="100" spans="1:39" ht="15.6">
      <c r="A100" s="23">
        <v>109</v>
      </c>
      <c r="B100" s="8" t="s">
        <v>208</v>
      </c>
      <c r="C100" s="75" t="s">
        <v>209</v>
      </c>
      <c r="D100" s="74">
        <v>0</v>
      </c>
      <c r="E100" s="34"/>
      <c r="F100" s="50"/>
      <c r="G100" s="36"/>
      <c r="H100" s="50"/>
      <c r="I100" s="46"/>
      <c r="J100" s="50"/>
      <c r="K100" s="46"/>
      <c r="L100" s="50"/>
      <c r="M100" s="46"/>
      <c r="N100" s="61"/>
      <c r="O100" s="57">
        <v>1</v>
      </c>
      <c r="P100" s="50">
        <v>1</v>
      </c>
      <c r="Q100" s="46"/>
      <c r="R100" s="50"/>
      <c r="S100" s="46"/>
      <c r="T100" s="50"/>
      <c r="U100" s="46"/>
      <c r="V100" s="80"/>
      <c r="W100" s="26">
        <f t="shared" si="20"/>
        <v>1</v>
      </c>
      <c r="X100" s="49">
        <f t="shared" si="21"/>
        <v>1</v>
      </c>
      <c r="Y100" s="68">
        <f t="shared" si="22"/>
        <v>0</v>
      </c>
      <c r="Z100" s="87">
        <f t="shared" si="26"/>
        <v>0</v>
      </c>
      <c r="AA100" s="85">
        <f t="shared" si="27"/>
        <v>0</v>
      </c>
      <c r="AB100" s="28"/>
      <c r="AC100" s="90">
        <v>0</v>
      </c>
      <c r="AD100" s="90">
        <v>0</v>
      </c>
      <c r="AE100" s="90">
        <v>0</v>
      </c>
      <c r="AF100" s="90">
        <f t="shared" si="28"/>
        <v>0</v>
      </c>
      <c r="AG100" s="90">
        <f t="shared" si="16"/>
        <v>0</v>
      </c>
      <c r="AH100" s="91"/>
      <c r="AI100" s="91">
        <f t="shared" si="24"/>
        <v>0</v>
      </c>
      <c r="AJ100" s="92"/>
      <c r="AK100" s="92">
        <f t="shared" si="23"/>
        <v>0</v>
      </c>
      <c r="AL100" s="92"/>
      <c r="AM100" s="110">
        <f t="shared" si="25"/>
        <v>0</v>
      </c>
    </row>
    <row r="101" spans="1:39" ht="15.6">
      <c r="A101" s="3">
        <v>110</v>
      </c>
      <c r="B101" s="8" t="s">
        <v>210</v>
      </c>
      <c r="C101" s="76" t="s">
        <v>211</v>
      </c>
      <c r="D101" s="74">
        <v>0</v>
      </c>
      <c r="E101" s="34"/>
      <c r="F101" s="50"/>
      <c r="G101" s="36"/>
      <c r="H101" s="50"/>
      <c r="I101" s="46"/>
      <c r="J101" s="50"/>
      <c r="K101" s="46"/>
      <c r="L101" s="50"/>
      <c r="M101" s="46"/>
      <c r="N101" s="61"/>
      <c r="O101" s="57">
        <v>1</v>
      </c>
      <c r="P101" s="50">
        <v>1</v>
      </c>
      <c r="Q101" s="46"/>
      <c r="R101" s="50"/>
      <c r="S101" s="46"/>
      <c r="T101" s="50"/>
      <c r="U101" s="46"/>
      <c r="V101" s="80"/>
      <c r="W101" s="26">
        <f t="shared" si="20"/>
        <v>1</v>
      </c>
      <c r="X101" s="49">
        <f t="shared" si="21"/>
        <v>1</v>
      </c>
      <c r="Y101" s="68">
        <f t="shared" si="22"/>
        <v>0</v>
      </c>
      <c r="Z101" s="87">
        <f t="shared" si="26"/>
        <v>0</v>
      </c>
      <c r="AA101" s="85">
        <f t="shared" si="27"/>
        <v>0</v>
      </c>
      <c r="AB101" s="28"/>
      <c r="AC101" s="90">
        <v>0</v>
      </c>
      <c r="AD101" s="90">
        <v>0</v>
      </c>
      <c r="AE101" s="90">
        <v>0</v>
      </c>
      <c r="AF101" s="90">
        <f t="shared" si="28"/>
        <v>0</v>
      </c>
      <c r="AG101" s="90">
        <f t="shared" si="16"/>
        <v>0</v>
      </c>
      <c r="AH101" s="91"/>
      <c r="AI101" s="91">
        <f t="shared" si="24"/>
        <v>0</v>
      </c>
      <c r="AJ101" s="92"/>
      <c r="AK101" s="92">
        <f t="shared" si="23"/>
        <v>0</v>
      </c>
      <c r="AL101" s="92"/>
      <c r="AM101" s="110">
        <f t="shared" si="25"/>
        <v>0</v>
      </c>
    </row>
    <row r="102" spans="1:39" ht="15.6">
      <c r="A102" s="23">
        <v>111</v>
      </c>
      <c r="B102" s="8" t="s">
        <v>212</v>
      </c>
      <c r="C102" s="76" t="s">
        <v>213</v>
      </c>
      <c r="D102" s="74">
        <v>0</v>
      </c>
      <c r="E102" s="34"/>
      <c r="F102" s="50"/>
      <c r="G102" s="36"/>
      <c r="H102" s="50"/>
      <c r="I102" s="46"/>
      <c r="J102" s="50"/>
      <c r="K102" s="46"/>
      <c r="L102" s="50"/>
      <c r="M102" s="46"/>
      <c r="N102" s="61"/>
      <c r="O102" s="57">
        <v>1</v>
      </c>
      <c r="P102" s="50">
        <v>1</v>
      </c>
      <c r="Q102" s="46"/>
      <c r="R102" s="50"/>
      <c r="S102" s="46"/>
      <c r="T102" s="50"/>
      <c r="U102" s="46"/>
      <c r="V102" s="80"/>
      <c r="W102" s="26">
        <f t="shared" si="20"/>
        <v>1</v>
      </c>
      <c r="X102" s="49">
        <f t="shared" si="21"/>
        <v>1</v>
      </c>
      <c r="Y102" s="71">
        <f t="shared" si="22"/>
        <v>0</v>
      </c>
      <c r="Z102" s="87">
        <f t="shared" si="26"/>
        <v>0</v>
      </c>
      <c r="AA102" s="85">
        <f t="shared" si="27"/>
        <v>0</v>
      </c>
      <c r="AB102" s="28"/>
      <c r="AC102" s="90">
        <v>0</v>
      </c>
      <c r="AD102" s="90">
        <v>0</v>
      </c>
      <c r="AE102" s="90">
        <v>0</v>
      </c>
      <c r="AF102" s="90">
        <f t="shared" si="28"/>
        <v>0</v>
      </c>
      <c r="AG102" s="90">
        <f t="shared" si="16"/>
        <v>0</v>
      </c>
      <c r="AH102" s="91"/>
      <c r="AI102" s="91">
        <f t="shared" si="24"/>
        <v>0</v>
      </c>
      <c r="AJ102" s="92"/>
      <c r="AK102" s="92">
        <f t="shared" si="23"/>
        <v>0</v>
      </c>
      <c r="AL102" s="92"/>
      <c r="AM102" s="110">
        <f t="shared" si="25"/>
        <v>0</v>
      </c>
    </row>
    <row r="103" spans="1:39" ht="15.6">
      <c r="A103" s="3">
        <v>112</v>
      </c>
      <c r="B103" s="8" t="s">
        <v>214</v>
      </c>
      <c r="C103" s="76" t="s">
        <v>215</v>
      </c>
      <c r="D103" s="74">
        <v>0</v>
      </c>
      <c r="E103" s="34"/>
      <c r="F103" s="50"/>
      <c r="G103" s="36"/>
      <c r="H103" s="50"/>
      <c r="I103" s="46"/>
      <c r="J103" s="50"/>
      <c r="K103" s="46"/>
      <c r="L103" s="50"/>
      <c r="M103" s="46"/>
      <c r="N103" s="61"/>
      <c r="O103" s="57">
        <v>2</v>
      </c>
      <c r="P103" s="50">
        <v>2</v>
      </c>
      <c r="Q103" s="46"/>
      <c r="R103" s="50"/>
      <c r="S103" s="46"/>
      <c r="T103" s="50"/>
      <c r="U103" s="46"/>
      <c r="V103" s="80"/>
      <c r="W103" s="26">
        <f t="shared" si="20"/>
        <v>2</v>
      </c>
      <c r="X103" s="49">
        <f t="shared" si="21"/>
        <v>2</v>
      </c>
      <c r="Y103" s="71">
        <f t="shared" si="22"/>
        <v>0</v>
      </c>
      <c r="Z103" s="87">
        <f t="shared" si="26"/>
        <v>0</v>
      </c>
      <c r="AA103" s="85">
        <f t="shared" si="27"/>
        <v>0</v>
      </c>
      <c r="AB103" s="28"/>
      <c r="AC103" s="90">
        <v>0</v>
      </c>
      <c r="AD103" s="90">
        <v>0</v>
      </c>
      <c r="AE103" s="90">
        <v>0</v>
      </c>
      <c r="AF103" s="90">
        <f t="shared" si="28"/>
        <v>0</v>
      </c>
      <c r="AG103" s="90">
        <f t="shared" si="16"/>
        <v>0</v>
      </c>
      <c r="AH103" s="91"/>
      <c r="AI103" s="91">
        <f t="shared" si="24"/>
        <v>0</v>
      </c>
      <c r="AJ103" s="92"/>
      <c r="AK103" s="92">
        <f t="shared" si="23"/>
        <v>0</v>
      </c>
      <c r="AL103" s="92"/>
      <c r="AM103" s="110">
        <f t="shared" si="25"/>
        <v>0</v>
      </c>
    </row>
    <row r="104" spans="1:39" ht="15.6">
      <c r="A104" s="23">
        <v>113</v>
      </c>
      <c r="B104" s="8" t="s">
        <v>216</v>
      </c>
      <c r="C104" s="76" t="s">
        <v>217</v>
      </c>
      <c r="D104" s="74">
        <v>0</v>
      </c>
      <c r="E104" s="34"/>
      <c r="F104" s="50"/>
      <c r="G104" s="36"/>
      <c r="H104" s="50"/>
      <c r="I104" s="46"/>
      <c r="J104" s="50"/>
      <c r="K104" s="46"/>
      <c r="L104" s="50"/>
      <c r="M104" s="46"/>
      <c r="N104" s="61"/>
      <c r="O104" s="57">
        <v>2</v>
      </c>
      <c r="P104" s="50">
        <v>2</v>
      </c>
      <c r="Q104" s="46"/>
      <c r="R104" s="50"/>
      <c r="S104" s="46"/>
      <c r="T104" s="50"/>
      <c r="U104" s="46"/>
      <c r="V104" s="80"/>
      <c r="W104" s="26">
        <f t="shared" si="20"/>
        <v>2</v>
      </c>
      <c r="X104" s="49">
        <f t="shared" si="21"/>
        <v>2</v>
      </c>
      <c r="Y104" s="68">
        <f t="shared" si="22"/>
        <v>0</v>
      </c>
      <c r="Z104" s="87">
        <f t="shared" si="26"/>
        <v>0</v>
      </c>
      <c r="AA104" s="85">
        <f t="shared" si="27"/>
        <v>0</v>
      </c>
      <c r="AB104" s="28"/>
      <c r="AC104" s="90">
        <v>0</v>
      </c>
      <c r="AD104" s="90">
        <v>0</v>
      </c>
      <c r="AE104" s="90">
        <v>0</v>
      </c>
      <c r="AF104" s="90">
        <f t="shared" si="28"/>
        <v>0</v>
      </c>
      <c r="AG104" s="90">
        <f t="shared" si="16"/>
        <v>0</v>
      </c>
      <c r="AH104" s="91"/>
      <c r="AI104" s="91">
        <f t="shared" si="24"/>
        <v>0</v>
      </c>
      <c r="AJ104" s="92"/>
      <c r="AK104" s="92">
        <f t="shared" si="23"/>
        <v>0</v>
      </c>
      <c r="AL104" s="92"/>
      <c r="AM104" s="110">
        <f t="shared" si="25"/>
        <v>0</v>
      </c>
    </row>
    <row r="105" spans="1:39" ht="15.6">
      <c r="A105" s="3">
        <v>114</v>
      </c>
      <c r="B105" s="6"/>
      <c r="C105" s="77" t="s">
        <v>229</v>
      </c>
      <c r="D105" s="74">
        <v>0</v>
      </c>
      <c r="E105" s="34"/>
      <c r="F105" s="50"/>
      <c r="G105" s="36"/>
      <c r="H105" s="50"/>
      <c r="I105" s="46"/>
      <c r="J105" s="50"/>
      <c r="K105" s="46"/>
      <c r="L105" s="50"/>
      <c r="M105" s="46"/>
      <c r="N105" s="61"/>
      <c r="O105" s="57">
        <v>1</v>
      </c>
      <c r="P105" s="50">
        <v>1</v>
      </c>
      <c r="Q105" s="46"/>
      <c r="R105" s="50"/>
      <c r="S105" s="46"/>
      <c r="T105" s="50"/>
      <c r="U105" s="46"/>
      <c r="V105" s="80"/>
      <c r="W105" s="26">
        <f t="shared" si="20"/>
        <v>1</v>
      </c>
      <c r="X105" s="49">
        <f t="shared" si="21"/>
        <v>1</v>
      </c>
      <c r="Y105" s="68">
        <f t="shared" si="22"/>
        <v>0</v>
      </c>
      <c r="Z105" s="87">
        <f t="shared" si="26"/>
        <v>0</v>
      </c>
      <c r="AA105" s="85">
        <f t="shared" si="27"/>
        <v>0</v>
      </c>
      <c r="AB105" s="28"/>
      <c r="AC105" s="90">
        <v>0</v>
      </c>
      <c r="AD105" s="90">
        <v>0</v>
      </c>
      <c r="AE105" s="90">
        <v>0</v>
      </c>
      <c r="AF105" s="90">
        <f t="shared" si="28"/>
        <v>0</v>
      </c>
      <c r="AG105" s="90">
        <f t="shared" si="16"/>
        <v>0</v>
      </c>
      <c r="AH105" s="91"/>
      <c r="AI105" s="91">
        <f t="shared" si="24"/>
        <v>0</v>
      </c>
      <c r="AJ105" s="92"/>
      <c r="AK105" s="92">
        <f t="shared" si="23"/>
        <v>0</v>
      </c>
      <c r="AL105" s="92"/>
      <c r="AM105" s="110">
        <f t="shared" si="25"/>
        <v>0</v>
      </c>
    </row>
    <row r="106" spans="1:39" ht="15.6">
      <c r="A106" s="23">
        <v>115</v>
      </c>
      <c r="B106" s="6" t="s">
        <v>218</v>
      </c>
      <c r="C106" s="76" t="s">
        <v>219</v>
      </c>
      <c r="D106" s="74">
        <v>0</v>
      </c>
      <c r="E106" s="34"/>
      <c r="F106" s="50"/>
      <c r="G106" s="36"/>
      <c r="H106" s="50"/>
      <c r="I106" s="46"/>
      <c r="J106" s="50"/>
      <c r="K106" s="46"/>
      <c r="L106" s="50"/>
      <c r="M106" s="46"/>
      <c r="N106" s="61"/>
      <c r="O106" s="57">
        <v>10</v>
      </c>
      <c r="P106" s="50"/>
      <c r="Q106" s="46"/>
      <c r="R106" s="50">
        <v>8</v>
      </c>
      <c r="S106" s="46"/>
      <c r="T106" s="50"/>
      <c r="U106" s="46">
        <v>10</v>
      </c>
      <c r="V106" s="80">
        <v>0</v>
      </c>
      <c r="W106" s="26">
        <f t="shared" si="20"/>
        <v>20</v>
      </c>
      <c r="X106" s="49">
        <f t="shared" si="21"/>
        <v>8</v>
      </c>
      <c r="Y106" s="70">
        <f t="shared" si="22"/>
        <v>12</v>
      </c>
      <c r="Z106" s="87">
        <f t="shared" si="26"/>
        <v>2</v>
      </c>
      <c r="AA106" s="85">
        <f t="shared" si="27"/>
        <v>10</v>
      </c>
      <c r="AB106" s="28"/>
      <c r="AC106" s="90">
        <v>2</v>
      </c>
      <c r="AD106" s="90">
        <v>0</v>
      </c>
      <c r="AE106" s="90">
        <v>10</v>
      </c>
      <c r="AF106" s="90">
        <f t="shared" si="28"/>
        <v>12</v>
      </c>
      <c r="AG106" s="90">
        <f t="shared" ref="AG106:AG130" si="29">Y106-AF106</f>
        <v>0</v>
      </c>
      <c r="AH106" s="91">
        <v>1317</v>
      </c>
      <c r="AI106" s="91">
        <f t="shared" si="24"/>
        <v>2634</v>
      </c>
      <c r="AJ106" s="93">
        <v>1317</v>
      </c>
      <c r="AK106" s="92">
        <f t="shared" si="23"/>
        <v>0</v>
      </c>
      <c r="AL106" s="92">
        <v>1317</v>
      </c>
      <c r="AM106" s="110">
        <f t="shared" si="25"/>
        <v>13170</v>
      </c>
    </row>
    <row r="107" spans="1:39" ht="15.6">
      <c r="A107" s="3">
        <v>116</v>
      </c>
      <c r="B107" s="9" t="s">
        <v>221</v>
      </c>
      <c r="C107" s="65" t="s">
        <v>222</v>
      </c>
      <c r="D107" s="74">
        <v>58</v>
      </c>
      <c r="E107" s="34"/>
      <c r="F107" s="50"/>
      <c r="G107" s="36"/>
      <c r="H107" s="50"/>
      <c r="I107" s="46"/>
      <c r="J107" s="50"/>
      <c r="K107" s="46"/>
      <c r="L107" s="50"/>
      <c r="M107" s="46"/>
      <c r="N107" s="61"/>
      <c r="O107" s="57"/>
      <c r="P107" s="50"/>
      <c r="Q107" s="46"/>
      <c r="R107" s="50"/>
      <c r="S107" s="46"/>
      <c r="T107" s="50"/>
      <c r="U107" s="46">
        <v>0</v>
      </c>
      <c r="V107" s="80">
        <v>0</v>
      </c>
      <c r="W107" s="26">
        <f t="shared" si="20"/>
        <v>58</v>
      </c>
      <c r="X107" s="49">
        <f t="shared" si="21"/>
        <v>0</v>
      </c>
      <c r="Y107" s="70">
        <f t="shared" si="22"/>
        <v>58</v>
      </c>
      <c r="Z107" s="87">
        <f t="shared" si="26"/>
        <v>58</v>
      </c>
      <c r="AA107" s="85">
        <f t="shared" si="27"/>
        <v>0</v>
      </c>
      <c r="AB107" s="28"/>
      <c r="AC107" s="90">
        <v>58</v>
      </c>
      <c r="AD107" s="90">
        <v>0</v>
      </c>
      <c r="AE107" s="90">
        <v>0</v>
      </c>
      <c r="AF107" s="90">
        <f t="shared" si="28"/>
        <v>58</v>
      </c>
      <c r="AG107" s="90">
        <f t="shared" si="29"/>
        <v>0</v>
      </c>
      <c r="AH107" s="91">
        <v>44.62</v>
      </c>
      <c r="AI107" s="91">
        <f t="shared" si="24"/>
        <v>2587.96</v>
      </c>
      <c r="AJ107" s="93"/>
      <c r="AK107" s="92">
        <f t="shared" si="23"/>
        <v>0</v>
      </c>
      <c r="AL107" s="92"/>
      <c r="AM107" s="110">
        <f t="shared" si="25"/>
        <v>0</v>
      </c>
    </row>
    <row r="108" spans="1:39" ht="15.6">
      <c r="A108" s="23">
        <v>117</v>
      </c>
      <c r="B108" s="64" t="s">
        <v>231</v>
      </c>
      <c r="C108" s="65" t="s">
        <v>242</v>
      </c>
      <c r="D108" s="74">
        <v>0</v>
      </c>
      <c r="E108" s="34"/>
      <c r="F108" s="50"/>
      <c r="G108" s="36"/>
      <c r="H108" s="50"/>
      <c r="I108" s="46"/>
      <c r="J108" s="50"/>
      <c r="K108" s="46"/>
      <c r="L108" s="50"/>
      <c r="M108" s="46"/>
      <c r="N108" s="61"/>
      <c r="O108" s="57"/>
      <c r="P108" s="50"/>
      <c r="Q108" s="46"/>
      <c r="R108" s="50"/>
      <c r="S108" s="46"/>
      <c r="T108" s="50"/>
      <c r="U108" s="46">
        <v>0</v>
      </c>
      <c r="V108" s="80">
        <v>0</v>
      </c>
      <c r="W108" s="26">
        <f t="shared" si="20"/>
        <v>0</v>
      </c>
      <c r="X108" s="49">
        <f t="shared" si="21"/>
        <v>0</v>
      </c>
      <c r="Y108" s="71">
        <f t="shared" si="22"/>
        <v>0</v>
      </c>
      <c r="Z108" s="87">
        <f t="shared" si="26"/>
        <v>0</v>
      </c>
      <c r="AA108" s="85">
        <f t="shared" si="27"/>
        <v>0</v>
      </c>
      <c r="AB108" s="28"/>
      <c r="AC108" s="90">
        <v>0</v>
      </c>
      <c r="AD108" s="90">
        <v>0</v>
      </c>
      <c r="AE108" s="90">
        <v>0</v>
      </c>
      <c r="AF108" s="90">
        <f t="shared" si="28"/>
        <v>0</v>
      </c>
      <c r="AG108" s="90">
        <f t="shared" si="29"/>
        <v>0</v>
      </c>
      <c r="AH108" s="91">
        <v>168.75</v>
      </c>
      <c r="AI108" s="91">
        <f t="shared" si="24"/>
        <v>0</v>
      </c>
      <c r="AJ108" s="93">
        <v>168.75</v>
      </c>
      <c r="AK108" s="92">
        <f t="shared" si="23"/>
        <v>0</v>
      </c>
      <c r="AL108" s="92">
        <v>168.75</v>
      </c>
      <c r="AM108" s="110">
        <f t="shared" si="25"/>
        <v>0</v>
      </c>
    </row>
    <row r="109" spans="1:39" s="106" customFormat="1" ht="15.6">
      <c r="A109" s="23">
        <v>118</v>
      </c>
      <c r="B109" s="64" t="s">
        <v>232</v>
      </c>
      <c r="C109" s="65" t="s">
        <v>230</v>
      </c>
      <c r="D109" s="74">
        <v>0</v>
      </c>
      <c r="E109" s="34"/>
      <c r="F109" s="50"/>
      <c r="G109" s="36"/>
      <c r="H109" s="50"/>
      <c r="I109" s="46"/>
      <c r="J109" s="50"/>
      <c r="K109" s="46"/>
      <c r="L109" s="50"/>
      <c r="M109" s="46"/>
      <c r="N109" s="61"/>
      <c r="O109" s="57">
        <v>2</v>
      </c>
      <c r="P109" s="50">
        <v>2</v>
      </c>
      <c r="Q109" s="46">
        <v>4</v>
      </c>
      <c r="R109" s="50">
        <v>4</v>
      </c>
      <c r="S109" s="46">
        <v>2</v>
      </c>
      <c r="T109" s="50">
        <v>2</v>
      </c>
      <c r="U109" s="46"/>
      <c r="V109" s="80"/>
      <c r="W109" s="26">
        <f t="shared" si="20"/>
        <v>8</v>
      </c>
      <c r="X109" s="49">
        <f t="shared" si="21"/>
        <v>8</v>
      </c>
      <c r="Y109" s="71">
        <f t="shared" si="22"/>
        <v>0</v>
      </c>
      <c r="Z109" s="87">
        <f t="shared" si="26"/>
        <v>-2</v>
      </c>
      <c r="AA109" s="85">
        <f t="shared" si="27"/>
        <v>2</v>
      </c>
      <c r="AB109" s="103"/>
      <c r="AC109" s="104">
        <v>0</v>
      </c>
      <c r="AD109" s="104">
        <v>0</v>
      </c>
      <c r="AE109" s="90">
        <v>0</v>
      </c>
      <c r="AF109" s="104">
        <f t="shared" si="28"/>
        <v>0</v>
      </c>
      <c r="AG109" s="90">
        <f t="shared" si="29"/>
        <v>0</v>
      </c>
      <c r="AH109" s="93"/>
      <c r="AI109" s="93">
        <f t="shared" si="24"/>
        <v>0</v>
      </c>
      <c r="AJ109" s="105"/>
      <c r="AK109" s="105">
        <f t="shared" si="23"/>
        <v>0</v>
      </c>
      <c r="AL109" s="105"/>
      <c r="AM109" s="111">
        <f t="shared" si="25"/>
        <v>0</v>
      </c>
    </row>
    <row r="110" spans="1:39" ht="15.6">
      <c r="A110" s="23">
        <v>119</v>
      </c>
      <c r="B110" s="8"/>
      <c r="C110" s="39" t="s">
        <v>228</v>
      </c>
      <c r="D110" s="74">
        <v>0</v>
      </c>
      <c r="E110" s="44"/>
      <c r="F110" s="50"/>
      <c r="G110" s="46"/>
      <c r="H110" s="50"/>
      <c r="I110" s="46"/>
      <c r="J110" s="50"/>
      <c r="K110" s="46"/>
      <c r="L110" s="50"/>
      <c r="M110" s="46">
        <v>1</v>
      </c>
      <c r="N110" s="61">
        <v>1</v>
      </c>
      <c r="O110" s="57"/>
      <c r="P110" s="50"/>
      <c r="Q110" s="46"/>
      <c r="R110" s="50"/>
      <c r="S110" s="46"/>
      <c r="T110" s="50"/>
      <c r="U110" s="46"/>
      <c r="V110" s="80"/>
      <c r="W110" s="26">
        <f t="shared" si="20"/>
        <v>1</v>
      </c>
      <c r="X110" s="49">
        <f t="shared" si="21"/>
        <v>1</v>
      </c>
      <c r="Y110" s="68">
        <f t="shared" si="22"/>
        <v>0</v>
      </c>
      <c r="Z110" s="87">
        <f t="shared" si="26"/>
        <v>0</v>
      </c>
      <c r="AA110" s="85">
        <f t="shared" si="27"/>
        <v>0</v>
      </c>
      <c r="AB110" s="28"/>
      <c r="AC110" s="90">
        <v>0</v>
      </c>
      <c r="AD110" s="90">
        <v>0</v>
      </c>
      <c r="AE110" s="90">
        <v>0</v>
      </c>
      <c r="AF110" s="90">
        <f t="shared" si="28"/>
        <v>0</v>
      </c>
      <c r="AG110" s="90">
        <f t="shared" si="29"/>
        <v>0</v>
      </c>
      <c r="AH110" s="91"/>
      <c r="AI110" s="91">
        <f t="shared" si="24"/>
        <v>0</v>
      </c>
      <c r="AJ110" s="92"/>
      <c r="AK110" s="92">
        <f t="shared" si="23"/>
        <v>0</v>
      </c>
      <c r="AL110" s="92"/>
      <c r="AM110" s="110">
        <f t="shared" si="25"/>
        <v>0</v>
      </c>
    </row>
    <row r="111" spans="1:39" ht="15.6">
      <c r="A111" s="3">
        <v>120</v>
      </c>
      <c r="B111" s="1"/>
      <c r="C111" s="10" t="s">
        <v>193</v>
      </c>
      <c r="D111" s="74">
        <v>0</v>
      </c>
      <c r="E111" s="44"/>
      <c r="F111" s="50"/>
      <c r="G111" s="46"/>
      <c r="H111" s="50"/>
      <c r="I111" s="46"/>
      <c r="J111" s="50"/>
      <c r="K111" s="46"/>
      <c r="L111" s="50"/>
      <c r="M111" s="46"/>
      <c r="N111" s="61"/>
      <c r="O111" s="57"/>
      <c r="P111" s="50"/>
      <c r="Q111" s="46"/>
      <c r="R111" s="50"/>
      <c r="S111" s="46"/>
      <c r="T111" s="50"/>
      <c r="U111" s="46"/>
      <c r="V111" s="80"/>
      <c r="W111" s="26">
        <f t="shared" si="20"/>
        <v>0</v>
      </c>
      <c r="X111" s="49">
        <f t="shared" si="21"/>
        <v>0</v>
      </c>
      <c r="Y111" s="68">
        <f t="shared" si="22"/>
        <v>0</v>
      </c>
      <c r="Z111" s="87">
        <f t="shared" si="26"/>
        <v>0</v>
      </c>
      <c r="AA111" s="85">
        <f t="shared" si="27"/>
        <v>0</v>
      </c>
      <c r="AB111" s="28"/>
      <c r="AC111" s="90">
        <v>0</v>
      </c>
      <c r="AD111" s="90">
        <v>0</v>
      </c>
      <c r="AE111" s="90">
        <v>0</v>
      </c>
      <c r="AF111" s="90">
        <f t="shared" si="28"/>
        <v>0</v>
      </c>
      <c r="AG111" s="90">
        <f t="shared" si="29"/>
        <v>0</v>
      </c>
      <c r="AH111" s="91"/>
      <c r="AI111" s="91">
        <f t="shared" si="24"/>
        <v>0</v>
      </c>
      <c r="AJ111" s="92"/>
      <c r="AK111" s="92">
        <f t="shared" si="23"/>
        <v>0</v>
      </c>
      <c r="AL111" s="92"/>
      <c r="AM111" s="110">
        <f t="shared" si="25"/>
        <v>0</v>
      </c>
    </row>
    <row r="112" spans="1:39" ht="15.6">
      <c r="A112" s="3">
        <v>122</v>
      </c>
      <c r="B112" s="7" t="s">
        <v>236</v>
      </c>
      <c r="C112" s="63" t="s">
        <v>233</v>
      </c>
      <c r="D112" s="74">
        <v>0</v>
      </c>
      <c r="E112" s="34"/>
      <c r="F112" s="50"/>
      <c r="G112" s="36"/>
      <c r="H112" s="50"/>
      <c r="I112" s="46"/>
      <c r="J112" s="50"/>
      <c r="K112" s="46"/>
      <c r="L112" s="50"/>
      <c r="M112" s="46"/>
      <c r="N112" s="61"/>
      <c r="O112" s="57"/>
      <c r="P112" s="50"/>
      <c r="Q112" s="46"/>
      <c r="R112" s="50"/>
      <c r="S112" s="46"/>
      <c r="T112" s="50"/>
      <c r="U112" s="46"/>
      <c r="V112" s="80"/>
      <c r="W112" s="26">
        <f t="shared" si="20"/>
        <v>0</v>
      </c>
      <c r="X112" s="49">
        <f t="shared" si="21"/>
        <v>0</v>
      </c>
      <c r="Y112" s="68">
        <f t="shared" si="22"/>
        <v>0</v>
      </c>
      <c r="Z112" s="87">
        <f t="shared" si="26"/>
        <v>0</v>
      </c>
      <c r="AA112" s="85">
        <f t="shared" si="27"/>
        <v>0</v>
      </c>
      <c r="AB112" s="28"/>
      <c r="AC112" s="90">
        <v>0</v>
      </c>
      <c r="AD112" s="90">
        <v>0</v>
      </c>
      <c r="AE112" s="90">
        <v>0</v>
      </c>
      <c r="AF112" s="90">
        <f t="shared" si="28"/>
        <v>0</v>
      </c>
      <c r="AG112" s="90">
        <f t="shared" si="29"/>
        <v>0</v>
      </c>
      <c r="AH112" s="91"/>
      <c r="AI112" s="91">
        <f t="shared" si="24"/>
        <v>0</v>
      </c>
      <c r="AJ112" s="92"/>
      <c r="AK112" s="92">
        <f t="shared" si="23"/>
        <v>0</v>
      </c>
      <c r="AL112" s="92"/>
      <c r="AM112" s="110">
        <f t="shared" si="25"/>
        <v>0</v>
      </c>
    </row>
    <row r="113" spans="1:39" ht="15.6">
      <c r="A113" s="23">
        <v>123</v>
      </c>
      <c r="B113" s="7" t="s">
        <v>237</v>
      </c>
      <c r="C113" s="65" t="s">
        <v>234</v>
      </c>
      <c r="D113" s="74">
        <v>0</v>
      </c>
      <c r="E113" s="34"/>
      <c r="F113" s="50"/>
      <c r="G113" s="36"/>
      <c r="H113" s="50"/>
      <c r="I113" s="46"/>
      <c r="J113" s="50"/>
      <c r="K113" s="46"/>
      <c r="L113" s="50"/>
      <c r="M113" s="46"/>
      <c r="N113" s="61"/>
      <c r="O113" s="57"/>
      <c r="P113" s="50"/>
      <c r="Q113" s="46"/>
      <c r="R113" s="50"/>
      <c r="S113" s="46"/>
      <c r="T113" s="50"/>
      <c r="U113" s="46"/>
      <c r="V113" s="80"/>
      <c r="W113" s="26">
        <f t="shared" si="20"/>
        <v>0</v>
      </c>
      <c r="X113" s="49">
        <f t="shared" si="21"/>
        <v>0</v>
      </c>
      <c r="Y113" s="68">
        <f t="shared" si="22"/>
        <v>0</v>
      </c>
      <c r="Z113" s="87">
        <f t="shared" si="26"/>
        <v>0</v>
      </c>
      <c r="AA113" s="85">
        <f t="shared" si="27"/>
        <v>0</v>
      </c>
      <c r="AB113" s="28"/>
      <c r="AC113" s="90">
        <v>0</v>
      </c>
      <c r="AD113" s="90">
        <v>0</v>
      </c>
      <c r="AE113" s="90">
        <v>0</v>
      </c>
      <c r="AF113" s="90">
        <f t="shared" si="28"/>
        <v>0</v>
      </c>
      <c r="AG113" s="90">
        <f t="shared" si="29"/>
        <v>0</v>
      </c>
      <c r="AH113" s="91"/>
      <c r="AI113" s="91">
        <f t="shared" si="24"/>
        <v>0</v>
      </c>
      <c r="AJ113" s="92"/>
      <c r="AK113" s="92">
        <f t="shared" si="23"/>
        <v>0</v>
      </c>
      <c r="AL113" s="92"/>
      <c r="AM113" s="110">
        <f t="shared" si="25"/>
        <v>0</v>
      </c>
    </row>
    <row r="114" spans="1:39" ht="15.6">
      <c r="A114" s="3">
        <v>124</v>
      </c>
      <c r="B114" s="2" t="s">
        <v>238</v>
      </c>
      <c r="C114" s="65" t="s">
        <v>235</v>
      </c>
      <c r="D114" s="74">
        <v>0</v>
      </c>
      <c r="E114" s="34"/>
      <c r="F114" s="50"/>
      <c r="G114" s="36"/>
      <c r="H114" s="50"/>
      <c r="I114" s="46"/>
      <c r="J114" s="50"/>
      <c r="K114" s="46"/>
      <c r="L114" s="50"/>
      <c r="M114" s="46"/>
      <c r="N114" s="61"/>
      <c r="O114" s="57"/>
      <c r="P114" s="50"/>
      <c r="Q114" s="46"/>
      <c r="R114" s="50"/>
      <c r="S114" s="46">
        <v>2</v>
      </c>
      <c r="T114" s="50">
        <v>2</v>
      </c>
      <c r="U114" s="46"/>
      <c r="V114" s="80"/>
      <c r="W114" s="26">
        <f t="shared" si="20"/>
        <v>2</v>
      </c>
      <c r="X114" s="49">
        <f t="shared" si="21"/>
        <v>2</v>
      </c>
      <c r="Y114" s="68">
        <f t="shared" si="22"/>
        <v>0</v>
      </c>
      <c r="Z114" s="87">
        <f t="shared" si="26"/>
        <v>-2</v>
      </c>
      <c r="AA114" s="85">
        <f t="shared" si="27"/>
        <v>2</v>
      </c>
      <c r="AB114" s="28"/>
      <c r="AC114" s="90">
        <v>0</v>
      </c>
      <c r="AD114" s="90">
        <v>0</v>
      </c>
      <c r="AE114" s="90">
        <v>0</v>
      </c>
      <c r="AF114" s="90">
        <f t="shared" si="28"/>
        <v>0</v>
      </c>
      <c r="AG114" s="90">
        <f t="shared" si="29"/>
        <v>0</v>
      </c>
      <c r="AH114" s="91">
        <v>200.1</v>
      </c>
      <c r="AI114" s="91">
        <f t="shared" si="24"/>
        <v>0</v>
      </c>
      <c r="AJ114" s="93">
        <v>200.1</v>
      </c>
      <c r="AK114" s="92">
        <f t="shared" si="23"/>
        <v>0</v>
      </c>
      <c r="AL114" s="92">
        <v>200.1</v>
      </c>
      <c r="AM114" s="110">
        <f t="shared" si="25"/>
        <v>0</v>
      </c>
    </row>
    <row r="115" spans="1:39" ht="15.6">
      <c r="A115" s="23">
        <v>125</v>
      </c>
      <c r="B115" s="2" t="s">
        <v>76</v>
      </c>
      <c r="C115" s="65">
        <v>66061</v>
      </c>
      <c r="D115" s="74">
        <v>0</v>
      </c>
      <c r="E115" s="34"/>
      <c r="F115" s="50"/>
      <c r="G115" s="36"/>
      <c r="H115" s="50"/>
      <c r="I115" s="46"/>
      <c r="J115" s="50"/>
      <c r="K115" s="46"/>
      <c r="L115" s="50"/>
      <c r="M115" s="46"/>
      <c r="N115" s="61"/>
      <c r="O115" s="57"/>
      <c r="P115" s="50"/>
      <c r="Q115" s="46"/>
      <c r="R115" s="50"/>
      <c r="S115" s="46">
        <v>2</v>
      </c>
      <c r="T115" s="50">
        <v>2</v>
      </c>
      <c r="U115" s="46"/>
      <c r="V115" s="80"/>
      <c r="W115" s="26">
        <f t="shared" si="20"/>
        <v>2</v>
      </c>
      <c r="X115" s="49">
        <f t="shared" si="21"/>
        <v>2</v>
      </c>
      <c r="Y115" s="68">
        <f t="shared" si="22"/>
        <v>0</v>
      </c>
      <c r="Z115" s="87">
        <f t="shared" si="26"/>
        <v>-2</v>
      </c>
      <c r="AA115" s="85">
        <f t="shared" si="27"/>
        <v>2</v>
      </c>
      <c r="AB115" s="28"/>
      <c r="AC115" s="90">
        <v>0</v>
      </c>
      <c r="AD115" s="90">
        <v>0</v>
      </c>
      <c r="AE115" s="90">
        <v>0</v>
      </c>
      <c r="AF115" s="90">
        <f t="shared" si="28"/>
        <v>0</v>
      </c>
      <c r="AG115" s="90">
        <f t="shared" si="29"/>
        <v>0</v>
      </c>
      <c r="AH115" s="91">
        <v>634.79999999999995</v>
      </c>
      <c r="AI115" s="91">
        <f t="shared" si="24"/>
        <v>0</v>
      </c>
      <c r="AJ115" s="93">
        <v>634.79999999999995</v>
      </c>
      <c r="AK115" s="92">
        <f t="shared" si="23"/>
        <v>0</v>
      </c>
      <c r="AL115" s="92">
        <v>634.79999999999995</v>
      </c>
      <c r="AM115" s="110">
        <f t="shared" si="25"/>
        <v>0</v>
      </c>
    </row>
    <row r="116" spans="1:39" ht="15.6">
      <c r="A116" s="3">
        <v>126</v>
      </c>
      <c r="B116" s="7" t="s">
        <v>110</v>
      </c>
      <c r="C116" s="39" t="s">
        <v>239</v>
      </c>
      <c r="D116" s="74">
        <v>0</v>
      </c>
      <c r="E116" s="34"/>
      <c r="F116" s="50"/>
      <c r="G116" s="36"/>
      <c r="H116" s="50"/>
      <c r="I116" s="46"/>
      <c r="J116" s="50"/>
      <c r="K116" s="46"/>
      <c r="L116" s="50"/>
      <c r="M116" s="46"/>
      <c r="N116" s="61"/>
      <c r="O116" s="57"/>
      <c r="P116" s="50"/>
      <c r="Q116" s="46"/>
      <c r="R116" s="50"/>
      <c r="S116" s="46">
        <v>2</v>
      </c>
      <c r="T116" s="50">
        <v>2</v>
      </c>
      <c r="U116" s="46"/>
      <c r="V116" s="80"/>
      <c r="W116" s="26">
        <f t="shared" si="20"/>
        <v>2</v>
      </c>
      <c r="X116" s="49">
        <f t="shared" si="21"/>
        <v>2</v>
      </c>
      <c r="Y116" s="68">
        <f t="shared" si="22"/>
        <v>0</v>
      </c>
      <c r="Z116" s="87">
        <f t="shared" si="26"/>
        <v>-2</v>
      </c>
      <c r="AA116" s="85">
        <f t="shared" si="27"/>
        <v>2</v>
      </c>
      <c r="AB116" s="28"/>
      <c r="AC116" s="90">
        <v>0</v>
      </c>
      <c r="AD116" s="90">
        <v>0</v>
      </c>
      <c r="AE116" s="90">
        <v>0</v>
      </c>
      <c r="AF116" s="90">
        <f t="shared" si="28"/>
        <v>0</v>
      </c>
      <c r="AG116" s="90">
        <f t="shared" si="29"/>
        <v>0</v>
      </c>
      <c r="AH116" s="91">
        <v>39675</v>
      </c>
      <c r="AI116" s="91">
        <f t="shared" si="24"/>
        <v>0</v>
      </c>
      <c r="AJ116" s="93">
        <v>39675</v>
      </c>
      <c r="AK116" s="92">
        <f t="shared" si="23"/>
        <v>0</v>
      </c>
      <c r="AL116" s="92">
        <v>39675</v>
      </c>
      <c r="AM116" s="110">
        <f t="shared" si="25"/>
        <v>0</v>
      </c>
    </row>
    <row r="117" spans="1:39" ht="15.6">
      <c r="A117" s="23">
        <v>127</v>
      </c>
      <c r="B117" s="67" t="s">
        <v>253</v>
      </c>
      <c r="C117" s="65" t="s">
        <v>240</v>
      </c>
      <c r="D117" s="74">
        <v>0</v>
      </c>
      <c r="E117" s="34"/>
      <c r="F117" s="50"/>
      <c r="G117" s="36"/>
      <c r="H117" s="50"/>
      <c r="I117" s="46"/>
      <c r="J117" s="50"/>
      <c r="K117" s="46"/>
      <c r="L117" s="50"/>
      <c r="M117" s="46"/>
      <c r="N117" s="61"/>
      <c r="O117" s="57"/>
      <c r="P117" s="50"/>
      <c r="Q117" s="46"/>
      <c r="R117" s="50"/>
      <c r="S117" s="46"/>
      <c r="T117" s="50"/>
      <c r="U117" s="46">
        <v>0</v>
      </c>
      <c r="V117" s="80">
        <v>0</v>
      </c>
      <c r="W117" s="26">
        <f t="shared" si="20"/>
        <v>0</v>
      </c>
      <c r="X117" s="49">
        <f t="shared" si="21"/>
        <v>0</v>
      </c>
      <c r="Y117" s="68">
        <f t="shared" si="22"/>
        <v>0</v>
      </c>
      <c r="Z117" s="87">
        <f t="shared" si="26"/>
        <v>0</v>
      </c>
      <c r="AA117" s="85">
        <f t="shared" si="27"/>
        <v>0</v>
      </c>
      <c r="AB117" s="28"/>
      <c r="AC117" s="90">
        <v>0</v>
      </c>
      <c r="AD117" s="90">
        <v>0</v>
      </c>
      <c r="AE117" s="90">
        <v>0</v>
      </c>
      <c r="AF117" s="90">
        <f t="shared" si="28"/>
        <v>0</v>
      </c>
      <c r="AG117" s="90">
        <f t="shared" si="29"/>
        <v>0</v>
      </c>
      <c r="AH117" s="91">
        <v>3247.5</v>
      </c>
      <c r="AI117" s="91">
        <f t="shared" si="24"/>
        <v>0</v>
      </c>
      <c r="AJ117" s="93">
        <v>3247.5</v>
      </c>
      <c r="AK117" s="92">
        <f t="shared" si="23"/>
        <v>0</v>
      </c>
      <c r="AL117" s="92">
        <v>3247.5</v>
      </c>
      <c r="AM117" s="110">
        <f t="shared" si="25"/>
        <v>0</v>
      </c>
    </row>
    <row r="118" spans="1:39" ht="15.6">
      <c r="A118" s="3">
        <v>128</v>
      </c>
      <c r="B118" s="67" t="s">
        <v>254</v>
      </c>
      <c r="C118" s="65" t="s">
        <v>241</v>
      </c>
      <c r="D118" s="74">
        <v>0</v>
      </c>
      <c r="E118" s="34"/>
      <c r="F118" s="50"/>
      <c r="G118" s="36"/>
      <c r="H118" s="50"/>
      <c r="I118" s="46"/>
      <c r="J118" s="50"/>
      <c r="K118" s="46"/>
      <c r="L118" s="50"/>
      <c r="M118" s="46"/>
      <c r="N118" s="61"/>
      <c r="O118" s="57"/>
      <c r="P118" s="50"/>
      <c r="Q118" s="46"/>
      <c r="R118" s="50"/>
      <c r="S118" s="46"/>
      <c r="T118" s="50"/>
      <c r="U118" s="46"/>
      <c r="V118" s="80"/>
      <c r="W118" s="26">
        <f t="shared" si="20"/>
        <v>0</v>
      </c>
      <c r="X118" s="49">
        <f t="shared" si="21"/>
        <v>0</v>
      </c>
      <c r="Y118" s="68">
        <f t="shared" si="22"/>
        <v>0</v>
      </c>
      <c r="Z118" s="87">
        <f t="shared" si="26"/>
        <v>0</v>
      </c>
      <c r="AA118" s="85">
        <f t="shared" si="27"/>
        <v>0</v>
      </c>
      <c r="AB118" s="28"/>
      <c r="AC118" s="90">
        <v>0</v>
      </c>
      <c r="AD118" s="90">
        <v>0</v>
      </c>
      <c r="AE118" s="90">
        <v>0</v>
      </c>
      <c r="AF118" s="90">
        <f t="shared" si="28"/>
        <v>0</v>
      </c>
      <c r="AG118" s="90">
        <f t="shared" si="29"/>
        <v>0</v>
      </c>
      <c r="AH118" s="91"/>
      <c r="AI118" s="91">
        <f t="shared" si="24"/>
        <v>0</v>
      </c>
      <c r="AJ118" s="92"/>
      <c r="AK118" s="92">
        <f t="shared" si="23"/>
        <v>0</v>
      </c>
      <c r="AL118" s="92"/>
      <c r="AM118" s="110">
        <f t="shared" si="25"/>
        <v>0</v>
      </c>
    </row>
    <row r="119" spans="1:39" ht="15.6">
      <c r="A119" s="23">
        <v>129</v>
      </c>
      <c r="B119" s="67" t="s">
        <v>255</v>
      </c>
      <c r="C119" s="65" t="s">
        <v>243</v>
      </c>
      <c r="D119" s="74">
        <v>0</v>
      </c>
      <c r="E119" s="34"/>
      <c r="F119" s="50"/>
      <c r="G119" s="36"/>
      <c r="H119" s="50"/>
      <c r="I119" s="46"/>
      <c r="J119" s="50"/>
      <c r="K119" s="46"/>
      <c r="L119" s="50"/>
      <c r="M119" s="46"/>
      <c r="N119" s="61"/>
      <c r="O119" s="57"/>
      <c r="P119" s="50"/>
      <c r="Q119" s="46"/>
      <c r="R119" s="50"/>
      <c r="S119" s="46"/>
      <c r="T119" s="50"/>
      <c r="U119" s="46">
        <v>0</v>
      </c>
      <c r="V119" s="80">
        <v>0</v>
      </c>
      <c r="W119" s="26">
        <f t="shared" si="20"/>
        <v>0</v>
      </c>
      <c r="X119" s="49">
        <f t="shared" si="21"/>
        <v>0</v>
      </c>
      <c r="Y119" s="68">
        <f t="shared" si="22"/>
        <v>0</v>
      </c>
      <c r="Z119" s="87">
        <f t="shared" si="26"/>
        <v>0</v>
      </c>
      <c r="AA119" s="85">
        <f t="shared" si="27"/>
        <v>0</v>
      </c>
      <c r="AB119" s="28"/>
      <c r="AC119" s="90">
        <v>0</v>
      </c>
      <c r="AD119" s="90">
        <v>0</v>
      </c>
      <c r="AE119" s="90">
        <v>0</v>
      </c>
      <c r="AF119" s="90">
        <f t="shared" si="28"/>
        <v>0</v>
      </c>
      <c r="AG119" s="90">
        <f t="shared" si="29"/>
        <v>0</v>
      </c>
      <c r="AH119" s="91">
        <v>11400</v>
      </c>
      <c r="AI119" s="91">
        <f t="shared" si="24"/>
        <v>0</v>
      </c>
      <c r="AJ119" s="93">
        <v>11400</v>
      </c>
      <c r="AK119" s="92">
        <f t="shared" si="23"/>
        <v>0</v>
      </c>
      <c r="AL119" s="92">
        <v>11400</v>
      </c>
      <c r="AM119" s="110">
        <f t="shared" si="25"/>
        <v>0</v>
      </c>
    </row>
    <row r="120" spans="1:39" ht="15.6">
      <c r="A120" s="3">
        <v>130</v>
      </c>
      <c r="B120" s="67" t="s">
        <v>208</v>
      </c>
      <c r="C120" s="65" t="s">
        <v>209</v>
      </c>
      <c r="D120" s="74">
        <v>0</v>
      </c>
      <c r="E120" s="34"/>
      <c r="F120" s="50"/>
      <c r="G120" s="36"/>
      <c r="H120" s="50"/>
      <c r="I120" s="46"/>
      <c r="J120" s="50"/>
      <c r="K120" s="46"/>
      <c r="L120" s="50"/>
      <c r="M120" s="46"/>
      <c r="N120" s="61"/>
      <c r="O120" s="57"/>
      <c r="P120" s="50"/>
      <c r="Q120" s="46"/>
      <c r="R120" s="50"/>
      <c r="S120" s="46"/>
      <c r="T120" s="50"/>
      <c r="U120" s="46">
        <v>0</v>
      </c>
      <c r="V120" s="80">
        <v>0</v>
      </c>
      <c r="W120" s="26">
        <f t="shared" si="20"/>
        <v>0</v>
      </c>
      <c r="X120" s="49">
        <f t="shared" si="21"/>
        <v>0</v>
      </c>
      <c r="Y120" s="68">
        <f t="shared" si="22"/>
        <v>0</v>
      </c>
      <c r="Z120" s="87">
        <f t="shared" si="26"/>
        <v>0</v>
      </c>
      <c r="AA120" s="85">
        <f t="shared" si="27"/>
        <v>0</v>
      </c>
      <c r="AB120" s="28"/>
      <c r="AC120" s="90">
        <v>0</v>
      </c>
      <c r="AD120" s="90">
        <v>0</v>
      </c>
      <c r="AE120" s="90">
        <v>0</v>
      </c>
      <c r="AF120" s="90">
        <f t="shared" si="28"/>
        <v>0</v>
      </c>
      <c r="AG120" s="90">
        <f t="shared" si="29"/>
        <v>0</v>
      </c>
      <c r="AH120" s="91">
        <v>5010</v>
      </c>
      <c r="AI120" s="91">
        <f t="shared" si="24"/>
        <v>0</v>
      </c>
      <c r="AJ120" s="93">
        <v>5010</v>
      </c>
      <c r="AK120" s="92">
        <f t="shared" si="23"/>
        <v>0</v>
      </c>
      <c r="AL120" s="92">
        <v>5010</v>
      </c>
      <c r="AM120" s="110">
        <f t="shared" si="25"/>
        <v>0</v>
      </c>
    </row>
    <row r="121" spans="1:39" ht="15.6">
      <c r="A121" s="23">
        <v>131</v>
      </c>
      <c r="B121" s="67" t="s">
        <v>256</v>
      </c>
      <c r="C121" s="65" t="s">
        <v>244</v>
      </c>
      <c r="D121" s="74">
        <v>0</v>
      </c>
      <c r="E121" s="34"/>
      <c r="F121" s="50"/>
      <c r="G121" s="36"/>
      <c r="H121" s="50"/>
      <c r="I121" s="46"/>
      <c r="J121" s="50"/>
      <c r="K121" s="46"/>
      <c r="L121" s="50"/>
      <c r="M121" s="46"/>
      <c r="N121" s="61"/>
      <c r="O121" s="57"/>
      <c r="P121" s="50"/>
      <c r="Q121" s="46"/>
      <c r="R121" s="50"/>
      <c r="S121" s="46"/>
      <c r="T121" s="50"/>
      <c r="U121" s="46">
        <v>0</v>
      </c>
      <c r="V121" s="80">
        <v>0</v>
      </c>
      <c r="W121" s="26">
        <f t="shared" si="20"/>
        <v>0</v>
      </c>
      <c r="X121" s="49">
        <f t="shared" si="21"/>
        <v>0</v>
      </c>
      <c r="Y121" s="68">
        <f t="shared" ref="Y121:Y130" si="30">SUM(W121-X121)</f>
        <v>0</v>
      </c>
      <c r="Z121" s="87">
        <f t="shared" si="26"/>
        <v>0</v>
      </c>
      <c r="AA121" s="85">
        <f t="shared" si="27"/>
        <v>0</v>
      </c>
      <c r="AB121" s="28"/>
      <c r="AC121" s="90">
        <v>0</v>
      </c>
      <c r="AD121" s="90">
        <v>0</v>
      </c>
      <c r="AE121" s="90">
        <v>0</v>
      </c>
      <c r="AF121" s="90">
        <f t="shared" si="28"/>
        <v>0</v>
      </c>
      <c r="AG121" s="90">
        <f t="shared" si="29"/>
        <v>0</v>
      </c>
      <c r="AH121" s="91">
        <v>1653.75</v>
      </c>
      <c r="AI121" s="91">
        <f t="shared" si="24"/>
        <v>0</v>
      </c>
      <c r="AJ121" s="93">
        <v>1653.75</v>
      </c>
      <c r="AK121" s="92">
        <f t="shared" si="23"/>
        <v>0</v>
      </c>
      <c r="AL121" s="92">
        <v>1653.75</v>
      </c>
      <c r="AM121" s="110">
        <f t="shared" si="25"/>
        <v>0</v>
      </c>
    </row>
    <row r="122" spans="1:39" ht="15.6">
      <c r="A122" s="3">
        <v>132</v>
      </c>
      <c r="B122" s="67" t="s">
        <v>257</v>
      </c>
      <c r="C122" s="65" t="s">
        <v>245</v>
      </c>
      <c r="D122" s="74">
        <v>0</v>
      </c>
      <c r="E122" s="34"/>
      <c r="F122" s="50"/>
      <c r="G122" s="36"/>
      <c r="H122" s="50"/>
      <c r="I122" s="46"/>
      <c r="J122" s="50"/>
      <c r="K122" s="46"/>
      <c r="L122" s="50"/>
      <c r="M122" s="46"/>
      <c r="N122" s="61"/>
      <c r="O122" s="57"/>
      <c r="P122" s="50"/>
      <c r="Q122" s="46"/>
      <c r="R122" s="50"/>
      <c r="S122" s="46"/>
      <c r="T122" s="50"/>
      <c r="U122" s="46">
        <v>0</v>
      </c>
      <c r="V122" s="80">
        <v>0</v>
      </c>
      <c r="W122" s="26">
        <f t="shared" si="20"/>
        <v>0</v>
      </c>
      <c r="X122" s="49">
        <f t="shared" si="21"/>
        <v>0</v>
      </c>
      <c r="Y122" s="68">
        <f t="shared" si="30"/>
        <v>0</v>
      </c>
      <c r="Z122" s="87">
        <f t="shared" si="26"/>
        <v>0</v>
      </c>
      <c r="AA122" s="85">
        <f t="shared" si="27"/>
        <v>0</v>
      </c>
      <c r="AB122" s="28"/>
      <c r="AC122" s="90">
        <v>0</v>
      </c>
      <c r="AD122" s="90">
        <v>0</v>
      </c>
      <c r="AE122" s="90">
        <v>0</v>
      </c>
      <c r="AF122" s="90">
        <f t="shared" si="28"/>
        <v>0</v>
      </c>
      <c r="AG122" s="90">
        <f t="shared" si="29"/>
        <v>0</v>
      </c>
      <c r="AH122" s="91">
        <v>375</v>
      </c>
      <c r="AI122" s="91">
        <f t="shared" si="24"/>
        <v>0</v>
      </c>
      <c r="AJ122" s="93">
        <v>375</v>
      </c>
      <c r="AK122" s="92">
        <f t="shared" si="23"/>
        <v>0</v>
      </c>
      <c r="AL122" s="92">
        <v>375</v>
      </c>
      <c r="AM122" s="110">
        <f>AE122*AL122</f>
        <v>0</v>
      </c>
    </row>
    <row r="123" spans="1:39" ht="15.6">
      <c r="A123" s="23">
        <v>133</v>
      </c>
      <c r="B123" s="67" t="s">
        <v>258</v>
      </c>
      <c r="C123" s="65" t="s">
        <v>246</v>
      </c>
      <c r="D123" s="74">
        <v>0</v>
      </c>
      <c r="E123" s="34"/>
      <c r="F123" s="50"/>
      <c r="G123" s="36"/>
      <c r="H123" s="50"/>
      <c r="I123" s="46"/>
      <c r="J123" s="50"/>
      <c r="K123" s="46"/>
      <c r="L123" s="50"/>
      <c r="M123" s="46"/>
      <c r="N123" s="61"/>
      <c r="O123" s="57"/>
      <c r="P123" s="50"/>
      <c r="Q123" s="46"/>
      <c r="R123" s="50"/>
      <c r="S123" s="46"/>
      <c r="T123" s="50"/>
      <c r="U123" s="46">
        <v>0</v>
      </c>
      <c r="V123" s="80">
        <v>0</v>
      </c>
      <c r="W123" s="26">
        <f t="shared" si="20"/>
        <v>0</v>
      </c>
      <c r="X123" s="49">
        <f t="shared" si="21"/>
        <v>0</v>
      </c>
      <c r="Y123" s="68">
        <f t="shared" si="30"/>
        <v>0</v>
      </c>
      <c r="Z123" s="87">
        <f t="shared" si="26"/>
        <v>0</v>
      </c>
      <c r="AA123" s="85">
        <f t="shared" si="27"/>
        <v>0</v>
      </c>
      <c r="AB123" s="28"/>
      <c r="AC123" s="90">
        <v>0</v>
      </c>
      <c r="AD123" s="90">
        <v>0</v>
      </c>
      <c r="AE123" s="90">
        <v>0</v>
      </c>
      <c r="AF123" s="90">
        <f t="shared" si="28"/>
        <v>0</v>
      </c>
      <c r="AG123" s="90">
        <f t="shared" si="29"/>
        <v>0</v>
      </c>
      <c r="AH123" s="91">
        <v>5040</v>
      </c>
      <c r="AI123" s="91">
        <f t="shared" si="24"/>
        <v>0</v>
      </c>
      <c r="AJ123" s="93">
        <v>5040</v>
      </c>
      <c r="AK123" s="92">
        <f t="shared" si="23"/>
        <v>0</v>
      </c>
      <c r="AL123" s="92">
        <v>5040</v>
      </c>
      <c r="AM123" s="110">
        <f t="shared" si="25"/>
        <v>0</v>
      </c>
    </row>
    <row r="124" spans="1:39" ht="15.6">
      <c r="A124" s="3">
        <v>134</v>
      </c>
      <c r="B124" s="67" t="s">
        <v>259</v>
      </c>
      <c r="C124" s="65" t="s">
        <v>247</v>
      </c>
      <c r="D124" s="74">
        <v>0</v>
      </c>
      <c r="E124" s="34"/>
      <c r="F124" s="50"/>
      <c r="G124" s="36"/>
      <c r="H124" s="50"/>
      <c r="I124" s="46"/>
      <c r="J124" s="50"/>
      <c r="K124" s="46"/>
      <c r="L124" s="50"/>
      <c r="M124" s="46"/>
      <c r="N124" s="61"/>
      <c r="O124" s="57"/>
      <c r="P124" s="50"/>
      <c r="Q124" s="46"/>
      <c r="R124" s="50"/>
      <c r="S124" s="46"/>
      <c r="T124" s="50"/>
      <c r="U124" s="46">
        <v>0</v>
      </c>
      <c r="V124" s="80">
        <v>0</v>
      </c>
      <c r="W124" s="26">
        <f t="shared" si="20"/>
        <v>0</v>
      </c>
      <c r="X124" s="49">
        <f t="shared" si="21"/>
        <v>0</v>
      </c>
      <c r="Y124" s="68">
        <f t="shared" si="30"/>
        <v>0</v>
      </c>
      <c r="Z124" s="87">
        <f t="shared" si="26"/>
        <v>0</v>
      </c>
      <c r="AA124" s="85">
        <f t="shared" si="27"/>
        <v>0</v>
      </c>
      <c r="AB124" s="28"/>
      <c r="AC124" s="90">
        <v>0</v>
      </c>
      <c r="AD124" s="90">
        <v>0</v>
      </c>
      <c r="AE124" s="90">
        <v>0</v>
      </c>
      <c r="AF124" s="90">
        <f t="shared" si="28"/>
        <v>0</v>
      </c>
      <c r="AG124" s="90">
        <f t="shared" si="29"/>
        <v>0</v>
      </c>
      <c r="AH124" s="91">
        <v>3135</v>
      </c>
      <c r="AI124" s="91">
        <f t="shared" si="24"/>
        <v>0</v>
      </c>
      <c r="AJ124" s="93">
        <v>3135</v>
      </c>
      <c r="AK124" s="92">
        <f t="shared" si="23"/>
        <v>0</v>
      </c>
      <c r="AL124" s="92">
        <v>3135</v>
      </c>
      <c r="AM124" s="110">
        <f t="shared" si="25"/>
        <v>0</v>
      </c>
    </row>
    <row r="125" spans="1:39" ht="15.6">
      <c r="A125" s="23">
        <v>135</v>
      </c>
      <c r="B125" s="67" t="s">
        <v>260</v>
      </c>
      <c r="C125" s="65" t="s">
        <v>248</v>
      </c>
      <c r="D125" s="74">
        <v>0</v>
      </c>
      <c r="E125" s="34"/>
      <c r="F125" s="50"/>
      <c r="G125" s="36"/>
      <c r="H125" s="50"/>
      <c r="I125" s="46"/>
      <c r="J125" s="50"/>
      <c r="K125" s="46"/>
      <c r="L125" s="50"/>
      <c r="M125" s="46"/>
      <c r="N125" s="61"/>
      <c r="O125" s="57"/>
      <c r="P125" s="50"/>
      <c r="Q125" s="46"/>
      <c r="R125" s="50"/>
      <c r="S125" s="46"/>
      <c r="T125" s="50"/>
      <c r="U125" s="46">
        <v>0</v>
      </c>
      <c r="V125" s="80">
        <v>0</v>
      </c>
      <c r="W125" s="26">
        <f t="shared" si="20"/>
        <v>0</v>
      </c>
      <c r="X125" s="49">
        <f t="shared" si="21"/>
        <v>0</v>
      </c>
      <c r="Y125" s="68">
        <f t="shared" si="30"/>
        <v>0</v>
      </c>
      <c r="Z125" s="87">
        <f t="shared" si="26"/>
        <v>0</v>
      </c>
      <c r="AA125" s="85">
        <f t="shared" si="27"/>
        <v>0</v>
      </c>
      <c r="AB125" s="28"/>
      <c r="AC125" s="90">
        <v>0</v>
      </c>
      <c r="AD125" s="90">
        <v>0</v>
      </c>
      <c r="AE125" s="90">
        <v>0</v>
      </c>
      <c r="AF125" s="90">
        <f t="shared" si="28"/>
        <v>0</v>
      </c>
      <c r="AG125" s="90">
        <f t="shared" si="29"/>
        <v>0</v>
      </c>
      <c r="AH125" s="91">
        <v>1740</v>
      </c>
      <c r="AI125" s="91">
        <f t="shared" si="24"/>
        <v>0</v>
      </c>
      <c r="AJ125" s="93">
        <v>1740</v>
      </c>
      <c r="AK125" s="92">
        <f t="shared" si="23"/>
        <v>0</v>
      </c>
      <c r="AL125" s="92">
        <v>1740</v>
      </c>
      <c r="AM125" s="110">
        <f t="shared" si="25"/>
        <v>0</v>
      </c>
    </row>
    <row r="126" spans="1:39" ht="15.6">
      <c r="A126" s="3">
        <v>136</v>
      </c>
      <c r="B126" s="67" t="s">
        <v>261</v>
      </c>
      <c r="C126" s="65" t="s">
        <v>249</v>
      </c>
      <c r="D126" s="74">
        <v>0</v>
      </c>
      <c r="E126" s="34"/>
      <c r="F126" s="50"/>
      <c r="G126" s="36"/>
      <c r="H126" s="50"/>
      <c r="I126" s="46"/>
      <c r="J126" s="50"/>
      <c r="K126" s="46"/>
      <c r="L126" s="50"/>
      <c r="M126" s="46"/>
      <c r="N126" s="61"/>
      <c r="O126" s="57"/>
      <c r="P126" s="50"/>
      <c r="Q126" s="46"/>
      <c r="R126" s="50"/>
      <c r="S126" s="46"/>
      <c r="T126" s="50"/>
      <c r="U126" s="46">
        <v>0</v>
      </c>
      <c r="V126" s="80">
        <v>0</v>
      </c>
      <c r="W126" s="26">
        <f t="shared" si="20"/>
        <v>0</v>
      </c>
      <c r="X126" s="49">
        <f t="shared" si="21"/>
        <v>0</v>
      </c>
      <c r="Y126" s="68">
        <f t="shared" si="30"/>
        <v>0</v>
      </c>
      <c r="Z126" s="87">
        <f t="shared" si="26"/>
        <v>0</v>
      </c>
      <c r="AA126" s="85">
        <f t="shared" si="27"/>
        <v>0</v>
      </c>
      <c r="AB126" s="28"/>
      <c r="AC126" s="90">
        <v>0</v>
      </c>
      <c r="AD126" s="90">
        <v>0</v>
      </c>
      <c r="AE126" s="90">
        <v>0</v>
      </c>
      <c r="AF126" s="90">
        <f t="shared" si="28"/>
        <v>0</v>
      </c>
      <c r="AG126" s="90">
        <f t="shared" si="29"/>
        <v>0</v>
      </c>
      <c r="AH126" s="91">
        <v>330</v>
      </c>
      <c r="AI126" s="91">
        <f t="shared" si="24"/>
        <v>0</v>
      </c>
      <c r="AJ126" s="93">
        <v>330</v>
      </c>
      <c r="AK126" s="92">
        <f t="shared" si="23"/>
        <v>0</v>
      </c>
      <c r="AL126" s="92">
        <v>330</v>
      </c>
      <c r="AM126" s="110">
        <f t="shared" si="25"/>
        <v>0</v>
      </c>
    </row>
    <row r="127" spans="1:39" ht="15.6">
      <c r="A127" s="23">
        <v>137</v>
      </c>
      <c r="B127" s="67" t="s">
        <v>262</v>
      </c>
      <c r="C127" s="65" t="s">
        <v>250</v>
      </c>
      <c r="D127" s="74">
        <v>0</v>
      </c>
      <c r="E127" s="34"/>
      <c r="F127" s="50"/>
      <c r="G127" s="36"/>
      <c r="H127" s="50"/>
      <c r="I127" s="46"/>
      <c r="J127" s="50"/>
      <c r="K127" s="46"/>
      <c r="L127" s="50"/>
      <c r="M127" s="46"/>
      <c r="N127" s="61"/>
      <c r="O127" s="57"/>
      <c r="P127" s="50"/>
      <c r="Q127" s="46"/>
      <c r="R127" s="50"/>
      <c r="S127" s="46"/>
      <c r="T127" s="50"/>
      <c r="U127" s="46">
        <v>0</v>
      </c>
      <c r="V127" s="80">
        <v>0</v>
      </c>
      <c r="W127" s="26">
        <f t="shared" si="20"/>
        <v>0</v>
      </c>
      <c r="X127" s="49">
        <f t="shared" si="21"/>
        <v>0</v>
      </c>
      <c r="Y127" s="68">
        <f t="shared" si="30"/>
        <v>0</v>
      </c>
      <c r="Z127" s="87">
        <f t="shared" si="26"/>
        <v>0</v>
      </c>
      <c r="AA127" s="85">
        <f t="shared" si="27"/>
        <v>0</v>
      </c>
      <c r="AB127" s="28"/>
      <c r="AC127" s="90">
        <v>0</v>
      </c>
      <c r="AD127" s="90">
        <v>0</v>
      </c>
      <c r="AE127" s="90">
        <v>0</v>
      </c>
      <c r="AF127" s="90">
        <f t="shared" si="28"/>
        <v>0</v>
      </c>
      <c r="AG127" s="90">
        <f t="shared" si="29"/>
        <v>0</v>
      </c>
      <c r="AH127" s="91">
        <v>1185</v>
      </c>
      <c r="AI127" s="91">
        <f t="shared" si="24"/>
        <v>0</v>
      </c>
      <c r="AJ127" s="93">
        <v>1185</v>
      </c>
      <c r="AK127" s="92">
        <f t="shared" si="23"/>
        <v>0</v>
      </c>
      <c r="AL127" s="92">
        <v>1185</v>
      </c>
      <c r="AM127" s="110">
        <f t="shared" si="25"/>
        <v>0</v>
      </c>
    </row>
    <row r="128" spans="1:39" ht="15.6">
      <c r="A128" s="3">
        <v>138</v>
      </c>
      <c r="B128" s="67" t="s">
        <v>263</v>
      </c>
      <c r="C128" s="65" t="s">
        <v>251</v>
      </c>
      <c r="D128" s="74">
        <v>0</v>
      </c>
      <c r="E128" s="34"/>
      <c r="F128" s="50"/>
      <c r="G128" s="36"/>
      <c r="H128" s="50"/>
      <c r="I128" s="46"/>
      <c r="J128" s="50"/>
      <c r="K128" s="46"/>
      <c r="L128" s="50"/>
      <c r="M128" s="46"/>
      <c r="N128" s="61"/>
      <c r="O128" s="57"/>
      <c r="P128" s="50"/>
      <c r="Q128" s="46"/>
      <c r="R128" s="50"/>
      <c r="S128" s="46"/>
      <c r="T128" s="50"/>
      <c r="U128" s="46">
        <v>0</v>
      </c>
      <c r="V128" s="80">
        <v>0</v>
      </c>
      <c r="W128" s="26">
        <f t="shared" si="20"/>
        <v>0</v>
      </c>
      <c r="X128" s="49">
        <f t="shared" si="21"/>
        <v>0</v>
      </c>
      <c r="Y128" s="68">
        <f t="shared" si="30"/>
        <v>0</v>
      </c>
      <c r="Z128" s="87">
        <f t="shared" si="26"/>
        <v>0</v>
      </c>
      <c r="AA128" s="85">
        <f t="shared" si="27"/>
        <v>0</v>
      </c>
      <c r="AB128" s="28"/>
      <c r="AC128" s="90">
        <v>0</v>
      </c>
      <c r="AD128" s="90">
        <v>0</v>
      </c>
      <c r="AE128" s="90">
        <v>0</v>
      </c>
      <c r="AF128" s="90">
        <f t="shared" si="28"/>
        <v>0</v>
      </c>
      <c r="AG128" s="90">
        <f t="shared" si="29"/>
        <v>0</v>
      </c>
      <c r="AH128" s="91">
        <v>10425</v>
      </c>
      <c r="AI128" s="91">
        <f t="shared" si="24"/>
        <v>0</v>
      </c>
      <c r="AJ128" s="93">
        <v>10425</v>
      </c>
      <c r="AK128" s="92">
        <f t="shared" si="23"/>
        <v>0</v>
      </c>
      <c r="AL128" s="92">
        <v>10425</v>
      </c>
      <c r="AM128" s="110">
        <f t="shared" si="25"/>
        <v>0</v>
      </c>
    </row>
    <row r="129" spans="1:39" ht="15.6">
      <c r="A129" s="23">
        <v>139</v>
      </c>
      <c r="B129" s="67" t="s">
        <v>264</v>
      </c>
      <c r="C129" s="65" t="s">
        <v>252</v>
      </c>
      <c r="D129" s="74">
        <v>0</v>
      </c>
      <c r="E129" s="35"/>
      <c r="F129" s="52"/>
      <c r="G129" s="37"/>
      <c r="H129" s="52"/>
      <c r="I129" s="54"/>
      <c r="J129" s="52"/>
      <c r="K129" s="54"/>
      <c r="L129" s="52"/>
      <c r="M129" s="54"/>
      <c r="N129" s="66"/>
      <c r="O129" s="58"/>
      <c r="P129" s="52"/>
      <c r="Q129" s="54"/>
      <c r="R129" s="52"/>
      <c r="S129" s="54"/>
      <c r="T129" s="52"/>
      <c r="U129" s="54">
        <v>14</v>
      </c>
      <c r="V129" s="82">
        <v>0</v>
      </c>
      <c r="W129" s="26">
        <f t="shared" si="20"/>
        <v>14</v>
      </c>
      <c r="X129" s="49">
        <f t="shared" si="21"/>
        <v>0</v>
      </c>
      <c r="Y129" s="70">
        <f t="shared" si="30"/>
        <v>14</v>
      </c>
      <c r="Z129" s="87">
        <f t="shared" si="26"/>
        <v>0</v>
      </c>
      <c r="AA129" s="85">
        <f t="shared" si="27"/>
        <v>14</v>
      </c>
      <c r="AB129" s="30"/>
      <c r="AC129" s="90">
        <v>0</v>
      </c>
      <c r="AD129" s="90">
        <v>0</v>
      </c>
      <c r="AE129" s="90">
        <v>14</v>
      </c>
      <c r="AF129" s="90">
        <f>AC129+AD129+AE129</f>
        <v>14</v>
      </c>
      <c r="AG129" s="90">
        <f t="shared" si="29"/>
        <v>0</v>
      </c>
      <c r="AH129" s="91">
        <v>5100</v>
      </c>
      <c r="AI129" s="91">
        <f t="shared" si="24"/>
        <v>0</v>
      </c>
      <c r="AJ129" s="93">
        <v>5100</v>
      </c>
      <c r="AK129" s="92">
        <f t="shared" si="23"/>
        <v>0</v>
      </c>
      <c r="AL129" s="92">
        <v>5100</v>
      </c>
      <c r="AM129" s="110">
        <f t="shared" si="25"/>
        <v>71400</v>
      </c>
    </row>
    <row r="130" spans="1:39" ht="15" thickBot="1">
      <c r="A130" s="11"/>
      <c r="B130" s="12"/>
      <c r="C130" s="13"/>
      <c r="D130" s="14"/>
      <c r="E130" s="35"/>
      <c r="F130" s="52"/>
      <c r="G130" s="37"/>
      <c r="H130" s="52"/>
      <c r="I130" s="54"/>
      <c r="J130" s="52"/>
      <c r="K130" s="54"/>
      <c r="L130" s="52"/>
      <c r="M130" s="54"/>
      <c r="N130" s="62"/>
      <c r="O130" s="58"/>
      <c r="P130" s="52"/>
      <c r="Q130" s="54"/>
      <c r="R130" s="52"/>
      <c r="S130" s="54"/>
      <c r="T130" s="52"/>
      <c r="U130" s="54"/>
      <c r="V130" s="81"/>
      <c r="W130" s="26">
        <f t="shared" si="20"/>
        <v>0</v>
      </c>
      <c r="X130" s="49">
        <f t="shared" si="21"/>
        <v>0</v>
      </c>
      <c r="Y130" s="68">
        <f t="shared" si="30"/>
        <v>0</v>
      </c>
      <c r="Z130" s="87">
        <f>SUM(Y130-S130-U130)</f>
        <v>0</v>
      </c>
      <c r="AA130" s="85">
        <f t="shared" si="27"/>
        <v>0</v>
      </c>
      <c r="AB130" s="30"/>
      <c r="AC130" s="90">
        <v>0</v>
      </c>
      <c r="AD130" s="90">
        <v>0</v>
      </c>
      <c r="AE130" s="90">
        <v>0</v>
      </c>
      <c r="AF130" s="90">
        <f>AC130+AD130+AE130</f>
        <v>0</v>
      </c>
      <c r="AG130" s="90">
        <f t="shared" si="29"/>
        <v>0</v>
      </c>
      <c r="AH130" s="91"/>
      <c r="AI130" s="91">
        <f t="shared" si="24"/>
        <v>0</v>
      </c>
      <c r="AJ130" s="92"/>
      <c r="AK130" s="92">
        <f>AJ130*AD130</f>
        <v>0</v>
      </c>
      <c r="AL130" s="92"/>
      <c r="AM130" s="112">
        <f t="shared" si="25"/>
        <v>0</v>
      </c>
    </row>
    <row r="131" spans="1:39" ht="16.2" thickBot="1">
      <c r="A131" s="15"/>
      <c r="B131" s="16"/>
      <c r="C131" s="17">
        <f>SUBTOTAL(103,C2:C97)</f>
        <v>96</v>
      </c>
      <c r="D131" s="18">
        <f>SUM(D2:D73)</f>
        <v>7393</v>
      </c>
      <c r="E131" s="31"/>
      <c r="F131" s="32"/>
      <c r="G131" s="32"/>
      <c r="H131" s="32"/>
      <c r="I131" s="32"/>
      <c r="J131" s="59"/>
      <c r="K131" s="55"/>
      <c r="L131" s="59"/>
      <c r="M131" s="55"/>
      <c r="N131" s="59"/>
      <c r="O131" s="55"/>
      <c r="P131" s="59"/>
      <c r="Q131" s="55"/>
      <c r="R131" s="59"/>
      <c r="S131" s="55"/>
      <c r="T131" s="59"/>
      <c r="U131" s="55"/>
      <c r="V131" s="32"/>
      <c r="W131" s="32"/>
      <c r="X131" s="59"/>
      <c r="Y131" s="32">
        <f>SUM(Y2:Y130)</f>
        <v>15385</v>
      </c>
      <c r="Z131" s="84">
        <f>SUM(Y131-S131-U131)</f>
        <v>15385</v>
      </c>
      <c r="AA131" s="84"/>
      <c r="AB131" s="33"/>
      <c r="AC131" s="107"/>
      <c r="AD131" s="107"/>
      <c r="AE131" s="107"/>
      <c r="AF131" s="32">
        <f>SUM(AF6:AF130)</f>
        <v>1096</v>
      </c>
      <c r="AG131" s="107"/>
      <c r="AH131" s="107"/>
      <c r="AI131" s="108">
        <f>SUM(AI2:AI130)</f>
        <v>2346226.9</v>
      </c>
      <c r="AJ131" s="109"/>
      <c r="AK131" s="108">
        <f>SUM(AK2:AK130)</f>
        <v>254182.96</v>
      </c>
      <c r="AL131" s="109"/>
      <c r="AM131" s="108">
        <f>SUM(AM2:AM130)</f>
        <v>1342411.1</v>
      </c>
    </row>
    <row r="132" spans="1:39" ht="15" thickBot="1">
      <c r="B132" s="20"/>
    </row>
    <row r="133" spans="1:39" ht="16.2" thickBot="1">
      <c r="AM133" s="118">
        <f>SUM(AM131,AK131,AI131)</f>
        <v>3942820.96</v>
      </c>
    </row>
    <row r="138" spans="1:39" ht="14.1" customHeight="1">
      <c r="A138"/>
    </row>
    <row r="139" spans="1:39">
      <c r="A139"/>
    </row>
    <row r="140" spans="1:39">
      <c r="A140"/>
    </row>
  </sheetData>
  <conditionalFormatting sqref="B130:B1048576">
    <cfRule type="duplicateValues" dxfId="20" priority="26"/>
  </conditionalFormatting>
  <conditionalFormatting sqref="C102">
    <cfRule type="duplicateValues" priority="11"/>
  </conditionalFormatting>
  <conditionalFormatting sqref="C100">
    <cfRule type="duplicateValues" priority="13"/>
  </conditionalFormatting>
  <conditionalFormatting sqref="C101">
    <cfRule type="duplicateValues" priority="12"/>
  </conditionalFormatting>
  <conditionalFormatting sqref="C103">
    <cfRule type="duplicateValues" priority="10"/>
  </conditionalFormatting>
  <conditionalFormatting sqref="C104">
    <cfRule type="duplicateValues" priority="9"/>
  </conditionalFormatting>
  <conditionalFormatting sqref="C105">
    <cfRule type="duplicateValues" dxfId="19" priority="7"/>
  </conditionalFormatting>
  <conditionalFormatting sqref="C105">
    <cfRule type="duplicateValues" priority="8"/>
  </conditionalFormatting>
  <conditionalFormatting sqref="C106:C108">
    <cfRule type="duplicateValues" priority="6"/>
  </conditionalFormatting>
  <conditionalFormatting sqref="C112:C115">
    <cfRule type="duplicateValues" priority="4"/>
  </conditionalFormatting>
  <conditionalFormatting sqref="C117:C129">
    <cfRule type="duplicateValues" priority="29"/>
  </conditionalFormatting>
  <conditionalFormatting sqref="C109">
    <cfRule type="duplicateValues" priority="1"/>
  </conditionalFormatting>
  <pageMargins left="0.70866141732283472" right="0.70866141732283472" top="0.74803149606299213" bottom="0.74803149606299213" header="0.31496062992125984" footer="0.31496062992125984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G469"/>
  <sheetViews>
    <sheetView view="pageBreakPreview" zoomScale="106" zoomScaleNormal="100" zoomScaleSheetLayoutView="106" workbookViewId="0">
      <pane ySplit="1" topLeftCell="A438" activePane="bottomLeft" state="frozen"/>
      <selection activeCell="J23" sqref="J23"/>
      <selection pane="bottomLeft" activeCell="J461" sqref="J461"/>
    </sheetView>
  </sheetViews>
  <sheetFormatPr defaultColWidth="9.109375" defaultRowHeight="14.4"/>
  <cols>
    <col min="1" max="1" width="6.5546875" style="525" customWidth="1"/>
    <col min="2" max="2" width="19" style="527" customWidth="1"/>
    <col min="3" max="3" width="31.6640625" style="526" customWidth="1"/>
    <col min="4" max="4" width="7.44140625" style="698" customWidth="1"/>
    <col min="5" max="5" width="7.6640625" style="528" customWidth="1"/>
    <col min="6" max="6" width="7.6640625" style="530" customWidth="1"/>
    <col min="7" max="7" width="7.6640625" style="528" customWidth="1"/>
    <col min="8" max="8" width="7.6640625" style="530" customWidth="1"/>
    <col min="9" max="9" width="7.6640625" style="528" customWidth="1"/>
    <col min="10" max="10" width="7.6640625" style="530" customWidth="1"/>
    <col min="11" max="11" width="7.6640625" style="528" customWidth="1"/>
    <col min="12" max="12" width="7.6640625" style="530" customWidth="1"/>
    <col min="13" max="13" width="7.6640625" style="529" customWidth="1"/>
    <col min="14" max="14" width="7.6640625" style="520" customWidth="1"/>
    <col min="15" max="15" width="7.6640625" style="529" customWidth="1"/>
    <col min="16" max="16" width="7.6640625" style="520" customWidth="1"/>
    <col min="17" max="17" width="7.6640625" style="56" customWidth="1"/>
    <col min="18" max="18" width="7.6640625" style="60" customWidth="1"/>
    <col min="19" max="19" width="7.6640625" style="56" customWidth="1"/>
    <col min="20" max="20" width="7.6640625" style="60" customWidth="1"/>
    <col min="21" max="21" width="7.6640625" style="56" customWidth="1"/>
    <col min="22" max="22" width="7.6640625" style="60" customWidth="1"/>
    <col min="23" max="23" width="7.6640625" style="56" customWidth="1"/>
    <col min="24" max="24" width="7.6640625" style="60" customWidth="1"/>
    <col min="25" max="25" width="7.6640625" style="56" customWidth="1"/>
    <col min="26" max="26" width="8.21875" style="60" bestFit="1" customWidth="1"/>
    <col min="27" max="27" width="7.6640625" style="56" customWidth="1"/>
    <col min="28" max="28" width="7.6640625" style="60" customWidth="1"/>
    <col min="29" max="29" width="7.6640625" style="692" customWidth="1"/>
    <col min="30" max="30" width="7.6640625" style="60" customWidth="1"/>
    <col min="31" max="31" width="9" style="692" customWidth="1"/>
    <col min="32" max="32" width="8.44140625" style="125" customWidth="1"/>
    <col min="33" max="16384" width="9.109375" style="489"/>
  </cols>
  <sheetData>
    <row r="1" spans="1:33" ht="35.4" customHeight="1" thickBot="1">
      <c r="A1" s="462" t="s">
        <v>0</v>
      </c>
      <c r="B1" s="464" t="s">
        <v>2</v>
      </c>
      <c r="C1" s="463" t="s">
        <v>1</v>
      </c>
      <c r="D1" s="697" t="s">
        <v>278</v>
      </c>
      <c r="E1" s="746" t="s">
        <v>405</v>
      </c>
      <c r="F1" s="747" t="s">
        <v>406</v>
      </c>
      <c r="G1" s="746" t="s">
        <v>394</v>
      </c>
      <c r="H1" s="747" t="s">
        <v>407</v>
      </c>
      <c r="I1" s="746" t="s">
        <v>395</v>
      </c>
      <c r="J1" s="747" t="s">
        <v>408</v>
      </c>
      <c r="K1" s="748" t="s">
        <v>396</v>
      </c>
      <c r="L1" s="749" t="s">
        <v>409</v>
      </c>
      <c r="M1" s="750" t="s">
        <v>397</v>
      </c>
      <c r="N1" s="751" t="s">
        <v>2013</v>
      </c>
      <c r="O1" s="752" t="s">
        <v>398</v>
      </c>
      <c r="P1" s="751" t="s">
        <v>410</v>
      </c>
      <c r="Q1" s="753" t="s">
        <v>399</v>
      </c>
      <c r="R1" s="754" t="s">
        <v>411</v>
      </c>
      <c r="S1" s="753" t="s">
        <v>400</v>
      </c>
      <c r="T1" s="755" t="s">
        <v>412</v>
      </c>
      <c r="U1" s="753" t="s">
        <v>401</v>
      </c>
      <c r="V1" s="755" t="s">
        <v>413</v>
      </c>
      <c r="W1" s="753" t="s">
        <v>402</v>
      </c>
      <c r="X1" s="755" t="s">
        <v>414</v>
      </c>
      <c r="Y1" s="753" t="s">
        <v>403</v>
      </c>
      <c r="Z1" s="755" t="s">
        <v>415</v>
      </c>
      <c r="AA1" s="753" t="s">
        <v>404</v>
      </c>
      <c r="AB1" s="756" t="s">
        <v>416</v>
      </c>
      <c r="AC1" s="757" t="s">
        <v>21</v>
      </c>
      <c r="AD1" s="758" t="s">
        <v>22</v>
      </c>
      <c r="AE1" s="759" t="s">
        <v>23</v>
      </c>
      <c r="AF1" s="517"/>
    </row>
    <row r="2" spans="1:33" ht="14.4" customHeight="1">
      <c r="A2" s="456">
        <v>1</v>
      </c>
      <c r="B2" s="38" t="s">
        <v>939</v>
      </c>
      <c r="C2" s="457" t="s">
        <v>940</v>
      </c>
      <c r="D2" s="591">
        <v>8368</v>
      </c>
      <c r="E2" s="500"/>
      <c r="F2" s="501">
        <f>80+32</f>
        <v>112</v>
      </c>
      <c r="G2" s="500"/>
      <c r="H2" s="501">
        <f>16+32+16+64+8+8+80+32+16+16</f>
        <v>288</v>
      </c>
      <c r="I2" s="500"/>
      <c r="J2" s="501">
        <f>20+8+32</f>
        <v>60</v>
      </c>
      <c r="K2" s="500"/>
      <c r="L2" s="501">
        <f>8+16</f>
        <v>24</v>
      </c>
      <c r="M2" s="500"/>
      <c r="N2" s="502">
        <f>32+8</f>
        <v>40</v>
      </c>
      <c r="O2" s="565"/>
      <c r="P2" s="502">
        <f>16</f>
        <v>16</v>
      </c>
      <c r="Q2" s="460"/>
      <c r="R2" s="459">
        <f>64</f>
        <v>64</v>
      </c>
      <c r="S2" s="460"/>
      <c r="T2" s="459">
        <f>8+16+32</f>
        <v>56</v>
      </c>
      <c r="U2" s="460"/>
      <c r="V2" s="459">
        <f>72+16+32</f>
        <v>120</v>
      </c>
      <c r="W2" s="460"/>
      <c r="X2" s="459">
        <f>48+16+16</f>
        <v>80</v>
      </c>
      <c r="Y2" s="460"/>
      <c r="Z2" s="459">
        <f>16+16+16+32</f>
        <v>80</v>
      </c>
      <c r="AA2" s="460"/>
      <c r="AB2" s="459">
        <v>16</v>
      </c>
      <c r="AC2" s="693">
        <f>SUM(D2,E2,G2,I2,K2,M2,O2,Q2,S2,U2,W2,Y2,AA2)</f>
        <v>8368</v>
      </c>
      <c r="AD2" s="459">
        <f>SUM(F2,H2,J2,L2,N2,P2,R2,T2,V2,X2,Z2,AB2)</f>
        <v>956</v>
      </c>
      <c r="AE2" s="640">
        <f>SUM(AC2-AD2)</f>
        <v>7412</v>
      </c>
      <c r="AF2" s="489"/>
    </row>
    <row r="3" spans="1:33">
      <c r="A3" s="3">
        <v>2</v>
      </c>
      <c r="B3" s="351" t="s">
        <v>224</v>
      </c>
      <c r="C3" s="350" t="s">
        <v>941</v>
      </c>
      <c r="D3" s="538">
        <v>3567</v>
      </c>
      <c r="E3" s="503"/>
      <c r="F3" s="504">
        <f>80+4</f>
        <v>84</v>
      </c>
      <c r="G3" s="503"/>
      <c r="H3" s="504">
        <f>4</f>
        <v>4</v>
      </c>
      <c r="I3" s="503"/>
      <c r="J3" s="504">
        <f>4</f>
        <v>4</v>
      </c>
      <c r="K3" s="503"/>
      <c r="L3" s="504">
        <f>4</f>
        <v>4</v>
      </c>
      <c r="M3" s="503"/>
      <c r="N3" s="505">
        <f>16+4+704</f>
        <v>724</v>
      </c>
      <c r="O3" s="524"/>
      <c r="P3" s="505"/>
      <c r="Q3" s="46"/>
      <c r="R3" s="50">
        <f>4+4+8</f>
        <v>16</v>
      </c>
      <c r="S3" s="46"/>
      <c r="T3" s="50">
        <f>4</f>
        <v>4</v>
      </c>
      <c r="U3" s="46"/>
      <c r="V3" s="50">
        <f>20+4+4</f>
        <v>28</v>
      </c>
      <c r="W3" s="46"/>
      <c r="X3" s="50">
        <f>8+4</f>
        <v>12</v>
      </c>
      <c r="Y3" s="46"/>
      <c r="Z3" s="50"/>
      <c r="AA3" s="46"/>
      <c r="AB3" s="50">
        <f>4+20</f>
        <v>24</v>
      </c>
      <c r="AC3" s="26">
        <f t="shared" ref="AC3:AC66" si="0">SUM(D3,E3,G3,I3,K3,M3,O3,Q3,S3,U3,W3,Y3,AA3)</f>
        <v>3567</v>
      </c>
      <c r="AD3" s="49">
        <f t="shared" ref="AD3:AD66" si="1">SUM(F3,H3,J3,L3,N3,P3,R3,T3,V3,X3,Z3,AB3)</f>
        <v>904</v>
      </c>
      <c r="AE3" s="455">
        <f>SUM(AC3-AD3)</f>
        <v>2663</v>
      </c>
      <c r="AF3" s="489"/>
    </row>
    <row r="4" spans="1:33">
      <c r="A4" s="23">
        <v>3</v>
      </c>
      <c r="B4" s="351" t="s">
        <v>225</v>
      </c>
      <c r="C4" s="350" t="s">
        <v>942</v>
      </c>
      <c r="D4" s="538">
        <v>0</v>
      </c>
      <c r="E4" s="503"/>
      <c r="F4" s="504"/>
      <c r="G4" s="503"/>
      <c r="H4" s="504"/>
      <c r="I4" s="503"/>
      <c r="J4" s="504"/>
      <c r="K4" s="503">
        <v>200</v>
      </c>
      <c r="L4" s="504">
        <v>40</v>
      </c>
      <c r="M4" s="503"/>
      <c r="N4" s="505"/>
      <c r="O4" s="524"/>
      <c r="P4" s="505"/>
      <c r="Q4" s="46"/>
      <c r="R4" s="50"/>
      <c r="S4" s="46"/>
      <c r="T4" s="50"/>
      <c r="U4" s="46"/>
      <c r="V4" s="303"/>
      <c r="W4" s="46"/>
      <c r="X4" s="50">
        <f>20</f>
        <v>20</v>
      </c>
      <c r="Y4" s="46"/>
      <c r="Z4" s="50"/>
      <c r="AA4" s="46"/>
      <c r="AB4" s="50"/>
      <c r="AC4" s="26">
        <f t="shared" si="0"/>
        <v>200</v>
      </c>
      <c r="AD4" s="49">
        <f t="shared" si="1"/>
        <v>60</v>
      </c>
      <c r="AE4" s="455">
        <f>SUM(AC4-AD4)</f>
        <v>140</v>
      </c>
      <c r="AF4" s="489"/>
    </row>
    <row r="5" spans="1:33">
      <c r="A5" s="3">
        <v>4</v>
      </c>
      <c r="B5" s="10" t="s">
        <v>230</v>
      </c>
      <c r="C5" s="350" t="s">
        <v>943</v>
      </c>
      <c r="D5" s="592">
        <v>0</v>
      </c>
      <c r="E5" s="506"/>
      <c r="F5" s="507"/>
      <c r="G5" s="506"/>
      <c r="H5" s="507"/>
      <c r="I5" s="506"/>
      <c r="J5" s="507"/>
      <c r="K5" s="506">
        <v>200</v>
      </c>
      <c r="L5" s="507"/>
      <c r="M5" s="506"/>
      <c r="N5" s="508"/>
      <c r="O5" s="532"/>
      <c r="P5" s="508">
        <f>2</f>
        <v>2</v>
      </c>
      <c r="Q5" s="54"/>
      <c r="R5" s="52"/>
      <c r="S5" s="54"/>
      <c r="T5" s="52"/>
      <c r="U5" s="54"/>
      <c r="V5" s="454"/>
      <c r="W5" s="54"/>
      <c r="X5" s="52">
        <f>2+2+2</f>
        <v>6</v>
      </c>
      <c r="Y5" s="54"/>
      <c r="Z5" s="52"/>
      <c r="AA5" s="54"/>
      <c r="AB5" s="52"/>
      <c r="AC5" s="26">
        <f t="shared" si="0"/>
        <v>200</v>
      </c>
      <c r="AD5" s="49">
        <f t="shared" si="1"/>
        <v>8</v>
      </c>
      <c r="AE5" s="455">
        <f>SUM(AC5-AD5)</f>
        <v>192</v>
      </c>
      <c r="AF5" s="489"/>
    </row>
    <row r="6" spans="1:33">
      <c r="A6" s="23">
        <v>5</v>
      </c>
      <c r="B6" s="40" t="s">
        <v>226</v>
      </c>
      <c r="C6" s="4" t="s">
        <v>944</v>
      </c>
      <c r="D6" s="593">
        <v>356</v>
      </c>
      <c r="E6" s="509"/>
      <c r="F6" s="510">
        <f>2+8</f>
        <v>10</v>
      </c>
      <c r="G6" s="511">
        <f>2</f>
        <v>2</v>
      </c>
      <c r="H6" s="510">
        <f>20+4+8</f>
        <v>32</v>
      </c>
      <c r="I6" s="509"/>
      <c r="J6" s="510">
        <f>4</f>
        <v>4</v>
      </c>
      <c r="K6" s="509"/>
      <c r="L6" s="510">
        <f>8+4</f>
        <v>12</v>
      </c>
      <c r="M6" s="509"/>
      <c r="N6" s="512">
        <f>4+4+4</f>
        <v>12</v>
      </c>
      <c r="O6" s="545"/>
      <c r="P6" s="512">
        <f>4</f>
        <v>4</v>
      </c>
      <c r="Q6" s="47"/>
      <c r="R6" s="51">
        <f>16</f>
        <v>16</v>
      </c>
      <c r="S6" s="47"/>
      <c r="T6" s="51">
        <f>32</f>
        <v>32</v>
      </c>
      <c r="U6" s="47"/>
      <c r="V6" s="304">
        <f>1+8+1</f>
        <v>10</v>
      </c>
      <c r="W6" s="47"/>
      <c r="X6" s="51">
        <f>4+12+2</f>
        <v>18</v>
      </c>
      <c r="Y6" s="47"/>
      <c r="Z6" s="51">
        <f>8+2+2</f>
        <v>12</v>
      </c>
      <c r="AA6" s="47"/>
      <c r="AB6" s="51">
        <f>4+6</f>
        <v>10</v>
      </c>
      <c r="AC6" s="122">
        <f t="shared" si="0"/>
        <v>358</v>
      </c>
      <c r="AD6" s="51">
        <f t="shared" si="1"/>
        <v>172</v>
      </c>
      <c r="AE6" s="641">
        <f>SUM(AC6-AD6)</f>
        <v>186</v>
      </c>
      <c r="AF6" s="489"/>
    </row>
    <row r="7" spans="1:33">
      <c r="A7" s="3">
        <v>6</v>
      </c>
      <c r="B7" s="41" t="s">
        <v>29</v>
      </c>
      <c r="C7" s="5" t="s">
        <v>28</v>
      </c>
      <c r="D7" s="594">
        <v>11</v>
      </c>
      <c r="E7" s="513">
        <f>60+3</f>
        <v>63</v>
      </c>
      <c r="F7" s="514">
        <f>3+2+1+3+8</f>
        <v>17</v>
      </c>
      <c r="G7" s="513">
        <f>14+90</f>
        <v>104</v>
      </c>
      <c r="H7" s="514">
        <f>7+3+21+16</f>
        <v>47</v>
      </c>
      <c r="I7" s="513"/>
      <c r="J7" s="514">
        <f>3</f>
        <v>3</v>
      </c>
      <c r="K7" s="513"/>
      <c r="L7" s="514">
        <f>6+1+2</f>
        <v>9</v>
      </c>
      <c r="M7" s="513"/>
      <c r="N7" s="515"/>
      <c r="O7" s="566"/>
      <c r="P7" s="515">
        <f>1+1+1+1</f>
        <v>4</v>
      </c>
      <c r="Q7" s="45">
        <f>120+120+80</f>
        <v>320</v>
      </c>
      <c r="R7" s="49">
        <f>68+3+11</f>
        <v>82</v>
      </c>
      <c r="S7" s="45"/>
      <c r="T7" s="49">
        <f>4</f>
        <v>4</v>
      </c>
      <c r="U7" s="45"/>
      <c r="V7" s="305">
        <f>10+8+12</f>
        <v>30</v>
      </c>
      <c r="W7" s="45"/>
      <c r="X7" s="49">
        <f>2+3+4+1</f>
        <v>10</v>
      </c>
      <c r="Y7" s="45"/>
      <c r="Z7" s="49">
        <f>16+1+11+6</f>
        <v>34</v>
      </c>
      <c r="AA7" s="45"/>
      <c r="AB7" s="49">
        <f>30+5</f>
        <v>35</v>
      </c>
      <c r="AC7" s="26">
        <f t="shared" si="0"/>
        <v>498</v>
      </c>
      <c r="AD7" s="49">
        <f t="shared" si="1"/>
        <v>275</v>
      </c>
      <c r="AE7" s="455">
        <f t="shared" ref="AE7:AE69" si="2">SUM(AC7-AD7)</f>
        <v>223</v>
      </c>
      <c r="AF7" s="489"/>
    </row>
    <row r="8" spans="1:33">
      <c r="A8" s="23">
        <v>7</v>
      </c>
      <c r="B8" s="351" t="s">
        <v>30</v>
      </c>
      <c r="C8" s="350" t="s">
        <v>28</v>
      </c>
      <c r="D8" s="538">
        <v>54</v>
      </c>
      <c r="E8" s="503"/>
      <c r="F8" s="504"/>
      <c r="G8" s="503"/>
      <c r="H8" s="504">
        <f>3+1</f>
        <v>4</v>
      </c>
      <c r="I8" s="503"/>
      <c r="J8" s="504"/>
      <c r="K8" s="513"/>
      <c r="L8" s="504"/>
      <c r="M8" s="503"/>
      <c r="N8" s="505"/>
      <c r="O8" s="524"/>
      <c r="P8" s="505"/>
      <c r="Q8" s="46"/>
      <c r="R8" s="50"/>
      <c r="S8" s="45"/>
      <c r="T8" s="50"/>
      <c r="U8" s="46">
        <f>2</f>
        <v>2</v>
      </c>
      <c r="V8" s="303">
        <f>2+2+8</f>
        <v>12</v>
      </c>
      <c r="W8" s="46"/>
      <c r="X8" s="50">
        <f>1</f>
        <v>1</v>
      </c>
      <c r="Y8" s="46"/>
      <c r="Z8" s="50"/>
      <c r="AA8" s="46"/>
      <c r="AB8" s="50"/>
      <c r="AC8" s="26">
        <f t="shared" si="0"/>
        <v>56</v>
      </c>
      <c r="AD8" s="49">
        <f t="shared" si="1"/>
        <v>17</v>
      </c>
      <c r="AE8" s="455">
        <f t="shared" si="2"/>
        <v>39</v>
      </c>
    </row>
    <row r="9" spans="1:33">
      <c r="A9" s="3">
        <v>8</v>
      </c>
      <c r="B9" s="351" t="s">
        <v>31</v>
      </c>
      <c r="C9" s="350" t="s">
        <v>28</v>
      </c>
      <c r="D9" s="538">
        <v>41</v>
      </c>
      <c r="E9" s="503">
        <v>6</v>
      </c>
      <c r="F9" s="504">
        <f>2</f>
        <v>2</v>
      </c>
      <c r="G9" s="503"/>
      <c r="H9" s="504">
        <f>22</f>
        <v>22</v>
      </c>
      <c r="I9" s="503"/>
      <c r="J9" s="504">
        <f>14</f>
        <v>14</v>
      </c>
      <c r="K9" s="516">
        <v>22</v>
      </c>
      <c r="L9" s="504">
        <f>1+1</f>
        <v>2</v>
      </c>
      <c r="M9" s="503"/>
      <c r="N9" s="505">
        <f>2</f>
        <v>2</v>
      </c>
      <c r="O9" s="524"/>
      <c r="P9" s="505">
        <f>2+3+1</f>
        <v>6</v>
      </c>
      <c r="Q9" s="46"/>
      <c r="R9" s="50">
        <f>1+1+1+2</f>
        <v>5</v>
      </c>
      <c r="S9" s="45"/>
      <c r="T9" s="50">
        <f>1</f>
        <v>1</v>
      </c>
      <c r="U9" s="46">
        <v>2</v>
      </c>
      <c r="V9" s="303"/>
      <c r="W9" s="46"/>
      <c r="X9" s="50">
        <v>10</v>
      </c>
      <c r="Y9" s="46">
        <v>1</v>
      </c>
      <c r="Z9" s="50">
        <f>8</f>
        <v>8</v>
      </c>
      <c r="AA9" s="46"/>
      <c r="AB9" s="50"/>
      <c r="AC9" s="26">
        <f t="shared" si="0"/>
        <v>72</v>
      </c>
      <c r="AD9" s="49">
        <f t="shared" si="1"/>
        <v>72</v>
      </c>
      <c r="AE9" s="715">
        <f t="shared" si="2"/>
        <v>0</v>
      </c>
    </row>
    <row r="10" spans="1:33">
      <c r="A10" s="23">
        <v>9</v>
      </c>
      <c r="B10" s="351" t="s">
        <v>33</v>
      </c>
      <c r="C10" s="350" t="s">
        <v>32</v>
      </c>
      <c r="D10" s="538">
        <v>72</v>
      </c>
      <c r="E10" s="503"/>
      <c r="F10" s="504"/>
      <c r="G10" s="503"/>
      <c r="H10" s="504"/>
      <c r="I10" s="503"/>
      <c r="J10" s="504"/>
      <c r="K10" s="503"/>
      <c r="L10" s="504"/>
      <c r="M10" s="503"/>
      <c r="N10" s="505">
        <f>42</f>
        <v>42</v>
      </c>
      <c r="O10" s="524"/>
      <c r="P10" s="505"/>
      <c r="Q10" s="46"/>
      <c r="R10" s="50"/>
      <c r="S10" s="45"/>
      <c r="T10" s="50"/>
      <c r="U10" s="46"/>
      <c r="V10" s="303"/>
      <c r="W10" s="46"/>
      <c r="X10" s="50"/>
      <c r="Y10" s="46"/>
      <c r="Z10" s="50">
        <f>1</f>
        <v>1</v>
      </c>
      <c r="AA10" s="46"/>
      <c r="AB10" s="50">
        <f>1+2</f>
        <v>3</v>
      </c>
      <c r="AC10" s="26">
        <f t="shared" si="0"/>
        <v>72</v>
      </c>
      <c r="AD10" s="49">
        <f t="shared" si="1"/>
        <v>46</v>
      </c>
      <c r="AE10" s="455">
        <f t="shared" si="2"/>
        <v>26</v>
      </c>
    </row>
    <row r="11" spans="1:33">
      <c r="A11" s="3">
        <v>10</v>
      </c>
      <c r="B11" s="351" t="s">
        <v>35</v>
      </c>
      <c r="C11" s="6" t="s">
        <v>34</v>
      </c>
      <c r="D11" s="538">
        <v>8</v>
      </c>
      <c r="E11" s="503">
        <f>21+8+19</f>
        <v>48</v>
      </c>
      <c r="F11" s="504">
        <f>2</f>
        <v>2</v>
      </c>
      <c r="G11" s="503"/>
      <c r="H11" s="504">
        <f>8+18+8</f>
        <v>34</v>
      </c>
      <c r="I11" s="503"/>
      <c r="J11" s="504"/>
      <c r="K11" s="503">
        <f>20+10</f>
        <v>30</v>
      </c>
      <c r="L11" s="504">
        <f>4</f>
        <v>4</v>
      </c>
      <c r="M11" s="503"/>
      <c r="N11" s="505">
        <f>1+40</f>
        <v>41</v>
      </c>
      <c r="O11" s="524"/>
      <c r="P11" s="505"/>
      <c r="Q11" s="46">
        <f>100+23</f>
        <v>123</v>
      </c>
      <c r="R11" s="50">
        <f>5+29+3</f>
        <v>37</v>
      </c>
      <c r="S11" s="45"/>
      <c r="T11" s="50"/>
      <c r="U11" s="46"/>
      <c r="V11" s="303">
        <f>2+8+2</f>
        <v>12</v>
      </c>
      <c r="W11" s="46">
        <v>37</v>
      </c>
      <c r="X11" s="50">
        <f>1+1+2+3</f>
        <v>7</v>
      </c>
      <c r="Y11" s="46"/>
      <c r="Z11" s="50">
        <f>5</f>
        <v>5</v>
      </c>
      <c r="AA11" s="46">
        <v>2</v>
      </c>
      <c r="AB11" s="50">
        <f>25+1+3</f>
        <v>29</v>
      </c>
      <c r="AC11" s="26">
        <f t="shared" si="0"/>
        <v>248</v>
      </c>
      <c r="AD11" s="49">
        <f t="shared" si="1"/>
        <v>171</v>
      </c>
      <c r="AE11" s="455">
        <f t="shared" si="2"/>
        <v>77</v>
      </c>
    </row>
    <row r="12" spans="1:33">
      <c r="A12" s="23">
        <v>11</v>
      </c>
      <c r="B12" s="351" t="s">
        <v>37</v>
      </c>
      <c r="C12" s="6" t="s">
        <v>36</v>
      </c>
      <c r="D12" s="538">
        <v>46</v>
      </c>
      <c r="E12" s="503"/>
      <c r="F12" s="504">
        <f>1+1</f>
        <v>2</v>
      </c>
      <c r="G12" s="503"/>
      <c r="H12" s="504">
        <f>1+1</f>
        <v>2</v>
      </c>
      <c r="I12" s="503"/>
      <c r="J12" s="504">
        <f>2+1</f>
        <v>3</v>
      </c>
      <c r="K12" s="503"/>
      <c r="L12" s="504"/>
      <c r="M12" s="503"/>
      <c r="N12" s="505"/>
      <c r="O12" s="524"/>
      <c r="P12" s="505"/>
      <c r="Q12" s="46"/>
      <c r="R12" s="50"/>
      <c r="S12" s="45"/>
      <c r="T12" s="50"/>
      <c r="U12" s="46"/>
      <c r="V12" s="303">
        <v>1</v>
      </c>
      <c r="W12" s="46"/>
      <c r="X12" s="50">
        <f>4</f>
        <v>4</v>
      </c>
      <c r="Y12" s="46"/>
      <c r="Z12" s="50">
        <f>1+1</f>
        <v>2</v>
      </c>
      <c r="AA12" s="46"/>
      <c r="AB12" s="50">
        <f>1+1</f>
        <v>2</v>
      </c>
      <c r="AC12" s="26">
        <f t="shared" si="0"/>
        <v>46</v>
      </c>
      <c r="AD12" s="49">
        <f t="shared" si="1"/>
        <v>16</v>
      </c>
      <c r="AE12" s="455">
        <f t="shared" si="2"/>
        <v>30</v>
      </c>
    </row>
    <row r="13" spans="1:33">
      <c r="A13" s="3">
        <v>12</v>
      </c>
      <c r="B13" s="351" t="s">
        <v>39</v>
      </c>
      <c r="C13" s="350" t="s">
        <v>38</v>
      </c>
      <c r="D13" s="538">
        <v>0</v>
      </c>
      <c r="E13" s="503">
        <f>10</f>
        <v>10</v>
      </c>
      <c r="F13" s="504">
        <f>5</f>
        <v>5</v>
      </c>
      <c r="G13" s="503"/>
      <c r="H13" s="504">
        <f>1</f>
        <v>1</v>
      </c>
      <c r="I13" s="503"/>
      <c r="J13" s="504">
        <f>1</f>
        <v>1</v>
      </c>
      <c r="K13" s="503">
        <f>10</f>
        <v>10</v>
      </c>
      <c r="L13" s="504"/>
      <c r="M13" s="503"/>
      <c r="N13" s="505">
        <f>1+2</f>
        <v>3</v>
      </c>
      <c r="O13" s="524"/>
      <c r="P13" s="505">
        <f>1</f>
        <v>1</v>
      </c>
      <c r="Q13" s="46">
        <f>15</f>
        <v>15</v>
      </c>
      <c r="R13" s="50">
        <f>4+1</f>
        <v>5</v>
      </c>
      <c r="S13" s="45">
        <f>6</f>
        <v>6</v>
      </c>
      <c r="T13" s="50">
        <f>6+1</f>
        <v>7</v>
      </c>
      <c r="U13" s="46"/>
      <c r="V13" s="303">
        <f>2</f>
        <v>2</v>
      </c>
      <c r="W13" s="46"/>
      <c r="X13" s="50"/>
      <c r="Y13" s="46"/>
      <c r="Z13" s="50">
        <f>6+2</f>
        <v>8</v>
      </c>
      <c r="AA13" s="46"/>
      <c r="AB13" s="50"/>
      <c r="AC13" s="26">
        <f t="shared" si="0"/>
        <v>41</v>
      </c>
      <c r="AD13" s="49">
        <f t="shared" si="1"/>
        <v>33</v>
      </c>
      <c r="AE13" s="455">
        <f t="shared" si="2"/>
        <v>8</v>
      </c>
    </row>
    <row r="14" spans="1:33">
      <c r="A14" s="23">
        <v>13</v>
      </c>
      <c r="B14" s="351" t="s">
        <v>41</v>
      </c>
      <c r="C14" s="6" t="s">
        <v>40</v>
      </c>
      <c r="D14" s="538">
        <v>7</v>
      </c>
      <c r="E14" s="503">
        <f>1</f>
        <v>1</v>
      </c>
      <c r="F14" s="504"/>
      <c r="G14" s="503"/>
      <c r="H14" s="504"/>
      <c r="I14" s="503">
        <f>6</f>
        <v>6</v>
      </c>
      <c r="J14" s="504"/>
      <c r="K14" s="503"/>
      <c r="L14" s="504"/>
      <c r="M14" s="503"/>
      <c r="N14" s="505"/>
      <c r="O14" s="524"/>
      <c r="P14" s="505"/>
      <c r="Q14" s="46"/>
      <c r="R14" s="50"/>
      <c r="S14" s="45"/>
      <c r="T14" s="50"/>
      <c r="U14" s="46"/>
      <c r="V14" s="303"/>
      <c r="W14" s="46"/>
      <c r="X14" s="50"/>
      <c r="Y14" s="46"/>
      <c r="Z14" s="50"/>
      <c r="AA14" s="46"/>
      <c r="AB14" s="50">
        <f>1</f>
        <v>1</v>
      </c>
      <c r="AC14" s="26">
        <f t="shared" si="0"/>
        <v>14</v>
      </c>
      <c r="AD14" s="49">
        <f t="shared" si="1"/>
        <v>1</v>
      </c>
      <c r="AE14" s="455">
        <f t="shared" si="2"/>
        <v>13</v>
      </c>
    </row>
    <row r="15" spans="1:33" customFormat="1">
      <c r="A15" s="3">
        <v>14</v>
      </c>
      <c r="B15" s="351" t="s">
        <v>43</v>
      </c>
      <c r="C15" s="367" t="s">
        <v>42</v>
      </c>
      <c r="D15" s="538">
        <v>0</v>
      </c>
      <c r="E15" s="57"/>
      <c r="F15" s="98"/>
      <c r="G15" s="57"/>
      <c r="H15" s="98"/>
      <c r="I15" s="57"/>
      <c r="J15" s="98"/>
      <c r="K15" s="57"/>
      <c r="L15" s="98"/>
      <c r="M15" s="57"/>
      <c r="N15" s="50"/>
      <c r="O15" s="46"/>
      <c r="P15" s="50"/>
      <c r="Q15" s="46"/>
      <c r="R15" s="50"/>
      <c r="S15" s="45"/>
      <c r="T15" s="50"/>
      <c r="U15" s="46">
        <f>1</f>
        <v>1</v>
      </c>
      <c r="V15" s="303">
        <f>1</f>
        <v>1</v>
      </c>
      <c r="W15" s="46"/>
      <c r="X15" s="50"/>
      <c r="Y15" s="46"/>
      <c r="Z15" s="50"/>
      <c r="AA15" s="46"/>
      <c r="AB15" s="50"/>
      <c r="AC15" s="26">
        <f t="shared" si="0"/>
        <v>1</v>
      </c>
      <c r="AD15" s="49">
        <f t="shared" si="1"/>
        <v>1</v>
      </c>
      <c r="AE15" s="466">
        <f t="shared" si="2"/>
        <v>0</v>
      </c>
      <c r="AF15" s="60"/>
      <c r="AG15" s="60"/>
    </row>
    <row r="16" spans="1:33" customFormat="1">
      <c r="A16" s="23">
        <v>15</v>
      </c>
      <c r="B16" s="351" t="s">
        <v>45</v>
      </c>
      <c r="C16" s="350" t="s">
        <v>44</v>
      </c>
      <c r="D16" s="538">
        <v>0</v>
      </c>
      <c r="E16" s="57"/>
      <c r="F16" s="98"/>
      <c r="G16" s="57"/>
      <c r="H16" s="98"/>
      <c r="I16" s="57"/>
      <c r="J16" s="98"/>
      <c r="K16" s="57"/>
      <c r="L16" s="98"/>
      <c r="M16" s="57"/>
      <c r="N16" s="119"/>
      <c r="O16" s="46"/>
      <c r="P16" s="50"/>
      <c r="Q16" s="46"/>
      <c r="R16" s="50"/>
      <c r="S16" s="45"/>
      <c r="T16" s="50"/>
      <c r="U16" s="46"/>
      <c r="V16" s="303"/>
      <c r="W16" s="46"/>
      <c r="X16" s="50"/>
      <c r="Y16" s="46"/>
      <c r="Z16" s="50"/>
      <c r="AA16" s="46"/>
      <c r="AB16" s="50"/>
      <c r="AC16" s="26">
        <f t="shared" si="0"/>
        <v>0</v>
      </c>
      <c r="AD16" s="49">
        <f t="shared" si="1"/>
        <v>0</v>
      </c>
      <c r="AE16" s="466">
        <f t="shared" si="2"/>
        <v>0</v>
      </c>
      <c r="AF16" s="123"/>
    </row>
    <row r="17" spans="1:33">
      <c r="A17" s="3">
        <v>16</v>
      </c>
      <c r="B17" s="351" t="s">
        <v>47</v>
      </c>
      <c r="C17" s="350" t="s">
        <v>46</v>
      </c>
      <c r="D17" s="538">
        <v>13</v>
      </c>
      <c r="E17" s="503">
        <f>10+72+8</f>
        <v>90</v>
      </c>
      <c r="F17" s="504">
        <f>4+81</f>
        <v>85</v>
      </c>
      <c r="G17" s="503">
        <f>20+20</f>
        <v>40</v>
      </c>
      <c r="H17" s="504">
        <f>4+2</f>
        <v>6</v>
      </c>
      <c r="I17" s="503"/>
      <c r="J17" s="504">
        <f>1</f>
        <v>1</v>
      </c>
      <c r="K17" s="503"/>
      <c r="L17" s="504">
        <f>1+5</f>
        <v>6</v>
      </c>
      <c r="M17" s="503"/>
      <c r="N17" s="505">
        <f>5</f>
        <v>5</v>
      </c>
      <c r="O17" s="524"/>
      <c r="P17" s="505">
        <f>1+4+1</f>
        <v>6</v>
      </c>
      <c r="Q17" s="46"/>
      <c r="R17" s="50"/>
      <c r="S17" s="45"/>
      <c r="T17" s="50">
        <f>3</f>
        <v>3</v>
      </c>
      <c r="U17" s="46"/>
      <c r="V17" s="303">
        <f>1</f>
        <v>1</v>
      </c>
      <c r="W17" s="46"/>
      <c r="X17" s="50"/>
      <c r="Y17" s="46"/>
      <c r="Z17" s="50">
        <f>3</f>
        <v>3</v>
      </c>
      <c r="AA17" s="46"/>
      <c r="AB17" s="50">
        <f>10</f>
        <v>10</v>
      </c>
      <c r="AC17" s="26">
        <f t="shared" si="0"/>
        <v>143</v>
      </c>
      <c r="AD17" s="49">
        <f t="shared" si="1"/>
        <v>126</v>
      </c>
      <c r="AE17" s="455">
        <f t="shared" si="2"/>
        <v>17</v>
      </c>
      <c r="AF17" s="489"/>
    </row>
    <row r="18" spans="1:33">
      <c r="A18" s="23">
        <v>17</v>
      </c>
      <c r="B18" s="351" t="s">
        <v>49</v>
      </c>
      <c r="C18" s="350" t="s">
        <v>48</v>
      </c>
      <c r="D18" s="538">
        <v>24</v>
      </c>
      <c r="E18" s="503">
        <f>10+3</f>
        <v>13</v>
      </c>
      <c r="F18" s="504">
        <f>3+8+1</f>
        <v>12</v>
      </c>
      <c r="G18" s="503">
        <f>20</f>
        <v>20</v>
      </c>
      <c r="H18" s="504">
        <f>3+3+8</f>
        <v>14</v>
      </c>
      <c r="I18" s="503"/>
      <c r="J18" s="504"/>
      <c r="K18" s="503">
        <f>15+15</f>
        <v>30</v>
      </c>
      <c r="L18" s="504"/>
      <c r="M18" s="503"/>
      <c r="N18" s="505">
        <f>1+15</f>
        <v>16</v>
      </c>
      <c r="O18" s="524"/>
      <c r="P18" s="505">
        <f>1</f>
        <v>1</v>
      </c>
      <c r="Q18" s="46">
        <f>30+20</f>
        <v>50</v>
      </c>
      <c r="R18" s="50">
        <f>34+4+1+1</f>
        <v>40</v>
      </c>
      <c r="S18" s="45"/>
      <c r="T18" s="50"/>
      <c r="U18" s="46"/>
      <c r="V18" s="303">
        <f>1+4+1</f>
        <v>6</v>
      </c>
      <c r="W18" s="46"/>
      <c r="X18" s="50">
        <f>1+2+1+1</f>
        <v>5</v>
      </c>
      <c r="Y18" s="46"/>
      <c r="Z18" s="50">
        <f>1+1+4+1</f>
        <v>7</v>
      </c>
      <c r="AA18" s="46"/>
      <c r="AB18" s="50">
        <f>5+1+26+1</f>
        <v>33</v>
      </c>
      <c r="AC18" s="26">
        <f t="shared" si="0"/>
        <v>137</v>
      </c>
      <c r="AD18" s="49">
        <f t="shared" si="1"/>
        <v>134</v>
      </c>
      <c r="AE18" s="455">
        <f t="shared" si="2"/>
        <v>3</v>
      </c>
      <c r="AF18" s="489"/>
    </row>
    <row r="19" spans="1:33">
      <c r="A19" s="3">
        <v>18</v>
      </c>
      <c r="B19" s="351" t="s">
        <v>51</v>
      </c>
      <c r="C19" s="6" t="s">
        <v>50</v>
      </c>
      <c r="D19" s="538">
        <v>27</v>
      </c>
      <c r="E19" s="503"/>
      <c r="F19" s="504">
        <f>5</f>
        <v>5</v>
      </c>
      <c r="G19" s="503"/>
      <c r="H19" s="504">
        <f>16+1</f>
        <v>17</v>
      </c>
      <c r="I19" s="503"/>
      <c r="J19" s="504">
        <f>1</f>
        <v>1</v>
      </c>
      <c r="K19" s="516">
        <f>8</f>
        <v>8</v>
      </c>
      <c r="L19" s="504"/>
      <c r="M19" s="503"/>
      <c r="N19" s="505">
        <f>2+2</f>
        <v>4</v>
      </c>
      <c r="O19" s="524"/>
      <c r="P19" s="505"/>
      <c r="Q19" s="46"/>
      <c r="R19" s="50">
        <f>1</f>
        <v>1</v>
      </c>
      <c r="S19" s="45"/>
      <c r="T19" s="50"/>
      <c r="U19" s="46">
        <f>1</f>
        <v>1</v>
      </c>
      <c r="V19" s="303">
        <f>1+2</f>
        <v>3</v>
      </c>
      <c r="W19" s="46"/>
      <c r="X19" s="50">
        <f>2</f>
        <v>2</v>
      </c>
      <c r="Y19" s="46"/>
      <c r="Z19" s="50"/>
      <c r="AA19" s="46"/>
      <c r="AB19" s="50">
        <f>1</f>
        <v>1</v>
      </c>
      <c r="AC19" s="26">
        <f t="shared" si="0"/>
        <v>36</v>
      </c>
      <c r="AD19" s="49">
        <f t="shared" si="1"/>
        <v>34</v>
      </c>
      <c r="AE19" s="455">
        <f t="shared" si="2"/>
        <v>2</v>
      </c>
    </row>
    <row r="20" spans="1:33">
      <c r="A20" s="23">
        <v>19</v>
      </c>
      <c r="B20" s="351" t="s">
        <v>52</v>
      </c>
      <c r="C20" s="6" t="s">
        <v>50</v>
      </c>
      <c r="D20" s="538">
        <v>2</v>
      </c>
      <c r="E20" s="503">
        <f>40+3</f>
        <v>43</v>
      </c>
      <c r="F20" s="504">
        <f>2+2</f>
        <v>4</v>
      </c>
      <c r="G20" s="503"/>
      <c r="H20" s="504">
        <f>20</f>
        <v>20</v>
      </c>
      <c r="I20" s="503"/>
      <c r="J20" s="504"/>
      <c r="K20" s="516">
        <v>20</v>
      </c>
      <c r="L20" s="504"/>
      <c r="M20" s="503"/>
      <c r="N20" s="518"/>
      <c r="O20" s="524"/>
      <c r="P20" s="505"/>
      <c r="Q20" s="46"/>
      <c r="R20" s="50"/>
      <c r="S20" s="45"/>
      <c r="T20" s="50"/>
      <c r="U20" s="46"/>
      <c r="V20" s="303"/>
      <c r="W20" s="46"/>
      <c r="X20" s="50">
        <f>5+28+1</f>
        <v>34</v>
      </c>
      <c r="Y20" s="46"/>
      <c r="Z20" s="50"/>
      <c r="AA20" s="46">
        <v>40</v>
      </c>
      <c r="AB20" s="50">
        <f>12+9</f>
        <v>21</v>
      </c>
      <c r="AC20" s="26">
        <f t="shared" si="0"/>
        <v>105</v>
      </c>
      <c r="AD20" s="49">
        <f t="shared" si="1"/>
        <v>79</v>
      </c>
      <c r="AE20" s="455">
        <f t="shared" si="2"/>
        <v>26</v>
      </c>
    </row>
    <row r="21" spans="1:33">
      <c r="A21" s="3">
        <v>20</v>
      </c>
      <c r="B21" s="351" t="s">
        <v>54</v>
      </c>
      <c r="C21" s="350" t="s">
        <v>368</v>
      </c>
      <c r="D21" s="538">
        <v>6</v>
      </c>
      <c r="E21" s="503"/>
      <c r="F21" s="504"/>
      <c r="G21" s="503"/>
      <c r="H21" s="504"/>
      <c r="I21" s="503"/>
      <c r="J21" s="504">
        <f>2</f>
        <v>2</v>
      </c>
      <c r="K21" s="503"/>
      <c r="L21" s="504"/>
      <c r="M21" s="503"/>
      <c r="N21" s="505">
        <f>1</f>
        <v>1</v>
      </c>
      <c r="O21" s="524"/>
      <c r="P21" s="505"/>
      <c r="Q21" s="46"/>
      <c r="R21" s="50"/>
      <c r="S21" s="45"/>
      <c r="T21" s="50"/>
      <c r="U21" s="46"/>
      <c r="V21" s="303"/>
      <c r="W21" s="46">
        <v>20</v>
      </c>
      <c r="X21" s="50"/>
      <c r="Y21" s="46"/>
      <c r="Z21" s="50"/>
      <c r="AA21" s="46"/>
      <c r="AB21" s="50">
        <f>1+1</f>
        <v>2</v>
      </c>
      <c r="AC21" s="26">
        <f t="shared" si="0"/>
        <v>26</v>
      </c>
      <c r="AD21" s="49">
        <f t="shared" si="1"/>
        <v>5</v>
      </c>
      <c r="AE21" s="455">
        <f t="shared" si="2"/>
        <v>21</v>
      </c>
    </row>
    <row r="22" spans="1:33">
      <c r="A22" s="23">
        <v>21</v>
      </c>
      <c r="B22" s="351" t="s">
        <v>56</v>
      </c>
      <c r="C22" s="519" t="s">
        <v>55</v>
      </c>
      <c r="D22" s="538">
        <v>13</v>
      </c>
      <c r="E22" s="503">
        <f>5</f>
        <v>5</v>
      </c>
      <c r="F22" s="504">
        <f>9</f>
        <v>9</v>
      </c>
      <c r="G22" s="503"/>
      <c r="H22" s="504">
        <f>4+2+3</f>
        <v>9</v>
      </c>
      <c r="I22" s="503">
        <f>10</f>
        <v>10</v>
      </c>
      <c r="J22" s="504">
        <f>1</f>
        <v>1</v>
      </c>
      <c r="K22" s="503">
        <f>5+10+5+20</f>
        <v>40</v>
      </c>
      <c r="L22" s="504"/>
      <c r="M22" s="503"/>
      <c r="N22" s="505"/>
      <c r="O22" s="524"/>
      <c r="P22" s="505"/>
      <c r="Q22" s="46"/>
      <c r="R22" s="50">
        <f>6</f>
        <v>6</v>
      </c>
      <c r="S22" s="45"/>
      <c r="T22" s="50"/>
      <c r="U22" s="46"/>
      <c r="V22" s="303">
        <f>4</f>
        <v>4</v>
      </c>
      <c r="W22" s="46"/>
      <c r="X22" s="50"/>
      <c r="Y22" s="46"/>
      <c r="Z22" s="50">
        <f>4</f>
        <v>4</v>
      </c>
      <c r="AA22" s="46"/>
      <c r="AB22" s="50">
        <v>10</v>
      </c>
      <c r="AC22" s="26">
        <f t="shared" si="0"/>
        <v>68</v>
      </c>
      <c r="AD22" s="49">
        <f t="shared" si="1"/>
        <v>43</v>
      </c>
      <c r="AE22" s="455">
        <f t="shared" si="2"/>
        <v>25</v>
      </c>
    </row>
    <row r="23" spans="1:33">
      <c r="A23" s="3">
        <v>22</v>
      </c>
      <c r="B23" s="351" t="s">
        <v>58</v>
      </c>
      <c r="C23" s="6" t="s">
        <v>57</v>
      </c>
      <c r="D23" s="538">
        <v>5</v>
      </c>
      <c r="E23" s="503"/>
      <c r="F23" s="504">
        <f>1+3</f>
        <v>4</v>
      </c>
      <c r="G23" s="503">
        <f>5</f>
        <v>5</v>
      </c>
      <c r="H23" s="504">
        <f>1</f>
        <v>1</v>
      </c>
      <c r="I23" s="503"/>
      <c r="J23" s="504"/>
      <c r="K23" s="503">
        <f>3+2</f>
        <v>5</v>
      </c>
      <c r="L23" s="504"/>
      <c r="M23" s="503"/>
      <c r="N23" s="505"/>
      <c r="O23" s="524"/>
      <c r="P23" s="505">
        <f>1</f>
        <v>1</v>
      </c>
      <c r="Q23" s="46">
        <f>2+15</f>
        <v>17</v>
      </c>
      <c r="R23" s="50">
        <f>6</f>
        <v>6</v>
      </c>
      <c r="S23" s="45"/>
      <c r="T23" s="50"/>
      <c r="U23" s="46"/>
      <c r="V23" s="303"/>
      <c r="W23" s="46"/>
      <c r="X23" s="50"/>
      <c r="Y23" s="46"/>
      <c r="Z23" s="50"/>
      <c r="AA23" s="46"/>
      <c r="AB23" s="50"/>
      <c r="AC23" s="26">
        <f t="shared" si="0"/>
        <v>32</v>
      </c>
      <c r="AD23" s="49">
        <f t="shared" si="1"/>
        <v>12</v>
      </c>
      <c r="AE23" s="455">
        <f t="shared" si="2"/>
        <v>20</v>
      </c>
    </row>
    <row r="24" spans="1:33">
      <c r="A24" s="23">
        <v>23</v>
      </c>
      <c r="B24" s="351" t="s">
        <v>60</v>
      </c>
      <c r="C24" s="6" t="s">
        <v>59</v>
      </c>
      <c r="D24" s="538">
        <v>75</v>
      </c>
      <c r="E24" s="503"/>
      <c r="F24" s="504">
        <f>10+1+1</f>
        <v>12</v>
      </c>
      <c r="G24" s="503">
        <f>70</f>
        <v>70</v>
      </c>
      <c r="H24" s="504">
        <f>1+2+3+20</f>
        <v>26</v>
      </c>
      <c r="I24" s="503"/>
      <c r="J24" s="504"/>
      <c r="K24" s="503">
        <f>10+40</f>
        <v>50</v>
      </c>
      <c r="L24" s="504">
        <f>1</f>
        <v>1</v>
      </c>
      <c r="M24" s="503"/>
      <c r="N24" s="505">
        <f>20</f>
        <v>20</v>
      </c>
      <c r="O24" s="524"/>
      <c r="P24" s="505"/>
      <c r="Q24" s="46"/>
      <c r="R24" s="50"/>
      <c r="S24" s="45"/>
      <c r="T24" s="50">
        <f>1</f>
        <v>1</v>
      </c>
      <c r="U24" s="46"/>
      <c r="V24" s="50">
        <f>2</f>
        <v>2</v>
      </c>
      <c r="W24" s="46"/>
      <c r="X24" s="50">
        <f>13</f>
        <v>13</v>
      </c>
      <c r="Y24" s="46"/>
      <c r="Z24" s="50">
        <f>5</f>
        <v>5</v>
      </c>
      <c r="AA24" s="46"/>
      <c r="AB24" s="50">
        <v>20</v>
      </c>
      <c r="AC24" s="26">
        <f t="shared" si="0"/>
        <v>195</v>
      </c>
      <c r="AD24" s="49">
        <f t="shared" si="1"/>
        <v>100</v>
      </c>
      <c r="AE24" s="455">
        <f t="shared" si="2"/>
        <v>95</v>
      </c>
    </row>
    <row r="25" spans="1:33">
      <c r="A25" s="3">
        <v>24</v>
      </c>
      <c r="B25" s="351" t="s">
        <v>62</v>
      </c>
      <c r="C25" s="350" t="s">
        <v>61</v>
      </c>
      <c r="D25" s="538">
        <v>80</v>
      </c>
      <c r="E25" s="503"/>
      <c r="F25" s="504"/>
      <c r="G25" s="503">
        <f>70</f>
        <v>70</v>
      </c>
      <c r="H25" s="504">
        <f>1+10+10</f>
        <v>21</v>
      </c>
      <c r="I25" s="503"/>
      <c r="J25" s="504">
        <f>1</f>
        <v>1</v>
      </c>
      <c r="K25" s="503">
        <f>20+50</f>
        <v>70</v>
      </c>
      <c r="L25" s="504">
        <f>10+3</f>
        <v>13</v>
      </c>
      <c r="M25" s="503"/>
      <c r="N25" s="505">
        <f>2+15+5+15</f>
        <v>37</v>
      </c>
      <c r="O25" s="524"/>
      <c r="P25" s="505">
        <f>5</f>
        <v>5</v>
      </c>
      <c r="Q25" s="46"/>
      <c r="R25" s="50"/>
      <c r="S25" s="45"/>
      <c r="T25" s="50">
        <f>1</f>
        <v>1</v>
      </c>
      <c r="U25" s="46"/>
      <c r="V25" s="50"/>
      <c r="W25" s="46"/>
      <c r="X25" s="50">
        <f>10+6+1</f>
        <v>17</v>
      </c>
      <c r="Y25" s="46"/>
      <c r="Z25" s="50">
        <f>7</f>
        <v>7</v>
      </c>
      <c r="AA25" s="46"/>
      <c r="AB25" s="50">
        <f>15+5+1+10</f>
        <v>31</v>
      </c>
      <c r="AC25" s="26">
        <f t="shared" si="0"/>
        <v>220</v>
      </c>
      <c r="AD25" s="49">
        <f t="shared" si="1"/>
        <v>133</v>
      </c>
      <c r="AE25" s="455">
        <f t="shared" si="2"/>
        <v>87</v>
      </c>
    </row>
    <row r="26" spans="1:33">
      <c r="A26" s="23">
        <v>25</v>
      </c>
      <c r="B26" s="351" t="s">
        <v>64</v>
      </c>
      <c r="C26" s="6" t="s">
        <v>63</v>
      </c>
      <c r="D26" s="538">
        <v>13</v>
      </c>
      <c r="E26" s="503"/>
      <c r="F26" s="504">
        <f>1+1+1+1+1</f>
        <v>5</v>
      </c>
      <c r="G26" s="503">
        <f>10</f>
        <v>10</v>
      </c>
      <c r="H26" s="504">
        <f>2+5</f>
        <v>7</v>
      </c>
      <c r="I26" s="503"/>
      <c r="J26" s="504">
        <f>1+1</f>
        <v>2</v>
      </c>
      <c r="K26" s="503">
        <f>10+20</f>
        <v>30</v>
      </c>
      <c r="L26" s="504">
        <f>1</f>
        <v>1</v>
      </c>
      <c r="M26" s="503"/>
      <c r="N26" s="505">
        <f>2+2</f>
        <v>4</v>
      </c>
      <c r="O26" s="524"/>
      <c r="P26" s="505"/>
      <c r="Q26" s="46"/>
      <c r="R26" s="50"/>
      <c r="S26" s="45"/>
      <c r="T26" s="50">
        <f>2</f>
        <v>2</v>
      </c>
      <c r="U26" s="46"/>
      <c r="V26" s="50"/>
      <c r="W26" s="46"/>
      <c r="X26" s="50">
        <f>3+1</f>
        <v>4</v>
      </c>
      <c r="Y26" s="46"/>
      <c r="Z26" s="50">
        <f>1</f>
        <v>1</v>
      </c>
      <c r="AA26" s="46"/>
      <c r="AB26" s="50">
        <f>3+4+20</f>
        <v>27</v>
      </c>
      <c r="AC26" s="26">
        <f t="shared" si="0"/>
        <v>53</v>
      </c>
      <c r="AD26" s="49">
        <f t="shared" si="1"/>
        <v>53</v>
      </c>
      <c r="AE26" s="455">
        <f t="shared" si="2"/>
        <v>0</v>
      </c>
    </row>
    <row r="27" spans="1:33">
      <c r="A27" s="3">
        <v>26</v>
      </c>
      <c r="B27" s="351" t="s">
        <v>66</v>
      </c>
      <c r="C27" s="6" t="s">
        <v>65</v>
      </c>
      <c r="D27" s="538">
        <v>6</v>
      </c>
      <c r="E27" s="503"/>
      <c r="F27" s="504">
        <f>1</f>
        <v>1</v>
      </c>
      <c r="G27" s="503"/>
      <c r="H27" s="504">
        <f>1+2</f>
        <v>3</v>
      </c>
      <c r="I27" s="503">
        <f>10</f>
        <v>10</v>
      </c>
      <c r="J27" s="504"/>
      <c r="K27" s="503"/>
      <c r="L27" s="504"/>
      <c r="M27" s="503"/>
      <c r="N27" s="505"/>
      <c r="O27" s="524"/>
      <c r="P27" s="505"/>
      <c r="Q27" s="46"/>
      <c r="R27" s="50">
        <v>5</v>
      </c>
      <c r="S27" s="45"/>
      <c r="T27" s="50">
        <f>2</f>
        <v>2</v>
      </c>
      <c r="U27" s="46"/>
      <c r="V27" s="50"/>
      <c r="W27" s="46"/>
      <c r="X27" s="50"/>
      <c r="Y27" s="46"/>
      <c r="Z27" s="50">
        <f>3</f>
        <v>3</v>
      </c>
      <c r="AA27" s="46"/>
      <c r="AB27" s="50"/>
      <c r="AC27" s="26">
        <f t="shared" si="0"/>
        <v>16</v>
      </c>
      <c r="AD27" s="49">
        <f t="shared" si="1"/>
        <v>14</v>
      </c>
      <c r="AE27" s="455">
        <f t="shared" si="2"/>
        <v>2</v>
      </c>
    </row>
    <row r="28" spans="1:33">
      <c r="A28" s="23">
        <v>27</v>
      </c>
      <c r="B28" s="351" t="s">
        <v>68</v>
      </c>
      <c r="C28" s="6" t="s">
        <v>67</v>
      </c>
      <c r="D28" s="538">
        <v>30</v>
      </c>
      <c r="E28" s="503"/>
      <c r="F28" s="504"/>
      <c r="G28" s="503"/>
      <c r="H28" s="504">
        <f>1+3</f>
        <v>4</v>
      </c>
      <c r="I28" s="503"/>
      <c r="J28" s="504"/>
      <c r="K28" s="503"/>
      <c r="L28" s="504">
        <f>1</f>
        <v>1</v>
      </c>
      <c r="M28" s="503"/>
      <c r="N28" s="505">
        <f>3</f>
        <v>3</v>
      </c>
      <c r="O28" s="524"/>
      <c r="P28" s="505">
        <f>1</f>
        <v>1</v>
      </c>
      <c r="Q28" s="46"/>
      <c r="R28" s="50"/>
      <c r="S28" s="45"/>
      <c r="T28" s="50">
        <f>1</f>
        <v>1</v>
      </c>
      <c r="U28" s="46"/>
      <c r="V28" s="50"/>
      <c r="W28" s="46"/>
      <c r="X28" s="50"/>
      <c r="Y28" s="46"/>
      <c r="Z28" s="50">
        <f>1</f>
        <v>1</v>
      </c>
      <c r="AA28" s="46"/>
      <c r="AB28" s="50"/>
      <c r="AC28" s="26">
        <f t="shared" si="0"/>
        <v>30</v>
      </c>
      <c r="AD28" s="49">
        <f t="shared" si="1"/>
        <v>11</v>
      </c>
      <c r="AE28" s="455">
        <f t="shared" si="2"/>
        <v>19</v>
      </c>
    </row>
    <row r="29" spans="1:33">
      <c r="A29" s="3">
        <v>28</v>
      </c>
      <c r="B29" s="351" t="s">
        <v>70</v>
      </c>
      <c r="C29" s="6" t="s">
        <v>69</v>
      </c>
      <c r="D29" s="538">
        <v>43</v>
      </c>
      <c r="E29" s="503">
        <f>1</f>
        <v>1</v>
      </c>
      <c r="F29" s="504">
        <f>5+1+1</f>
        <v>7</v>
      </c>
      <c r="G29" s="503"/>
      <c r="H29" s="504"/>
      <c r="I29" s="503"/>
      <c r="J29" s="504">
        <f>1</f>
        <v>1</v>
      </c>
      <c r="K29" s="503"/>
      <c r="L29" s="504"/>
      <c r="M29" s="503"/>
      <c r="N29" s="505">
        <f>1</f>
        <v>1</v>
      </c>
      <c r="O29" s="524"/>
      <c r="P29" s="505">
        <f>1+1+1</f>
        <v>3</v>
      </c>
      <c r="Q29" s="46">
        <f>25</f>
        <v>25</v>
      </c>
      <c r="R29" s="50">
        <f>2+1</f>
        <v>3</v>
      </c>
      <c r="S29" s="45"/>
      <c r="T29" s="50">
        <f>1</f>
        <v>1</v>
      </c>
      <c r="U29" s="46"/>
      <c r="V29" s="50">
        <f>1</f>
        <v>1</v>
      </c>
      <c r="W29" s="46"/>
      <c r="X29" s="50"/>
      <c r="Y29" s="46"/>
      <c r="Z29" s="50">
        <f>2+1</f>
        <v>3</v>
      </c>
      <c r="AA29" s="46">
        <v>1</v>
      </c>
      <c r="AB29" s="50">
        <f>49+1</f>
        <v>50</v>
      </c>
      <c r="AC29" s="26">
        <f t="shared" si="0"/>
        <v>70</v>
      </c>
      <c r="AD29" s="49">
        <f t="shared" si="1"/>
        <v>70</v>
      </c>
      <c r="AE29" s="715">
        <f t="shared" si="2"/>
        <v>0</v>
      </c>
    </row>
    <row r="30" spans="1:33">
      <c r="A30" s="23">
        <v>29</v>
      </c>
      <c r="B30" s="351" t="s">
        <v>71</v>
      </c>
      <c r="C30" s="350" t="s">
        <v>65</v>
      </c>
      <c r="D30" s="538">
        <v>11</v>
      </c>
      <c r="E30" s="503">
        <f>3</f>
        <v>3</v>
      </c>
      <c r="F30" s="504">
        <f>2+1+1+1+1+1</f>
        <v>7</v>
      </c>
      <c r="G30" s="503">
        <f>20</f>
        <v>20</v>
      </c>
      <c r="H30" s="504">
        <f>2+1</f>
        <v>3</v>
      </c>
      <c r="I30" s="503"/>
      <c r="J30" s="504">
        <f>14</f>
        <v>14</v>
      </c>
      <c r="K30" s="516">
        <f>10+10+2</f>
        <v>22</v>
      </c>
      <c r="L30" s="504">
        <f>1+1</f>
        <v>2</v>
      </c>
      <c r="M30" s="503"/>
      <c r="N30" s="505">
        <f>1+2</f>
        <v>3</v>
      </c>
      <c r="O30" s="524"/>
      <c r="P30" s="505">
        <f>2+4+3+1+1</f>
        <v>11</v>
      </c>
      <c r="Q30" s="46">
        <f>24</f>
        <v>24</v>
      </c>
      <c r="R30" s="50">
        <f>1+1+1+2+5</f>
        <v>10</v>
      </c>
      <c r="S30" s="45"/>
      <c r="T30" s="50">
        <f>1</f>
        <v>1</v>
      </c>
      <c r="U30" s="46"/>
      <c r="V30" s="50">
        <v>1</v>
      </c>
      <c r="W30" s="46">
        <v>56</v>
      </c>
      <c r="X30" s="241">
        <f>28</f>
        <v>28</v>
      </c>
      <c r="Y30" s="46">
        <v>1</v>
      </c>
      <c r="Z30" s="50">
        <f>8</f>
        <v>8</v>
      </c>
      <c r="AA30" s="46"/>
      <c r="AB30" s="50">
        <f>3</f>
        <v>3</v>
      </c>
      <c r="AC30" s="26">
        <f t="shared" si="0"/>
        <v>137</v>
      </c>
      <c r="AD30" s="49">
        <f t="shared" si="1"/>
        <v>91</v>
      </c>
      <c r="AE30" s="455">
        <f t="shared" si="2"/>
        <v>46</v>
      </c>
    </row>
    <row r="31" spans="1:33">
      <c r="A31" s="3">
        <v>30</v>
      </c>
      <c r="B31" s="351" t="s">
        <v>73</v>
      </c>
      <c r="C31" s="350" t="s">
        <v>72</v>
      </c>
      <c r="D31" s="538">
        <v>0</v>
      </c>
      <c r="E31" s="503">
        <f>4+2</f>
        <v>6</v>
      </c>
      <c r="F31" s="504">
        <f>1+1</f>
        <v>2</v>
      </c>
      <c r="G31" s="503">
        <f>5</f>
        <v>5</v>
      </c>
      <c r="H31" s="504">
        <f>1+3</f>
        <v>4</v>
      </c>
      <c r="I31" s="503"/>
      <c r="J31" s="504">
        <f>1+1+1</f>
        <v>3</v>
      </c>
      <c r="K31" s="503"/>
      <c r="L31" s="504"/>
      <c r="M31" s="503"/>
      <c r="N31" s="505"/>
      <c r="O31" s="524"/>
      <c r="P31" s="505"/>
      <c r="Q31" s="46"/>
      <c r="R31" s="50"/>
      <c r="S31" s="45"/>
      <c r="T31" s="50"/>
      <c r="U31" s="46"/>
      <c r="V31" s="50"/>
      <c r="W31" s="46"/>
      <c r="X31" s="50">
        <f>1</f>
        <v>1</v>
      </c>
      <c r="Y31" s="46"/>
      <c r="Z31" s="50"/>
      <c r="AA31" s="46">
        <v>5</v>
      </c>
      <c r="AB31" s="50">
        <f>1+1+1</f>
        <v>3</v>
      </c>
      <c r="AC31" s="26">
        <f t="shared" si="0"/>
        <v>16</v>
      </c>
      <c r="AD31" s="49">
        <f t="shared" si="1"/>
        <v>13</v>
      </c>
      <c r="AE31" s="455">
        <f t="shared" si="2"/>
        <v>3</v>
      </c>
      <c r="AF31" s="520"/>
      <c r="AG31" s="520"/>
    </row>
    <row r="32" spans="1:33">
      <c r="A32" s="23">
        <v>31</v>
      </c>
      <c r="B32" s="351" t="s">
        <v>75</v>
      </c>
      <c r="C32" s="6" t="s">
        <v>74</v>
      </c>
      <c r="D32" s="538">
        <v>6</v>
      </c>
      <c r="E32" s="503">
        <f>1</f>
        <v>1</v>
      </c>
      <c r="F32" s="504"/>
      <c r="G32" s="503"/>
      <c r="H32" s="504"/>
      <c r="I32" s="503"/>
      <c r="J32" s="504">
        <f>1+1+1+1</f>
        <v>4</v>
      </c>
      <c r="K32" s="503"/>
      <c r="L32" s="504">
        <f>1</f>
        <v>1</v>
      </c>
      <c r="M32" s="503"/>
      <c r="N32" s="505"/>
      <c r="O32" s="524"/>
      <c r="P32" s="505"/>
      <c r="Q32" s="46"/>
      <c r="R32" s="50"/>
      <c r="S32" s="45"/>
      <c r="T32" s="50"/>
      <c r="U32" s="46"/>
      <c r="V32" s="50">
        <f>2</f>
        <v>2</v>
      </c>
      <c r="W32" s="46"/>
      <c r="X32" s="50"/>
      <c r="Y32" s="46"/>
      <c r="Z32" s="50"/>
      <c r="AA32" s="46">
        <f>5</f>
        <v>5</v>
      </c>
      <c r="AB32" s="50">
        <f>1</f>
        <v>1</v>
      </c>
      <c r="AC32" s="26">
        <f t="shared" si="0"/>
        <v>12</v>
      </c>
      <c r="AD32" s="49">
        <f t="shared" si="1"/>
        <v>8</v>
      </c>
      <c r="AE32" s="455">
        <f t="shared" si="2"/>
        <v>4</v>
      </c>
      <c r="AF32" s="489"/>
    </row>
    <row r="33" spans="1:32">
      <c r="A33" s="3">
        <v>32</v>
      </c>
      <c r="B33" s="351" t="s">
        <v>77</v>
      </c>
      <c r="C33" s="6" t="s">
        <v>76</v>
      </c>
      <c r="D33" s="538">
        <v>25</v>
      </c>
      <c r="E33" s="503"/>
      <c r="F33" s="504">
        <f>1+1+20</f>
        <v>22</v>
      </c>
      <c r="G33" s="503"/>
      <c r="H33" s="504">
        <f>3</f>
        <v>3</v>
      </c>
      <c r="I33" s="503">
        <f>60+20</f>
        <v>80</v>
      </c>
      <c r="J33" s="504">
        <f>2+3</f>
        <v>5</v>
      </c>
      <c r="K33" s="503">
        <f>20</f>
        <v>20</v>
      </c>
      <c r="L33" s="504">
        <f>1</f>
        <v>1</v>
      </c>
      <c r="M33" s="503"/>
      <c r="N33" s="505">
        <f>1+7</f>
        <v>8</v>
      </c>
      <c r="O33" s="524"/>
      <c r="P33" s="505"/>
      <c r="Q33" s="46">
        <f>50</f>
        <v>50</v>
      </c>
      <c r="R33" s="50"/>
      <c r="S33" s="45"/>
      <c r="T33" s="50">
        <f>5+3+1+1</f>
        <v>10</v>
      </c>
      <c r="U33" s="46"/>
      <c r="V33" s="50"/>
      <c r="W33" s="46"/>
      <c r="X33" s="50">
        <f>1</f>
        <v>1</v>
      </c>
      <c r="Y33" s="46"/>
      <c r="Z33" s="50">
        <f>8</f>
        <v>8</v>
      </c>
      <c r="AA33" s="46"/>
      <c r="AB33" s="50"/>
      <c r="AC33" s="26">
        <f t="shared" si="0"/>
        <v>175</v>
      </c>
      <c r="AD33" s="49">
        <f t="shared" si="1"/>
        <v>58</v>
      </c>
      <c r="AE33" s="455">
        <f t="shared" si="2"/>
        <v>117</v>
      </c>
      <c r="AF33" s="489"/>
    </row>
    <row r="34" spans="1:32">
      <c r="A34" s="23">
        <v>33</v>
      </c>
      <c r="B34" s="351" t="s">
        <v>78</v>
      </c>
      <c r="C34" s="6" t="s">
        <v>76</v>
      </c>
      <c r="D34" s="538">
        <v>4</v>
      </c>
      <c r="E34" s="503"/>
      <c r="F34" s="504"/>
      <c r="G34" s="503"/>
      <c r="H34" s="504"/>
      <c r="I34" s="503">
        <f>20</f>
        <v>20</v>
      </c>
      <c r="J34" s="504"/>
      <c r="K34" s="503"/>
      <c r="L34" s="504"/>
      <c r="M34" s="503"/>
      <c r="N34" s="505">
        <f>1+10+1</f>
        <v>12</v>
      </c>
      <c r="O34" s="524"/>
      <c r="P34" s="505"/>
      <c r="Q34" s="46">
        <v>30</v>
      </c>
      <c r="R34" s="50"/>
      <c r="S34" s="45"/>
      <c r="T34" s="50"/>
      <c r="U34" s="46"/>
      <c r="V34" s="50">
        <f>2</f>
        <v>2</v>
      </c>
      <c r="W34" s="46"/>
      <c r="X34" s="50">
        <f>2</f>
        <v>2</v>
      </c>
      <c r="Y34" s="46"/>
      <c r="Z34" s="50">
        <f>2+1</f>
        <v>3</v>
      </c>
      <c r="AA34" s="46"/>
      <c r="AB34" s="50"/>
      <c r="AC34" s="26">
        <f t="shared" si="0"/>
        <v>54</v>
      </c>
      <c r="AD34" s="49">
        <f t="shared" si="1"/>
        <v>19</v>
      </c>
      <c r="AE34" s="455">
        <f t="shared" si="2"/>
        <v>35</v>
      </c>
    </row>
    <row r="35" spans="1:32">
      <c r="A35" s="3">
        <v>34</v>
      </c>
      <c r="B35" s="351" t="s">
        <v>80</v>
      </c>
      <c r="C35" s="350" t="s">
        <v>79</v>
      </c>
      <c r="D35" s="538">
        <v>0</v>
      </c>
      <c r="E35" s="503">
        <f>10</f>
        <v>10</v>
      </c>
      <c r="F35" s="504">
        <f>10</f>
        <v>10</v>
      </c>
      <c r="G35" s="503">
        <f>10</f>
        <v>10</v>
      </c>
      <c r="H35" s="504">
        <f>5+2</f>
        <v>7</v>
      </c>
      <c r="I35" s="503">
        <f>20</f>
        <v>20</v>
      </c>
      <c r="J35" s="504">
        <f>3+11+4</f>
        <v>18</v>
      </c>
      <c r="K35" s="503">
        <f>10+2</f>
        <v>12</v>
      </c>
      <c r="L35" s="504"/>
      <c r="M35" s="503"/>
      <c r="N35" s="505">
        <f>2</f>
        <v>2</v>
      </c>
      <c r="O35" s="524"/>
      <c r="P35" s="505">
        <f>1</f>
        <v>1</v>
      </c>
      <c r="Q35" s="46">
        <v>40</v>
      </c>
      <c r="R35" s="50"/>
      <c r="S35" s="45"/>
      <c r="T35" s="50">
        <v>8</v>
      </c>
      <c r="U35" s="46"/>
      <c r="V35" s="50">
        <f>7</f>
        <v>7</v>
      </c>
      <c r="W35" s="46">
        <f>50</f>
        <v>50</v>
      </c>
      <c r="X35" s="50">
        <v>39</v>
      </c>
      <c r="Y35" s="46"/>
      <c r="Z35" s="50">
        <f>4</f>
        <v>4</v>
      </c>
      <c r="AA35" s="46">
        <v>50</v>
      </c>
      <c r="AB35" s="50">
        <f>2+2</f>
        <v>4</v>
      </c>
      <c r="AC35" s="26">
        <f t="shared" si="0"/>
        <v>192</v>
      </c>
      <c r="AD35" s="49">
        <f t="shared" si="1"/>
        <v>100</v>
      </c>
      <c r="AE35" s="455">
        <f t="shared" si="2"/>
        <v>92</v>
      </c>
    </row>
    <row r="36" spans="1:32">
      <c r="A36" s="23">
        <v>35</v>
      </c>
      <c r="B36" s="351" t="s">
        <v>82</v>
      </c>
      <c r="C36" s="6" t="s">
        <v>81</v>
      </c>
      <c r="D36" s="538">
        <v>14</v>
      </c>
      <c r="E36" s="503"/>
      <c r="F36" s="504">
        <f>1+2</f>
        <v>3</v>
      </c>
      <c r="G36" s="503"/>
      <c r="H36" s="504">
        <f>5+1</f>
        <v>6</v>
      </c>
      <c r="I36" s="503"/>
      <c r="J36" s="504">
        <f>1</f>
        <v>1</v>
      </c>
      <c r="K36" s="503"/>
      <c r="L36" s="504"/>
      <c r="M36" s="503">
        <f>10</f>
        <v>10</v>
      </c>
      <c r="N36" s="505"/>
      <c r="O36" s="524"/>
      <c r="P36" s="505"/>
      <c r="Q36" s="46"/>
      <c r="R36" s="50"/>
      <c r="S36" s="45"/>
      <c r="T36" s="50"/>
      <c r="U36" s="46"/>
      <c r="V36" s="50"/>
      <c r="W36" s="46"/>
      <c r="X36" s="50"/>
      <c r="Y36" s="46"/>
      <c r="Z36" s="50"/>
      <c r="AA36" s="46"/>
      <c r="AB36" s="50">
        <v>1</v>
      </c>
      <c r="AC36" s="26">
        <f t="shared" si="0"/>
        <v>24</v>
      </c>
      <c r="AD36" s="49">
        <f t="shared" si="1"/>
        <v>11</v>
      </c>
      <c r="AE36" s="455">
        <f t="shared" si="2"/>
        <v>13</v>
      </c>
      <c r="AF36" s="489"/>
    </row>
    <row r="37" spans="1:32" s="106" customFormat="1">
      <c r="A37" s="3">
        <v>36</v>
      </c>
      <c r="B37" s="351" t="s">
        <v>84</v>
      </c>
      <c r="C37" s="367" t="s">
        <v>83</v>
      </c>
      <c r="D37" s="538">
        <v>1</v>
      </c>
      <c r="E37" s="57"/>
      <c r="F37" s="98"/>
      <c r="G37" s="57">
        <f>2</f>
        <v>2</v>
      </c>
      <c r="H37" s="98"/>
      <c r="I37" s="57"/>
      <c r="J37" s="98"/>
      <c r="K37" s="57"/>
      <c r="L37" s="98">
        <f>2+1</f>
        <v>3</v>
      </c>
      <c r="M37" s="57"/>
      <c r="N37" s="50"/>
      <c r="O37" s="46"/>
      <c r="P37" s="50"/>
      <c r="Q37" s="46">
        <f>3</f>
        <v>3</v>
      </c>
      <c r="R37" s="50">
        <f>1</f>
        <v>1</v>
      </c>
      <c r="S37" s="45"/>
      <c r="T37" s="50"/>
      <c r="U37" s="46"/>
      <c r="V37" s="50"/>
      <c r="W37" s="46"/>
      <c r="X37" s="50">
        <f>1</f>
        <v>1</v>
      </c>
      <c r="Y37" s="46"/>
      <c r="Z37" s="50"/>
      <c r="AA37" s="46">
        <f>2</f>
        <v>2</v>
      </c>
      <c r="AB37" s="50"/>
      <c r="AC37" s="26">
        <f t="shared" si="0"/>
        <v>8</v>
      </c>
      <c r="AD37" s="49">
        <f t="shared" si="1"/>
        <v>5</v>
      </c>
      <c r="AE37" s="455">
        <f t="shared" si="2"/>
        <v>3</v>
      </c>
      <c r="AF37" s="123"/>
    </row>
    <row r="38" spans="1:32">
      <c r="A38" s="23">
        <v>37</v>
      </c>
      <c r="B38" s="351" t="s">
        <v>86</v>
      </c>
      <c r="C38" s="6" t="s">
        <v>85</v>
      </c>
      <c r="D38" s="538">
        <v>6</v>
      </c>
      <c r="E38" s="503">
        <f>15+1</f>
        <v>16</v>
      </c>
      <c r="F38" s="504">
        <f>1+1+2+3</f>
        <v>7</v>
      </c>
      <c r="G38" s="503"/>
      <c r="H38" s="504">
        <f>1</f>
        <v>1</v>
      </c>
      <c r="I38" s="503"/>
      <c r="J38" s="504"/>
      <c r="K38" s="503">
        <f>8+7</f>
        <v>15</v>
      </c>
      <c r="L38" s="504">
        <f>6</f>
        <v>6</v>
      </c>
      <c r="M38" s="503"/>
      <c r="N38" s="505">
        <f>1+5+1</f>
        <v>7</v>
      </c>
      <c r="O38" s="524"/>
      <c r="P38" s="505"/>
      <c r="Q38" s="46">
        <f>10</f>
        <v>10</v>
      </c>
      <c r="R38" s="50"/>
      <c r="S38" s="45"/>
      <c r="T38" s="50">
        <f>1</f>
        <v>1</v>
      </c>
      <c r="U38" s="46"/>
      <c r="V38" s="50">
        <f>10+1</f>
        <v>11</v>
      </c>
      <c r="W38" s="46"/>
      <c r="X38" s="50">
        <f>1</f>
        <v>1</v>
      </c>
      <c r="Y38" s="46"/>
      <c r="Z38" s="50"/>
      <c r="AA38" s="46"/>
      <c r="AB38" s="50"/>
      <c r="AC38" s="26">
        <f t="shared" si="0"/>
        <v>47</v>
      </c>
      <c r="AD38" s="49">
        <f t="shared" si="1"/>
        <v>34</v>
      </c>
      <c r="AE38" s="455">
        <f t="shared" si="2"/>
        <v>13</v>
      </c>
    </row>
    <row r="39" spans="1:32" customFormat="1">
      <c r="A39" s="3">
        <v>38</v>
      </c>
      <c r="B39" s="351" t="s">
        <v>88</v>
      </c>
      <c r="C39" s="467" t="s">
        <v>87</v>
      </c>
      <c r="D39" s="538">
        <v>0</v>
      </c>
      <c r="E39" s="57"/>
      <c r="F39" s="98"/>
      <c r="G39" s="57"/>
      <c r="H39" s="98"/>
      <c r="I39" s="57"/>
      <c r="J39" s="98"/>
      <c r="K39" s="57"/>
      <c r="L39" s="98"/>
      <c r="M39" s="57"/>
      <c r="N39" s="50"/>
      <c r="O39" s="46"/>
      <c r="P39" s="50"/>
      <c r="Q39" s="46"/>
      <c r="R39" s="50"/>
      <c r="S39" s="45"/>
      <c r="T39" s="50"/>
      <c r="U39" s="46"/>
      <c r="V39" s="50"/>
      <c r="W39" s="46"/>
      <c r="X39" s="50"/>
      <c r="Y39" s="46"/>
      <c r="Z39" s="50"/>
      <c r="AA39" s="46"/>
      <c r="AB39" s="50"/>
      <c r="AC39" s="26">
        <f t="shared" si="0"/>
        <v>0</v>
      </c>
      <c r="AD39" s="49">
        <f t="shared" si="1"/>
        <v>0</v>
      </c>
      <c r="AE39" s="466">
        <f t="shared" si="2"/>
        <v>0</v>
      </c>
    </row>
    <row r="40" spans="1:32">
      <c r="A40" s="23">
        <v>39</v>
      </c>
      <c r="B40" s="351" t="s">
        <v>90</v>
      </c>
      <c r="C40" s="521" t="s">
        <v>89</v>
      </c>
      <c r="D40" s="538">
        <v>147</v>
      </c>
      <c r="E40" s="503"/>
      <c r="F40" s="504">
        <v>1</v>
      </c>
      <c r="G40" s="503"/>
      <c r="H40" s="504">
        <f>8+2</f>
        <v>10</v>
      </c>
      <c r="I40" s="503"/>
      <c r="J40" s="504">
        <f>3+10+1+20</f>
        <v>34</v>
      </c>
      <c r="K40" s="503"/>
      <c r="L40" s="504"/>
      <c r="M40" s="503"/>
      <c r="N40" s="505">
        <f>2+8+11</f>
        <v>21</v>
      </c>
      <c r="O40" s="524"/>
      <c r="P40" s="505"/>
      <c r="Q40" s="46"/>
      <c r="R40" s="50"/>
      <c r="S40" s="45"/>
      <c r="T40" s="50">
        <f>1</f>
        <v>1</v>
      </c>
      <c r="U40" s="46"/>
      <c r="V40" s="50">
        <f>1+40+15</f>
        <v>56</v>
      </c>
      <c r="W40" s="46"/>
      <c r="X40" s="50"/>
      <c r="Y40" s="46"/>
      <c r="Z40" s="50">
        <f>1</f>
        <v>1</v>
      </c>
      <c r="AA40" s="46">
        <v>200</v>
      </c>
      <c r="AB40" s="50">
        <f>2+2</f>
        <v>4</v>
      </c>
      <c r="AC40" s="26">
        <f t="shared" si="0"/>
        <v>347</v>
      </c>
      <c r="AD40" s="49">
        <f t="shared" si="1"/>
        <v>128</v>
      </c>
      <c r="AE40" s="455">
        <f t="shared" si="2"/>
        <v>219</v>
      </c>
    </row>
    <row r="41" spans="1:32">
      <c r="A41" s="3">
        <v>40</v>
      </c>
      <c r="B41" s="351" t="s">
        <v>91</v>
      </c>
      <c r="C41" s="6" t="s">
        <v>50</v>
      </c>
      <c r="D41" s="538">
        <v>15</v>
      </c>
      <c r="E41" s="503">
        <f>4+1</f>
        <v>5</v>
      </c>
      <c r="F41" s="504">
        <f>1+1</f>
        <v>2</v>
      </c>
      <c r="G41" s="503"/>
      <c r="H41" s="504"/>
      <c r="I41" s="503"/>
      <c r="J41" s="504">
        <f>2</f>
        <v>2</v>
      </c>
      <c r="K41" s="503"/>
      <c r="L41" s="504">
        <f>4+2</f>
        <v>6</v>
      </c>
      <c r="M41" s="503"/>
      <c r="N41" s="505">
        <f>5</f>
        <v>5</v>
      </c>
      <c r="O41" s="524"/>
      <c r="P41" s="505">
        <f>1</f>
        <v>1</v>
      </c>
      <c r="Q41" s="46">
        <f>25+15+20</f>
        <v>60</v>
      </c>
      <c r="R41" s="50">
        <f>10</f>
        <v>10</v>
      </c>
      <c r="S41" s="45"/>
      <c r="T41" s="50">
        <f>3</f>
        <v>3</v>
      </c>
      <c r="U41" s="46"/>
      <c r="V41" s="50">
        <f>7</f>
        <v>7</v>
      </c>
      <c r="W41" s="46">
        <v>60</v>
      </c>
      <c r="X41" s="50"/>
      <c r="Y41" s="46"/>
      <c r="Z41" s="50">
        <f>8+10</f>
        <v>18</v>
      </c>
      <c r="AA41" s="46">
        <v>1</v>
      </c>
      <c r="AB41" s="50">
        <f>53+4</f>
        <v>57</v>
      </c>
      <c r="AC41" s="26">
        <f t="shared" si="0"/>
        <v>141</v>
      </c>
      <c r="AD41" s="49">
        <f t="shared" si="1"/>
        <v>111</v>
      </c>
      <c r="AE41" s="636">
        <f t="shared" si="2"/>
        <v>30</v>
      </c>
    </row>
    <row r="42" spans="1:32" customFormat="1">
      <c r="A42" s="23">
        <v>41</v>
      </c>
      <c r="B42" s="351" t="s">
        <v>93</v>
      </c>
      <c r="C42" s="458" t="s">
        <v>92</v>
      </c>
      <c r="D42" s="538">
        <v>1</v>
      </c>
      <c r="E42" s="57"/>
      <c r="F42" s="98"/>
      <c r="G42" s="57">
        <f>2</f>
        <v>2</v>
      </c>
      <c r="H42" s="98"/>
      <c r="I42" s="57"/>
      <c r="J42" s="98"/>
      <c r="K42" s="57"/>
      <c r="L42" s="98">
        <f>2+1</f>
        <v>3</v>
      </c>
      <c r="M42" s="57"/>
      <c r="N42" s="50"/>
      <c r="O42" s="46"/>
      <c r="P42" s="50"/>
      <c r="Q42" s="46">
        <f>3</f>
        <v>3</v>
      </c>
      <c r="R42" s="50">
        <f>1</f>
        <v>1</v>
      </c>
      <c r="S42" s="45"/>
      <c r="T42" s="50"/>
      <c r="U42" s="46"/>
      <c r="V42" s="50"/>
      <c r="W42" s="46"/>
      <c r="X42" s="50">
        <f>1</f>
        <v>1</v>
      </c>
      <c r="Y42" s="46"/>
      <c r="Z42" s="50"/>
      <c r="AA42" s="46">
        <v>1</v>
      </c>
      <c r="AB42" s="50"/>
      <c r="AC42" s="26">
        <f t="shared" si="0"/>
        <v>7</v>
      </c>
      <c r="AD42" s="49">
        <f t="shared" si="1"/>
        <v>5</v>
      </c>
      <c r="AE42" s="455">
        <f t="shared" si="2"/>
        <v>2</v>
      </c>
    </row>
    <row r="43" spans="1:32">
      <c r="A43" s="3">
        <v>42</v>
      </c>
      <c r="B43" s="351" t="s">
        <v>95</v>
      </c>
      <c r="C43" s="6" t="s">
        <v>94</v>
      </c>
      <c r="D43" s="538">
        <v>14</v>
      </c>
      <c r="E43" s="503"/>
      <c r="F43" s="504">
        <f>1</f>
        <v>1</v>
      </c>
      <c r="G43" s="503"/>
      <c r="H43" s="504">
        <f>1</f>
        <v>1</v>
      </c>
      <c r="I43" s="503"/>
      <c r="J43" s="504">
        <f>1+1+2</f>
        <v>4</v>
      </c>
      <c r="K43" s="503">
        <f>5+5+6+1</f>
        <v>17</v>
      </c>
      <c r="L43" s="504"/>
      <c r="M43" s="503"/>
      <c r="N43" s="505">
        <f>1+1</f>
        <v>2</v>
      </c>
      <c r="O43" s="524"/>
      <c r="P43" s="505">
        <f>1</f>
        <v>1</v>
      </c>
      <c r="Q43" s="46"/>
      <c r="R43" s="50">
        <f>1</f>
        <v>1</v>
      </c>
      <c r="S43" s="45"/>
      <c r="T43" s="50"/>
      <c r="U43" s="46"/>
      <c r="V43" s="50">
        <f>2</f>
        <v>2</v>
      </c>
      <c r="W43" s="46"/>
      <c r="X43" s="50"/>
      <c r="Y43" s="46"/>
      <c r="Z43" s="50">
        <f>1</f>
        <v>1</v>
      </c>
      <c r="AA43" s="46"/>
      <c r="AB43" s="50">
        <f>2</f>
        <v>2</v>
      </c>
      <c r="AC43" s="26">
        <f t="shared" si="0"/>
        <v>31</v>
      </c>
      <c r="AD43" s="49">
        <f t="shared" si="1"/>
        <v>15</v>
      </c>
      <c r="AE43" s="455">
        <f t="shared" si="2"/>
        <v>16</v>
      </c>
      <c r="AF43" s="489"/>
    </row>
    <row r="44" spans="1:32" customFormat="1">
      <c r="A44" s="23">
        <v>43</v>
      </c>
      <c r="B44" s="351" t="s">
        <v>97</v>
      </c>
      <c r="C44" s="467" t="s">
        <v>96</v>
      </c>
      <c r="D44" s="538">
        <v>0</v>
      </c>
      <c r="E44" s="57"/>
      <c r="F44" s="98"/>
      <c r="G44" s="57"/>
      <c r="H44" s="98"/>
      <c r="I44" s="57"/>
      <c r="J44" s="98"/>
      <c r="K44" s="57"/>
      <c r="L44" s="98"/>
      <c r="M44" s="57"/>
      <c r="N44" s="50"/>
      <c r="O44" s="46"/>
      <c r="P44" s="50"/>
      <c r="Q44" s="46"/>
      <c r="R44" s="50"/>
      <c r="S44" s="45"/>
      <c r="T44" s="50"/>
      <c r="U44" s="46"/>
      <c r="V44" s="50"/>
      <c r="W44" s="46"/>
      <c r="X44" s="50"/>
      <c r="Y44" s="46"/>
      <c r="Z44" s="50"/>
      <c r="AA44" s="46"/>
      <c r="AB44" s="50"/>
      <c r="AC44" s="26">
        <f t="shared" si="0"/>
        <v>0</v>
      </c>
      <c r="AD44" s="49">
        <f t="shared" si="1"/>
        <v>0</v>
      </c>
      <c r="AE44" s="466">
        <f t="shared" si="2"/>
        <v>0</v>
      </c>
    </row>
    <row r="45" spans="1:32" customFormat="1">
      <c r="A45" s="3">
        <v>44</v>
      </c>
      <c r="B45" s="351" t="s">
        <v>99</v>
      </c>
      <c r="C45" s="467" t="s">
        <v>98</v>
      </c>
      <c r="D45" s="538">
        <v>0</v>
      </c>
      <c r="E45" s="57"/>
      <c r="F45" s="98"/>
      <c r="G45" s="57"/>
      <c r="H45" s="98"/>
      <c r="I45" s="57"/>
      <c r="J45" s="98"/>
      <c r="K45" s="57"/>
      <c r="L45" s="98"/>
      <c r="M45" s="57"/>
      <c r="N45" s="50"/>
      <c r="O45" s="46"/>
      <c r="P45" s="50"/>
      <c r="Q45" s="46"/>
      <c r="R45" s="50"/>
      <c r="S45" s="45"/>
      <c r="T45" s="50"/>
      <c r="U45" s="46"/>
      <c r="V45" s="50"/>
      <c r="W45" s="46"/>
      <c r="X45" s="50"/>
      <c r="Y45" s="46"/>
      <c r="Z45" s="50"/>
      <c r="AA45" s="46"/>
      <c r="AB45" s="50"/>
      <c r="AC45" s="26">
        <f t="shared" si="0"/>
        <v>0</v>
      </c>
      <c r="AD45" s="49">
        <f t="shared" si="1"/>
        <v>0</v>
      </c>
      <c r="AE45" s="466">
        <f t="shared" si="2"/>
        <v>0</v>
      </c>
    </row>
    <row r="46" spans="1:32" customFormat="1">
      <c r="A46" s="23">
        <v>45</v>
      </c>
      <c r="B46" s="351" t="s">
        <v>101</v>
      </c>
      <c r="C46" s="467" t="s">
        <v>100</v>
      </c>
      <c r="D46" s="538">
        <v>0</v>
      </c>
      <c r="E46" s="57"/>
      <c r="F46" s="98"/>
      <c r="G46" s="57"/>
      <c r="H46" s="98"/>
      <c r="I46" s="57"/>
      <c r="J46" s="98"/>
      <c r="K46" s="57"/>
      <c r="L46" s="98"/>
      <c r="M46" s="57"/>
      <c r="N46" s="50"/>
      <c r="O46" s="46"/>
      <c r="P46" s="50"/>
      <c r="Q46" s="46"/>
      <c r="R46" s="50"/>
      <c r="S46" s="45"/>
      <c r="T46" s="50"/>
      <c r="U46" s="46"/>
      <c r="V46" s="50"/>
      <c r="W46" s="46"/>
      <c r="X46" s="50"/>
      <c r="Y46" s="46"/>
      <c r="Z46" s="50"/>
      <c r="AA46" s="46"/>
      <c r="AB46" s="50"/>
      <c r="AC46" s="26">
        <f t="shared" si="0"/>
        <v>0</v>
      </c>
      <c r="AD46" s="49">
        <f t="shared" si="1"/>
        <v>0</v>
      </c>
      <c r="AE46" s="466">
        <f t="shared" si="2"/>
        <v>0</v>
      </c>
    </row>
    <row r="47" spans="1:32" customFormat="1">
      <c r="A47" s="3">
        <v>46</v>
      </c>
      <c r="B47" s="351" t="s">
        <v>103</v>
      </c>
      <c r="C47" s="467" t="s">
        <v>102</v>
      </c>
      <c r="D47" s="538">
        <v>0</v>
      </c>
      <c r="E47" s="57"/>
      <c r="F47" s="98"/>
      <c r="G47" s="57"/>
      <c r="H47" s="98"/>
      <c r="I47" s="57"/>
      <c r="J47" s="98"/>
      <c r="K47" s="57"/>
      <c r="L47" s="98"/>
      <c r="M47" s="57"/>
      <c r="N47" s="50"/>
      <c r="O47" s="46"/>
      <c r="P47" s="50"/>
      <c r="Q47" s="46"/>
      <c r="R47" s="50"/>
      <c r="S47" s="45"/>
      <c r="T47" s="50"/>
      <c r="U47" s="46"/>
      <c r="V47" s="50"/>
      <c r="W47" s="46"/>
      <c r="X47" s="50"/>
      <c r="Y47" s="46"/>
      <c r="Z47" s="50"/>
      <c r="AA47" s="46"/>
      <c r="AB47" s="50"/>
      <c r="AC47" s="26">
        <f t="shared" si="0"/>
        <v>0</v>
      </c>
      <c r="AD47" s="49">
        <f t="shared" si="1"/>
        <v>0</v>
      </c>
      <c r="AE47" s="466">
        <f t="shared" si="2"/>
        <v>0</v>
      </c>
    </row>
    <row r="48" spans="1:32" customFormat="1">
      <c r="A48" s="23">
        <v>47</v>
      </c>
      <c r="B48" s="351" t="s">
        <v>105</v>
      </c>
      <c r="C48" s="467" t="s">
        <v>104</v>
      </c>
      <c r="D48" s="538">
        <v>0</v>
      </c>
      <c r="E48" s="57"/>
      <c r="F48" s="98"/>
      <c r="G48" s="57"/>
      <c r="H48" s="98"/>
      <c r="I48" s="57"/>
      <c r="J48" s="98"/>
      <c r="K48" s="57"/>
      <c r="L48" s="98"/>
      <c r="M48" s="57"/>
      <c r="N48" s="50"/>
      <c r="O48" s="46"/>
      <c r="P48" s="50"/>
      <c r="Q48" s="46"/>
      <c r="R48" s="50"/>
      <c r="S48" s="45"/>
      <c r="T48" s="50"/>
      <c r="U48" s="46"/>
      <c r="V48" s="50"/>
      <c r="W48" s="46"/>
      <c r="X48" s="50"/>
      <c r="Y48" s="46"/>
      <c r="Z48" s="50"/>
      <c r="AA48" s="46"/>
      <c r="AB48" s="50"/>
      <c r="AC48" s="26">
        <f t="shared" si="0"/>
        <v>0</v>
      </c>
      <c r="AD48" s="49">
        <f t="shared" si="1"/>
        <v>0</v>
      </c>
      <c r="AE48" s="466">
        <f t="shared" si="2"/>
        <v>0</v>
      </c>
    </row>
    <row r="49" spans="1:32" s="522" customFormat="1">
      <c r="A49" s="3">
        <v>48</v>
      </c>
      <c r="B49" s="351" t="s">
        <v>107</v>
      </c>
      <c r="C49" s="521" t="s">
        <v>106</v>
      </c>
      <c r="D49" s="538">
        <v>2</v>
      </c>
      <c r="E49" s="503">
        <f>1</f>
        <v>1</v>
      </c>
      <c r="F49" s="504"/>
      <c r="G49" s="503"/>
      <c r="H49" s="504"/>
      <c r="I49" s="503"/>
      <c r="J49" s="504"/>
      <c r="K49" s="503"/>
      <c r="L49" s="504"/>
      <c r="M49" s="503"/>
      <c r="N49" s="505"/>
      <c r="O49" s="524"/>
      <c r="P49" s="505"/>
      <c r="Q49" s="46"/>
      <c r="R49" s="50"/>
      <c r="S49" s="45"/>
      <c r="T49" s="50"/>
      <c r="U49" s="46"/>
      <c r="V49" s="50"/>
      <c r="W49" s="46"/>
      <c r="X49" s="50"/>
      <c r="Y49" s="46"/>
      <c r="Z49" s="50">
        <f>1</f>
        <v>1</v>
      </c>
      <c r="AA49" s="46">
        <f>4</f>
        <v>4</v>
      </c>
      <c r="AB49" s="50">
        <f>1+1+1+1</f>
        <v>4</v>
      </c>
      <c r="AC49" s="26">
        <f t="shared" si="0"/>
        <v>7</v>
      </c>
      <c r="AD49" s="49">
        <f t="shared" si="1"/>
        <v>5</v>
      </c>
      <c r="AE49" s="455">
        <f t="shared" si="2"/>
        <v>2</v>
      </c>
      <c r="AF49" s="125"/>
    </row>
    <row r="50" spans="1:32" customFormat="1">
      <c r="A50" s="23">
        <v>49</v>
      </c>
      <c r="B50" s="351" t="s">
        <v>109</v>
      </c>
      <c r="C50" s="458" t="s">
        <v>108</v>
      </c>
      <c r="D50" s="538">
        <v>0</v>
      </c>
      <c r="E50" s="57"/>
      <c r="F50" s="98"/>
      <c r="G50" s="57"/>
      <c r="H50" s="98"/>
      <c r="I50" s="57"/>
      <c r="J50" s="98"/>
      <c r="K50" s="57"/>
      <c r="L50" s="98"/>
      <c r="M50" s="57"/>
      <c r="N50" s="50"/>
      <c r="O50" s="46"/>
      <c r="P50" s="50"/>
      <c r="Q50" s="46"/>
      <c r="R50" s="50"/>
      <c r="S50" s="45"/>
      <c r="T50" s="50"/>
      <c r="U50" s="46"/>
      <c r="V50" s="50"/>
      <c r="W50" s="46"/>
      <c r="X50" s="50"/>
      <c r="Y50" s="46"/>
      <c r="Z50" s="50"/>
      <c r="AA50" s="46"/>
      <c r="AB50" s="50"/>
      <c r="AC50" s="26">
        <f t="shared" si="0"/>
        <v>0</v>
      </c>
      <c r="AD50" s="49">
        <f t="shared" si="1"/>
        <v>0</v>
      </c>
      <c r="AE50" s="466">
        <f t="shared" si="2"/>
        <v>0</v>
      </c>
      <c r="AF50" s="123"/>
    </row>
    <row r="51" spans="1:32">
      <c r="A51" s="3">
        <v>50</v>
      </c>
      <c r="B51" s="351" t="s">
        <v>111</v>
      </c>
      <c r="C51" s="519" t="s">
        <v>110</v>
      </c>
      <c r="D51" s="538">
        <v>0</v>
      </c>
      <c r="E51" s="503"/>
      <c r="F51" s="504"/>
      <c r="G51" s="503"/>
      <c r="H51" s="504"/>
      <c r="I51" s="503">
        <f>1</f>
        <v>1</v>
      </c>
      <c r="J51" s="504"/>
      <c r="K51" s="503"/>
      <c r="L51" s="504"/>
      <c r="M51" s="503"/>
      <c r="N51" s="505"/>
      <c r="O51" s="46"/>
      <c r="P51" s="505">
        <f>1</f>
        <v>1</v>
      </c>
      <c r="Q51" s="46"/>
      <c r="R51" s="50"/>
      <c r="S51" s="45"/>
      <c r="T51" s="50"/>
      <c r="U51" s="46"/>
      <c r="V51" s="50"/>
      <c r="W51" s="46"/>
      <c r="X51" s="50"/>
      <c r="Y51" s="46"/>
      <c r="Z51" s="50"/>
      <c r="AA51" s="46">
        <f>1</f>
        <v>1</v>
      </c>
      <c r="AB51" s="50">
        <f>1</f>
        <v>1</v>
      </c>
      <c r="AC51" s="26">
        <f t="shared" si="0"/>
        <v>2</v>
      </c>
      <c r="AD51" s="49">
        <f t="shared" si="1"/>
        <v>2</v>
      </c>
      <c r="AE51" s="455">
        <f t="shared" si="2"/>
        <v>0</v>
      </c>
      <c r="AF51" s="489"/>
    </row>
    <row r="52" spans="1:32" customFormat="1">
      <c r="A52" s="23">
        <v>51</v>
      </c>
      <c r="B52" s="351" t="s">
        <v>227</v>
      </c>
      <c r="C52" s="458" t="s">
        <v>112</v>
      </c>
      <c r="D52" s="538">
        <v>0</v>
      </c>
      <c r="E52" s="57"/>
      <c r="F52" s="98"/>
      <c r="G52" s="57"/>
      <c r="H52" s="98"/>
      <c r="I52" s="57"/>
      <c r="J52" s="98"/>
      <c r="K52" s="57"/>
      <c r="L52" s="98"/>
      <c r="M52" s="57"/>
      <c r="N52" s="50"/>
      <c r="O52" s="46"/>
      <c r="P52" s="50"/>
      <c r="Q52" s="46"/>
      <c r="R52" s="50"/>
      <c r="S52" s="45"/>
      <c r="T52" s="50"/>
      <c r="U52" s="46"/>
      <c r="V52" s="50"/>
      <c r="W52" s="46"/>
      <c r="X52" s="50"/>
      <c r="Y52" s="46"/>
      <c r="Z52" s="50"/>
      <c r="AA52" s="46"/>
      <c r="AB52" s="50"/>
      <c r="AC52" s="26">
        <f t="shared" si="0"/>
        <v>0</v>
      </c>
      <c r="AD52" s="49">
        <f t="shared" si="1"/>
        <v>0</v>
      </c>
      <c r="AE52" s="466">
        <f t="shared" si="2"/>
        <v>0</v>
      </c>
      <c r="AF52" s="123"/>
    </row>
    <row r="53" spans="1:32" customFormat="1">
      <c r="A53" s="3">
        <v>52</v>
      </c>
      <c r="B53" s="351" t="s">
        <v>114</v>
      </c>
      <c r="C53" s="458" t="s">
        <v>113</v>
      </c>
      <c r="D53" s="538">
        <v>0</v>
      </c>
      <c r="E53" s="57"/>
      <c r="F53" s="98"/>
      <c r="G53" s="57"/>
      <c r="H53" s="98"/>
      <c r="I53" s="57"/>
      <c r="J53" s="98"/>
      <c r="K53" s="57"/>
      <c r="L53" s="98"/>
      <c r="M53" s="57">
        <v>1</v>
      </c>
      <c r="N53" s="50"/>
      <c r="O53" s="46"/>
      <c r="P53" s="505">
        <f>1</f>
        <v>1</v>
      </c>
      <c r="Q53" s="46"/>
      <c r="R53" s="50"/>
      <c r="S53" s="45"/>
      <c r="T53" s="50"/>
      <c r="U53" s="46"/>
      <c r="V53" s="50"/>
      <c r="W53" s="46"/>
      <c r="X53" s="50"/>
      <c r="Y53" s="46"/>
      <c r="Z53" s="50"/>
      <c r="AA53" s="46"/>
      <c r="AB53" s="50"/>
      <c r="AC53" s="26">
        <f t="shared" si="0"/>
        <v>1</v>
      </c>
      <c r="AD53" s="49">
        <f t="shared" si="1"/>
        <v>1</v>
      </c>
      <c r="AE53" s="455">
        <f t="shared" si="2"/>
        <v>0</v>
      </c>
    </row>
    <row r="54" spans="1:32" customFormat="1">
      <c r="A54" s="23">
        <v>53</v>
      </c>
      <c r="B54" s="351" t="s">
        <v>116</v>
      </c>
      <c r="C54" s="467" t="s">
        <v>115</v>
      </c>
      <c r="D54" s="538">
        <v>0</v>
      </c>
      <c r="E54" s="57"/>
      <c r="F54" s="98"/>
      <c r="G54" s="57"/>
      <c r="H54" s="98"/>
      <c r="I54" s="57"/>
      <c r="J54" s="98"/>
      <c r="K54" s="57"/>
      <c r="L54" s="98"/>
      <c r="M54" s="57"/>
      <c r="N54" s="50"/>
      <c r="O54" s="46"/>
      <c r="P54" s="50"/>
      <c r="Q54" s="46"/>
      <c r="R54" s="50"/>
      <c r="S54" s="45"/>
      <c r="T54" s="50"/>
      <c r="U54" s="46"/>
      <c r="V54" s="50"/>
      <c r="W54" s="46"/>
      <c r="X54" s="50"/>
      <c r="Y54" s="46"/>
      <c r="Z54" s="50"/>
      <c r="AA54" s="46"/>
      <c r="AB54" s="50"/>
      <c r="AC54" s="26">
        <f t="shared" si="0"/>
        <v>0</v>
      </c>
      <c r="AD54" s="49">
        <f t="shared" si="1"/>
        <v>0</v>
      </c>
      <c r="AE54" s="466">
        <f t="shared" si="2"/>
        <v>0</v>
      </c>
    </row>
    <row r="55" spans="1:32" customFormat="1">
      <c r="A55" s="3">
        <v>54</v>
      </c>
      <c r="B55" s="351" t="s">
        <v>118</v>
      </c>
      <c r="C55" s="458" t="s">
        <v>117</v>
      </c>
      <c r="D55" s="538">
        <v>0</v>
      </c>
      <c r="E55" s="57"/>
      <c r="F55" s="98"/>
      <c r="G55" s="57"/>
      <c r="H55" s="98"/>
      <c r="I55" s="57"/>
      <c r="J55" s="98"/>
      <c r="K55" s="57"/>
      <c r="L55" s="98"/>
      <c r="M55" s="57"/>
      <c r="N55" s="50"/>
      <c r="O55" s="46"/>
      <c r="P55" s="50"/>
      <c r="Q55" s="46"/>
      <c r="R55" s="50"/>
      <c r="S55" s="45"/>
      <c r="T55" s="50"/>
      <c r="U55" s="46"/>
      <c r="V55" s="50"/>
      <c r="W55" s="46"/>
      <c r="X55" s="50"/>
      <c r="Y55" s="46"/>
      <c r="Z55" s="50"/>
      <c r="AA55" s="46"/>
      <c r="AB55" s="50"/>
      <c r="AC55" s="26">
        <f t="shared" si="0"/>
        <v>0</v>
      </c>
      <c r="AD55" s="49">
        <f t="shared" si="1"/>
        <v>0</v>
      </c>
      <c r="AE55" s="466">
        <f t="shared" si="2"/>
        <v>0</v>
      </c>
      <c r="AF55" s="123"/>
    </row>
    <row r="56" spans="1:32">
      <c r="A56" s="23">
        <v>55</v>
      </c>
      <c r="B56" s="351" t="s">
        <v>120</v>
      </c>
      <c r="C56" s="521" t="s">
        <v>119</v>
      </c>
      <c r="D56" s="538">
        <v>0</v>
      </c>
      <c r="E56" s="503">
        <f>1</f>
        <v>1</v>
      </c>
      <c r="F56" s="504"/>
      <c r="G56" s="503"/>
      <c r="H56" s="504"/>
      <c r="I56" s="503"/>
      <c r="J56" s="504"/>
      <c r="K56" s="503"/>
      <c r="L56" s="504"/>
      <c r="M56" s="503"/>
      <c r="N56" s="505">
        <f>1</f>
        <v>1</v>
      </c>
      <c r="O56" s="46"/>
      <c r="P56" s="505"/>
      <c r="Q56" s="46"/>
      <c r="R56" s="50"/>
      <c r="S56" s="45"/>
      <c r="T56" s="50"/>
      <c r="U56" s="46"/>
      <c r="V56" s="50"/>
      <c r="W56" s="46"/>
      <c r="X56" s="50"/>
      <c r="Y56" s="46"/>
      <c r="Z56" s="50"/>
      <c r="AA56" s="46"/>
      <c r="AB56" s="50"/>
      <c r="AC56" s="26">
        <f t="shared" si="0"/>
        <v>1</v>
      </c>
      <c r="AD56" s="49">
        <f t="shared" si="1"/>
        <v>1</v>
      </c>
      <c r="AE56" s="455">
        <f t="shared" si="2"/>
        <v>0</v>
      </c>
      <c r="AF56" s="489"/>
    </row>
    <row r="57" spans="1:32" customFormat="1">
      <c r="A57" s="3">
        <v>56</v>
      </c>
      <c r="B57" s="351" t="s">
        <v>124</v>
      </c>
      <c r="C57" s="467" t="s">
        <v>123</v>
      </c>
      <c r="D57" s="538">
        <v>0</v>
      </c>
      <c r="E57" s="57"/>
      <c r="F57" s="98"/>
      <c r="G57" s="57"/>
      <c r="H57" s="98"/>
      <c r="I57" s="57"/>
      <c r="J57" s="98"/>
      <c r="K57" s="57"/>
      <c r="L57" s="98"/>
      <c r="M57" s="57"/>
      <c r="N57" s="50"/>
      <c r="O57" s="46"/>
      <c r="P57" s="50"/>
      <c r="Q57" s="46"/>
      <c r="R57" s="50"/>
      <c r="S57" s="45"/>
      <c r="T57" s="50"/>
      <c r="U57" s="46"/>
      <c r="V57" s="50"/>
      <c r="W57" s="46"/>
      <c r="X57" s="50"/>
      <c r="Y57" s="46"/>
      <c r="Z57" s="50"/>
      <c r="AA57" s="46"/>
      <c r="AB57" s="50"/>
      <c r="AC57" s="26">
        <f t="shared" si="0"/>
        <v>0</v>
      </c>
      <c r="AD57" s="49">
        <f t="shared" si="1"/>
        <v>0</v>
      </c>
      <c r="AE57" s="466">
        <f t="shared" si="2"/>
        <v>0</v>
      </c>
    </row>
    <row r="58" spans="1:32" customFormat="1">
      <c r="A58" s="23">
        <v>57</v>
      </c>
      <c r="B58" s="351" t="s">
        <v>126</v>
      </c>
      <c r="C58" s="467" t="s">
        <v>125</v>
      </c>
      <c r="D58" s="538">
        <v>0</v>
      </c>
      <c r="E58" s="57"/>
      <c r="F58" s="98"/>
      <c r="G58" s="57"/>
      <c r="H58" s="98"/>
      <c r="I58" s="57"/>
      <c r="J58" s="98"/>
      <c r="K58" s="57"/>
      <c r="L58" s="98"/>
      <c r="M58" s="57"/>
      <c r="N58" s="50"/>
      <c r="O58" s="46"/>
      <c r="P58" s="50"/>
      <c r="Q58" s="46"/>
      <c r="R58" s="50"/>
      <c r="S58" s="45"/>
      <c r="T58" s="50"/>
      <c r="U58" s="46"/>
      <c r="V58" s="50"/>
      <c r="W58" s="46"/>
      <c r="X58" s="50"/>
      <c r="Y58" s="46"/>
      <c r="Z58" s="50"/>
      <c r="AA58" s="46"/>
      <c r="AB58" s="50"/>
      <c r="AC58" s="26">
        <f t="shared" si="0"/>
        <v>0</v>
      </c>
      <c r="AD58" s="49">
        <f t="shared" si="1"/>
        <v>0</v>
      </c>
      <c r="AE58" s="466">
        <f t="shared" si="2"/>
        <v>0</v>
      </c>
    </row>
    <row r="59" spans="1:32" customFormat="1">
      <c r="A59" s="3">
        <v>58</v>
      </c>
      <c r="B59" s="351" t="s">
        <v>128</v>
      </c>
      <c r="C59" s="467" t="s">
        <v>127</v>
      </c>
      <c r="D59" s="538">
        <v>0</v>
      </c>
      <c r="E59" s="57"/>
      <c r="F59" s="98"/>
      <c r="G59" s="57"/>
      <c r="H59" s="98"/>
      <c r="I59" s="57"/>
      <c r="J59" s="98"/>
      <c r="K59" s="57"/>
      <c r="L59" s="98"/>
      <c r="M59" s="57"/>
      <c r="N59" s="50"/>
      <c r="O59" s="46"/>
      <c r="P59" s="50"/>
      <c r="Q59" s="46"/>
      <c r="R59" s="50"/>
      <c r="S59" s="45"/>
      <c r="T59" s="50"/>
      <c r="U59" s="46"/>
      <c r="V59" s="50"/>
      <c r="W59" s="46"/>
      <c r="X59" s="50"/>
      <c r="Y59" s="46"/>
      <c r="Z59" s="50"/>
      <c r="AA59" s="46"/>
      <c r="AB59" s="50"/>
      <c r="AC59" s="26">
        <f t="shared" si="0"/>
        <v>0</v>
      </c>
      <c r="AD59" s="49">
        <f t="shared" si="1"/>
        <v>0</v>
      </c>
      <c r="AE59" s="466">
        <f t="shared" si="2"/>
        <v>0</v>
      </c>
    </row>
    <row r="60" spans="1:32" customFormat="1">
      <c r="A60" s="23">
        <v>59</v>
      </c>
      <c r="B60" s="351" t="s">
        <v>130</v>
      </c>
      <c r="C60" s="467" t="s">
        <v>129</v>
      </c>
      <c r="D60" s="538">
        <v>0</v>
      </c>
      <c r="E60" s="57"/>
      <c r="F60" s="98"/>
      <c r="G60" s="57"/>
      <c r="H60" s="98"/>
      <c r="I60" s="57"/>
      <c r="J60" s="98"/>
      <c r="K60" s="57"/>
      <c r="L60" s="98"/>
      <c r="M60" s="57"/>
      <c r="N60" s="50"/>
      <c r="O60" s="46"/>
      <c r="P60" s="50"/>
      <c r="Q60" s="46"/>
      <c r="R60" s="50"/>
      <c r="S60" s="45"/>
      <c r="T60" s="50"/>
      <c r="U60" s="46"/>
      <c r="V60" s="50"/>
      <c r="W60" s="46"/>
      <c r="X60" s="50"/>
      <c r="Y60" s="46"/>
      <c r="Z60" s="50"/>
      <c r="AA60" s="46"/>
      <c r="AB60" s="50"/>
      <c r="AC60" s="26">
        <f t="shared" si="0"/>
        <v>0</v>
      </c>
      <c r="AD60" s="49">
        <f t="shared" si="1"/>
        <v>0</v>
      </c>
      <c r="AE60" s="466">
        <f t="shared" si="2"/>
        <v>0</v>
      </c>
    </row>
    <row r="61" spans="1:32" customFormat="1">
      <c r="A61" s="3">
        <v>60</v>
      </c>
      <c r="B61" s="351" t="s">
        <v>132</v>
      </c>
      <c r="C61" s="467" t="s">
        <v>131</v>
      </c>
      <c r="D61" s="538">
        <v>0</v>
      </c>
      <c r="E61" s="57"/>
      <c r="F61" s="98"/>
      <c r="G61" s="57"/>
      <c r="H61" s="98"/>
      <c r="I61" s="57"/>
      <c r="J61" s="98"/>
      <c r="K61" s="57"/>
      <c r="L61" s="98"/>
      <c r="M61" s="57"/>
      <c r="N61" s="50"/>
      <c r="O61" s="46"/>
      <c r="P61" s="50"/>
      <c r="Q61" s="46"/>
      <c r="R61" s="50"/>
      <c r="S61" s="45"/>
      <c r="T61" s="50"/>
      <c r="U61" s="46"/>
      <c r="V61" s="50"/>
      <c r="W61" s="46"/>
      <c r="X61" s="50"/>
      <c r="Y61" s="46"/>
      <c r="Z61" s="50"/>
      <c r="AA61" s="46"/>
      <c r="AB61" s="50"/>
      <c r="AC61" s="26">
        <f t="shared" si="0"/>
        <v>0</v>
      </c>
      <c r="AD61" s="49">
        <f t="shared" si="1"/>
        <v>0</v>
      </c>
      <c r="AE61" s="466">
        <f t="shared" si="2"/>
        <v>0</v>
      </c>
    </row>
    <row r="62" spans="1:32" customFormat="1">
      <c r="A62" s="23">
        <v>61</v>
      </c>
      <c r="B62" s="351" t="s">
        <v>134</v>
      </c>
      <c r="C62" s="467" t="s">
        <v>133</v>
      </c>
      <c r="D62" s="538">
        <v>0</v>
      </c>
      <c r="E62" s="57"/>
      <c r="F62" s="98"/>
      <c r="G62" s="57"/>
      <c r="H62" s="98"/>
      <c r="I62" s="57"/>
      <c r="J62" s="98"/>
      <c r="K62" s="57"/>
      <c r="L62" s="98"/>
      <c r="M62" s="57"/>
      <c r="N62" s="50"/>
      <c r="O62" s="46"/>
      <c r="P62" s="50"/>
      <c r="Q62" s="46"/>
      <c r="R62" s="50"/>
      <c r="S62" s="45"/>
      <c r="T62" s="50"/>
      <c r="U62" s="46"/>
      <c r="V62" s="50"/>
      <c r="W62" s="46"/>
      <c r="X62" s="50"/>
      <c r="Y62" s="46"/>
      <c r="Z62" s="50"/>
      <c r="AA62" s="46"/>
      <c r="AB62" s="50"/>
      <c r="AC62" s="26">
        <f t="shared" si="0"/>
        <v>0</v>
      </c>
      <c r="AD62" s="49">
        <f t="shared" si="1"/>
        <v>0</v>
      </c>
      <c r="AE62" s="466">
        <f t="shared" si="2"/>
        <v>0</v>
      </c>
    </row>
    <row r="63" spans="1:32" customFormat="1">
      <c r="A63" s="23">
        <v>63</v>
      </c>
      <c r="B63" s="351" t="s">
        <v>138</v>
      </c>
      <c r="C63" s="467" t="s">
        <v>137</v>
      </c>
      <c r="D63" s="538">
        <v>0</v>
      </c>
      <c r="E63" s="57">
        <f>12+6+11+44+6</f>
        <v>79</v>
      </c>
      <c r="F63" s="98">
        <f>29+44</f>
        <v>73</v>
      </c>
      <c r="G63" s="57"/>
      <c r="H63" s="98">
        <f>6</f>
        <v>6</v>
      </c>
      <c r="I63" s="57"/>
      <c r="J63" s="98"/>
      <c r="K63" s="57"/>
      <c r="L63" s="98"/>
      <c r="M63" s="57"/>
      <c r="N63" s="50"/>
      <c r="O63" s="46"/>
      <c r="P63" s="50"/>
      <c r="Q63" s="46"/>
      <c r="R63" s="50"/>
      <c r="S63" s="45"/>
      <c r="T63" s="50"/>
      <c r="U63" s="46"/>
      <c r="V63" s="50"/>
      <c r="W63" s="46"/>
      <c r="X63" s="50"/>
      <c r="Y63" s="46"/>
      <c r="Z63" s="50"/>
      <c r="AA63" s="46"/>
      <c r="AB63" s="50"/>
      <c r="AC63" s="26">
        <f t="shared" si="0"/>
        <v>79</v>
      </c>
      <c r="AD63" s="49">
        <f t="shared" si="1"/>
        <v>79</v>
      </c>
      <c r="AE63" s="466">
        <f t="shared" si="2"/>
        <v>0</v>
      </c>
    </row>
    <row r="64" spans="1:32" customFormat="1">
      <c r="A64" s="3">
        <v>64</v>
      </c>
      <c r="B64" s="351" t="s">
        <v>140</v>
      </c>
      <c r="C64" s="467" t="s">
        <v>139</v>
      </c>
      <c r="D64" s="538">
        <v>0</v>
      </c>
      <c r="E64" s="57"/>
      <c r="F64" s="98"/>
      <c r="G64" s="57"/>
      <c r="H64" s="98"/>
      <c r="I64" s="57"/>
      <c r="J64" s="98"/>
      <c r="K64" s="57">
        <v>2</v>
      </c>
      <c r="L64" s="98">
        <v>2</v>
      </c>
      <c r="M64" s="57"/>
      <c r="N64" s="50"/>
      <c r="O64" s="46"/>
      <c r="P64" s="50"/>
      <c r="Q64" s="46"/>
      <c r="R64" s="50"/>
      <c r="S64" s="45"/>
      <c r="T64" s="50"/>
      <c r="U64" s="46"/>
      <c r="V64" s="50"/>
      <c r="W64" s="46"/>
      <c r="X64" s="50"/>
      <c r="Y64" s="46"/>
      <c r="Z64" s="50"/>
      <c r="AA64" s="46"/>
      <c r="AB64" s="50"/>
      <c r="AC64" s="26">
        <f t="shared" si="0"/>
        <v>2</v>
      </c>
      <c r="AD64" s="49">
        <f t="shared" si="1"/>
        <v>2</v>
      </c>
      <c r="AE64" s="466">
        <f t="shared" si="2"/>
        <v>0</v>
      </c>
    </row>
    <row r="65" spans="1:32" customFormat="1">
      <c r="A65" s="23">
        <v>65</v>
      </c>
      <c r="B65" s="351" t="s">
        <v>142</v>
      </c>
      <c r="C65" s="467" t="s">
        <v>141</v>
      </c>
      <c r="D65" s="538">
        <v>0</v>
      </c>
      <c r="E65" s="57"/>
      <c r="F65" s="98"/>
      <c r="G65" s="57"/>
      <c r="H65" s="98"/>
      <c r="I65" s="57"/>
      <c r="J65" s="98"/>
      <c r="K65" s="57">
        <f>2</f>
        <v>2</v>
      </c>
      <c r="L65" s="98">
        <v>2</v>
      </c>
      <c r="M65" s="57"/>
      <c r="N65" s="50"/>
      <c r="O65" s="46"/>
      <c r="P65" s="50"/>
      <c r="Q65" s="46"/>
      <c r="R65" s="50"/>
      <c r="S65" s="45"/>
      <c r="T65" s="50"/>
      <c r="U65" s="46"/>
      <c r="V65" s="50"/>
      <c r="W65" s="46"/>
      <c r="X65" s="50"/>
      <c r="Y65" s="46"/>
      <c r="Z65" s="50"/>
      <c r="AA65" s="46"/>
      <c r="AB65" s="50"/>
      <c r="AC65" s="26">
        <f t="shared" si="0"/>
        <v>2</v>
      </c>
      <c r="AD65" s="49">
        <f t="shared" si="1"/>
        <v>2</v>
      </c>
      <c r="AE65" s="466">
        <f t="shared" si="2"/>
        <v>0</v>
      </c>
    </row>
    <row r="66" spans="1:32" customFormat="1">
      <c r="A66" s="3">
        <v>66</v>
      </c>
      <c r="B66" s="351" t="s">
        <v>144</v>
      </c>
      <c r="C66" s="467" t="s">
        <v>143</v>
      </c>
      <c r="D66" s="538">
        <v>0</v>
      </c>
      <c r="E66" s="57"/>
      <c r="F66" s="98"/>
      <c r="G66" s="57"/>
      <c r="H66" s="98"/>
      <c r="I66" s="57"/>
      <c r="J66" s="98"/>
      <c r="K66" s="57"/>
      <c r="L66" s="98"/>
      <c r="M66" s="57"/>
      <c r="N66" s="50"/>
      <c r="O66" s="46"/>
      <c r="P66" s="50"/>
      <c r="Q66" s="46"/>
      <c r="R66" s="50"/>
      <c r="S66" s="45">
        <f>2</f>
        <v>2</v>
      </c>
      <c r="T66" s="50">
        <f>2</f>
        <v>2</v>
      </c>
      <c r="U66" s="46">
        <f>2</f>
        <v>2</v>
      </c>
      <c r="V66" s="50"/>
      <c r="W66" s="46"/>
      <c r="X66" s="50">
        <f>2</f>
        <v>2</v>
      </c>
      <c r="Y66" s="46"/>
      <c r="Z66" s="50"/>
      <c r="AA66" s="46"/>
      <c r="AB66" s="50"/>
      <c r="AC66" s="26">
        <f t="shared" si="0"/>
        <v>4</v>
      </c>
      <c r="AD66" s="49">
        <f t="shared" si="1"/>
        <v>4</v>
      </c>
      <c r="AE66" s="466">
        <f t="shared" si="2"/>
        <v>0</v>
      </c>
    </row>
    <row r="67" spans="1:32">
      <c r="A67" s="23">
        <v>67</v>
      </c>
      <c r="B67" s="351" t="s">
        <v>146</v>
      </c>
      <c r="C67" s="521" t="s">
        <v>145</v>
      </c>
      <c r="D67" s="538">
        <v>0</v>
      </c>
      <c r="E67" s="503"/>
      <c r="F67" s="504"/>
      <c r="G67" s="503">
        <f>2+6</f>
        <v>8</v>
      </c>
      <c r="H67" s="504">
        <f>2</f>
        <v>2</v>
      </c>
      <c r="I67" s="503"/>
      <c r="J67" s="504">
        <f>4</f>
        <v>4</v>
      </c>
      <c r="K67" s="503"/>
      <c r="L67" s="504"/>
      <c r="M67" s="503"/>
      <c r="N67" s="505"/>
      <c r="O67" s="524"/>
      <c r="P67" s="505">
        <f>1</f>
        <v>1</v>
      </c>
      <c r="Q67" s="46">
        <f>8+26</f>
        <v>34</v>
      </c>
      <c r="R67" s="50">
        <f>8+26</f>
        <v>34</v>
      </c>
      <c r="S67" s="45">
        <v>6</v>
      </c>
      <c r="T67" s="50">
        <v>6</v>
      </c>
      <c r="U67" s="46">
        <f>3</f>
        <v>3</v>
      </c>
      <c r="V67" s="50"/>
      <c r="W67" s="46"/>
      <c r="X67" s="50">
        <v>3</v>
      </c>
      <c r="Y67" s="46"/>
      <c r="Z67" s="50"/>
      <c r="AA67" s="46">
        <v>10</v>
      </c>
      <c r="AB67" s="50">
        <v>1</v>
      </c>
      <c r="AC67" s="26">
        <f t="shared" ref="AC67:AC130" si="3">SUM(D67,E67,G67,I67,K67,M67,O67,Q67,S67,U67,W67,Y67,AA67)</f>
        <v>61</v>
      </c>
      <c r="AD67" s="49">
        <f t="shared" ref="AD67:AD130" si="4">SUM(F67,H67,J67,L67,N67,P67,R67,T67,V67,X67,Z67,AB67)</f>
        <v>51</v>
      </c>
      <c r="AE67" s="455">
        <f t="shared" si="2"/>
        <v>10</v>
      </c>
      <c r="AF67" s="489"/>
    </row>
    <row r="68" spans="1:32" customFormat="1">
      <c r="A68" s="3">
        <v>68</v>
      </c>
      <c r="B68" s="351" t="s">
        <v>148</v>
      </c>
      <c r="C68" s="467" t="s">
        <v>147</v>
      </c>
      <c r="D68" s="538">
        <v>0</v>
      </c>
      <c r="E68" s="57"/>
      <c r="F68" s="98"/>
      <c r="G68" s="57"/>
      <c r="H68" s="98"/>
      <c r="I68" s="57"/>
      <c r="J68" s="98"/>
      <c r="K68" s="57"/>
      <c r="L68" s="98"/>
      <c r="M68" s="57"/>
      <c r="N68" s="50"/>
      <c r="O68" s="46"/>
      <c r="P68" s="50"/>
      <c r="Q68" s="46"/>
      <c r="R68" s="50"/>
      <c r="S68" s="45"/>
      <c r="T68" s="50"/>
      <c r="U68" s="46"/>
      <c r="V68" s="50"/>
      <c r="W68" s="46"/>
      <c r="X68" s="50"/>
      <c r="Y68" s="46"/>
      <c r="Z68" s="50"/>
      <c r="AA68" s="46"/>
      <c r="AB68" s="50"/>
      <c r="AC68" s="26">
        <f t="shared" si="3"/>
        <v>0</v>
      </c>
      <c r="AD68" s="49">
        <f t="shared" si="4"/>
        <v>0</v>
      </c>
      <c r="AE68" s="466">
        <f t="shared" si="2"/>
        <v>0</v>
      </c>
    </row>
    <row r="69" spans="1:32" customFormat="1">
      <c r="A69" s="23">
        <v>69</v>
      </c>
      <c r="B69" s="351" t="s">
        <v>150</v>
      </c>
      <c r="C69" s="467" t="s">
        <v>149</v>
      </c>
      <c r="D69" s="538">
        <v>0</v>
      </c>
      <c r="E69" s="57"/>
      <c r="F69" s="98"/>
      <c r="G69" s="57"/>
      <c r="H69" s="98"/>
      <c r="I69" s="57"/>
      <c r="J69" s="98"/>
      <c r="K69" s="57"/>
      <c r="L69" s="98"/>
      <c r="M69" s="57"/>
      <c r="N69" s="50"/>
      <c r="O69" s="46"/>
      <c r="P69" s="50"/>
      <c r="Q69" s="46"/>
      <c r="R69" s="50"/>
      <c r="S69" s="45"/>
      <c r="T69" s="50"/>
      <c r="U69" s="46"/>
      <c r="V69" s="50"/>
      <c r="W69" s="46"/>
      <c r="X69" s="50"/>
      <c r="Y69" s="46"/>
      <c r="Z69" s="50"/>
      <c r="AA69" s="46"/>
      <c r="AB69" s="50"/>
      <c r="AC69" s="26">
        <f t="shared" si="3"/>
        <v>0</v>
      </c>
      <c r="AD69" s="49">
        <f t="shared" si="4"/>
        <v>0</v>
      </c>
      <c r="AE69" s="466">
        <f t="shared" si="2"/>
        <v>0</v>
      </c>
    </row>
    <row r="70" spans="1:32" customFormat="1">
      <c r="A70" s="3">
        <v>70</v>
      </c>
      <c r="B70" s="351" t="s">
        <v>152</v>
      </c>
      <c r="C70" s="467" t="s">
        <v>151</v>
      </c>
      <c r="D70" s="538">
        <v>0</v>
      </c>
      <c r="E70" s="57"/>
      <c r="F70" s="98"/>
      <c r="G70" s="57"/>
      <c r="H70" s="98"/>
      <c r="I70" s="57"/>
      <c r="J70" s="98"/>
      <c r="K70" s="57"/>
      <c r="L70" s="98"/>
      <c r="M70" s="57"/>
      <c r="N70" s="50"/>
      <c r="O70" s="46"/>
      <c r="P70" s="50"/>
      <c r="Q70" s="46"/>
      <c r="R70" s="50"/>
      <c r="S70" s="45"/>
      <c r="T70" s="50"/>
      <c r="U70" s="46"/>
      <c r="V70" s="50"/>
      <c r="W70" s="46"/>
      <c r="X70" s="50"/>
      <c r="Y70" s="46"/>
      <c r="Z70" s="50"/>
      <c r="AA70" s="46"/>
      <c r="AB70" s="50"/>
      <c r="AC70" s="26">
        <f t="shared" si="3"/>
        <v>0</v>
      </c>
      <c r="AD70" s="49">
        <f t="shared" si="4"/>
        <v>0</v>
      </c>
      <c r="AE70" s="466">
        <f t="shared" ref="AE70:AE133" si="5">SUM(AC70-AD70)</f>
        <v>0</v>
      </c>
    </row>
    <row r="71" spans="1:32" customFormat="1">
      <c r="A71" s="23">
        <v>71</v>
      </c>
      <c r="B71" s="351" t="s">
        <v>154</v>
      </c>
      <c r="C71" s="467" t="s">
        <v>153</v>
      </c>
      <c r="D71" s="538">
        <v>0</v>
      </c>
      <c r="E71" s="57"/>
      <c r="F71" s="98"/>
      <c r="G71" s="57"/>
      <c r="H71" s="98"/>
      <c r="I71" s="57"/>
      <c r="J71" s="98"/>
      <c r="K71" s="57"/>
      <c r="L71" s="98"/>
      <c r="M71" s="57"/>
      <c r="N71" s="50"/>
      <c r="O71" s="46"/>
      <c r="P71" s="50"/>
      <c r="Q71" s="46"/>
      <c r="R71" s="50"/>
      <c r="S71" s="45"/>
      <c r="T71" s="50"/>
      <c r="U71" s="46"/>
      <c r="V71" s="50"/>
      <c r="W71" s="46"/>
      <c r="X71" s="50"/>
      <c r="Y71" s="46"/>
      <c r="Z71" s="50"/>
      <c r="AA71" s="46"/>
      <c r="AB71" s="50"/>
      <c r="AC71" s="26">
        <f t="shared" si="3"/>
        <v>0</v>
      </c>
      <c r="AD71" s="49">
        <f t="shared" si="4"/>
        <v>0</v>
      </c>
      <c r="AE71" s="466">
        <f t="shared" si="5"/>
        <v>0</v>
      </c>
    </row>
    <row r="72" spans="1:32" customFormat="1">
      <c r="A72" s="3">
        <v>72</v>
      </c>
      <c r="B72" s="10" t="s">
        <v>156</v>
      </c>
      <c r="C72" s="467" t="s">
        <v>155</v>
      </c>
      <c r="D72" s="538">
        <v>0</v>
      </c>
      <c r="E72" s="57"/>
      <c r="F72" s="98"/>
      <c r="G72" s="57"/>
      <c r="H72" s="98"/>
      <c r="I72" s="57"/>
      <c r="J72" s="98"/>
      <c r="K72" s="57"/>
      <c r="L72" s="98"/>
      <c r="M72" s="57"/>
      <c r="N72" s="50"/>
      <c r="O72" s="46"/>
      <c r="P72" s="50"/>
      <c r="Q72" s="46"/>
      <c r="R72" s="50"/>
      <c r="S72" s="45"/>
      <c r="T72" s="50"/>
      <c r="U72" s="46"/>
      <c r="V72" s="50"/>
      <c r="W72" s="46"/>
      <c r="X72" s="50"/>
      <c r="Y72" s="46"/>
      <c r="Z72" s="50"/>
      <c r="AA72" s="46"/>
      <c r="AB72" s="50"/>
      <c r="AC72" s="26">
        <f t="shared" si="3"/>
        <v>0</v>
      </c>
      <c r="AD72" s="49">
        <f t="shared" si="4"/>
        <v>0</v>
      </c>
      <c r="AE72" s="466">
        <f t="shared" si="5"/>
        <v>0</v>
      </c>
    </row>
    <row r="73" spans="1:32" s="106" customFormat="1">
      <c r="A73" s="23">
        <v>73</v>
      </c>
      <c r="B73" s="10" t="s">
        <v>220</v>
      </c>
      <c r="C73" s="350"/>
      <c r="D73" s="538">
        <v>0</v>
      </c>
      <c r="E73" s="57"/>
      <c r="F73" s="98"/>
      <c r="G73" s="57"/>
      <c r="H73" s="98"/>
      <c r="I73" s="57"/>
      <c r="J73" s="98"/>
      <c r="K73" s="57"/>
      <c r="L73" s="98"/>
      <c r="M73" s="57"/>
      <c r="N73" s="98"/>
      <c r="O73" s="46"/>
      <c r="P73" s="98"/>
      <c r="Q73" s="46"/>
      <c r="R73" s="98"/>
      <c r="S73" s="45"/>
      <c r="T73" s="98"/>
      <c r="U73" s="46"/>
      <c r="V73" s="50"/>
      <c r="W73" s="46"/>
      <c r="X73" s="50"/>
      <c r="Y73" s="46"/>
      <c r="Z73" s="50"/>
      <c r="AA73" s="46"/>
      <c r="AB73" s="50"/>
      <c r="AC73" s="26">
        <f t="shared" si="3"/>
        <v>0</v>
      </c>
      <c r="AD73" s="49">
        <f t="shared" si="4"/>
        <v>0</v>
      </c>
      <c r="AE73" s="466">
        <f t="shared" si="5"/>
        <v>0</v>
      </c>
    </row>
    <row r="74" spans="1:32" customFormat="1">
      <c r="A74" s="3">
        <v>74</v>
      </c>
      <c r="B74" s="10" t="s">
        <v>158</v>
      </c>
      <c r="C74" s="467" t="s">
        <v>157</v>
      </c>
      <c r="D74" s="538">
        <v>0</v>
      </c>
      <c r="E74" s="57"/>
      <c r="F74" s="98"/>
      <c r="G74" s="57"/>
      <c r="H74" s="98"/>
      <c r="I74" s="57"/>
      <c r="J74" s="98"/>
      <c r="K74" s="57"/>
      <c r="L74" s="98"/>
      <c r="M74" s="57"/>
      <c r="N74" s="50"/>
      <c r="O74" s="46"/>
      <c r="P74" s="50"/>
      <c r="Q74" s="46"/>
      <c r="R74" s="50"/>
      <c r="S74" s="45"/>
      <c r="T74" s="50"/>
      <c r="U74" s="46"/>
      <c r="V74" s="50"/>
      <c r="W74" s="46"/>
      <c r="X74" s="50"/>
      <c r="Y74" s="46"/>
      <c r="Z74" s="50"/>
      <c r="AA74" s="46"/>
      <c r="AB74" s="50"/>
      <c r="AC74" s="26">
        <f t="shared" si="3"/>
        <v>0</v>
      </c>
      <c r="AD74" s="49">
        <f t="shared" si="4"/>
        <v>0</v>
      </c>
      <c r="AE74" s="466">
        <f t="shared" si="5"/>
        <v>0</v>
      </c>
    </row>
    <row r="75" spans="1:32" customFormat="1">
      <c r="A75" s="23">
        <v>75</v>
      </c>
      <c r="B75" s="10" t="s">
        <v>160</v>
      </c>
      <c r="C75" s="467" t="s">
        <v>159</v>
      </c>
      <c r="D75" s="538">
        <v>0</v>
      </c>
      <c r="E75" s="57"/>
      <c r="F75" s="98"/>
      <c r="G75" s="57"/>
      <c r="H75" s="98"/>
      <c r="I75" s="57"/>
      <c r="J75" s="98"/>
      <c r="K75" s="57"/>
      <c r="L75" s="98"/>
      <c r="M75" s="57"/>
      <c r="N75" s="50"/>
      <c r="O75" s="46"/>
      <c r="P75" s="50"/>
      <c r="Q75" s="46"/>
      <c r="R75" s="50"/>
      <c r="S75" s="45"/>
      <c r="T75" s="50"/>
      <c r="U75" s="46"/>
      <c r="V75" s="50"/>
      <c r="W75" s="46"/>
      <c r="X75" s="50"/>
      <c r="Y75" s="46"/>
      <c r="Z75" s="50"/>
      <c r="AA75" s="46"/>
      <c r="AB75" s="50"/>
      <c r="AC75" s="26">
        <f t="shared" si="3"/>
        <v>0</v>
      </c>
      <c r="AD75" s="49">
        <f t="shared" si="4"/>
        <v>0</v>
      </c>
      <c r="AE75" s="466">
        <f t="shared" si="5"/>
        <v>0</v>
      </c>
    </row>
    <row r="76" spans="1:32" customFormat="1">
      <c r="A76" s="3">
        <v>76</v>
      </c>
      <c r="B76" s="10" t="s">
        <v>162</v>
      </c>
      <c r="C76" s="458" t="s">
        <v>161</v>
      </c>
      <c r="D76" s="538">
        <v>0</v>
      </c>
      <c r="E76" s="57">
        <f>1</f>
        <v>1</v>
      </c>
      <c r="F76" s="98">
        <f>1</f>
        <v>1</v>
      </c>
      <c r="G76" s="57"/>
      <c r="H76" s="98"/>
      <c r="I76" s="57"/>
      <c r="J76" s="98"/>
      <c r="K76" s="57"/>
      <c r="L76" s="98"/>
      <c r="M76" s="57"/>
      <c r="N76" s="50"/>
      <c r="O76" s="46"/>
      <c r="P76" s="50"/>
      <c r="Q76" s="46"/>
      <c r="R76" s="50"/>
      <c r="S76" s="45"/>
      <c r="T76" s="50"/>
      <c r="U76" s="46"/>
      <c r="V76" s="50"/>
      <c r="W76" s="46"/>
      <c r="X76" s="50"/>
      <c r="Y76" s="46"/>
      <c r="Z76" s="50"/>
      <c r="AA76" s="46"/>
      <c r="AB76" s="50"/>
      <c r="AC76" s="26">
        <f t="shared" si="3"/>
        <v>1</v>
      </c>
      <c r="AD76" s="49">
        <f t="shared" si="4"/>
        <v>1</v>
      </c>
      <c r="AE76" s="466">
        <f t="shared" si="5"/>
        <v>0</v>
      </c>
    </row>
    <row r="77" spans="1:32" customFormat="1">
      <c r="A77" s="23">
        <v>77</v>
      </c>
      <c r="B77" s="10" t="s">
        <v>164</v>
      </c>
      <c r="C77" s="467" t="s">
        <v>163</v>
      </c>
      <c r="D77" s="538">
        <v>0</v>
      </c>
      <c r="E77" s="57"/>
      <c r="F77" s="98"/>
      <c r="G77" s="57"/>
      <c r="H77" s="98"/>
      <c r="I77" s="57"/>
      <c r="J77" s="98"/>
      <c r="K77" s="57"/>
      <c r="L77" s="98"/>
      <c r="M77" s="57"/>
      <c r="N77" s="50"/>
      <c r="O77" s="46"/>
      <c r="P77" s="50"/>
      <c r="Q77" s="46"/>
      <c r="R77" s="50"/>
      <c r="S77" s="45"/>
      <c r="T77" s="50"/>
      <c r="U77" s="46"/>
      <c r="V77" s="50"/>
      <c r="W77" s="46"/>
      <c r="X77" s="50"/>
      <c r="Y77" s="46"/>
      <c r="Z77" s="50"/>
      <c r="AA77" s="46"/>
      <c r="AB77" s="50"/>
      <c r="AC77" s="26">
        <f t="shared" si="3"/>
        <v>0</v>
      </c>
      <c r="AD77" s="49">
        <f t="shared" si="4"/>
        <v>0</v>
      </c>
      <c r="AE77" s="466">
        <f t="shared" si="5"/>
        <v>0</v>
      </c>
    </row>
    <row r="78" spans="1:32" customFormat="1">
      <c r="A78" s="3">
        <v>78</v>
      </c>
      <c r="B78" s="10" t="s">
        <v>166</v>
      </c>
      <c r="C78" s="467" t="s">
        <v>165</v>
      </c>
      <c r="D78" s="538">
        <v>0</v>
      </c>
      <c r="E78" s="57"/>
      <c r="F78" s="98"/>
      <c r="G78" s="57"/>
      <c r="H78" s="98"/>
      <c r="I78" s="57"/>
      <c r="J78" s="98"/>
      <c r="K78" s="57"/>
      <c r="L78" s="98"/>
      <c r="M78" s="57"/>
      <c r="N78" s="50"/>
      <c r="O78" s="46"/>
      <c r="P78" s="50"/>
      <c r="Q78" s="46"/>
      <c r="R78" s="50"/>
      <c r="S78" s="45"/>
      <c r="T78" s="50"/>
      <c r="U78" s="46"/>
      <c r="V78" s="50"/>
      <c r="W78" s="46"/>
      <c r="X78" s="50"/>
      <c r="Y78" s="46"/>
      <c r="Z78" s="50"/>
      <c r="AA78" s="46"/>
      <c r="AB78" s="50"/>
      <c r="AC78" s="26">
        <f t="shared" si="3"/>
        <v>0</v>
      </c>
      <c r="AD78" s="49">
        <f t="shared" si="4"/>
        <v>0</v>
      </c>
      <c r="AE78" s="466">
        <f t="shared" si="5"/>
        <v>0</v>
      </c>
    </row>
    <row r="79" spans="1:32" customFormat="1">
      <c r="A79" s="23">
        <v>79</v>
      </c>
      <c r="B79" s="10" t="s">
        <v>168</v>
      </c>
      <c r="C79" s="467" t="s">
        <v>167</v>
      </c>
      <c r="D79" s="538">
        <v>0</v>
      </c>
      <c r="E79" s="57"/>
      <c r="F79" s="98"/>
      <c r="G79" s="57"/>
      <c r="H79" s="98"/>
      <c r="I79" s="57"/>
      <c r="J79" s="98"/>
      <c r="K79" s="57"/>
      <c r="L79" s="98"/>
      <c r="M79" s="57"/>
      <c r="N79" s="50"/>
      <c r="O79" s="46"/>
      <c r="P79" s="50"/>
      <c r="Q79" s="46"/>
      <c r="R79" s="50"/>
      <c r="S79" s="45"/>
      <c r="T79" s="50"/>
      <c r="U79" s="46"/>
      <c r="V79" s="50"/>
      <c r="W79" s="46"/>
      <c r="X79" s="50"/>
      <c r="Y79" s="46"/>
      <c r="Z79" s="50"/>
      <c r="AA79" s="46"/>
      <c r="AB79" s="50"/>
      <c r="AC79" s="26">
        <f t="shared" si="3"/>
        <v>0</v>
      </c>
      <c r="AD79" s="49">
        <f t="shared" si="4"/>
        <v>0</v>
      </c>
      <c r="AE79" s="466">
        <f t="shared" si="5"/>
        <v>0</v>
      </c>
    </row>
    <row r="80" spans="1:32" customFormat="1">
      <c r="A80" s="3">
        <v>80</v>
      </c>
      <c r="B80" s="10" t="s">
        <v>170</v>
      </c>
      <c r="C80" s="467" t="s">
        <v>169</v>
      </c>
      <c r="D80" s="538">
        <v>0</v>
      </c>
      <c r="E80" s="57"/>
      <c r="F80" s="98"/>
      <c r="G80" s="57"/>
      <c r="H80" s="98"/>
      <c r="I80" s="57"/>
      <c r="J80" s="98"/>
      <c r="K80" s="57"/>
      <c r="L80" s="98"/>
      <c r="M80" s="57"/>
      <c r="N80" s="50"/>
      <c r="O80" s="46"/>
      <c r="P80" s="50"/>
      <c r="Q80" s="46"/>
      <c r="R80" s="50"/>
      <c r="S80" s="45"/>
      <c r="T80" s="50"/>
      <c r="U80" s="46"/>
      <c r="V80" s="50"/>
      <c r="W80" s="46"/>
      <c r="X80" s="50"/>
      <c r="Y80" s="46"/>
      <c r="Z80" s="50"/>
      <c r="AA80" s="46"/>
      <c r="AB80" s="50"/>
      <c r="AC80" s="26">
        <f t="shared" si="3"/>
        <v>0</v>
      </c>
      <c r="AD80" s="49">
        <f t="shared" si="4"/>
        <v>0</v>
      </c>
      <c r="AE80" s="466">
        <f t="shared" si="5"/>
        <v>0</v>
      </c>
    </row>
    <row r="81" spans="1:32">
      <c r="A81" s="23">
        <v>81</v>
      </c>
      <c r="B81" s="10" t="s">
        <v>172</v>
      </c>
      <c r="C81" s="519" t="s">
        <v>171</v>
      </c>
      <c r="D81" s="538">
        <v>23</v>
      </c>
      <c r="E81" s="503"/>
      <c r="F81" s="504"/>
      <c r="G81" s="503">
        <f>28+32</f>
        <v>60</v>
      </c>
      <c r="H81" s="504">
        <f>16</f>
        <v>16</v>
      </c>
      <c r="I81" s="503"/>
      <c r="J81" s="504">
        <f>4</f>
        <v>4</v>
      </c>
      <c r="K81" s="503"/>
      <c r="L81" s="504">
        <f>20</f>
        <v>20</v>
      </c>
      <c r="M81" s="503"/>
      <c r="N81" s="505"/>
      <c r="O81" s="524"/>
      <c r="P81" s="505"/>
      <c r="Q81" s="46"/>
      <c r="R81" s="50"/>
      <c r="S81" s="45"/>
      <c r="T81" s="50"/>
      <c r="U81" s="46"/>
      <c r="V81" s="50"/>
      <c r="W81" s="46"/>
      <c r="X81" s="50"/>
      <c r="Y81" s="46"/>
      <c r="Z81" s="50">
        <f>8</f>
        <v>8</v>
      </c>
      <c r="AA81" s="46"/>
      <c r="AB81" s="50"/>
      <c r="AC81" s="26">
        <f t="shared" si="3"/>
        <v>83</v>
      </c>
      <c r="AD81" s="49">
        <f t="shared" si="4"/>
        <v>48</v>
      </c>
      <c r="AE81" s="455">
        <f t="shared" si="5"/>
        <v>35</v>
      </c>
    </row>
    <row r="82" spans="1:32" customFormat="1">
      <c r="A82" s="3">
        <v>82</v>
      </c>
      <c r="B82" s="10" t="s">
        <v>174</v>
      </c>
      <c r="C82" s="467" t="s">
        <v>173</v>
      </c>
      <c r="D82" s="538">
        <v>0</v>
      </c>
      <c r="E82" s="57"/>
      <c r="F82" s="98"/>
      <c r="G82" s="57"/>
      <c r="H82" s="98"/>
      <c r="I82" s="57"/>
      <c r="J82" s="98"/>
      <c r="K82" s="57"/>
      <c r="L82" s="98"/>
      <c r="M82" s="57"/>
      <c r="N82" s="50"/>
      <c r="O82" s="46"/>
      <c r="P82" s="50"/>
      <c r="Q82" s="46"/>
      <c r="R82" s="50"/>
      <c r="S82" s="45"/>
      <c r="T82" s="50"/>
      <c r="U82" s="46"/>
      <c r="V82" s="50"/>
      <c r="W82" s="46"/>
      <c r="X82" s="50"/>
      <c r="Y82" s="46"/>
      <c r="Z82" s="50"/>
      <c r="AA82" s="46"/>
      <c r="AB82" s="50"/>
      <c r="AC82" s="26">
        <f t="shared" si="3"/>
        <v>0</v>
      </c>
      <c r="AD82" s="49">
        <f t="shared" si="4"/>
        <v>0</v>
      </c>
      <c r="AE82" s="466">
        <f t="shared" si="5"/>
        <v>0</v>
      </c>
    </row>
    <row r="83" spans="1:32" customFormat="1">
      <c r="A83" s="23">
        <v>83</v>
      </c>
      <c r="B83" s="10" t="s">
        <v>176</v>
      </c>
      <c r="C83" s="467" t="s">
        <v>175</v>
      </c>
      <c r="D83" s="538">
        <v>0</v>
      </c>
      <c r="E83" s="57"/>
      <c r="F83" s="98"/>
      <c r="G83" s="57"/>
      <c r="H83" s="98"/>
      <c r="I83" s="57"/>
      <c r="J83" s="98"/>
      <c r="K83" s="57"/>
      <c r="L83" s="98"/>
      <c r="M83" s="57"/>
      <c r="N83" s="50"/>
      <c r="O83" s="46"/>
      <c r="P83" s="50"/>
      <c r="Q83" s="46"/>
      <c r="R83" s="50"/>
      <c r="S83" s="45"/>
      <c r="T83" s="50"/>
      <c r="U83" s="46"/>
      <c r="V83" s="50"/>
      <c r="W83" s="46"/>
      <c r="X83" s="50"/>
      <c r="Y83" s="46"/>
      <c r="Z83" s="50"/>
      <c r="AA83" s="46"/>
      <c r="AB83" s="50"/>
      <c r="AC83" s="26">
        <f t="shared" si="3"/>
        <v>0</v>
      </c>
      <c r="AD83" s="49">
        <f t="shared" si="4"/>
        <v>0</v>
      </c>
      <c r="AE83" s="466">
        <f t="shared" si="5"/>
        <v>0</v>
      </c>
    </row>
    <row r="84" spans="1:32" customFormat="1">
      <c r="A84" s="3">
        <v>84</v>
      </c>
      <c r="B84" s="10" t="s">
        <v>178</v>
      </c>
      <c r="C84" s="467" t="s">
        <v>177</v>
      </c>
      <c r="D84" s="538">
        <v>0</v>
      </c>
      <c r="E84" s="57"/>
      <c r="F84" s="98"/>
      <c r="G84" s="57"/>
      <c r="H84" s="98"/>
      <c r="I84" s="57"/>
      <c r="J84" s="98"/>
      <c r="K84" s="57"/>
      <c r="L84" s="98"/>
      <c r="M84" s="57"/>
      <c r="N84" s="50"/>
      <c r="O84" s="46"/>
      <c r="P84" s="50"/>
      <c r="Q84" s="46"/>
      <c r="R84" s="50"/>
      <c r="S84" s="45"/>
      <c r="T84" s="50"/>
      <c r="U84" s="46"/>
      <c r="V84" s="50"/>
      <c r="W84" s="46"/>
      <c r="X84" s="50"/>
      <c r="Y84" s="46"/>
      <c r="Z84" s="50"/>
      <c r="AA84" s="46"/>
      <c r="AB84" s="50"/>
      <c r="AC84" s="26">
        <f t="shared" si="3"/>
        <v>0</v>
      </c>
      <c r="AD84" s="49">
        <f t="shared" si="4"/>
        <v>0</v>
      </c>
      <c r="AE84" s="466">
        <f t="shared" si="5"/>
        <v>0</v>
      </c>
    </row>
    <row r="85" spans="1:32" customFormat="1">
      <c r="A85" s="23">
        <v>85</v>
      </c>
      <c r="B85" s="10" t="s">
        <v>180</v>
      </c>
      <c r="C85" s="467" t="s">
        <v>179</v>
      </c>
      <c r="D85" s="538">
        <v>0</v>
      </c>
      <c r="E85" s="57"/>
      <c r="F85" s="98"/>
      <c r="G85" s="57"/>
      <c r="H85" s="98"/>
      <c r="I85" s="57"/>
      <c r="J85" s="98"/>
      <c r="K85" s="57"/>
      <c r="L85" s="98"/>
      <c r="M85" s="57"/>
      <c r="N85" s="50"/>
      <c r="O85" s="46"/>
      <c r="P85" s="50"/>
      <c r="Q85" s="46"/>
      <c r="R85" s="50"/>
      <c r="S85" s="45"/>
      <c r="T85" s="50"/>
      <c r="U85" s="46"/>
      <c r="V85" s="50"/>
      <c r="W85" s="46"/>
      <c r="X85" s="50"/>
      <c r="Y85" s="46"/>
      <c r="Z85" s="50"/>
      <c r="AA85" s="46"/>
      <c r="AB85" s="50"/>
      <c r="AC85" s="26">
        <f t="shared" si="3"/>
        <v>0</v>
      </c>
      <c r="AD85" s="49">
        <f t="shared" si="4"/>
        <v>0</v>
      </c>
      <c r="AE85" s="466">
        <f t="shared" si="5"/>
        <v>0</v>
      </c>
    </row>
    <row r="86" spans="1:32">
      <c r="A86" s="3">
        <v>86</v>
      </c>
      <c r="B86" s="10" t="s">
        <v>182</v>
      </c>
      <c r="C86" s="521" t="s">
        <v>181</v>
      </c>
      <c r="D86" s="538">
        <v>0</v>
      </c>
      <c r="E86" s="503"/>
      <c r="F86" s="504"/>
      <c r="G86" s="503"/>
      <c r="H86" s="504"/>
      <c r="I86" s="503"/>
      <c r="J86" s="504"/>
      <c r="K86" s="503">
        <f>5+5</f>
        <v>10</v>
      </c>
      <c r="L86" s="504"/>
      <c r="M86" s="503"/>
      <c r="N86" s="505"/>
      <c r="O86" s="524"/>
      <c r="P86" s="505"/>
      <c r="Q86" s="46"/>
      <c r="R86" s="50"/>
      <c r="S86" s="45"/>
      <c r="T86" s="50"/>
      <c r="U86" s="46"/>
      <c r="V86" s="50"/>
      <c r="W86" s="46"/>
      <c r="X86" s="50">
        <f>1</f>
        <v>1</v>
      </c>
      <c r="Y86" s="46"/>
      <c r="Z86" s="50"/>
      <c r="AA86" s="46"/>
      <c r="AB86" s="50"/>
      <c r="AC86" s="26">
        <f t="shared" si="3"/>
        <v>10</v>
      </c>
      <c r="AD86" s="49">
        <f t="shared" si="4"/>
        <v>1</v>
      </c>
      <c r="AE86" s="455">
        <f t="shared" si="5"/>
        <v>9</v>
      </c>
      <c r="AF86" s="568"/>
    </row>
    <row r="87" spans="1:32" customFormat="1">
      <c r="A87" s="23">
        <v>87</v>
      </c>
      <c r="B87" s="10" t="s">
        <v>184</v>
      </c>
      <c r="C87" s="467" t="s">
        <v>183</v>
      </c>
      <c r="D87" s="538">
        <v>0</v>
      </c>
      <c r="E87" s="57"/>
      <c r="F87" s="98"/>
      <c r="G87" s="57"/>
      <c r="H87" s="98"/>
      <c r="I87" s="57"/>
      <c r="J87" s="98"/>
      <c r="K87" s="57"/>
      <c r="L87" s="98"/>
      <c r="M87" s="57"/>
      <c r="N87" s="50"/>
      <c r="O87" s="46"/>
      <c r="P87" s="50"/>
      <c r="Q87" s="46"/>
      <c r="R87" s="50"/>
      <c r="S87" s="45"/>
      <c r="T87" s="50"/>
      <c r="U87" s="46"/>
      <c r="V87" s="50"/>
      <c r="W87" s="46"/>
      <c r="X87" s="50"/>
      <c r="Y87" s="46"/>
      <c r="Z87" s="50"/>
      <c r="AA87" s="46">
        <v>1</v>
      </c>
      <c r="AB87" s="50">
        <v>1</v>
      </c>
      <c r="AC87" s="26">
        <f t="shared" si="3"/>
        <v>1</v>
      </c>
      <c r="AD87" s="49">
        <f t="shared" si="4"/>
        <v>1</v>
      </c>
      <c r="AE87" s="466">
        <f t="shared" si="5"/>
        <v>0</v>
      </c>
    </row>
    <row r="88" spans="1:32" customFormat="1">
      <c r="A88" s="3">
        <v>88</v>
      </c>
      <c r="B88" s="10" t="s">
        <v>186</v>
      </c>
      <c r="C88" s="467" t="s">
        <v>185</v>
      </c>
      <c r="D88" s="538">
        <v>0</v>
      </c>
      <c r="E88" s="57"/>
      <c r="F88" s="98"/>
      <c r="G88" s="57"/>
      <c r="H88" s="98"/>
      <c r="I88" s="57"/>
      <c r="J88" s="98"/>
      <c r="K88" s="57"/>
      <c r="L88" s="98"/>
      <c r="M88" s="57"/>
      <c r="N88" s="50"/>
      <c r="O88" s="46"/>
      <c r="P88" s="50"/>
      <c r="Q88" s="46"/>
      <c r="R88" s="50"/>
      <c r="S88" s="45"/>
      <c r="T88" s="50"/>
      <c r="U88" s="46"/>
      <c r="V88" s="50"/>
      <c r="W88" s="46"/>
      <c r="X88" s="50"/>
      <c r="Y88" s="46"/>
      <c r="Z88" s="50"/>
      <c r="AA88" s="46"/>
      <c r="AB88" s="50"/>
      <c r="AC88" s="26">
        <f t="shared" si="3"/>
        <v>0</v>
      </c>
      <c r="AD88" s="49">
        <f t="shared" si="4"/>
        <v>0</v>
      </c>
      <c r="AE88" s="466">
        <f t="shared" si="5"/>
        <v>0</v>
      </c>
    </row>
    <row r="89" spans="1:32" customFormat="1">
      <c r="A89" s="23">
        <v>89</v>
      </c>
      <c r="B89" s="10" t="s">
        <v>188</v>
      </c>
      <c r="C89" s="458" t="s">
        <v>187</v>
      </c>
      <c r="D89" s="538">
        <v>0</v>
      </c>
      <c r="E89" s="57">
        <f>2</f>
        <v>2</v>
      </c>
      <c r="F89" s="98">
        <f>2</f>
        <v>2</v>
      </c>
      <c r="G89" s="57"/>
      <c r="H89" s="98"/>
      <c r="I89" s="57"/>
      <c r="J89" s="98"/>
      <c r="K89" s="57"/>
      <c r="L89" s="98"/>
      <c r="M89" s="57"/>
      <c r="N89" s="50"/>
      <c r="O89" s="46"/>
      <c r="P89" s="50"/>
      <c r="Q89" s="46"/>
      <c r="R89" s="50"/>
      <c r="S89" s="45"/>
      <c r="T89" s="50"/>
      <c r="U89" s="46"/>
      <c r="V89" s="50"/>
      <c r="W89" s="46"/>
      <c r="X89" s="50"/>
      <c r="Y89" s="46"/>
      <c r="Z89" s="50"/>
      <c r="AA89" s="46">
        <v>2</v>
      </c>
      <c r="AB89" s="50">
        <v>2</v>
      </c>
      <c r="AC89" s="26">
        <f t="shared" si="3"/>
        <v>4</v>
      </c>
      <c r="AD89" s="49">
        <f t="shared" si="4"/>
        <v>4</v>
      </c>
      <c r="AE89" s="466">
        <f t="shared" si="5"/>
        <v>0</v>
      </c>
    </row>
    <row r="90" spans="1:32" customFormat="1">
      <c r="A90" s="3">
        <v>90</v>
      </c>
      <c r="B90" s="10" t="s">
        <v>190</v>
      </c>
      <c r="C90" s="467" t="s">
        <v>189</v>
      </c>
      <c r="D90" s="538">
        <v>0</v>
      </c>
      <c r="E90" s="57"/>
      <c r="F90" s="98"/>
      <c r="G90" s="57"/>
      <c r="H90" s="98"/>
      <c r="I90" s="57"/>
      <c r="J90" s="98"/>
      <c r="K90" s="57"/>
      <c r="L90" s="98"/>
      <c r="M90" s="57"/>
      <c r="N90" s="50"/>
      <c r="O90" s="46"/>
      <c r="P90" s="50"/>
      <c r="Q90" s="46"/>
      <c r="R90" s="50"/>
      <c r="S90" s="45"/>
      <c r="T90" s="50"/>
      <c r="U90" s="46"/>
      <c r="V90" s="50"/>
      <c r="W90" s="46"/>
      <c r="X90" s="50"/>
      <c r="Y90" s="46"/>
      <c r="Z90" s="50"/>
      <c r="AA90" s="46"/>
      <c r="AB90" s="50"/>
      <c r="AC90" s="26">
        <f t="shared" si="3"/>
        <v>0</v>
      </c>
      <c r="AD90" s="49">
        <f t="shared" si="4"/>
        <v>0</v>
      </c>
      <c r="AE90" s="466">
        <f t="shared" si="5"/>
        <v>0</v>
      </c>
    </row>
    <row r="91" spans="1:32" customFormat="1">
      <c r="A91" s="23">
        <v>91</v>
      </c>
      <c r="B91" s="10" t="s">
        <v>192</v>
      </c>
      <c r="C91" s="467" t="s">
        <v>191</v>
      </c>
      <c r="D91" s="538">
        <v>0</v>
      </c>
      <c r="E91" s="57"/>
      <c r="F91" s="98"/>
      <c r="G91" s="57"/>
      <c r="H91" s="98"/>
      <c r="I91" s="57"/>
      <c r="J91" s="98"/>
      <c r="K91" s="57"/>
      <c r="L91" s="98"/>
      <c r="M91" s="57"/>
      <c r="N91" s="50"/>
      <c r="O91" s="46"/>
      <c r="P91" s="50"/>
      <c r="Q91" s="46"/>
      <c r="R91" s="50"/>
      <c r="S91" s="45"/>
      <c r="T91" s="50"/>
      <c r="U91" s="46"/>
      <c r="V91" s="50"/>
      <c r="W91" s="46"/>
      <c r="X91" s="50"/>
      <c r="Y91" s="46"/>
      <c r="Z91" s="50"/>
      <c r="AA91" s="46"/>
      <c r="AB91" s="50"/>
      <c r="AC91" s="26">
        <f t="shared" si="3"/>
        <v>0</v>
      </c>
      <c r="AD91" s="49">
        <f t="shared" si="4"/>
        <v>0</v>
      </c>
      <c r="AE91" s="466">
        <f t="shared" si="5"/>
        <v>0</v>
      </c>
    </row>
    <row r="92" spans="1:32" customFormat="1">
      <c r="A92" s="3">
        <v>92</v>
      </c>
      <c r="B92" s="10" t="s">
        <v>195</v>
      </c>
      <c r="C92" s="367" t="s">
        <v>194</v>
      </c>
      <c r="D92" s="538">
        <v>0</v>
      </c>
      <c r="E92" s="57"/>
      <c r="F92" s="98"/>
      <c r="G92" s="57"/>
      <c r="H92" s="98"/>
      <c r="I92" s="57"/>
      <c r="J92" s="98"/>
      <c r="K92" s="57"/>
      <c r="L92" s="98"/>
      <c r="M92" s="57"/>
      <c r="N92" s="50"/>
      <c r="O92" s="46"/>
      <c r="P92" s="50"/>
      <c r="Q92" s="46"/>
      <c r="R92" s="50"/>
      <c r="S92" s="45"/>
      <c r="T92" s="50"/>
      <c r="U92" s="46"/>
      <c r="V92" s="50"/>
      <c r="W92" s="46"/>
      <c r="X92" s="50"/>
      <c r="Y92" s="46"/>
      <c r="Z92" s="50"/>
      <c r="AA92" s="46"/>
      <c r="AB92" s="50"/>
      <c r="AC92" s="26">
        <f t="shared" si="3"/>
        <v>0</v>
      </c>
      <c r="AD92" s="49">
        <f t="shared" si="4"/>
        <v>0</v>
      </c>
      <c r="AE92" s="466">
        <f t="shared" si="5"/>
        <v>0</v>
      </c>
    </row>
    <row r="93" spans="1:32" customFormat="1">
      <c r="A93" s="23">
        <v>93</v>
      </c>
      <c r="B93" s="10" t="s">
        <v>197</v>
      </c>
      <c r="C93" s="467" t="s">
        <v>196</v>
      </c>
      <c r="D93" s="538">
        <v>0</v>
      </c>
      <c r="E93" s="57"/>
      <c r="F93" s="98"/>
      <c r="G93" s="57"/>
      <c r="H93" s="98"/>
      <c r="I93" s="57"/>
      <c r="J93" s="98"/>
      <c r="K93" s="57"/>
      <c r="L93" s="98"/>
      <c r="M93" s="57"/>
      <c r="N93" s="50"/>
      <c r="O93" s="46"/>
      <c r="P93" s="50"/>
      <c r="Q93" s="46"/>
      <c r="R93" s="50"/>
      <c r="S93" s="45"/>
      <c r="T93" s="50"/>
      <c r="U93" s="46"/>
      <c r="V93" s="50"/>
      <c r="W93" s="46"/>
      <c r="X93" s="50"/>
      <c r="Y93" s="46"/>
      <c r="Z93" s="50"/>
      <c r="AA93" s="46"/>
      <c r="AB93" s="50"/>
      <c r="AC93" s="26">
        <f t="shared" si="3"/>
        <v>0</v>
      </c>
      <c r="AD93" s="49">
        <f t="shared" si="4"/>
        <v>0</v>
      </c>
      <c r="AE93" s="466">
        <f t="shared" si="5"/>
        <v>0</v>
      </c>
    </row>
    <row r="94" spans="1:32" customFormat="1">
      <c r="A94" s="3">
        <v>94</v>
      </c>
      <c r="B94" s="10" t="s">
        <v>199</v>
      </c>
      <c r="C94" s="467" t="s">
        <v>198</v>
      </c>
      <c r="D94" s="538">
        <v>0</v>
      </c>
      <c r="E94" s="57"/>
      <c r="F94" s="98"/>
      <c r="G94" s="57"/>
      <c r="H94" s="98"/>
      <c r="I94" s="57"/>
      <c r="J94" s="98"/>
      <c r="K94" s="57"/>
      <c r="L94" s="98"/>
      <c r="M94" s="57"/>
      <c r="N94" s="50"/>
      <c r="O94" s="46"/>
      <c r="P94" s="50"/>
      <c r="Q94" s="46"/>
      <c r="R94" s="50"/>
      <c r="S94" s="45"/>
      <c r="T94" s="50"/>
      <c r="U94" s="46"/>
      <c r="V94" s="50"/>
      <c r="W94" s="46"/>
      <c r="X94" s="50"/>
      <c r="Y94" s="46"/>
      <c r="Z94" s="50"/>
      <c r="AA94" s="46"/>
      <c r="AB94" s="50"/>
      <c r="AC94" s="26">
        <f t="shared" si="3"/>
        <v>0</v>
      </c>
      <c r="AD94" s="49">
        <f t="shared" si="4"/>
        <v>0</v>
      </c>
      <c r="AE94" s="466">
        <f t="shared" si="5"/>
        <v>0</v>
      </c>
    </row>
    <row r="95" spans="1:32" customFormat="1">
      <c r="A95" s="23">
        <v>95</v>
      </c>
      <c r="B95" s="10" t="s">
        <v>201</v>
      </c>
      <c r="C95" s="467" t="s">
        <v>200</v>
      </c>
      <c r="D95" s="538">
        <v>0</v>
      </c>
      <c r="E95" s="57"/>
      <c r="F95" s="98"/>
      <c r="G95" s="57"/>
      <c r="H95" s="98"/>
      <c r="I95" s="57"/>
      <c r="J95" s="98"/>
      <c r="K95" s="57"/>
      <c r="L95" s="98"/>
      <c r="M95" s="57"/>
      <c r="N95" s="50"/>
      <c r="O95" s="46"/>
      <c r="P95" s="50"/>
      <c r="Q95" s="46"/>
      <c r="R95" s="50"/>
      <c r="S95" s="45"/>
      <c r="T95" s="50"/>
      <c r="U95" s="46"/>
      <c r="V95" s="50"/>
      <c r="W95" s="46"/>
      <c r="X95" s="50"/>
      <c r="Y95" s="46"/>
      <c r="Z95" s="50"/>
      <c r="AA95" s="46"/>
      <c r="AB95" s="50"/>
      <c r="AC95" s="26">
        <f t="shared" si="3"/>
        <v>0</v>
      </c>
      <c r="AD95" s="49">
        <f t="shared" si="4"/>
        <v>0</v>
      </c>
      <c r="AE95" s="466">
        <f t="shared" si="5"/>
        <v>0</v>
      </c>
    </row>
    <row r="96" spans="1:32" customFormat="1">
      <c r="A96" s="3">
        <v>96</v>
      </c>
      <c r="B96" s="10" t="s">
        <v>203</v>
      </c>
      <c r="C96" s="467" t="s">
        <v>202</v>
      </c>
      <c r="D96" s="538">
        <v>0</v>
      </c>
      <c r="E96" s="57"/>
      <c r="F96" s="98"/>
      <c r="G96" s="57"/>
      <c r="H96" s="98"/>
      <c r="I96" s="57"/>
      <c r="J96" s="98"/>
      <c r="K96" s="57"/>
      <c r="L96" s="98"/>
      <c r="M96" s="57"/>
      <c r="N96" s="50"/>
      <c r="O96" s="46"/>
      <c r="P96" s="50"/>
      <c r="Q96" s="46"/>
      <c r="R96" s="50"/>
      <c r="S96" s="45"/>
      <c r="T96" s="50"/>
      <c r="U96" s="46"/>
      <c r="V96" s="50"/>
      <c r="W96" s="46"/>
      <c r="X96" s="50"/>
      <c r="Y96" s="46"/>
      <c r="Z96" s="50"/>
      <c r="AA96" s="46"/>
      <c r="AB96" s="50"/>
      <c r="AC96" s="26">
        <f t="shared" si="3"/>
        <v>0</v>
      </c>
      <c r="AD96" s="49">
        <f t="shared" si="4"/>
        <v>0</v>
      </c>
      <c r="AE96" s="466">
        <f t="shared" si="5"/>
        <v>0</v>
      </c>
    </row>
    <row r="97" spans="1:31" customFormat="1">
      <c r="A97" s="23">
        <v>97</v>
      </c>
      <c r="B97" s="10" t="s">
        <v>205</v>
      </c>
      <c r="C97" s="467" t="s">
        <v>204</v>
      </c>
      <c r="D97" s="538">
        <v>0</v>
      </c>
      <c r="E97" s="57"/>
      <c r="F97" s="98"/>
      <c r="G97" s="57"/>
      <c r="H97" s="98"/>
      <c r="I97" s="57"/>
      <c r="J97" s="98"/>
      <c r="K97" s="57"/>
      <c r="L97" s="98"/>
      <c r="M97" s="57"/>
      <c r="N97" s="50"/>
      <c r="O97" s="46"/>
      <c r="P97" s="50"/>
      <c r="Q97" s="46"/>
      <c r="R97" s="50"/>
      <c r="S97" s="45"/>
      <c r="T97" s="50"/>
      <c r="U97" s="46"/>
      <c r="V97" s="50"/>
      <c r="W97" s="46">
        <v>5</v>
      </c>
      <c r="X97" s="50">
        <f>2</f>
        <v>2</v>
      </c>
      <c r="Y97" s="46"/>
      <c r="Z97" s="50"/>
      <c r="AA97" s="46"/>
      <c r="AB97" s="50"/>
      <c r="AC97" s="26">
        <f t="shared" si="3"/>
        <v>5</v>
      </c>
      <c r="AD97" s="49">
        <f t="shared" si="4"/>
        <v>2</v>
      </c>
      <c r="AE97" s="466">
        <f t="shared" si="5"/>
        <v>3</v>
      </c>
    </row>
    <row r="98" spans="1:31" customFormat="1">
      <c r="A98" s="3">
        <v>98</v>
      </c>
      <c r="B98" s="10" t="s">
        <v>207</v>
      </c>
      <c r="C98" s="467" t="s">
        <v>206</v>
      </c>
      <c r="D98" s="538">
        <v>0</v>
      </c>
      <c r="E98" s="57"/>
      <c r="F98" s="98"/>
      <c r="G98" s="57"/>
      <c r="H98" s="98"/>
      <c r="I98" s="57"/>
      <c r="J98" s="98"/>
      <c r="K98" s="57"/>
      <c r="L98" s="98"/>
      <c r="M98" s="57"/>
      <c r="N98" s="50"/>
      <c r="O98" s="46"/>
      <c r="P98" s="50"/>
      <c r="Q98" s="46"/>
      <c r="R98" s="50"/>
      <c r="S98" s="45"/>
      <c r="T98" s="50"/>
      <c r="U98" s="46"/>
      <c r="V98" s="50"/>
      <c r="W98" s="46"/>
      <c r="X98" s="50"/>
      <c r="Y98" s="46"/>
      <c r="Z98" s="50"/>
      <c r="AA98" s="46"/>
      <c r="AB98" s="50"/>
      <c r="AC98" s="26">
        <f t="shared" si="3"/>
        <v>0</v>
      </c>
      <c r="AD98" s="49">
        <f t="shared" si="4"/>
        <v>0</v>
      </c>
      <c r="AE98" s="466">
        <f t="shared" si="5"/>
        <v>0</v>
      </c>
    </row>
    <row r="99" spans="1:31" customFormat="1">
      <c r="A99" s="23">
        <v>99</v>
      </c>
      <c r="B99" s="76" t="s">
        <v>211</v>
      </c>
      <c r="C99" s="467" t="s">
        <v>210</v>
      </c>
      <c r="D99" s="538">
        <v>0</v>
      </c>
      <c r="E99" s="57"/>
      <c r="F99" s="98"/>
      <c r="G99" s="57"/>
      <c r="H99" s="98"/>
      <c r="I99" s="57"/>
      <c r="J99" s="98"/>
      <c r="K99" s="57"/>
      <c r="L99" s="98"/>
      <c r="M99" s="57"/>
      <c r="N99" s="50"/>
      <c r="O99" s="46"/>
      <c r="P99" s="50"/>
      <c r="Q99" s="46"/>
      <c r="R99" s="50"/>
      <c r="S99" s="45"/>
      <c r="T99" s="50"/>
      <c r="U99" s="46"/>
      <c r="V99" s="50"/>
      <c r="W99" s="46"/>
      <c r="X99" s="50"/>
      <c r="Y99" s="46"/>
      <c r="Z99" s="50"/>
      <c r="AA99" s="46"/>
      <c r="AB99" s="50"/>
      <c r="AC99" s="26">
        <f t="shared" si="3"/>
        <v>0</v>
      </c>
      <c r="AD99" s="49">
        <f t="shared" si="4"/>
        <v>0</v>
      </c>
      <c r="AE99" s="466">
        <f t="shared" si="5"/>
        <v>0</v>
      </c>
    </row>
    <row r="100" spans="1:31" customFormat="1">
      <c r="A100" s="3">
        <v>100</v>
      </c>
      <c r="B100" s="76" t="s">
        <v>213</v>
      </c>
      <c r="C100" s="467" t="s">
        <v>212</v>
      </c>
      <c r="D100" s="538">
        <v>0</v>
      </c>
      <c r="E100" s="57">
        <f>1</f>
        <v>1</v>
      </c>
      <c r="F100" s="98"/>
      <c r="G100" s="57"/>
      <c r="H100" s="98">
        <f>1</f>
        <v>1</v>
      </c>
      <c r="I100" s="57"/>
      <c r="J100" s="98"/>
      <c r="K100" s="57"/>
      <c r="L100" s="98"/>
      <c r="M100" s="57"/>
      <c r="N100" s="50"/>
      <c r="O100" s="46"/>
      <c r="P100" s="50"/>
      <c r="Q100" s="46"/>
      <c r="R100" s="50"/>
      <c r="S100" s="45"/>
      <c r="T100" s="50"/>
      <c r="U100" s="46"/>
      <c r="V100" s="50"/>
      <c r="W100" s="46"/>
      <c r="X100" s="50"/>
      <c r="Y100" s="46"/>
      <c r="Z100" s="50"/>
      <c r="AA100" s="46"/>
      <c r="AB100" s="50"/>
      <c r="AC100" s="26">
        <f t="shared" si="3"/>
        <v>1</v>
      </c>
      <c r="AD100" s="49">
        <f t="shared" si="4"/>
        <v>1</v>
      </c>
      <c r="AE100" s="466">
        <f t="shared" si="5"/>
        <v>0</v>
      </c>
    </row>
    <row r="101" spans="1:31" customFormat="1">
      <c r="A101" s="23">
        <v>101</v>
      </c>
      <c r="B101" s="76" t="s">
        <v>215</v>
      </c>
      <c r="C101" s="467" t="s">
        <v>214</v>
      </c>
      <c r="D101" s="538">
        <v>0</v>
      </c>
      <c r="E101" s="57">
        <f>3</f>
        <v>3</v>
      </c>
      <c r="F101" s="98"/>
      <c r="G101" s="57"/>
      <c r="H101" s="98">
        <f>3</f>
        <v>3</v>
      </c>
      <c r="I101" s="57"/>
      <c r="J101" s="98"/>
      <c r="K101" s="57"/>
      <c r="L101" s="98"/>
      <c r="M101" s="57"/>
      <c r="N101" s="50"/>
      <c r="O101" s="46"/>
      <c r="P101" s="50"/>
      <c r="Q101" s="46"/>
      <c r="R101" s="50"/>
      <c r="S101" s="45"/>
      <c r="T101" s="50"/>
      <c r="U101" s="46"/>
      <c r="V101" s="50"/>
      <c r="W101" s="46"/>
      <c r="X101" s="50"/>
      <c r="Y101" s="46"/>
      <c r="Z101" s="50"/>
      <c r="AA101" s="46"/>
      <c r="AB101" s="50"/>
      <c r="AC101" s="26">
        <f t="shared" si="3"/>
        <v>3</v>
      </c>
      <c r="AD101" s="49">
        <f t="shared" si="4"/>
        <v>3</v>
      </c>
      <c r="AE101" s="466">
        <f t="shared" si="5"/>
        <v>0</v>
      </c>
    </row>
    <row r="102" spans="1:31" customFormat="1">
      <c r="A102" s="3">
        <v>102</v>
      </c>
      <c r="B102" s="76" t="s">
        <v>217</v>
      </c>
      <c r="C102" s="467" t="s">
        <v>216</v>
      </c>
      <c r="D102" s="538">
        <v>0</v>
      </c>
      <c r="E102" s="57">
        <f>3+2</f>
        <v>5</v>
      </c>
      <c r="F102" s="98"/>
      <c r="G102" s="57"/>
      <c r="H102" s="98">
        <f>2+3</f>
        <v>5</v>
      </c>
      <c r="I102" s="57"/>
      <c r="J102" s="98"/>
      <c r="K102" s="57"/>
      <c r="L102" s="98"/>
      <c r="M102" s="57"/>
      <c r="N102" s="50"/>
      <c r="O102" s="46"/>
      <c r="P102" s="50"/>
      <c r="Q102" s="46"/>
      <c r="R102" s="50"/>
      <c r="S102" s="45"/>
      <c r="T102" s="50"/>
      <c r="U102" s="46"/>
      <c r="V102" s="50"/>
      <c r="W102" s="46"/>
      <c r="X102" s="50"/>
      <c r="Y102" s="46"/>
      <c r="Z102" s="50"/>
      <c r="AA102" s="46"/>
      <c r="AB102" s="50"/>
      <c r="AC102" s="26">
        <f t="shared" si="3"/>
        <v>5</v>
      </c>
      <c r="AD102" s="49">
        <f t="shared" si="4"/>
        <v>5</v>
      </c>
      <c r="AE102" s="466">
        <f t="shared" si="5"/>
        <v>0</v>
      </c>
    </row>
    <row r="103" spans="1:31" customFormat="1">
      <c r="A103" s="23">
        <v>103</v>
      </c>
      <c r="B103" s="77" t="s">
        <v>229</v>
      </c>
      <c r="C103" s="6"/>
      <c r="D103" s="538">
        <v>0</v>
      </c>
      <c r="E103" s="57"/>
      <c r="F103" s="98"/>
      <c r="G103" s="57"/>
      <c r="H103" s="98"/>
      <c r="I103" s="57"/>
      <c r="J103" s="98"/>
      <c r="K103" s="57"/>
      <c r="L103" s="98"/>
      <c r="M103" s="57"/>
      <c r="N103" s="50"/>
      <c r="O103" s="46"/>
      <c r="P103" s="50"/>
      <c r="Q103" s="46"/>
      <c r="R103" s="50"/>
      <c r="S103" s="45"/>
      <c r="T103" s="50"/>
      <c r="U103" s="46"/>
      <c r="V103" s="50"/>
      <c r="W103" s="46"/>
      <c r="X103" s="50"/>
      <c r="Y103" s="46"/>
      <c r="Z103" s="50"/>
      <c r="AA103" s="46"/>
      <c r="AB103" s="50"/>
      <c r="AC103" s="26">
        <f t="shared" si="3"/>
        <v>0</v>
      </c>
      <c r="AD103" s="49">
        <f t="shared" si="4"/>
        <v>0</v>
      </c>
      <c r="AE103" s="466">
        <f t="shared" si="5"/>
        <v>0</v>
      </c>
    </row>
    <row r="104" spans="1:31">
      <c r="A104" s="3">
        <v>104</v>
      </c>
      <c r="B104" s="495" t="s">
        <v>219</v>
      </c>
      <c r="C104" s="6" t="s">
        <v>218</v>
      </c>
      <c r="D104" s="538">
        <v>12</v>
      </c>
      <c r="E104" s="503"/>
      <c r="F104" s="504">
        <f>5+8</f>
        <v>13</v>
      </c>
      <c r="G104" s="503">
        <f>30</f>
        <v>30</v>
      </c>
      <c r="H104" s="504">
        <f>4+14</f>
        <v>18</v>
      </c>
      <c r="I104" s="503">
        <f>30</f>
        <v>30</v>
      </c>
      <c r="J104" s="504">
        <f>8+20</f>
        <v>28</v>
      </c>
      <c r="K104" s="57">
        <v>30</v>
      </c>
      <c r="L104" s="504">
        <f>4+2</f>
        <v>6</v>
      </c>
      <c r="M104" s="503"/>
      <c r="N104" s="505">
        <f>1+2+4+4</f>
        <v>11</v>
      </c>
      <c r="O104" s="524"/>
      <c r="P104" s="505">
        <f>16+2</f>
        <v>18</v>
      </c>
      <c r="Q104" s="46">
        <v>70</v>
      </c>
      <c r="R104" s="50">
        <f>2</f>
        <v>2</v>
      </c>
      <c r="S104" s="45"/>
      <c r="T104" s="50">
        <f>2+2+2+2</f>
        <v>8</v>
      </c>
      <c r="U104" s="46"/>
      <c r="V104" s="50">
        <f>4</f>
        <v>4</v>
      </c>
      <c r="W104" s="642">
        <f>3</f>
        <v>3</v>
      </c>
      <c r="X104" s="50">
        <f>3+55+2</f>
        <v>60</v>
      </c>
      <c r="Y104" s="46"/>
      <c r="Z104" s="50"/>
      <c r="AA104" s="46">
        <v>50</v>
      </c>
      <c r="AB104" s="50"/>
      <c r="AC104" s="26">
        <f t="shared" si="3"/>
        <v>225</v>
      </c>
      <c r="AD104" s="49">
        <f t="shared" si="4"/>
        <v>168</v>
      </c>
      <c r="AE104" s="455">
        <f t="shared" si="5"/>
        <v>57</v>
      </c>
    </row>
    <row r="105" spans="1:31">
      <c r="A105" s="23">
        <v>105</v>
      </c>
      <c r="B105" s="12" t="s">
        <v>222</v>
      </c>
      <c r="C105" s="523" t="s">
        <v>221</v>
      </c>
      <c r="D105" s="538">
        <v>58</v>
      </c>
      <c r="E105" s="503"/>
      <c r="F105" s="504"/>
      <c r="G105" s="503"/>
      <c r="H105" s="504"/>
      <c r="I105" s="503"/>
      <c r="J105" s="504"/>
      <c r="K105" s="503"/>
      <c r="L105" s="504"/>
      <c r="M105" s="503"/>
      <c r="N105" s="505">
        <f>30</f>
        <v>30</v>
      </c>
      <c r="O105" s="524"/>
      <c r="P105" s="505"/>
      <c r="Q105" s="46"/>
      <c r="R105" s="50"/>
      <c r="S105" s="45"/>
      <c r="T105" s="50"/>
      <c r="U105" s="46"/>
      <c r="V105" s="50"/>
      <c r="W105" s="46"/>
      <c r="X105" s="50">
        <f>8</f>
        <v>8</v>
      </c>
      <c r="Y105" s="46"/>
      <c r="Z105" s="50"/>
      <c r="AA105" s="46"/>
      <c r="AB105" s="50"/>
      <c r="AC105" s="26">
        <f t="shared" si="3"/>
        <v>58</v>
      </c>
      <c r="AD105" s="49">
        <f t="shared" si="4"/>
        <v>38</v>
      </c>
      <c r="AE105" s="455">
        <f t="shared" si="5"/>
        <v>20</v>
      </c>
    </row>
    <row r="106" spans="1:31" customFormat="1">
      <c r="A106" s="3">
        <v>106</v>
      </c>
      <c r="B106" s="65" t="s">
        <v>242</v>
      </c>
      <c r="C106" s="64" t="s">
        <v>231</v>
      </c>
      <c r="D106" s="538">
        <v>0</v>
      </c>
      <c r="E106" s="57"/>
      <c r="F106" s="98"/>
      <c r="G106" s="57"/>
      <c r="H106" s="98"/>
      <c r="I106" s="57"/>
      <c r="J106" s="98"/>
      <c r="K106" s="57"/>
      <c r="L106" s="98"/>
      <c r="M106" s="57"/>
      <c r="N106" s="50"/>
      <c r="O106" s="46"/>
      <c r="P106" s="50"/>
      <c r="Q106" s="46"/>
      <c r="R106" s="50"/>
      <c r="S106" s="45"/>
      <c r="T106" s="50"/>
      <c r="U106" s="46"/>
      <c r="V106" s="50"/>
      <c r="W106" s="46"/>
      <c r="X106" s="50"/>
      <c r="Y106" s="46"/>
      <c r="Z106" s="50"/>
      <c r="AA106" s="46"/>
      <c r="AB106" s="50"/>
      <c r="AC106" s="26">
        <f t="shared" si="3"/>
        <v>0</v>
      </c>
      <c r="AD106" s="49">
        <f t="shared" si="4"/>
        <v>0</v>
      </c>
      <c r="AE106" s="466">
        <f t="shared" si="5"/>
        <v>0</v>
      </c>
    </row>
    <row r="107" spans="1:31" s="106" customFormat="1">
      <c r="A107" s="23">
        <v>107</v>
      </c>
      <c r="B107" s="65" t="s">
        <v>346</v>
      </c>
      <c r="C107" s="64" t="s">
        <v>232</v>
      </c>
      <c r="D107" s="538">
        <v>0</v>
      </c>
      <c r="E107" s="57"/>
      <c r="F107" s="98"/>
      <c r="G107" s="57"/>
      <c r="H107" s="98"/>
      <c r="I107" s="57"/>
      <c r="J107" s="98"/>
      <c r="K107" s="57"/>
      <c r="L107" s="98"/>
      <c r="M107" s="57"/>
      <c r="N107" s="50"/>
      <c r="O107" s="46"/>
      <c r="P107" s="50"/>
      <c r="Q107" s="46"/>
      <c r="R107" s="50"/>
      <c r="S107" s="45"/>
      <c r="T107" s="50"/>
      <c r="U107" s="46"/>
      <c r="V107" s="50"/>
      <c r="W107" s="46"/>
      <c r="X107" s="50"/>
      <c r="Y107" s="46"/>
      <c r="Z107" s="50"/>
      <c r="AA107" s="46"/>
      <c r="AB107" s="50"/>
      <c r="AC107" s="26">
        <f t="shared" si="3"/>
        <v>0</v>
      </c>
      <c r="AD107" s="49">
        <f t="shared" si="4"/>
        <v>0</v>
      </c>
      <c r="AE107" s="466">
        <f t="shared" si="5"/>
        <v>0</v>
      </c>
    </row>
    <row r="108" spans="1:31" customFormat="1">
      <c r="A108" s="3">
        <v>108</v>
      </c>
      <c r="B108" s="351" t="s">
        <v>228</v>
      </c>
      <c r="C108" s="467"/>
      <c r="D108" s="538">
        <v>0</v>
      </c>
      <c r="E108" s="57"/>
      <c r="F108" s="98"/>
      <c r="G108" s="57"/>
      <c r="H108" s="98"/>
      <c r="I108" s="57"/>
      <c r="J108" s="98"/>
      <c r="K108" s="57"/>
      <c r="L108" s="98"/>
      <c r="M108" s="57"/>
      <c r="N108" s="50"/>
      <c r="O108" s="46"/>
      <c r="P108" s="50"/>
      <c r="Q108" s="46"/>
      <c r="R108" s="50"/>
      <c r="S108" s="45"/>
      <c r="T108" s="50"/>
      <c r="U108" s="46"/>
      <c r="V108" s="50"/>
      <c r="W108" s="46"/>
      <c r="X108" s="50"/>
      <c r="Y108" s="46"/>
      <c r="Z108" s="50"/>
      <c r="AA108" s="46"/>
      <c r="AB108" s="50"/>
      <c r="AC108" s="26">
        <f t="shared" si="3"/>
        <v>0</v>
      </c>
      <c r="AD108" s="49">
        <f t="shared" si="4"/>
        <v>0</v>
      </c>
      <c r="AE108" s="466">
        <f t="shared" si="5"/>
        <v>0</v>
      </c>
    </row>
    <row r="109" spans="1:31" customFormat="1">
      <c r="A109" s="23">
        <v>109</v>
      </c>
      <c r="B109" s="10" t="s">
        <v>193</v>
      </c>
      <c r="C109" s="350"/>
      <c r="D109" s="538">
        <v>0</v>
      </c>
      <c r="E109" s="57"/>
      <c r="F109" s="98"/>
      <c r="G109" s="57"/>
      <c r="H109" s="98"/>
      <c r="I109" s="57"/>
      <c r="J109" s="98"/>
      <c r="K109" s="57"/>
      <c r="L109" s="98"/>
      <c r="M109" s="57"/>
      <c r="N109" s="50"/>
      <c r="O109" s="46"/>
      <c r="P109" s="50"/>
      <c r="Q109" s="46"/>
      <c r="R109" s="50"/>
      <c r="S109" s="45"/>
      <c r="T109" s="50"/>
      <c r="U109" s="46"/>
      <c r="V109" s="50"/>
      <c r="W109" s="46"/>
      <c r="X109" s="50"/>
      <c r="Y109" s="46"/>
      <c r="Z109" s="50"/>
      <c r="AA109" s="46"/>
      <c r="AB109" s="50"/>
      <c r="AC109" s="26">
        <f t="shared" si="3"/>
        <v>0</v>
      </c>
      <c r="AD109" s="49">
        <f t="shared" si="4"/>
        <v>0</v>
      </c>
      <c r="AE109" s="466">
        <f t="shared" si="5"/>
        <v>0</v>
      </c>
    </row>
    <row r="110" spans="1:31" customFormat="1">
      <c r="A110" s="3">
        <v>110</v>
      </c>
      <c r="B110" s="10" t="s">
        <v>122</v>
      </c>
      <c r="C110" s="326" t="s">
        <v>279</v>
      </c>
      <c r="D110" s="538">
        <v>0</v>
      </c>
      <c r="E110" s="57"/>
      <c r="F110" s="98"/>
      <c r="G110" s="57"/>
      <c r="H110" s="98"/>
      <c r="I110" s="57"/>
      <c r="J110" s="98"/>
      <c r="K110" s="57"/>
      <c r="L110" s="98"/>
      <c r="M110" s="57"/>
      <c r="N110" s="50"/>
      <c r="O110" s="46"/>
      <c r="P110" s="50"/>
      <c r="Q110" s="46"/>
      <c r="R110" s="50"/>
      <c r="S110" s="45"/>
      <c r="T110" s="50"/>
      <c r="U110" s="46"/>
      <c r="V110" s="50"/>
      <c r="W110" s="46"/>
      <c r="X110" s="50"/>
      <c r="Y110" s="46"/>
      <c r="Z110" s="50"/>
      <c r="AA110" s="46"/>
      <c r="AB110" s="50"/>
      <c r="AC110" s="26">
        <f t="shared" si="3"/>
        <v>0</v>
      </c>
      <c r="AD110" s="49">
        <f t="shared" si="4"/>
        <v>0</v>
      </c>
      <c r="AE110" s="466">
        <f t="shared" si="5"/>
        <v>0</v>
      </c>
    </row>
    <row r="111" spans="1:31" customFormat="1">
      <c r="A111" s="23">
        <v>111</v>
      </c>
      <c r="B111" s="65" t="s">
        <v>233</v>
      </c>
      <c r="C111" s="458" t="s">
        <v>236</v>
      </c>
      <c r="D111" s="538">
        <v>0</v>
      </c>
      <c r="E111" s="57"/>
      <c r="F111" s="98"/>
      <c r="G111" s="57"/>
      <c r="H111" s="98"/>
      <c r="I111" s="57"/>
      <c r="J111" s="98"/>
      <c r="K111" s="57"/>
      <c r="L111" s="98"/>
      <c r="M111" s="57"/>
      <c r="N111" s="50"/>
      <c r="O111" s="46"/>
      <c r="P111" s="50"/>
      <c r="Q111" s="46"/>
      <c r="R111" s="50"/>
      <c r="S111" s="45"/>
      <c r="T111" s="50"/>
      <c r="U111" s="46"/>
      <c r="V111" s="50"/>
      <c r="W111" s="46"/>
      <c r="X111" s="50"/>
      <c r="Y111" s="46"/>
      <c r="Z111" s="50"/>
      <c r="AA111" s="46"/>
      <c r="AB111" s="50"/>
      <c r="AC111" s="26">
        <f t="shared" si="3"/>
        <v>0</v>
      </c>
      <c r="AD111" s="49">
        <f t="shared" si="4"/>
        <v>0</v>
      </c>
      <c r="AE111" s="466">
        <f t="shared" si="5"/>
        <v>0</v>
      </c>
    </row>
    <row r="112" spans="1:31" customFormat="1">
      <c r="A112" s="3">
        <v>112</v>
      </c>
      <c r="B112" s="65" t="s">
        <v>234</v>
      </c>
      <c r="C112" s="458" t="s">
        <v>237</v>
      </c>
      <c r="D112" s="538">
        <v>0</v>
      </c>
      <c r="E112" s="57"/>
      <c r="F112" s="98"/>
      <c r="G112" s="57"/>
      <c r="H112" s="98"/>
      <c r="I112" s="57"/>
      <c r="J112" s="98"/>
      <c r="K112" s="57"/>
      <c r="L112" s="98"/>
      <c r="M112" s="57"/>
      <c r="N112" s="50"/>
      <c r="O112" s="46"/>
      <c r="P112" s="50"/>
      <c r="Q112" s="46"/>
      <c r="R112" s="50"/>
      <c r="S112" s="45"/>
      <c r="T112" s="50"/>
      <c r="U112" s="46"/>
      <c r="V112" s="50"/>
      <c r="W112" s="46"/>
      <c r="X112" s="50"/>
      <c r="Y112" s="46"/>
      <c r="Z112" s="50"/>
      <c r="AA112" s="46"/>
      <c r="AB112" s="50"/>
      <c r="AC112" s="26">
        <f t="shared" si="3"/>
        <v>0</v>
      </c>
      <c r="AD112" s="49">
        <f t="shared" si="4"/>
        <v>0</v>
      </c>
      <c r="AE112" s="466">
        <f t="shared" si="5"/>
        <v>0</v>
      </c>
    </row>
    <row r="113" spans="1:32" customFormat="1">
      <c r="A113" s="23">
        <v>113</v>
      </c>
      <c r="B113" s="65" t="s">
        <v>235</v>
      </c>
      <c r="C113" s="367" t="s">
        <v>238</v>
      </c>
      <c r="D113" s="538">
        <v>0</v>
      </c>
      <c r="E113" s="57"/>
      <c r="F113" s="98"/>
      <c r="G113" s="57"/>
      <c r="H113" s="98"/>
      <c r="I113" s="57"/>
      <c r="J113" s="98"/>
      <c r="K113" s="57"/>
      <c r="L113" s="98"/>
      <c r="M113" s="57"/>
      <c r="N113" s="50"/>
      <c r="O113" s="46"/>
      <c r="P113" s="50"/>
      <c r="Q113" s="46"/>
      <c r="R113" s="50"/>
      <c r="S113" s="45"/>
      <c r="T113" s="50"/>
      <c r="U113" s="46"/>
      <c r="V113" s="50"/>
      <c r="W113" s="46"/>
      <c r="X113" s="50"/>
      <c r="Y113" s="46"/>
      <c r="Z113" s="50"/>
      <c r="AA113" s="46"/>
      <c r="AB113" s="50"/>
      <c r="AC113" s="26">
        <f t="shared" si="3"/>
        <v>0</v>
      </c>
      <c r="AD113" s="49">
        <f t="shared" si="4"/>
        <v>0</v>
      </c>
      <c r="AE113" s="466">
        <f t="shared" si="5"/>
        <v>0</v>
      </c>
    </row>
    <row r="114" spans="1:32" customFormat="1">
      <c r="A114" s="3">
        <v>114</v>
      </c>
      <c r="B114" s="65">
        <v>66061</v>
      </c>
      <c r="C114" s="367" t="s">
        <v>76</v>
      </c>
      <c r="D114" s="538">
        <v>0</v>
      </c>
      <c r="E114" s="57"/>
      <c r="F114" s="98"/>
      <c r="G114" s="57"/>
      <c r="H114" s="98"/>
      <c r="I114" s="57"/>
      <c r="J114" s="98"/>
      <c r="K114" s="57"/>
      <c r="L114" s="98"/>
      <c r="M114" s="57"/>
      <c r="N114" s="50"/>
      <c r="O114" s="46"/>
      <c r="P114" s="50"/>
      <c r="Q114" s="46"/>
      <c r="R114" s="50"/>
      <c r="S114" s="45"/>
      <c r="T114" s="50"/>
      <c r="U114" s="46"/>
      <c r="V114" s="50"/>
      <c r="W114" s="46"/>
      <c r="X114" s="50"/>
      <c r="Y114" s="46"/>
      <c r="Z114" s="50"/>
      <c r="AA114" s="46"/>
      <c r="AB114" s="50"/>
      <c r="AC114" s="26">
        <f t="shared" si="3"/>
        <v>0</v>
      </c>
      <c r="AD114" s="49">
        <f t="shared" si="4"/>
        <v>0</v>
      </c>
      <c r="AE114" s="466">
        <f t="shared" si="5"/>
        <v>0</v>
      </c>
    </row>
    <row r="115" spans="1:32" customFormat="1">
      <c r="A115" s="23">
        <v>115</v>
      </c>
      <c r="B115" s="65" t="s">
        <v>240</v>
      </c>
      <c r="C115" s="600" t="s">
        <v>253</v>
      </c>
      <c r="D115" s="538">
        <v>0</v>
      </c>
      <c r="E115" s="57"/>
      <c r="F115" s="98"/>
      <c r="G115" s="57"/>
      <c r="H115" s="98"/>
      <c r="I115" s="57"/>
      <c r="J115" s="98"/>
      <c r="K115" s="57"/>
      <c r="L115" s="98"/>
      <c r="M115" s="57"/>
      <c r="N115" s="50"/>
      <c r="O115" s="46"/>
      <c r="P115" s="50"/>
      <c r="Q115" s="46"/>
      <c r="R115" s="50"/>
      <c r="S115" s="45"/>
      <c r="T115" s="50"/>
      <c r="U115" s="46"/>
      <c r="V115" s="50"/>
      <c r="W115" s="46"/>
      <c r="X115" s="50"/>
      <c r="Y115" s="46"/>
      <c r="Z115" s="50"/>
      <c r="AA115" s="46"/>
      <c r="AB115" s="50"/>
      <c r="AC115" s="26">
        <f t="shared" si="3"/>
        <v>0</v>
      </c>
      <c r="AD115" s="49">
        <f t="shared" si="4"/>
        <v>0</v>
      </c>
      <c r="AE115" s="466">
        <f t="shared" si="5"/>
        <v>0</v>
      </c>
    </row>
    <row r="116" spans="1:32" customFormat="1">
      <c r="A116" s="3">
        <v>116</v>
      </c>
      <c r="B116" s="65" t="s">
        <v>241</v>
      </c>
      <c r="C116" s="600" t="s">
        <v>254</v>
      </c>
      <c r="D116" s="538">
        <v>0</v>
      </c>
      <c r="E116" s="57"/>
      <c r="F116" s="98"/>
      <c r="G116" s="57"/>
      <c r="H116" s="98"/>
      <c r="I116" s="57"/>
      <c r="J116" s="98"/>
      <c r="K116" s="57"/>
      <c r="L116" s="98"/>
      <c r="M116" s="57"/>
      <c r="N116" s="50"/>
      <c r="O116" s="46"/>
      <c r="P116" s="50"/>
      <c r="Q116" s="46"/>
      <c r="R116" s="50"/>
      <c r="S116" s="45"/>
      <c r="T116" s="50"/>
      <c r="U116" s="46"/>
      <c r="V116" s="50"/>
      <c r="W116" s="46"/>
      <c r="X116" s="50"/>
      <c r="Y116" s="46"/>
      <c r="Z116" s="50"/>
      <c r="AA116" s="46"/>
      <c r="AB116" s="50"/>
      <c r="AC116" s="26">
        <f t="shared" si="3"/>
        <v>0</v>
      </c>
      <c r="AD116" s="49">
        <f t="shared" si="4"/>
        <v>0</v>
      </c>
      <c r="AE116" s="466">
        <f t="shared" si="5"/>
        <v>0</v>
      </c>
    </row>
    <row r="117" spans="1:32" customFormat="1">
      <c r="A117" s="23">
        <v>117</v>
      </c>
      <c r="B117" s="65" t="s">
        <v>243</v>
      </c>
      <c r="C117" s="600" t="s">
        <v>255</v>
      </c>
      <c r="D117" s="538">
        <v>0</v>
      </c>
      <c r="E117" s="57"/>
      <c r="F117" s="98"/>
      <c r="G117" s="57"/>
      <c r="H117" s="98"/>
      <c r="I117" s="57"/>
      <c r="J117" s="98"/>
      <c r="K117" s="57"/>
      <c r="L117" s="98"/>
      <c r="M117" s="57"/>
      <c r="N117" s="50"/>
      <c r="O117" s="46"/>
      <c r="P117" s="50"/>
      <c r="Q117" s="46"/>
      <c r="R117" s="50"/>
      <c r="S117" s="45"/>
      <c r="T117" s="50"/>
      <c r="U117" s="46"/>
      <c r="V117" s="50"/>
      <c r="W117" s="46"/>
      <c r="X117" s="50"/>
      <c r="Y117" s="46"/>
      <c r="Z117" s="50"/>
      <c r="AA117" s="46"/>
      <c r="AB117" s="50"/>
      <c r="AC117" s="26">
        <f t="shared" si="3"/>
        <v>0</v>
      </c>
      <c r="AD117" s="49">
        <f t="shared" si="4"/>
        <v>0</v>
      </c>
      <c r="AE117" s="466">
        <f t="shared" si="5"/>
        <v>0</v>
      </c>
    </row>
    <row r="118" spans="1:32" customFormat="1">
      <c r="A118" s="3">
        <v>118</v>
      </c>
      <c r="B118" s="65" t="s">
        <v>209</v>
      </c>
      <c r="C118" s="600" t="s">
        <v>208</v>
      </c>
      <c r="D118" s="538">
        <v>0</v>
      </c>
      <c r="E118" s="57"/>
      <c r="F118" s="98"/>
      <c r="G118" s="57"/>
      <c r="H118" s="98"/>
      <c r="I118" s="57"/>
      <c r="J118" s="98"/>
      <c r="K118" s="57"/>
      <c r="L118" s="98"/>
      <c r="M118" s="57"/>
      <c r="N118" s="50"/>
      <c r="O118" s="46"/>
      <c r="P118" s="50"/>
      <c r="Q118" s="46"/>
      <c r="R118" s="50"/>
      <c r="S118" s="45"/>
      <c r="T118" s="50"/>
      <c r="U118" s="46"/>
      <c r="V118" s="50"/>
      <c r="W118" s="46"/>
      <c r="X118" s="50"/>
      <c r="Y118" s="46"/>
      <c r="Z118" s="50"/>
      <c r="AA118" s="46"/>
      <c r="AB118" s="50"/>
      <c r="AC118" s="26">
        <f t="shared" si="3"/>
        <v>0</v>
      </c>
      <c r="AD118" s="49">
        <f t="shared" si="4"/>
        <v>0</v>
      </c>
      <c r="AE118" s="466">
        <f t="shared" si="5"/>
        <v>0</v>
      </c>
    </row>
    <row r="119" spans="1:32" customFormat="1">
      <c r="A119" s="23">
        <v>119</v>
      </c>
      <c r="B119" s="65" t="s">
        <v>244</v>
      </c>
      <c r="C119" s="600" t="s">
        <v>256</v>
      </c>
      <c r="D119" s="538">
        <v>0</v>
      </c>
      <c r="E119" s="57"/>
      <c r="F119" s="98"/>
      <c r="G119" s="57"/>
      <c r="H119" s="98"/>
      <c r="I119" s="57"/>
      <c r="J119" s="98"/>
      <c r="K119" s="57"/>
      <c r="L119" s="98"/>
      <c r="M119" s="57"/>
      <c r="N119" s="50"/>
      <c r="O119" s="46"/>
      <c r="P119" s="50"/>
      <c r="Q119" s="46"/>
      <c r="R119" s="50"/>
      <c r="S119" s="45"/>
      <c r="T119" s="50"/>
      <c r="U119" s="46"/>
      <c r="V119" s="50"/>
      <c r="W119" s="46"/>
      <c r="X119" s="50"/>
      <c r="Y119" s="46"/>
      <c r="Z119" s="50"/>
      <c r="AA119" s="46"/>
      <c r="AB119" s="50"/>
      <c r="AC119" s="26">
        <f t="shared" si="3"/>
        <v>0</v>
      </c>
      <c r="AD119" s="49">
        <f t="shared" si="4"/>
        <v>0</v>
      </c>
      <c r="AE119" s="466">
        <f t="shared" si="5"/>
        <v>0</v>
      </c>
    </row>
    <row r="120" spans="1:32" customFormat="1">
      <c r="A120" s="3">
        <v>120</v>
      </c>
      <c r="B120" s="65" t="s">
        <v>245</v>
      </c>
      <c r="C120" s="600" t="s">
        <v>257</v>
      </c>
      <c r="D120" s="538">
        <v>0</v>
      </c>
      <c r="E120" s="57"/>
      <c r="F120" s="98"/>
      <c r="G120" s="57"/>
      <c r="H120" s="98"/>
      <c r="I120" s="57"/>
      <c r="J120" s="98"/>
      <c r="K120" s="57"/>
      <c r="L120" s="98"/>
      <c r="M120" s="57"/>
      <c r="N120" s="50"/>
      <c r="O120" s="46"/>
      <c r="P120" s="50"/>
      <c r="Q120" s="46"/>
      <c r="R120" s="50"/>
      <c r="S120" s="45"/>
      <c r="T120" s="50"/>
      <c r="U120" s="46"/>
      <c r="V120" s="50"/>
      <c r="W120" s="46"/>
      <c r="X120" s="50"/>
      <c r="Y120" s="46"/>
      <c r="Z120" s="50"/>
      <c r="AA120" s="46"/>
      <c r="AB120" s="50"/>
      <c r="AC120" s="26">
        <f t="shared" si="3"/>
        <v>0</v>
      </c>
      <c r="AD120" s="49">
        <f t="shared" si="4"/>
        <v>0</v>
      </c>
      <c r="AE120" s="466">
        <f t="shared" si="5"/>
        <v>0</v>
      </c>
    </row>
    <row r="121" spans="1:32">
      <c r="A121" s="23">
        <v>121</v>
      </c>
      <c r="B121" s="12" t="s">
        <v>246</v>
      </c>
      <c r="C121" s="600" t="s">
        <v>258</v>
      </c>
      <c r="D121" s="538">
        <v>23</v>
      </c>
      <c r="E121" s="503">
        <f>2</f>
        <v>2</v>
      </c>
      <c r="F121" s="504">
        <f>1+1+1</f>
        <v>3</v>
      </c>
      <c r="G121" s="503"/>
      <c r="H121" s="504">
        <f>1+1</f>
        <v>2</v>
      </c>
      <c r="I121" s="503"/>
      <c r="J121" s="504">
        <f>3</f>
        <v>3</v>
      </c>
      <c r="K121" s="503"/>
      <c r="L121" s="504"/>
      <c r="M121" s="503"/>
      <c r="N121" s="505"/>
      <c r="O121" s="524"/>
      <c r="P121" s="505">
        <f>1</f>
        <v>1</v>
      </c>
      <c r="Q121" s="46">
        <f>50</f>
        <v>50</v>
      </c>
      <c r="R121" s="50"/>
      <c r="S121" s="45"/>
      <c r="T121" s="50">
        <f>1+1</f>
        <v>2</v>
      </c>
      <c r="U121" s="46"/>
      <c r="V121" s="50">
        <f>3</f>
        <v>3</v>
      </c>
      <c r="W121" s="46"/>
      <c r="X121" s="50">
        <v>46</v>
      </c>
      <c r="Y121" s="46">
        <v>4</v>
      </c>
      <c r="Z121" s="50">
        <f>3+1+8+1+4+1+1</f>
        <v>19</v>
      </c>
      <c r="AA121" s="46">
        <v>5</v>
      </c>
      <c r="AB121" s="50">
        <v>5</v>
      </c>
      <c r="AC121" s="26">
        <f t="shared" si="3"/>
        <v>84</v>
      </c>
      <c r="AD121" s="49">
        <f t="shared" si="4"/>
        <v>84</v>
      </c>
      <c r="AE121" s="455">
        <f t="shared" si="5"/>
        <v>0</v>
      </c>
      <c r="AF121" s="489"/>
    </row>
    <row r="122" spans="1:32">
      <c r="A122" s="3">
        <v>122</v>
      </c>
      <c r="B122" s="12" t="s">
        <v>247</v>
      </c>
      <c r="C122" s="600" t="s">
        <v>259</v>
      </c>
      <c r="D122" s="538">
        <v>6</v>
      </c>
      <c r="E122" s="503">
        <f>20+6</f>
        <v>26</v>
      </c>
      <c r="F122" s="504">
        <f>6+3+1</f>
        <v>10</v>
      </c>
      <c r="G122" s="503"/>
      <c r="H122" s="504">
        <f>4+1</f>
        <v>5</v>
      </c>
      <c r="I122" s="503"/>
      <c r="J122" s="504">
        <f>1+1+1</f>
        <v>3</v>
      </c>
      <c r="K122" s="503"/>
      <c r="L122" s="504">
        <f>2</f>
        <v>2</v>
      </c>
      <c r="M122" s="503"/>
      <c r="N122" s="505">
        <f>1+1+10</f>
        <v>12</v>
      </c>
      <c r="O122" s="46"/>
      <c r="P122" s="505"/>
      <c r="Q122" s="46">
        <f>30+30</f>
        <v>60</v>
      </c>
      <c r="R122" s="50">
        <f>2</f>
        <v>2</v>
      </c>
      <c r="S122" s="45"/>
      <c r="T122" s="50"/>
      <c r="U122" s="46"/>
      <c r="V122" s="50">
        <f>1</f>
        <v>1</v>
      </c>
      <c r="W122" s="46"/>
      <c r="X122" s="50">
        <f>1+6</f>
        <v>7</v>
      </c>
      <c r="Y122" s="46"/>
      <c r="Z122" s="50">
        <f>7+1</f>
        <v>8</v>
      </c>
      <c r="AA122" s="46"/>
      <c r="AB122" s="50">
        <v>5</v>
      </c>
      <c r="AC122" s="26">
        <f t="shared" si="3"/>
        <v>92</v>
      </c>
      <c r="AD122" s="49">
        <f t="shared" si="4"/>
        <v>55</v>
      </c>
      <c r="AE122" s="455">
        <f t="shared" si="5"/>
        <v>37</v>
      </c>
      <c r="AF122" s="489"/>
    </row>
    <row r="123" spans="1:32" ht="16.5" customHeight="1">
      <c r="A123" s="23">
        <v>123</v>
      </c>
      <c r="B123" s="12" t="s">
        <v>248</v>
      </c>
      <c r="C123" s="600" t="s">
        <v>260</v>
      </c>
      <c r="D123" s="538">
        <v>13</v>
      </c>
      <c r="E123" s="503">
        <f>20+2</f>
        <v>22</v>
      </c>
      <c r="F123" s="504">
        <f>2+1+20+1</f>
        <v>24</v>
      </c>
      <c r="G123" s="503"/>
      <c r="H123" s="504">
        <f>3+1+2</f>
        <v>6</v>
      </c>
      <c r="I123" s="503"/>
      <c r="J123" s="504">
        <f>5</f>
        <v>5</v>
      </c>
      <c r="K123" s="503">
        <f>30+20</f>
        <v>50</v>
      </c>
      <c r="L123" s="504">
        <v>1</v>
      </c>
      <c r="M123" s="503"/>
      <c r="N123" s="505"/>
      <c r="O123" s="524"/>
      <c r="P123" s="505"/>
      <c r="Q123" s="46">
        <f>23+52+11</f>
        <v>86</v>
      </c>
      <c r="R123" s="50"/>
      <c r="S123" s="45">
        <f>45</f>
        <v>45</v>
      </c>
      <c r="T123" s="50">
        <f>5+3+1+1</f>
        <v>10</v>
      </c>
      <c r="U123" s="46"/>
      <c r="V123" s="50">
        <f>3+9</f>
        <v>12</v>
      </c>
      <c r="W123" s="46">
        <v>17</v>
      </c>
      <c r="X123" s="50">
        <f>148+2+1</f>
        <v>151</v>
      </c>
      <c r="Y123" s="46">
        <v>3</v>
      </c>
      <c r="Z123" s="50">
        <f>3+1+8+12+3</f>
        <v>27</v>
      </c>
      <c r="AA123" s="46"/>
      <c r="AB123" s="50"/>
      <c r="AC123" s="26">
        <f t="shared" si="3"/>
        <v>236</v>
      </c>
      <c r="AD123" s="49">
        <f t="shared" si="4"/>
        <v>236</v>
      </c>
      <c r="AE123" s="715">
        <f t="shared" si="5"/>
        <v>0</v>
      </c>
      <c r="AF123" s="489"/>
    </row>
    <row r="124" spans="1:32">
      <c r="A124" s="3">
        <v>124</v>
      </c>
      <c r="B124" s="12" t="s">
        <v>249</v>
      </c>
      <c r="C124" s="600" t="s">
        <v>261</v>
      </c>
      <c r="D124" s="538">
        <v>11</v>
      </c>
      <c r="E124" s="503">
        <f>76</f>
        <v>76</v>
      </c>
      <c r="F124" s="504">
        <f>6+2+2+1</f>
        <v>11</v>
      </c>
      <c r="G124" s="503">
        <f>90</f>
        <v>90</v>
      </c>
      <c r="H124" s="504">
        <f>16+3+1</f>
        <v>20</v>
      </c>
      <c r="I124" s="503"/>
      <c r="J124" s="504">
        <f>20</f>
        <v>20</v>
      </c>
      <c r="K124" s="503"/>
      <c r="L124" s="504">
        <f>2+4</f>
        <v>6</v>
      </c>
      <c r="M124" s="503"/>
      <c r="N124" s="505">
        <f>1+4</f>
        <v>5</v>
      </c>
      <c r="O124" s="524"/>
      <c r="P124" s="505"/>
      <c r="Q124" s="46">
        <f>200+100</f>
        <v>300</v>
      </c>
      <c r="R124" s="50"/>
      <c r="S124" s="45"/>
      <c r="T124" s="50">
        <f>5+3+1+1</f>
        <v>10</v>
      </c>
      <c r="U124" s="46"/>
      <c r="V124" s="50">
        <f>6+12</f>
        <v>18</v>
      </c>
      <c r="W124" s="46"/>
      <c r="X124" s="50">
        <f>184+4</f>
        <v>188</v>
      </c>
      <c r="Y124" s="46"/>
      <c r="Z124" s="50">
        <f>6+2+1</f>
        <v>9</v>
      </c>
      <c r="AA124" s="46"/>
      <c r="AB124" s="50">
        <f>10</f>
        <v>10</v>
      </c>
      <c r="AC124" s="26">
        <f t="shared" si="3"/>
        <v>477</v>
      </c>
      <c r="AD124" s="49">
        <f t="shared" si="4"/>
        <v>297</v>
      </c>
      <c r="AE124" s="455">
        <f t="shared" si="5"/>
        <v>180</v>
      </c>
      <c r="AF124" s="489"/>
    </row>
    <row r="125" spans="1:32">
      <c r="A125" s="23">
        <v>125</v>
      </c>
      <c r="B125" s="12" t="s">
        <v>250</v>
      </c>
      <c r="C125" s="600" t="s">
        <v>262</v>
      </c>
      <c r="D125" s="538">
        <v>3</v>
      </c>
      <c r="E125" s="503"/>
      <c r="F125" s="504">
        <f>3</f>
        <v>3</v>
      </c>
      <c r="G125" s="503">
        <f>6</f>
        <v>6</v>
      </c>
      <c r="H125" s="504"/>
      <c r="I125" s="503">
        <f>60</f>
        <v>60</v>
      </c>
      <c r="J125" s="504">
        <f>6+4</f>
        <v>10</v>
      </c>
      <c r="K125" s="503">
        <f>20+20</f>
        <v>40</v>
      </c>
      <c r="L125" s="504"/>
      <c r="M125" s="503"/>
      <c r="N125" s="505">
        <f>3+10</f>
        <v>13</v>
      </c>
      <c r="O125" s="524"/>
      <c r="P125" s="505"/>
      <c r="Q125" s="46">
        <f>60</f>
        <v>60</v>
      </c>
      <c r="R125" s="50">
        <f>2</f>
        <v>2</v>
      </c>
      <c r="S125" s="45"/>
      <c r="T125" s="50"/>
      <c r="U125" s="46"/>
      <c r="V125" s="50">
        <f>3</f>
        <v>3</v>
      </c>
      <c r="W125" s="46"/>
      <c r="X125" s="50">
        <f>3</f>
        <v>3</v>
      </c>
      <c r="Y125" s="46"/>
      <c r="Z125" s="50">
        <f>2</f>
        <v>2</v>
      </c>
      <c r="AA125" s="46"/>
      <c r="AB125" s="50">
        <f>5+1</f>
        <v>6</v>
      </c>
      <c r="AC125" s="26">
        <f t="shared" si="3"/>
        <v>169</v>
      </c>
      <c r="AD125" s="49">
        <f t="shared" si="4"/>
        <v>42</v>
      </c>
      <c r="AE125" s="455">
        <f t="shared" si="5"/>
        <v>127</v>
      </c>
    </row>
    <row r="126" spans="1:32" customFormat="1">
      <c r="A126" s="3">
        <v>126</v>
      </c>
      <c r="B126" s="65" t="s">
        <v>251</v>
      </c>
      <c r="C126" s="600" t="s">
        <v>263</v>
      </c>
      <c r="D126" s="538">
        <v>0</v>
      </c>
      <c r="E126" s="57"/>
      <c r="F126" s="98"/>
      <c r="G126" s="57"/>
      <c r="H126" s="98"/>
      <c r="I126" s="57">
        <v>2</v>
      </c>
      <c r="J126" s="98">
        <v>2</v>
      </c>
      <c r="K126" s="57"/>
      <c r="L126" s="98"/>
      <c r="M126" s="57"/>
      <c r="N126" s="50"/>
      <c r="O126" s="46"/>
      <c r="P126" s="50"/>
      <c r="Q126" s="46"/>
      <c r="R126" s="50"/>
      <c r="S126" s="45"/>
      <c r="T126" s="50"/>
      <c r="U126" s="46"/>
      <c r="V126" s="50"/>
      <c r="W126" s="46"/>
      <c r="X126" s="50"/>
      <c r="Y126" s="46"/>
      <c r="Z126" s="50"/>
      <c r="AA126" s="46"/>
      <c r="AB126" s="50"/>
      <c r="AC126" s="26">
        <f t="shared" si="3"/>
        <v>2</v>
      </c>
      <c r="AD126" s="49">
        <f t="shared" si="4"/>
        <v>2</v>
      </c>
      <c r="AE126" s="466">
        <f t="shared" si="5"/>
        <v>0</v>
      </c>
    </row>
    <row r="127" spans="1:32" customFormat="1">
      <c r="A127" s="23">
        <v>127</v>
      </c>
      <c r="B127" s="65" t="s">
        <v>252</v>
      </c>
      <c r="C127" s="600" t="s">
        <v>264</v>
      </c>
      <c r="D127" s="538">
        <v>0</v>
      </c>
      <c r="E127" s="57"/>
      <c r="F127" s="121"/>
      <c r="G127" s="57"/>
      <c r="H127" s="121"/>
      <c r="I127" s="57"/>
      <c r="J127" s="121"/>
      <c r="K127" s="57"/>
      <c r="L127" s="121"/>
      <c r="M127" s="57"/>
      <c r="N127" s="50"/>
      <c r="O127" s="46"/>
      <c r="P127" s="50"/>
      <c r="Q127" s="46"/>
      <c r="R127" s="52"/>
      <c r="S127" s="45"/>
      <c r="T127" s="52"/>
      <c r="U127" s="46"/>
      <c r="V127" s="50"/>
      <c r="W127" s="54"/>
      <c r="X127" s="52"/>
      <c r="Y127" s="54"/>
      <c r="Z127" s="52"/>
      <c r="AA127" s="54"/>
      <c r="AB127" s="52"/>
      <c r="AC127" s="26">
        <f t="shared" si="3"/>
        <v>0</v>
      </c>
      <c r="AD127" s="49">
        <f t="shared" si="4"/>
        <v>0</v>
      </c>
      <c r="AE127" s="466">
        <f t="shared" si="5"/>
        <v>0</v>
      </c>
    </row>
    <row r="128" spans="1:32">
      <c r="A128" s="3">
        <v>128</v>
      </c>
      <c r="B128" s="12" t="s">
        <v>281</v>
      </c>
      <c r="C128" s="600" t="s">
        <v>280</v>
      </c>
      <c r="D128" s="538">
        <v>1</v>
      </c>
      <c r="E128" s="503"/>
      <c r="F128" s="504"/>
      <c r="G128" s="503"/>
      <c r="H128" s="504"/>
      <c r="I128" s="503">
        <f>10</f>
        <v>10</v>
      </c>
      <c r="J128" s="504">
        <f>7</f>
        <v>7</v>
      </c>
      <c r="K128" s="503"/>
      <c r="L128" s="504"/>
      <c r="M128" s="503"/>
      <c r="N128" s="505"/>
      <c r="O128" s="46"/>
      <c r="P128" s="50"/>
      <c r="Q128" s="46"/>
      <c r="R128" s="52"/>
      <c r="S128" s="45"/>
      <c r="T128" s="52"/>
      <c r="U128" s="46">
        <f>10</f>
        <v>10</v>
      </c>
      <c r="V128" s="52"/>
      <c r="W128" s="54"/>
      <c r="X128" s="52"/>
      <c r="Y128" s="54"/>
      <c r="Z128" s="52">
        <v>1</v>
      </c>
      <c r="AA128" s="54"/>
      <c r="AB128" s="52"/>
      <c r="AC128" s="26">
        <f t="shared" si="3"/>
        <v>21</v>
      </c>
      <c r="AD128" s="49">
        <f t="shared" si="4"/>
        <v>8</v>
      </c>
      <c r="AE128" s="455">
        <f t="shared" si="5"/>
        <v>13</v>
      </c>
    </row>
    <row r="129" spans="1:31" customFormat="1">
      <c r="A129" s="23">
        <v>129</v>
      </c>
      <c r="B129" s="65" t="s">
        <v>283</v>
      </c>
      <c r="C129" s="600" t="s">
        <v>282</v>
      </c>
      <c r="D129" s="538">
        <v>0</v>
      </c>
      <c r="E129" s="57"/>
      <c r="F129" s="98"/>
      <c r="G129" s="57"/>
      <c r="H129" s="98"/>
      <c r="I129" s="57"/>
      <c r="J129" s="98"/>
      <c r="K129" s="57"/>
      <c r="L129" s="98"/>
      <c r="M129" s="57"/>
      <c r="N129" s="50"/>
      <c r="O129" s="54"/>
      <c r="P129" s="52"/>
      <c r="Q129" s="46"/>
      <c r="R129" s="52"/>
      <c r="S129" s="45"/>
      <c r="T129" s="52"/>
      <c r="U129" s="46"/>
      <c r="V129" s="52"/>
      <c r="W129" s="54"/>
      <c r="X129" s="52"/>
      <c r="Y129" s="54"/>
      <c r="Z129" s="52"/>
      <c r="AA129" s="54">
        <v>4</v>
      </c>
      <c r="AB129" s="52">
        <v>4</v>
      </c>
      <c r="AC129" s="26">
        <f t="shared" si="3"/>
        <v>4</v>
      </c>
      <c r="AD129" s="49">
        <f t="shared" si="4"/>
        <v>4</v>
      </c>
      <c r="AE129" s="466">
        <f t="shared" si="5"/>
        <v>0</v>
      </c>
    </row>
    <row r="130" spans="1:31" customFormat="1">
      <c r="A130" s="3">
        <v>130</v>
      </c>
      <c r="B130" s="65" t="s">
        <v>284</v>
      </c>
      <c r="C130" s="600" t="s">
        <v>282</v>
      </c>
      <c r="D130" s="538">
        <v>0</v>
      </c>
      <c r="E130" s="57"/>
      <c r="F130" s="98"/>
      <c r="G130" s="57"/>
      <c r="H130" s="98"/>
      <c r="I130" s="57"/>
      <c r="J130" s="98"/>
      <c r="K130" s="57"/>
      <c r="L130" s="98"/>
      <c r="M130" s="57"/>
      <c r="N130" s="50"/>
      <c r="O130" s="46"/>
      <c r="P130" s="50"/>
      <c r="Q130" s="46"/>
      <c r="R130" s="52"/>
      <c r="S130" s="45"/>
      <c r="T130" s="52"/>
      <c r="U130" s="46"/>
      <c r="V130" s="52"/>
      <c r="W130" s="54"/>
      <c r="X130" s="52"/>
      <c r="Y130" s="54"/>
      <c r="Z130" s="52"/>
      <c r="AA130" s="54"/>
      <c r="AB130" s="52"/>
      <c r="AC130" s="26">
        <f t="shared" si="3"/>
        <v>0</v>
      </c>
      <c r="AD130" s="49">
        <f t="shared" si="4"/>
        <v>0</v>
      </c>
      <c r="AE130" s="466">
        <f t="shared" si="5"/>
        <v>0</v>
      </c>
    </row>
    <row r="131" spans="1:31" customFormat="1">
      <c r="A131" s="23">
        <v>131</v>
      </c>
      <c r="B131" s="65" t="s">
        <v>285</v>
      </c>
      <c r="C131" s="600" t="s">
        <v>282</v>
      </c>
      <c r="D131" s="538">
        <v>0</v>
      </c>
      <c r="E131" s="57">
        <f>1</f>
        <v>1</v>
      </c>
      <c r="F131" s="98">
        <f>1</f>
        <v>1</v>
      </c>
      <c r="G131" s="57"/>
      <c r="H131" s="98"/>
      <c r="I131" s="57"/>
      <c r="J131" s="98"/>
      <c r="K131" s="57"/>
      <c r="L131" s="98"/>
      <c r="M131" s="57"/>
      <c r="N131" s="50"/>
      <c r="O131" s="46"/>
      <c r="P131" s="50"/>
      <c r="Q131" s="46"/>
      <c r="R131" s="52"/>
      <c r="S131" s="54"/>
      <c r="T131" s="52"/>
      <c r="U131" s="46"/>
      <c r="V131" s="52"/>
      <c r="W131" s="54"/>
      <c r="X131" s="52"/>
      <c r="Y131" s="54"/>
      <c r="Z131" s="52"/>
      <c r="AA131" s="54"/>
      <c r="AB131" s="52"/>
      <c r="AC131" s="26">
        <f t="shared" ref="AC131:AC197" si="6">SUM(D131,E131,G131,I131,K131,M131,O131,Q131,S131,U131,W131,Y131,AA131)</f>
        <v>1</v>
      </c>
      <c r="AD131" s="49">
        <f t="shared" ref="AD131:AD197" si="7">SUM(F131,H131,J131,L131,N131,P131,R131,T131,V131,X131,Z131,AB131)</f>
        <v>1</v>
      </c>
      <c r="AE131" s="466">
        <f t="shared" si="5"/>
        <v>0</v>
      </c>
    </row>
    <row r="132" spans="1:31" customFormat="1">
      <c r="A132" s="3">
        <v>132</v>
      </c>
      <c r="B132" s="65" t="s">
        <v>286</v>
      </c>
      <c r="C132" s="600" t="s">
        <v>282</v>
      </c>
      <c r="D132" s="538">
        <v>0</v>
      </c>
      <c r="E132" s="57"/>
      <c r="F132" s="98"/>
      <c r="G132" s="57"/>
      <c r="H132" s="98"/>
      <c r="I132" s="57"/>
      <c r="J132" s="98"/>
      <c r="K132" s="57"/>
      <c r="L132" s="98"/>
      <c r="M132" s="57"/>
      <c r="N132" s="50"/>
      <c r="O132" s="46"/>
      <c r="P132" s="50"/>
      <c r="Q132" s="46"/>
      <c r="R132" s="52"/>
      <c r="S132" s="54"/>
      <c r="T132" s="52"/>
      <c r="U132" s="46"/>
      <c r="V132" s="52"/>
      <c r="W132" s="54"/>
      <c r="X132" s="52"/>
      <c r="Y132" s="54"/>
      <c r="Z132" s="52"/>
      <c r="AA132" s="54"/>
      <c r="AB132" s="52"/>
      <c r="AC132" s="26">
        <f t="shared" si="6"/>
        <v>0</v>
      </c>
      <c r="AD132" s="49">
        <f t="shared" si="7"/>
        <v>0</v>
      </c>
      <c r="AE132" s="466">
        <f t="shared" si="5"/>
        <v>0</v>
      </c>
    </row>
    <row r="133" spans="1:31" customFormat="1">
      <c r="A133" s="23">
        <v>133</v>
      </c>
      <c r="B133" s="65" t="s">
        <v>287</v>
      </c>
      <c r="C133" s="600" t="s">
        <v>282</v>
      </c>
      <c r="D133" s="538">
        <v>0</v>
      </c>
      <c r="E133" s="57"/>
      <c r="F133" s="98"/>
      <c r="G133" s="57"/>
      <c r="H133" s="98"/>
      <c r="I133" s="57"/>
      <c r="J133" s="98"/>
      <c r="K133" s="57"/>
      <c r="L133" s="98"/>
      <c r="M133" s="57"/>
      <c r="N133" s="50"/>
      <c r="O133" s="46"/>
      <c r="P133" s="50"/>
      <c r="Q133" s="46"/>
      <c r="R133" s="52"/>
      <c r="S133" s="54"/>
      <c r="T133" s="52"/>
      <c r="U133" s="46"/>
      <c r="V133" s="52"/>
      <c r="W133" s="54"/>
      <c r="X133" s="52"/>
      <c r="Y133" s="54"/>
      <c r="Z133" s="52"/>
      <c r="AA133" s="54"/>
      <c r="AB133" s="52"/>
      <c r="AC133" s="26">
        <f t="shared" si="6"/>
        <v>0</v>
      </c>
      <c r="AD133" s="49">
        <f t="shared" si="7"/>
        <v>0</v>
      </c>
      <c r="AE133" s="466">
        <f t="shared" si="5"/>
        <v>0</v>
      </c>
    </row>
    <row r="134" spans="1:31" customFormat="1">
      <c r="A134" s="3">
        <v>134</v>
      </c>
      <c r="B134" s="65" t="s">
        <v>288</v>
      </c>
      <c r="C134" s="600" t="s">
        <v>282</v>
      </c>
      <c r="D134" s="538">
        <v>0</v>
      </c>
      <c r="E134" s="57"/>
      <c r="F134" s="98"/>
      <c r="G134" s="57"/>
      <c r="H134" s="98"/>
      <c r="I134" s="57"/>
      <c r="J134" s="98"/>
      <c r="K134" s="57"/>
      <c r="L134" s="98"/>
      <c r="M134" s="57"/>
      <c r="N134" s="50"/>
      <c r="O134" s="46"/>
      <c r="P134" s="50"/>
      <c r="Q134" s="46"/>
      <c r="R134" s="52"/>
      <c r="S134" s="54"/>
      <c r="T134" s="52"/>
      <c r="U134" s="46"/>
      <c r="V134" s="52"/>
      <c r="W134" s="54"/>
      <c r="X134" s="52"/>
      <c r="Y134" s="54"/>
      <c r="Z134" s="52"/>
      <c r="AA134" s="54"/>
      <c r="AB134" s="52"/>
      <c r="AC134" s="26">
        <f t="shared" si="6"/>
        <v>0</v>
      </c>
      <c r="AD134" s="49">
        <f t="shared" si="7"/>
        <v>0</v>
      </c>
      <c r="AE134" s="466">
        <f t="shared" ref="AE134:AE197" si="8">SUM(AC134-AD134)</f>
        <v>0</v>
      </c>
    </row>
    <row r="135" spans="1:31" customFormat="1">
      <c r="A135" s="23">
        <v>135</v>
      </c>
      <c r="B135" s="65" t="s">
        <v>289</v>
      </c>
      <c r="C135" s="600" t="s">
        <v>282</v>
      </c>
      <c r="D135" s="538">
        <v>0</v>
      </c>
      <c r="E135" s="57"/>
      <c r="F135" s="98"/>
      <c r="G135" s="57"/>
      <c r="H135" s="98"/>
      <c r="I135" s="57"/>
      <c r="J135" s="98"/>
      <c r="K135" s="57"/>
      <c r="L135" s="98"/>
      <c r="M135" s="57"/>
      <c r="N135" s="50"/>
      <c r="O135" s="46"/>
      <c r="P135" s="50"/>
      <c r="Q135" s="46"/>
      <c r="R135" s="52"/>
      <c r="S135" s="54"/>
      <c r="T135" s="52"/>
      <c r="U135" s="46"/>
      <c r="V135" s="52"/>
      <c r="W135" s="54"/>
      <c r="X135" s="52"/>
      <c r="Y135" s="54"/>
      <c r="Z135" s="52"/>
      <c r="AA135" s="54"/>
      <c r="AB135" s="52"/>
      <c r="AC135" s="26">
        <f t="shared" si="6"/>
        <v>0</v>
      </c>
      <c r="AD135" s="49">
        <f t="shared" si="7"/>
        <v>0</v>
      </c>
      <c r="AE135" s="466">
        <f t="shared" si="8"/>
        <v>0</v>
      </c>
    </row>
    <row r="136" spans="1:31" customFormat="1">
      <c r="A136" s="3">
        <v>136</v>
      </c>
      <c r="B136" s="65" t="s">
        <v>290</v>
      </c>
      <c r="C136" s="600" t="s">
        <v>282</v>
      </c>
      <c r="D136" s="538">
        <v>0</v>
      </c>
      <c r="E136" s="57"/>
      <c r="F136" s="98"/>
      <c r="G136" s="57"/>
      <c r="H136" s="98"/>
      <c r="I136" s="57"/>
      <c r="J136" s="98"/>
      <c r="K136" s="57"/>
      <c r="L136" s="98"/>
      <c r="M136" s="57"/>
      <c r="N136" s="50"/>
      <c r="O136" s="46"/>
      <c r="P136" s="50"/>
      <c r="Q136" s="46"/>
      <c r="R136" s="52"/>
      <c r="S136" s="54"/>
      <c r="T136" s="52"/>
      <c r="U136" s="46"/>
      <c r="V136" s="52"/>
      <c r="W136" s="54"/>
      <c r="X136" s="52"/>
      <c r="Y136" s="54"/>
      <c r="Z136" s="52"/>
      <c r="AA136" s="54"/>
      <c r="AB136" s="52"/>
      <c r="AC136" s="26">
        <f t="shared" si="6"/>
        <v>0</v>
      </c>
      <c r="AD136" s="49">
        <f t="shared" si="7"/>
        <v>0</v>
      </c>
      <c r="AE136" s="466">
        <f t="shared" si="8"/>
        <v>0</v>
      </c>
    </row>
    <row r="137" spans="1:31" customFormat="1">
      <c r="A137" s="23">
        <v>137</v>
      </c>
      <c r="B137" s="65" t="s">
        <v>291</v>
      </c>
      <c r="C137" s="600" t="s">
        <v>282</v>
      </c>
      <c r="D137" s="538">
        <v>0</v>
      </c>
      <c r="E137" s="57"/>
      <c r="F137" s="98"/>
      <c r="G137" s="57"/>
      <c r="H137" s="98"/>
      <c r="I137" s="57"/>
      <c r="J137" s="98"/>
      <c r="K137" s="57"/>
      <c r="L137" s="98"/>
      <c r="M137" s="57"/>
      <c r="N137" s="50"/>
      <c r="O137" s="46"/>
      <c r="P137" s="50"/>
      <c r="Q137" s="46"/>
      <c r="R137" s="52"/>
      <c r="S137" s="54"/>
      <c r="T137" s="52"/>
      <c r="U137" s="46"/>
      <c r="V137" s="52"/>
      <c r="W137" s="54"/>
      <c r="X137" s="52"/>
      <c r="Y137" s="54"/>
      <c r="Z137" s="52"/>
      <c r="AA137" s="54"/>
      <c r="AB137" s="52"/>
      <c r="AC137" s="26">
        <f t="shared" si="6"/>
        <v>0</v>
      </c>
      <c r="AD137" s="49">
        <f t="shared" si="7"/>
        <v>0</v>
      </c>
      <c r="AE137" s="466">
        <f t="shared" si="8"/>
        <v>0</v>
      </c>
    </row>
    <row r="138" spans="1:31" customFormat="1">
      <c r="A138" s="3">
        <v>138</v>
      </c>
      <c r="B138" s="65" t="s">
        <v>293</v>
      </c>
      <c r="C138" s="600" t="s">
        <v>292</v>
      </c>
      <c r="D138" s="538">
        <v>0</v>
      </c>
      <c r="E138" s="57"/>
      <c r="F138" s="98"/>
      <c r="G138" s="57"/>
      <c r="H138" s="98"/>
      <c r="I138" s="57"/>
      <c r="J138" s="98"/>
      <c r="K138" s="57"/>
      <c r="L138" s="98"/>
      <c r="M138" s="57"/>
      <c r="N138" s="50"/>
      <c r="O138" s="46"/>
      <c r="P138" s="50"/>
      <c r="Q138" s="46"/>
      <c r="R138" s="52"/>
      <c r="S138" s="54"/>
      <c r="T138" s="52"/>
      <c r="U138" s="46"/>
      <c r="V138" s="52"/>
      <c r="W138" s="54"/>
      <c r="X138" s="52"/>
      <c r="Y138" s="54"/>
      <c r="Z138" s="52"/>
      <c r="AA138" s="54"/>
      <c r="AB138" s="52"/>
      <c r="AC138" s="26">
        <f t="shared" si="6"/>
        <v>0</v>
      </c>
      <c r="AD138" s="49">
        <f t="shared" si="7"/>
        <v>0</v>
      </c>
      <c r="AE138" s="466">
        <f t="shared" si="8"/>
        <v>0</v>
      </c>
    </row>
    <row r="139" spans="1:31" customFormat="1">
      <c r="A139" s="23">
        <v>139</v>
      </c>
      <c r="B139" s="65" t="s">
        <v>295</v>
      </c>
      <c r="C139" s="600" t="s">
        <v>294</v>
      </c>
      <c r="D139" s="538">
        <v>0</v>
      </c>
      <c r="E139" s="57"/>
      <c r="F139" s="98"/>
      <c r="G139" s="57"/>
      <c r="H139" s="98"/>
      <c r="I139" s="57"/>
      <c r="J139" s="98"/>
      <c r="K139" s="57"/>
      <c r="L139" s="98"/>
      <c r="M139" s="57"/>
      <c r="N139" s="50"/>
      <c r="O139" s="46"/>
      <c r="P139" s="50"/>
      <c r="Q139" s="46"/>
      <c r="R139" s="52"/>
      <c r="S139" s="54"/>
      <c r="T139" s="52"/>
      <c r="U139" s="46"/>
      <c r="V139" s="52"/>
      <c r="W139" s="54"/>
      <c r="X139" s="52"/>
      <c r="Y139" s="54"/>
      <c r="Z139" s="52"/>
      <c r="AA139" s="54"/>
      <c r="AB139" s="52"/>
      <c r="AC139" s="26">
        <f t="shared" si="6"/>
        <v>0</v>
      </c>
      <c r="AD139" s="49">
        <f t="shared" si="7"/>
        <v>0</v>
      </c>
      <c r="AE139" s="466">
        <f t="shared" si="8"/>
        <v>0</v>
      </c>
    </row>
    <row r="140" spans="1:31" customFormat="1">
      <c r="A140" s="3">
        <v>140</v>
      </c>
      <c r="B140" s="65" t="s">
        <v>297</v>
      </c>
      <c r="C140" s="600" t="s">
        <v>296</v>
      </c>
      <c r="D140" s="538">
        <v>0</v>
      </c>
      <c r="E140" s="57"/>
      <c r="F140" s="98"/>
      <c r="G140" s="57"/>
      <c r="H140" s="98"/>
      <c r="I140" s="57"/>
      <c r="J140" s="98"/>
      <c r="K140" s="57"/>
      <c r="L140" s="98"/>
      <c r="M140" s="57"/>
      <c r="N140" s="50"/>
      <c r="O140" s="46"/>
      <c r="P140" s="50"/>
      <c r="Q140" s="54"/>
      <c r="R140" s="52"/>
      <c r="S140" s="54"/>
      <c r="T140" s="52"/>
      <c r="U140" s="46"/>
      <c r="V140" s="52"/>
      <c r="W140" s="54"/>
      <c r="X140" s="52"/>
      <c r="Y140" s="54"/>
      <c r="Z140" s="52"/>
      <c r="AA140" s="54"/>
      <c r="AB140" s="52"/>
      <c r="AC140" s="26">
        <f t="shared" si="6"/>
        <v>0</v>
      </c>
      <c r="AD140" s="49">
        <f t="shared" si="7"/>
        <v>0</v>
      </c>
      <c r="AE140" s="466">
        <f t="shared" si="8"/>
        <v>0</v>
      </c>
    </row>
    <row r="141" spans="1:31" customFormat="1">
      <c r="A141" s="23">
        <v>141</v>
      </c>
      <c r="B141" s="65" t="s">
        <v>299</v>
      </c>
      <c r="C141" s="600" t="s">
        <v>298</v>
      </c>
      <c r="D141" s="538">
        <v>0</v>
      </c>
      <c r="E141" s="57"/>
      <c r="F141" s="98"/>
      <c r="G141" s="57"/>
      <c r="H141" s="98"/>
      <c r="I141" s="57"/>
      <c r="J141" s="98"/>
      <c r="K141" s="57"/>
      <c r="L141" s="98"/>
      <c r="M141" s="57"/>
      <c r="N141" s="50"/>
      <c r="O141" s="46"/>
      <c r="P141" s="50"/>
      <c r="Q141" s="46"/>
      <c r="R141" s="52"/>
      <c r="S141" s="54"/>
      <c r="T141" s="52"/>
      <c r="U141" s="46"/>
      <c r="V141" s="52"/>
      <c r="W141" s="54"/>
      <c r="X141" s="52"/>
      <c r="Y141" s="54"/>
      <c r="Z141" s="52"/>
      <c r="AA141" s="54"/>
      <c r="AB141" s="52"/>
      <c r="AC141" s="26">
        <f t="shared" si="6"/>
        <v>0</v>
      </c>
      <c r="AD141" s="49">
        <f t="shared" si="7"/>
        <v>0</v>
      </c>
      <c r="AE141" s="466">
        <f t="shared" si="8"/>
        <v>0</v>
      </c>
    </row>
    <row r="142" spans="1:31" customFormat="1">
      <c r="A142" s="3">
        <v>142</v>
      </c>
      <c r="B142" s="65" t="s">
        <v>301</v>
      </c>
      <c r="C142" s="600" t="s">
        <v>300</v>
      </c>
      <c r="D142" s="538">
        <v>0</v>
      </c>
      <c r="E142" s="57"/>
      <c r="F142" s="98"/>
      <c r="G142" s="57"/>
      <c r="H142" s="98"/>
      <c r="I142" s="57"/>
      <c r="J142" s="98"/>
      <c r="K142" s="57"/>
      <c r="L142" s="98"/>
      <c r="M142" s="57">
        <v>1</v>
      </c>
      <c r="N142" s="50">
        <v>1</v>
      </c>
      <c r="O142" s="46"/>
      <c r="P142" s="50"/>
      <c r="Q142" s="46"/>
      <c r="R142" s="52"/>
      <c r="S142" s="54"/>
      <c r="T142" s="52"/>
      <c r="U142" s="46"/>
      <c r="V142" s="50"/>
      <c r="W142" s="54"/>
      <c r="X142" s="52"/>
      <c r="Y142" s="54"/>
      <c r="Z142" s="52"/>
      <c r="AA142" s="54"/>
      <c r="AB142" s="52"/>
      <c r="AC142" s="26">
        <f t="shared" si="6"/>
        <v>1</v>
      </c>
      <c r="AD142" s="49">
        <f t="shared" si="7"/>
        <v>1</v>
      </c>
      <c r="AE142" s="466">
        <f t="shared" si="8"/>
        <v>0</v>
      </c>
    </row>
    <row r="143" spans="1:31" customFormat="1">
      <c r="A143" s="23">
        <v>143</v>
      </c>
      <c r="B143" s="65" t="s">
        <v>303</v>
      </c>
      <c r="C143" s="600" t="s">
        <v>302</v>
      </c>
      <c r="D143" s="538">
        <v>0</v>
      </c>
      <c r="E143" s="57"/>
      <c r="F143" s="98"/>
      <c r="G143" s="57"/>
      <c r="H143" s="98"/>
      <c r="I143" s="57"/>
      <c r="J143" s="98"/>
      <c r="K143" s="57"/>
      <c r="L143" s="98"/>
      <c r="M143" s="57"/>
      <c r="N143" s="50"/>
      <c r="O143" s="46"/>
      <c r="P143" s="50"/>
      <c r="Q143" s="46"/>
      <c r="R143" s="52"/>
      <c r="S143" s="54"/>
      <c r="T143" s="52"/>
      <c r="U143" s="46"/>
      <c r="V143" s="50"/>
      <c r="W143" s="54"/>
      <c r="X143" s="52"/>
      <c r="Y143" s="54"/>
      <c r="Z143" s="52"/>
      <c r="AA143" s="54"/>
      <c r="AB143" s="52"/>
      <c r="AC143" s="26">
        <f t="shared" si="6"/>
        <v>0</v>
      </c>
      <c r="AD143" s="49">
        <f t="shared" si="7"/>
        <v>0</v>
      </c>
      <c r="AE143" s="466">
        <f t="shared" si="8"/>
        <v>0</v>
      </c>
    </row>
    <row r="144" spans="1:31" customFormat="1">
      <c r="A144" s="3">
        <v>144</v>
      </c>
      <c r="B144" s="65" t="s">
        <v>305</v>
      </c>
      <c r="C144" s="600" t="s">
        <v>304</v>
      </c>
      <c r="D144" s="538">
        <v>0</v>
      </c>
      <c r="E144" s="57"/>
      <c r="F144" s="98"/>
      <c r="G144" s="57"/>
      <c r="H144" s="98"/>
      <c r="I144" s="57"/>
      <c r="J144" s="98"/>
      <c r="K144" s="57"/>
      <c r="L144" s="98"/>
      <c r="M144" s="57"/>
      <c r="N144" s="50"/>
      <c r="O144" s="46"/>
      <c r="P144" s="50"/>
      <c r="Q144" s="46"/>
      <c r="R144" s="52"/>
      <c r="S144" s="54"/>
      <c r="T144" s="52"/>
      <c r="U144" s="46"/>
      <c r="V144" s="50"/>
      <c r="W144" s="54"/>
      <c r="X144" s="52"/>
      <c r="Y144" s="54"/>
      <c r="Z144" s="52"/>
      <c r="AA144" s="54"/>
      <c r="AB144" s="52"/>
      <c r="AC144" s="26">
        <f t="shared" si="6"/>
        <v>0</v>
      </c>
      <c r="AD144" s="49">
        <f t="shared" si="7"/>
        <v>0</v>
      </c>
      <c r="AE144" s="466">
        <f t="shared" si="8"/>
        <v>0</v>
      </c>
    </row>
    <row r="145" spans="1:32" customFormat="1">
      <c r="A145" s="23">
        <v>145</v>
      </c>
      <c r="B145" s="65" t="s">
        <v>307</v>
      </c>
      <c r="C145" s="600" t="s">
        <v>306</v>
      </c>
      <c r="D145" s="538">
        <v>0</v>
      </c>
      <c r="E145" s="57"/>
      <c r="F145" s="98"/>
      <c r="G145" s="57"/>
      <c r="H145" s="98"/>
      <c r="I145" s="57"/>
      <c r="J145" s="98"/>
      <c r="K145" s="57"/>
      <c r="L145" s="98"/>
      <c r="M145" s="57"/>
      <c r="N145" s="50"/>
      <c r="O145" s="46"/>
      <c r="P145" s="50"/>
      <c r="Q145" s="46"/>
      <c r="R145" s="52"/>
      <c r="S145" s="54"/>
      <c r="T145" s="52"/>
      <c r="U145" s="46"/>
      <c r="V145" s="50"/>
      <c r="W145" s="54"/>
      <c r="X145" s="52"/>
      <c r="Y145" s="54"/>
      <c r="Z145" s="52"/>
      <c r="AA145" s="54"/>
      <c r="AB145" s="52"/>
      <c r="AC145" s="26">
        <f t="shared" si="6"/>
        <v>0</v>
      </c>
      <c r="AD145" s="49">
        <f t="shared" si="7"/>
        <v>0</v>
      </c>
      <c r="AE145" s="466">
        <f t="shared" si="8"/>
        <v>0</v>
      </c>
    </row>
    <row r="146" spans="1:32" customFormat="1">
      <c r="A146" s="3">
        <v>146</v>
      </c>
      <c r="B146" s="63" t="s">
        <v>309</v>
      </c>
      <c r="C146" s="600" t="s">
        <v>308</v>
      </c>
      <c r="D146" s="538">
        <v>1</v>
      </c>
      <c r="E146" s="57"/>
      <c r="F146" s="98"/>
      <c r="G146" s="57"/>
      <c r="H146" s="98"/>
      <c r="I146" s="57"/>
      <c r="J146" s="98"/>
      <c r="K146" s="57"/>
      <c r="L146" s="98"/>
      <c r="M146" s="57"/>
      <c r="N146" s="50"/>
      <c r="O146" s="46"/>
      <c r="P146" s="50"/>
      <c r="Q146" s="46"/>
      <c r="R146" s="52"/>
      <c r="S146" s="54"/>
      <c r="T146" s="52"/>
      <c r="U146" s="46"/>
      <c r="V146" s="50"/>
      <c r="W146" s="54"/>
      <c r="X146" s="52"/>
      <c r="Y146" s="54"/>
      <c r="Z146" s="52"/>
      <c r="AA146" s="54"/>
      <c r="AB146" s="52"/>
      <c r="AC146" s="26">
        <f t="shared" si="6"/>
        <v>1</v>
      </c>
      <c r="AD146" s="49">
        <f t="shared" si="7"/>
        <v>0</v>
      </c>
      <c r="AE146" s="466">
        <f t="shared" si="8"/>
        <v>1</v>
      </c>
      <c r="AF146" t="s">
        <v>1467</v>
      </c>
    </row>
    <row r="147" spans="1:32" customFormat="1">
      <c r="A147" s="23">
        <v>147</v>
      </c>
      <c r="B147" s="63" t="s">
        <v>311</v>
      </c>
      <c r="C147" s="600" t="s">
        <v>310</v>
      </c>
      <c r="D147" s="538">
        <v>1</v>
      </c>
      <c r="E147" s="57"/>
      <c r="F147" s="98"/>
      <c r="G147" s="57"/>
      <c r="H147" s="98"/>
      <c r="I147" s="57"/>
      <c r="J147" s="98"/>
      <c r="K147" s="57"/>
      <c r="L147" s="98"/>
      <c r="M147" s="57"/>
      <c r="N147" s="50"/>
      <c r="O147" s="46"/>
      <c r="P147" s="50"/>
      <c r="Q147" s="46"/>
      <c r="R147" s="52"/>
      <c r="S147" s="54"/>
      <c r="T147" s="52"/>
      <c r="U147" s="46"/>
      <c r="V147" s="50"/>
      <c r="W147" s="54"/>
      <c r="X147" s="52"/>
      <c r="Y147" s="54"/>
      <c r="Z147" s="52"/>
      <c r="AA147" s="54"/>
      <c r="AB147" s="52"/>
      <c r="AC147" s="26">
        <f t="shared" si="6"/>
        <v>1</v>
      </c>
      <c r="AD147" s="49">
        <f t="shared" si="7"/>
        <v>0</v>
      </c>
      <c r="AE147" s="466">
        <f t="shared" si="8"/>
        <v>1</v>
      </c>
      <c r="AF147" t="s">
        <v>1468</v>
      </c>
    </row>
    <row r="148" spans="1:32" customFormat="1">
      <c r="A148" s="3">
        <v>148</v>
      </c>
      <c r="B148" s="65" t="s">
        <v>313</v>
      </c>
      <c r="C148" s="600" t="s">
        <v>312</v>
      </c>
      <c r="D148" s="538">
        <v>0</v>
      </c>
      <c r="E148" s="57"/>
      <c r="F148" s="98"/>
      <c r="G148" s="57"/>
      <c r="H148" s="98"/>
      <c r="I148" s="57"/>
      <c r="J148" s="98"/>
      <c r="K148" s="57"/>
      <c r="L148" s="98"/>
      <c r="M148" s="57"/>
      <c r="N148" s="50"/>
      <c r="O148" s="46"/>
      <c r="P148" s="50"/>
      <c r="Q148" s="46"/>
      <c r="R148" s="52"/>
      <c r="S148" s="54"/>
      <c r="T148" s="52"/>
      <c r="U148" s="46"/>
      <c r="V148" s="50"/>
      <c r="W148" s="54"/>
      <c r="X148" s="52"/>
      <c r="Y148" s="54"/>
      <c r="Z148" s="52"/>
      <c r="AA148" s="54"/>
      <c r="AB148" s="52"/>
      <c r="AC148" s="26">
        <f t="shared" si="6"/>
        <v>0</v>
      </c>
      <c r="AD148" s="49">
        <f t="shared" si="7"/>
        <v>0</v>
      </c>
      <c r="AE148" s="466">
        <f t="shared" si="8"/>
        <v>0</v>
      </c>
    </row>
    <row r="149" spans="1:32" customFormat="1">
      <c r="A149" s="23">
        <v>149</v>
      </c>
      <c r="B149" s="65" t="s">
        <v>315</v>
      </c>
      <c r="C149" s="600" t="s">
        <v>314</v>
      </c>
      <c r="D149" s="538">
        <v>0</v>
      </c>
      <c r="E149" s="57"/>
      <c r="F149" s="98"/>
      <c r="G149" s="57"/>
      <c r="H149" s="98"/>
      <c r="I149" s="57"/>
      <c r="J149" s="98"/>
      <c r="K149" s="57"/>
      <c r="L149" s="98"/>
      <c r="M149" s="57"/>
      <c r="N149" s="50"/>
      <c r="O149" s="46"/>
      <c r="P149" s="50"/>
      <c r="Q149" s="46"/>
      <c r="R149" s="52"/>
      <c r="S149" s="54"/>
      <c r="T149" s="52"/>
      <c r="U149" s="46"/>
      <c r="V149" s="50"/>
      <c r="W149" s="54"/>
      <c r="X149" s="52"/>
      <c r="Y149" s="54"/>
      <c r="Z149" s="52"/>
      <c r="AA149" s="54"/>
      <c r="AB149" s="52"/>
      <c r="AC149" s="26">
        <f t="shared" si="6"/>
        <v>0</v>
      </c>
      <c r="AD149" s="49">
        <f t="shared" si="7"/>
        <v>0</v>
      </c>
      <c r="AE149" s="466">
        <f t="shared" si="8"/>
        <v>0</v>
      </c>
    </row>
    <row r="150" spans="1:32" customFormat="1">
      <c r="A150" s="3">
        <v>150</v>
      </c>
      <c r="B150" s="65" t="s">
        <v>317</v>
      </c>
      <c r="C150" s="600" t="s">
        <v>316</v>
      </c>
      <c r="D150" s="538">
        <v>0</v>
      </c>
      <c r="E150" s="57"/>
      <c r="F150" s="98"/>
      <c r="G150" s="57"/>
      <c r="H150" s="98"/>
      <c r="I150" s="57"/>
      <c r="J150" s="98"/>
      <c r="K150" s="57"/>
      <c r="L150" s="98"/>
      <c r="M150" s="57"/>
      <c r="N150" s="50"/>
      <c r="O150" s="46"/>
      <c r="P150" s="50"/>
      <c r="Q150" s="46"/>
      <c r="R150" s="52"/>
      <c r="S150" s="54"/>
      <c r="T150" s="52"/>
      <c r="U150" s="46"/>
      <c r="V150" s="50"/>
      <c r="W150" s="54"/>
      <c r="X150" s="52"/>
      <c r="Y150" s="54"/>
      <c r="Z150" s="52"/>
      <c r="AA150" s="54"/>
      <c r="AB150" s="52"/>
      <c r="AC150" s="26">
        <f t="shared" si="6"/>
        <v>0</v>
      </c>
      <c r="AD150" s="49">
        <f t="shared" si="7"/>
        <v>0</v>
      </c>
      <c r="AE150" s="466">
        <f t="shared" si="8"/>
        <v>0</v>
      </c>
    </row>
    <row r="151" spans="1:32" customFormat="1">
      <c r="A151" s="23">
        <v>151</v>
      </c>
      <c r="B151" s="65" t="s">
        <v>319</v>
      </c>
      <c r="C151" s="600" t="s">
        <v>318</v>
      </c>
      <c r="D151" s="592">
        <v>0</v>
      </c>
      <c r="E151" s="58"/>
      <c r="F151" s="121"/>
      <c r="G151" s="58"/>
      <c r="H151" s="121"/>
      <c r="I151" s="58"/>
      <c r="J151" s="121"/>
      <c r="K151" s="58"/>
      <c r="L151" s="121"/>
      <c r="M151" s="58"/>
      <c r="N151" s="52"/>
      <c r="O151" s="54"/>
      <c r="P151" s="52"/>
      <c r="Q151" s="54"/>
      <c r="R151" s="52"/>
      <c r="S151" s="54"/>
      <c r="T151" s="52"/>
      <c r="U151" s="54"/>
      <c r="V151" s="52"/>
      <c r="W151" s="54"/>
      <c r="X151" s="52"/>
      <c r="Y151" s="54"/>
      <c r="Z151" s="52"/>
      <c r="AA151" s="54"/>
      <c r="AB151" s="52"/>
      <c r="AC151" s="26">
        <f t="shared" si="6"/>
        <v>0</v>
      </c>
      <c r="AD151" s="49">
        <f t="shared" si="7"/>
        <v>0</v>
      </c>
      <c r="AE151" s="468">
        <f t="shared" si="8"/>
        <v>0</v>
      </c>
    </row>
    <row r="152" spans="1:32" customFormat="1">
      <c r="A152" s="3">
        <v>152</v>
      </c>
      <c r="B152" s="76" t="s">
        <v>321</v>
      </c>
      <c r="C152" s="354" t="s">
        <v>320</v>
      </c>
      <c r="D152" s="590">
        <v>0</v>
      </c>
      <c r="E152" s="46"/>
      <c r="F152" s="98"/>
      <c r="G152" s="46"/>
      <c r="H152" s="98"/>
      <c r="I152" s="46">
        <f>1</f>
        <v>1</v>
      </c>
      <c r="J152" s="98">
        <f>1</f>
        <v>1</v>
      </c>
      <c r="K152" s="46"/>
      <c r="L152" s="98"/>
      <c r="M152" s="46"/>
      <c r="N152" s="50"/>
      <c r="O152" s="46"/>
      <c r="P152" s="50"/>
      <c r="Q152" s="46"/>
      <c r="R152" s="50"/>
      <c r="S152" s="46">
        <f>5+6</f>
        <v>11</v>
      </c>
      <c r="T152" s="50">
        <f>6</f>
        <v>6</v>
      </c>
      <c r="U152" s="46"/>
      <c r="V152" s="50"/>
      <c r="W152" s="46"/>
      <c r="X152" s="50"/>
      <c r="Y152" s="46"/>
      <c r="Z152" s="50"/>
      <c r="AA152" s="54"/>
      <c r="AB152" s="52"/>
      <c r="AC152" s="26">
        <f t="shared" si="6"/>
        <v>12</v>
      </c>
      <c r="AD152" s="49">
        <f t="shared" si="7"/>
        <v>7</v>
      </c>
      <c r="AE152" s="461">
        <f t="shared" si="8"/>
        <v>5</v>
      </c>
      <c r="AF152" s="123"/>
    </row>
    <row r="153" spans="1:32">
      <c r="A153" s="23">
        <v>153</v>
      </c>
      <c r="B153" s="496" t="s">
        <v>323</v>
      </c>
      <c r="C153" s="251" t="s">
        <v>322</v>
      </c>
      <c r="D153" s="594">
        <v>0</v>
      </c>
      <c r="E153" s="513"/>
      <c r="F153" s="514"/>
      <c r="G153" s="513"/>
      <c r="H153" s="514"/>
      <c r="I153" s="513">
        <f>10</f>
        <v>10</v>
      </c>
      <c r="J153" s="514">
        <f>5</f>
        <v>5</v>
      </c>
      <c r="K153" s="513"/>
      <c r="L153" s="514"/>
      <c r="M153" s="513"/>
      <c r="N153" s="515">
        <f>3</f>
        <v>3</v>
      </c>
      <c r="O153" s="566"/>
      <c r="P153" s="515"/>
      <c r="Q153" s="45">
        <f>8+2</f>
        <v>10</v>
      </c>
      <c r="R153" s="248"/>
      <c r="S153" s="249"/>
      <c r="T153" s="248"/>
      <c r="U153" s="45"/>
      <c r="V153" s="49">
        <f>5</f>
        <v>5</v>
      </c>
      <c r="W153" s="249"/>
      <c r="X153" s="248"/>
      <c r="Y153" s="249"/>
      <c r="Z153" s="248">
        <f>1</f>
        <v>1</v>
      </c>
      <c r="AA153" s="54"/>
      <c r="AB153" s="52"/>
      <c r="AC153" s="26">
        <f t="shared" si="6"/>
        <v>20</v>
      </c>
      <c r="AD153" s="49">
        <f t="shared" si="7"/>
        <v>14</v>
      </c>
      <c r="AE153" s="469">
        <f t="shared" si="8"/>
        <v>6</v>
      </c>
      <c r="AF153" s="489"/>
    </row>
    <row r="154" spans="1:32" customFormat="1">
      <c r="A154" s="3">
        <v>154</v>
      </c>
      <c r="B154" s="65" t="s">
        <v>325</v>
      </c>
      <c r="C154" s="600" t="s">
        <v>324</v>
      </c>
      <c r="D154" s="538">
        <v>0</v>
      </c>
      <c r="E154" s="57"/>
      <c r="F154" s="98"/>
      <c r="G154" s="57"/>
      <c r="H154" s="98"/>
      <c r="I154" s="57"/>
      <c r="J154" s="98"/>
      <c r="K154" s="57"/>
      <c r="L154" s="98"/>
      <c r="M154" s="57"/>
      <c r="N154" s="50"/>
      <c r="O154" s="46"/>
      <c r="P154" s="50"/>
      <c r="Q154" s="46"/>
      <c r="R154" s="52"/>
      <c r="S154" s="54"/>
      <c r="T154" s="52"/>
      <c r="U154" s="46"/>
      <c r="V154" s="50"/>
      <c r="W154" s="54"/>
      <c r="X154" s="52"/>
      <c r="Y154" s="54"/>
      <c r="Z154" s="52"/>
      <c r="AA154" s="54"/>
      <c r="AB154" s="52"/>
      <c r="AC154" s="26">
        <f t="shared" si="6"/>
        <v>0</v>
      </c>
      <c r="AD154" s="49">
        <f t="shared" si="7"/>
        <v>0</v>
      </c>
      <c r="AE154" s="461">
        <f t="shared" si="8"/>
        <v>0</v>
      </c>
    </row>
    <row r="155" spans="1:32" customFormat="1">
      <c r="A155" s="23">
        <v>155</v>
      </c>
      <c r="B155" s="65" t="s">
        <v>326</v>
      </c>
      <c r="C155" s="600" t="s">
        <v>324</v>
      </c>
      <c r="D155" s="538">
        <v>0</v>
      </c>
      <c r="E155" s="57"/>
      <c r="F155" s="98"/>
      <c r="G155" s="57"/>
      <c r="H155" s="98"/>
      <c r="I155" s="57"/>
      <c r="J155" s="98"/>
      <c r="K155" s="57"/>
      <c r="L155" s="98"/>
      <c r="M155" s="57"/>
      <c r="N155" s="50"/>
      <c r="O155" s="46"/>
      <c r="P155" s="50"/>
      <c r="Q155" s="46"/>
      <c r="R155" s="52"/>
      <c r="S155" s="54"/>
      <c r="T155" s="52"/>
      <c r="U155" s="46"/>
      <c r="V155" s="50"/>
      <c r="W155" s="54"/>
      <c r="X155" s="52"/>
      <c r="Y155" s="54"/>
      <c r="Z155" s="52"/>
      <c r="AA155" s="54"/>
      <c r="AB155" s="52"/>
      <c r="AC155" s="26">
        <f t="shared" si="6"/>
        <v>0</v>
      </c>
      <c r="AD155" s="49">
        <f t="shared" si="7"/>
        <v>0</v>
      </c>
      <c r="AE155" s="461">
        <f t="shared" si="8"/>
        <v>0</v>
      </c>
    </row>
    <row r="156" spans="1:32" customFormat="1">
      <c r="A156" s="3">
        <v>156</v>
      </c>
      <c r="B156" s="65" t="s">
        <v>327</v>
      </c>
      <c r="C156" s="600" t="s">
        <v>324</v>
      </c>
      <c r="D156" s="538">
        <v>0</v>
      </c>
      <c r="E156" s="57"/>
      <c r="F156" s="98"/>
      <c r="G156" s="57"/>
      <c r="H156" s="98"/>
      <c r="I156" s="57"/>
      <c r="J156" s="98"/>
      <c r="K156" s="57"/>
      <c r="L156" s="98"/>
      <c r="M156" s="57"/>
      <c r="N156" s="50"/>
      <c r="O156" s="46"/>
      <c r="P156" s="50"/>
      <c r="Q156" s="46"/>
      <c r="R156" s="52"/>
      <c r="S156" s="54"/>
      <c r="T156" s="52"/>
      <c r="U156" s="46"/>
      <c r="V156" s="50"/>
      <c r="W156" s="54"/>
      <c r="X156" s="52"/>
      <c r="Y156" s="54"/>
      <c r="Z156" s="52"/>
      <c r="AA156" s="54"/>
      <c r="AB156" s="52"/>
      <c r="AC156" s="26">
        <f t="shared" si="6"/>
        <v>0</v>
      </c>
      <c r="AD156" s="49">
        <f t="shared" si="7"/>
        <v>0</v>
      </c>
      <c r="AE156" s="461">
        <f t="shared" si="8"/>
        <v>0</v>
      </c>
    </row>
    <row r="157" spans="1:32" customFormat="1">
      <c r="A157" s="23">
        <v>157</v>
      </c>
      <c r="B157" s="65" t="s">
        <v>328</v>
      </c>
      <c r="C157" s="600" t="s">
        <v>324</v>
      </c>
      <c r="D157" s="538">
        <v>0</v>
      </c>
      <c r="E157" s="57"/>
      <c r="F157" s="98"/>
      <c r="G157" s="57"/>
      <c r="H157" s="98"/>
      <c r="I157" s="57"/>
      <c r="J157" s="98"/>
      <c r="K157" s="57"/>
      <c r="L157" s="98"/>
      <c r="M157" s="57"/>
      <c r="N157" s="50"/>
      <c r="O157" s="46"/>
      <c r="P157" s="50"/>
      <c r="Q157" s="46"/>
      <c r="R157" s="52"/>
      <c r="S157" s="54"/>
      <c r="T157" s="52"/>
      <c r="U157" s="46"/>
      <c r="V157" s="50"/>
      <c r="W157" s="54"/>
      <c r="X157" s="52"/>
      <c r="Y157" s="54"/>
      <c r="Z157" s="52"/>
      <c r="AA157" s="54"/>
      <c r="AB157" s="52"/>
      <c r="AC157" s="26">
        <f t="shared" si="6"/>
        <v>0</v>
      </c>
      <c r="AD157" s="49">
        <f t="shared" si="7"/>
        <v>0</v>
      </c>
      <c r="AE157" s="461">
        <f t="shared" si="8"/>
        <v>0</v>
      </c>
    </row>
    <row r="158" spans="1:32" customFormat="1">
      <c r="A158" s="3">
        <v>158</v>
      </c>
      <c r="B158" s="65" t="s">
        <v>329</v>
      </c>
      <c r="C158" s="600" t="s">
        <v>324</v>
      </c>
      <c r="D158" s="538">
        <v>0</v>
      </c>
      <c r="E158" s="57"/>
      <c r="F158" s="98"/>
      <c r="G158" s="57"/>
      <c r="H158" s="98"/>
      <c r="I158" s="57"/>
      <c r="J158" s="98"/>
      <c r="K158" s="57"/>
      <c r="L158" s="98"/>
      <c r="M158" s="57"/>
      <c r="N158" s="50"/>
      <c r="O158" s="46"/>
      <c r="P158" s="50"/>
      <c r="Q158" s="46"/>
      <c r="R158" s="52"/>
      <c r="S158" s="54"/>
      <c r="T158" s="52"/>
      <c r="U158" s="46"/>
      <c r="V158" s="50"/>
      <c r="W158" s="54"/>
      <c r="X158" s="52"/>
      <c r="Y158" s="54"/>
      <c r="Z158" s="52"/>
      <c r="AA158" s="54"/>
      <c r="AB158" s="52"/>
      <c r="AC158" s="26">
        <f t="shared" si="6"/>
        <v>0</v>
      </c>
      <c r="AD158" s="49">
        <f t="shared" si="7"/>
        <v>0</v>
      </c>
      <c r="AE158" s="461">
        <f t="shared" si="8"/>
        <v>0</v>
      </c>
    </row>
    <row r="159" spans="1:32" customFormat="1">
      <c r="A159" s="23">
        <v>159</v>
      </c>
      <c r="B159" s="65" t="s">
        <v>330</v>
      </c>
      <c r="C159" s="600" t="s">
        <v>324</v>
      </c>
      <c r="D159" s="538">
        <v>0</v>
      </c>
      <c r="E159" s="57"/>
      <c r="F159" s="98"/>
      <c r="G159" s="57"/>
      <c r="H159" s="98"/>
      <c r="I159" s="57"/>
      <c r="J159" s="98"/>
      <c r="K159" s="57"/>
      <c r="L159" s="98"/>
      <c r="M159" s="57"/>
      <c r="N159" s="50"/>
      <c r="O159" s="46"/>
      <c r="P159" s="50"/>
      <c r="Q159" s="46"/>
      <c r="R159" s="52"/>
      <c r="S159" s="54"/>
      <c r="T159" s="52"/>
      <c r="U159" s="46"/>
      <c r="V159" s="50"/>
      <c r="W159" s="54"/>
      <c r="X159" s="52"/>
      <c r="Y159" s="54"/>
      <c r="Z159" s="52"/>
      <c r="AA159" s="54">
        <v>50</v>
      </c>
      <c r="AB159" s="52"/>
      <c r="AC159" s="26">
        <f t="shared" si="6"/>
        <v>50</v>
      </c>
      <c r="AD159" s="49">
        <f t="shared" si="7"/>
        <v>0</v>
      </c>
      <c r="AE159" s="461">
        <f t="shared" si="8"/>
        <v>50</v>
      </c>
    </row>
    <row r="160" spans="1:32" customFormat="1">
      <c r="A160" s="3">
        <v>160</v>
      </c>
      <c r="B160" s="65" t="s">
        <v>332</v>
      </c>
      <c r="C160" s="600" t="s">
        <v>331</v>
      </c>
      <c r="D160" s="538">
        <v>0</v>
      </c>
      <c r="E160" s="57"/>
      <c r="F160" s="98"/>
      <c r="G160" s="57"/>
      <c r="H160" s="98"/>
      <c r="I160" s="57"/>
      <c r="J160" s="98"/>
      <c r="K160" s="57"/>
      <c r="L160" s="98"/>
      <c r="M160" s="57"/>
      <c r="N160" s="50"/>
      <c r="O160" s="46"/>
      <c r="P160" s="50"/>
      <c r="Q160" s="46"/>
      <c r="R160" s="52"/>
      <c r="S160" s="54"/>
      <c r="T160" s="52"/>
      <c r="U160" s="46"/>
      <c r="V160" s="50"/>
      <c r="W160" s="54"/>
      <c r="X160" s="52"/>
      <c r="Y160" s="54"/>
      <c r="Z160" s="52"/>
      <c r="AA160" s="54"/>
      <c r="AB160" s="52"/>
      <c r="AC160" s="26">
        <f t="shared" si="6"/>
        <v>0</v>
      </c>
      <c r="AD160" s="49">
        <f t="shared" si="7"/>
        <v>0</v>
      </c>
      <c r="AE160" s="461">
        <f t="shared" si="8"/>
        <v>0</v>
      </c>
    </row>
    <row r="161" spans="1:32" customFormat="1">
      <c r="A161" s="23">
        <v>161</v>
      </c>
      <c r="B161" s="65" t="s">
        <v>334</v>
      </c>
      <c r="C161" s="600" t="s">
        <v>333</v>
      </c>
      <c r="D161" s="538">
        <v>0</v>
      </c>
      <c r="E161" s="57"/>
      <c r="F161" s="98"/>
      <c r="G161" s="57"/>
      <c r="H161" s="98"/>
      <c r="I161" s="57"/>
      <c r="J161" s="98"/>
      <c r="K161" s="57"/>
      <c r="L161" s="98"/>
      <c r="M161" s="57"/>
      <c r="N161" s="50"/>
      <c r="O161" s="46"/>
      <c r="P161" s="50"/>
      <c r="Q161" s="46"/>
      <c r="R161" s="52"/>
      <c r="S161" s="54"/>
      <c r="T161" s="52"/>
      <c r="U161" s="46"/>
      <c r="V161" s="50"/>
      <c r="W161" s="54"/>
      <c r="X161" s="52"/>
      <c r="Y161" s="54"/>
      <c r="Z161" s="52"/>
      <c r="AA161" s="54"/>
      <c r="AB161" s="52"/>
      <c r="AC161" s="26">
        <f t="shared" si="6"/>
        <v>0</v>
      </c>
      <c r="AD161" s="49">
        <f t="shared" si="7"/>
        <v>0</v>
      </c>
      <c r="AE161" s="461">
        <f t="shared" si="8"/>
        <v>0</v>
      </c>
    </row>
    <row r="162" spans="1:32" customFormat="1">
      <c r="A162" s="3">
        <v>162</v>
      </c>
      <c r="B162" s="65" t="s">
        <v>336</v>
      </c>
      <c r="C162" s="600" t="s">
        <v>335</v>
      </c>
      <c r="D162" s="538">
        <v>0</v>
      </c>
      <c r="E162" s="57"/>
      <c r="F162" s="98"/>
      <c r="G162" s="57"/>
      <c r="H162" s="98"/>
      <c r="I162" s="57"/>
      <c r="J162" s="98"/>
      <c r="K162" s="57"/>
      <c r="L162" s="98"/>
      <c r="M162" s="57"/>
      <c r="N162" s="50"/>
      <c r="O162" s="46"/>
      <c r="P162" s="50"/>
      <c r="Q162" s="46"/>
      <c r="R162" s="52"/>
      <c r="S162" s="54"/>
      <c r="T162" s="52"/>
      <c r="U162" s="46"/>
      <c r="V162" s="50"/>
      <c r="W162" s="54"/>
      <c r="X162" s="52"/>
      <c r="Y162" s="54"/>
      <c r="Z162" s="52"/>
      <c r="AA162" s="54"/>
      <c r="AB162" s="52"/>
      <c r="AC162" s="26">
        <f t="shared" si="6"/>
        <v>0</v>
      </c>
      <c r="AD162" s="49">
        <f t="shared" si="7"/>
        <v>0</v>
      </c>
      <c r="AE162" s="461">
        <f t="shared" si="8"/>
        <v>0</v>
      </c>
    </row>
    <row r="163" spans="1:32" customFormat="1">
      <c r="A163" s="23">
        <v>163</v>
      </c>
      <c r="B163" s="65" t="s">
        <v>338</v>
      </c>
      <c r="C163" s="600" t="s">
        <v>337</v>
      </c>
      <c r="D163" s="538">
        <v>0</v>
      </c>
      <c r="E163" s="57"/>
      <c r="F163" s="98"/>
      <c r="G163" s="57"/>
      <c r="H163" s="98"/>
      <c r="I163" s="57"/>
      <c r="J163" s="98"/>
      <c r="K163" s="57"/>
      <c r="L163" s="98"/>
      <c r="M163" s="57"/>
      <c r="N163" s="50"/>
      <c r="O163" s="46"/>
      <c r="P163" s="50"/>
      <c r="Q163" s="46"/>
      <c r="R163" s="52"/>
      <c r="S163" s="54"/>
      <c r="T163" s="52"/>
      <c r="U163" s="46"/>
      <c r="V163" s="50"/>
      <c r="W163" s="54"/>
      <c r="X163" s="52"/>
      <c r="Y163" s="54"/>
      <c r="Z163" s="52"/>
      <c r="AA163" s="54"/>
      <c r="AB163" s="52"/>
      <c r="AC163" s="26">
        <f t="shared" si="6"/>
        <v>0</v>
      </c>
      <c r="AD163" s="49">
        <f t="shared" si="7"/>
        <v>0</v>
      </c>
      <c r="AE163" s="461">
        <f t="shared" si="8"/>
        <v>0</v>
      </c>
    </row>
    <row r="164" spans="1:32" customFormat="1">
      <c r="A164" s="3">
        <v>164</v>
      </c>
      <c r="B164" s="65" t="s">
        <v>340</v>
      </c>
      <c r="C164" s="600" t="s">
        <v>339</v>
      </c>
      <c r="D164" s="538">
        <v>0</v>
      </c>
      <c r="E164" s="57"/>
      <c r="F164" s="98"/>
      <c r="G164" s="57"/>
      <c r="H164" s="98"/>
      <c r="I164" s="57"/>
      <c r="J164" s="98"/>
      <c r="K164" s="57"/>
      <c r="L164" s="98"/>
      <c r="M164" s="57"/>
      <c r="N164" s="50"/>
      <c r="O164" s="46"/>
      <c r="P164" s="50"/>
      <c r="Q164" s="46"/>
      <c r="R164" s="52"/>
      <c r="S164" s="54"/>
      <c r="T164" s="52"/>
      <c r="U164" s="46"/>
      <c r="V164" s="50"/>
      <c r="W164" s="54"/>
      <c r="X164" s="52"/>
      <c r="Y164" s="54"/>
      <c r="Z164" s="52"/>
      <c r="AA164" s="54"/>
      <c r="AB164" s="52"/>
      <c r="AC164" s="26">
        <f t="shared" si="6"/>
        <v>0</v>
      </c>
      <c r="AD164" s="49">
        <f t="shared" si="7"/>
        <v>0</v>
      </c>
      <c r="AE164" s="461">
        <f t="shared" si="8"/>
        <v>0</v>
      </c>
    </row>
    <row r="165" spans="1:32" customFormat="1">
      <c r="A165" s="23">
        <v>165</v>
      </c>
      <c r="B165" s="76" t="s">
        <v>371</v>
      </c>
      <c r="C165" s="252" t="s">
        <v>370</v>
      </c>
      <c r="D165" s="590">
        <v>0</v>
      </c>
      <c r="E165" s="46"/>
      <c r="F165" s="98"/>
      <c r="G165" s="46"/>
      <c r="H165" s="98"/>
      <c r="I165" s="46"/>
      <c r="J165" s="98"/>
      <c r="K165" s="46"/>
      <c r="L165" s="98"/>
      <c r="M165" s="46"/>
      <c r="N165" s="50"/>
      <c r="O165" s="46"/>
      <c r="P165" s="50"/>
      <c r="Q165" s="46"/>
      <c r="R165" s="50"/>
      <c r="S165" s="46"/>
      <c r="T165" s="50"/>
      <c r="U165" s="46"/>
      <c r="V165" s="50"/>
      <c r="W165" s="46"/>
      <c r="X165" s="50"/>
      <c r="Y165" s="46"/>
      <c r="Z165" s="50"/>
      <c r="AA165" s="54"/>
      <c r="AB165" s="52"/>
      <c r="AC165" s="26">
        <f t="shared" si="6"/>
        <v>0</v>
      </c>
      <c r="AD165" s="49">
        <f t="shared" si="7"/>
        <v>0</v>
      </c>
      <c r="AE165" s="461">
        <f t="shared" si="8"/>
        <v>0</v>
      </c>
    </row>
    <row r="166" spans="1:32" customFormat="1">
      <c r="A166" s="3">
        <v>166</v>
      </c>
      <c r="B166" s="76" t="s">
        <v>372</v>
      </c>
      <c r="C166" s="247" t="s">
        <v>159</v>
      </c>
      <c r="D166" s="590">
        <v>0</v>
      </c>
      <c r="E166" s="46"/>
      <c r="F166" s="98"/>
      <c r="G166" s="46"/>
      <c r="H166" s="98"/>
      <c r="I166" s="46"/>
      <c r="J166" s="98"/>
      <c r="K166" s="46"/>
      <c r="L166" s="98"/>
      <c r="M166" s="46"/>
      <c r="N166" s="50"/>
      <c r="O166" s="46"/>
      <c r="P166" s="50"/>
      <c r="Q166" s="46"/>
      <c r="R166" s="50"/>
      <c r="S166" s="46"/>
      <c r="T166" s="50"/>
      <c r="U166" s="46"/>
      <c r="V166" s="50"/>
      <c r="W166" s="46"/>
      <c r="X166" s="50"/>
      <c r="Y166" s="46"/>
      <c r="Z166" s="50"/>
      <c r="AA166" s="54">
        <v>1</v>
      </c>
      <c r="AB166" s="52">
        <v>1</v>
      </c>
      <c r="AC166" s="26">
        <f t="shared" si="6"/>
        <v>1</v>
      </c>
      <c r="AD166" s="49">
        <f t="shared" si="7"/>
        <v>1</v>
      </c>
      <c r="AE166" s="461">
        <f t="shared" si="8"/>
        <v>0</v>
      </c>
    </row>
    <row r="167" spans="1:32" customFormat="1">
      <c r="A167" s="23">
        <v>167</v>
      </c>
      <c r="B167" s="76" t="s">
        <v>369</v>
      </c>
      <c r="C167" s="247" t="s">
        <v>373</v>
      </c>
      <c r="D167" s="590">
        <v>0</v>
      </c>
      <c r="E167" s="46"/>
      <c r="F167" s="98"/>
      <c r="G167" s="46"/>
      <c r="H167" s="98"/>
      <c r="I167" s="46"/>
      <c r="J167" s="98"/>
      <c r="K167" s="46"/>
      <c r="L167" s="98"/>
      <c r="M167" s="46"/>
      <c r="N167" s="50"/>
      <c r="O167" s="46"/>
      <c r="P167" s="50"/>
      <c r="Q167" s="46"/>
      <c r="R167" s="50"/>
      <c r="S167" s="46"/>
      <c r="T167" s="50"/>
      <c r="U167" s="46"/>
      <c r="V167" s="50"/>
      <c r="W167" s="46"/>
      <c r="X167" s="50"/>
      <c r="Y167" s="46"/>
      <c r="Z167" s="50"/>
      <c r="AA167" s="54"/>
      <c r="AB167" s="52"/>
      <c r="AC167" s="26">
        <f t="shared" si="6"/>
        <v>0</v>
      </c>
      <c r="AD167" s="49">
        <f t="shared" si="7"/>
        <v>0</v>
      </c>
      <c r="AE167" s="461">
        <f t="shared" si="8"/>
        <v>0</v>
      </c>
    </row>
    <row r="168" spans="1:32" customFormat="1">
      <c r="A168" s="3">
        <v>168</v>
      </c>
      <c r="B168" s="76" t="s">
        <v>374</v>
      </c>
      <c r="C168" s="247" t="s">
        <v>377</v>
      </c>
      <c r="D168" s="590">
        <v>0</v>
      </c>
      <c r="E168" s="46"/>
      <c r="F168" s="98"/>
      <c r="G168" s="46"/>
      <c r="H168" s="98"/>
      <c r="I168" s="46"/>
      <c r="J168" s="98"/>
      <c r="K168" s="46"/>
      <c r="L168" s="98"/>
      <c r="M168" s="46"/>
      <c r="N168" s="50"/>
      <c r="O168" s="46"/>
      <c r="P168" s="50"/>
      <c r="Q168" s="46"/>
      <c r="R168" s="50"/>
      <c r="S168" s="46"/>
      <c r="T168" s="50"/>
      <c r="U168" s="46"/>
      <c r="V168" s="50"/>
      <c r="W168" s="46"/>
      <c r="X168" s="50"/>
      <c r="Y168" s="46"/>
      <c r="Z168" s="50"/>
      <c r="AA168" s="54"/>
      <c r="AB168" s="52"/>
      <c r="AC168" s="26">
        <f t="shared" si="6"/>
        <v>0</v>
      </c>
      <c r="AD168" s="49">
        <f t="shared" si="7"/>
        <v>0</v>
      </c>
      <c r="AE168" s="461">
        <f t="shared" si="8"/>
        <v>0</v>
      </c>
    </row>
    <row r="169" spans="1:32" customFormat="1">
      <c r="A169" s="23">
        <v>169</v>
      </c>
      <c r="B169" s="76" t="s">
        <v>375</v>
      </c>
      <c r="C169" s="247" t="s">
        <v>378</v>
      </c>
      <c r="D169" s="590">
        <v>0</v>
      </c>
      <c r="E169" s="46"/>
      <c r="F169" s="98"/>
      <c r="G169" s="46"/>
      <c r="H169" s="98"/>
      <c r="I169" s="46"/>
      <c r="J169" s="98"/>
      <c r="K169" s="46"/>
      <c r="L169" s="98"/>
      <c r="M169" s="46"/>
      <c r="N169" s="50"/>
      <c r="O169" s="46"/>
      <c r="P169" s="50"/>
      <c r="Q169" s="46"/>
      <c r="R169" s="50"/>
      <c r="S169" s="46"/>
      <c r="T169" s="50"/>
      <c r="U169" s="46"/>
      <c r="V169" s="50"/>
      <c r="W169" s="46"/>
      <c r="X169" s="50"/>
      <c r="Y169" s="46"/>
      <c r="Z169" s="50"/>
      <c r="AA169" s="54"/>
      <c r="AB169" s="52"/>
      <c r="AC169" s="26">
        <f t="shared" si="6"/>
        <v>0</v>
      </c>
      <c r="AD169" s="49">
        <f t="shared" si="7"/>
        <v>0</v>
      </c>
      <c r="AE169" s="461">
        <f t="shared" si="8"/>
        <v>0</v>
      </c>
    </row>
    <row r="170" spans="1:32" customFormat="1">
      <c r="A170" s="3">
        <v>170</v>
      </c>
      <c r="B170" s="76" t="s">
        <v>376</v>
      </c>
      <c r="C170" s="247" t="s">
        <v>379</v>
      </c>
      <c r="D170" s="590">
        <v>0</v>
      </c>
      <c r="E170" s="46"/>
      <c r="F170" s="98"/>
      <c r="G170" s="46"/>
      <c r="H170" s="98"/>
      <c r="I170" s="46"/>
      <c r="J170" s="98"/>
      <c r="K170" s="46"/>
      <c r="L170" s="98"/>
      <c r="M170" s="46"/>
      <c r="N170" s="50"/>
      <c r="O170" s="46"/>
      <c r="P170" s="50"/>
      <c r="Q170" s="46"/>
      <c r="R170" s="50"/>
      <c r="S170" s="46"/>
      <c r="T170" s="50"/>
      <c r="U170" s="46"/>
      <c r="V170" s="50"/>
      <c r="W170" s="46"/>
      <c r="X170" s="50"/>
      <c r="Y170" s="46"/>
      <c r="Z170" s="50"/>
      <c r="AA170" s="54"/>
      <c r="AB170" s="52"/>
      <c r="AC170" s="26">
        <f t="shared" si="6"/>
        <v>0</v>
      </c>
      <c r="AD170" s="49">
        <f t="shared" si="7"/>
        <v>0</v>
      </c>
      <c r="AE170" s="461">
        <f t="shared" si="8"/>
        <v>0</v>
      </c>
    </row>
    <row r="171" spans="1:32" customFormat="1">
      <c r="A171" s="23">
        <v>171</v>
      </c>
      <c r="B171" s="76" t="s">
        <v>380</v>
      </c>
      <c r="C171" s="247" t="s">
        <v>381</v>
      </c>
      <c r="D171" s="590">
        <v>0</v>
      </c>
      <c r="E171" s="46"/>
      <c r="F171" s="98"/>
      <c r="G171" s="46"/>
      <c r="H171" s="98"/>
      <c r="I171" s="46"/>
      <c r="J171" s="98"/>
      <c r="K171" s="46"/>
      <c r="L171" s="98"/>
      <c r="M171" s="46"/>
      <c r="N171" s="50"/>
      <c r="O171" s="46"/>
      <c r="P171" s="50"/>
      <c r="Q171" s="46"/>
      <c r="R171" s="50"/>
      <c r="S171" s="46"/>
      <c r="T171" s="50"/>
      <c r="U171" s="46"/>
      <c r="V171" s="50"/>
      <c r="W171" s="46"/>
      <c r="X171" s="50"/>
      <c r="Y171" s="46"/>
      <c r="Z171" s="50"/>
      <c r="AA171" s="54"/>
      <c r="AB171" s="52"/>
      <c r="AC171" s="26">
        <f t="shared" si="6"/>
        <v>0</v>
      </c>
      <c r="AD171" s="49">
        <f t="shared" si="7"/>
        <v>0</v>
      </c>
      <c r="AE171" s="461">
        <f t="shared" si="8"/>
        <v>0</v>
      </c>
    </row>
    <row r="172" spans="1:32">
      <c r="A172" s="3">
        <v>172</v>
      </c>
      <c r="B172" s="495" t="s">
        <v>382</v>
      </c>
      <c r="C172" s="497" t="s">
        <v>383</v>
      </c>
      <c r="D172" s="590">
        <v>3</v>
      </c>
      <c r="E172" s="524"/>
      <c r="F172" s="504"/>
      <c r="G172" s="524"/>
      <c r="H172" s="504"/>
      <c r="I172" s="524"/>
      <c r="J172" s="504"/>
      <c r="K172" s="524"/>
      <c r="L172" s="504"/>
      <c r="M172" s="524"/>
      <c r="N172" s="505"/>
      <c r="O172" s="524"/>
      <c r="P172" s="505"/>
      <c r="Q172" s="46"/>
      <c r="R172" s="50"/>
      <c r="S172" s="46"/>
      <c r="T172" s="50"/>
      <c r="U172" s="46"/>
      <c r="V172" s="50"/>
      <c r="W172" s="46"/>
      <c r="X172" s="50"/>
      <c r="Y172" s="46"/>
      <c r="Z172" s="50"/>
      <c r="AA172" s="54"/>
      <c r="AB172" s="52"/>
      <c r="AC172" s="26">
        <f t="shared" si="6"/>
        <v>3</v>
      </c>
      <c r="AD172" s="49">
        <f t="shared" si="7"/>
        <v>0</v>
      </c>
      <c r="AE172" s="469">
        <f t="shared" si="8"/>
        <v>3</v>
      </c>
      <c r="AF172" s="489"/>
    </row>
    <row r="173" spans="1:32" customFormat="1">
      <c r="A173" s="23">
        <v>173</v>
      </c>
      <c r="B173" s="76" t="s">
        <v>384</v>
      </c>
      <c r="C173" s="187" t="s">
        <v>386</v>
      </c>
      <c r="D173" s="590">
        <v>0</v>
      </c>
      <c r="E173" s="46"/>
      <c r="F173" s="98"/>
      <c r="G173" s="46"/>
      <c r="H173" s="98"/>
      <c r="I173" s="46"/>
      <c r="J173" s="98"/>
      <c r="K173" s="46"/>
      <c r="L173" s="98"/>
      <c r="M173" s="46"/>
      <c r="N173" s="50"/>
      <c r="O173" s="46"/>
      <c r="P173" s="50"/>
      <c r="Q173" s="46"/>
      <c r="R173" s="50"/>
      <c r="S173" s="46"/>
      <c r="T173" s="50"/>
      <c r="U173" s="46"/>
      <c r="V173" s="50"/>
      <c r="W173" s="46"/>
      <c r="X173" s="50"/>
      <c r="Y173" s="46"/>
      <c r="Z173" s="50"/>
      <c r="AA173" s="54"/>
      <c r="AB173" s="52"/>
      <c r="AC173" s="26">
        <f t="shared" si="6"/>
        <v>0</v>
      </c>
      <c r="AD173" s="49">
        <f t="shared" si="7"/>
        <v>0</v>
      </c>
      <c r="AE173" s="461">
        <f t="shared" si="8"/>
        <v>0</v>
      </c>
    </row>
    <row r="174" spans="1:32" customFormat="1">
      <c r="A174" s="3">
        <v>174</v>
      </c>
      <c r="B174" s="76" t="s">
        <v>385</v>
      </c>
      <c r="C174" s="187" t="s">
        <v>387</v>
      </c>
      <c r="D174" s="590">
        <v>0</v>
      </c>
      <c r="E174" s="46"/>
      <c r="F174" s="98"/>
      <c r="G174" s="46"/>
      <c r="H174" s="98"/>
      <c r="I174" s="46"/>
      <c r="J174" s="98"/>
      <c r="K174" s="46"/>
      <c r="L174" s="98"/>
      <c r="M174" s="46"/>
      <c r="N174" s="50"/>
      <c r="O174" s="46"/>
      <c r="P174" s="50"/>
      <c r="Q174" s="46"/>
      <c r="R174" s="50"/>
      <c r="S174" s="46"/>
      <c r="T174" s="50"/>
      <c r="U174" s="46"/>
      <c r="V174" s="50"/>
      <c r="W174" s="46"/>
      <c r="X174" s="50"/>
      <c r="Y174" s="46"/>
      <c r="Z174" s="50"/>
      <c r="AA174" s="54"/>
      <c r="AB174" s="52"/>
      <c r="AC174" s="26">
        <f t="shared" si="6"/>
        <v>0</v>
      </c>
      <c r="AD174" s="49">
        <f t="shared" si="7"/>
        <v>0</v>
      </c>
      <c r="AE174" s="461">
        <f t="shared" si="8"/>
        <v>0</v>
      </c>
    </row>
    <row r="175" spans="1:32" customFormat="1">
      <c r="A175" s="23">
        <v>175</v>
      </c>
      <c r="B175" s="285" t="s">
        <v>389</v>
      </c>
      <c r="C175" s="331" t="s">
        <v>391</v>
      </c>
      <c r="D175" s="590">
        <v>0</v>
      </c>
      <c r="E175" s="46">
        <f>19+3+56</f>
        <v>78</v>
      </c>
      <c r="F175" s="98">
        <f>22</f>
        <v>22</v>
      </c>
      <c r="G175" s="46">
        <f>1</f>
        <v>1</v>
      </c>
      <c r="H175" s="98">
        <f>1+56</f>
        <v>57</v>
      </c>
      <c r="I175" s="46"/>
      <c r="J175" s="98"/>
      <c r="K175" s="46"/>
      <c r="L175" s="98"/>
      <c r="M175" s="46"/>
      <c r="N175" s="50"/>
      <c r="O175" s="46"/>
      <c r="P175" s="50"/>
      <c r="Q175" s="46"/>
      <c r="R175" s="50"/>
      <c r="S175" s="46"/>
      <c r="T175" s="50"/>
      <c r="U175" s="46"/>
      <c r="V175" s="50"/>
      <c r="W175" s="46"/>
      <c r="X175" s="50"/>
      <c r="Y175" s="46"/>
      <c r="Z175" s="50"/>
      <c r="AA175" s="54"/>
      <c r="AB175" s="52"/>
      <c r="AC175" s="26">
        <f t="shared" si="6"/>
        <v>79</v>
      </c>
      <c r="AD175" s="49">
        <f t="shared" si="7"/>
        <v>79</v>
      </c>
      <c r="AE175" s="461">
        <f t="shared" si="8"/>
        <v>0</v>
      </c>
    </row>
    <row r="176" spans="1:32" customFormat="1">
      <c r="A176" s="3">
        <v>176</v>
      </c>
      <c r="B176" s="285" t="s">
        <v>390</v>
      </c>
      <c r="C176" s="331" t="s">
        <v>392</v>
      </c>
      <c r="D176" s="590">
        <v>0</v>
      </c>
      <c r="E176" s="46">
        <v>14</v>
      </c>
      <c r="F176" s="98">
        <f>14</f>
        <v>14</v>
      </c>
      <c r="G176" s="46"/>
      <c r="H176" s="98"/>
      <c r="I176" s="46"/>
      <c r="J176" s="98"/>
      <c r="K176" s="46"/>
      <c r="L176" s="98"/>
      <c r="M176" s="46"/>
      <c r="N176" s="50"/>
      <c r="O176" s="46"/>
      <c r="P176" s="50"/>
      <c r="Q176" s="46"/>
      <c r="R176" s="50"/>
      <c r="S176" s="46"/>
      <c r="T176" s="50"/>
      <c r="U176" s="46"/>
      <c r="V176" s="50"/>
      <c r="W176" s="46"/>
      <c r="X176" s="50"/>
      <c r="Y176" s="46"/>
      <c r="Z176" s="50"/>
      <c r="AA176" s="54"/>
      <c r="AB176" s="52"/>
      <c r="AC176" s="26">
        <f t="shared" si="6"/>
        <v>14</v>
      </c>
      <c r="AD176" s="49">
        <f t="shared" si="7"/>
        <v>14</v>
      </c>
      <c r="AE176" s="461">
        <f t="shared" si="8"/>
        <v>0</v>
      </c>
    </row>
    <row r="177" spans="1:32" customFormat="1">
      <c r="A177" s="23">
        <v>177</v>
      </c>
      <c r="B177" s="285" t="s">
        <v>388</v>
      </c>
      <c r="C177" s="331" t="s">
        <v>393</v>
      </c>
      <c r="D177" s="590">
        <v>0</v>
      </c>
      <c r="E177" s="46">
        <f>3+14</f>
        <v>17</v>
      </c>
      <c r="F177" s="98">
        <f>3</f>
        <v>3</v>
      </c>
      <c r="G177" s="46"/>
      <c r="H177" s="98">
        <f>14</f>
        <v>14</v>
      </c>
      <c r="I177" s="46"/>
      <c r="J177" s="98"/>
      <c r="K177" s="46"/>
      <c r="L177" s="98"/>
      <c r="M177" s="46"/>
      <c r="N177" s="50"/>
      <c r="O177" s="46"/>
      <c r="P177" s="50"/>
      <c r="Q177" s="46"/>
      <c r="R177" s="50"/>
      <c r="S177" s="46"/>
      <c r="T177" s="50"/>
      <c r="U177" s="46"/>
      <c r="V177" s="50"/>
      <c r="W177" s="46"/>
      <c r="X177" s="50"/>
      <c r="Y177" s="46"/>
      <c r="Z177" s="50"/>
      <c r="AA177" s="54"/>
      <c r="AB177" s="52"/>
      <c r="AC177" s="26">
        <f t="shared" si="6"/>
        <v>17</v>
      </c>
      <c r="AD177" s="49">
        <f t="shared" si="7"/>
        <v>17</v>
      </c>
      <c r="AE177" s="461">
        <f t="shared" si="8"/>
        <v>0</v>
      </c>
    </row>
    <row r="178" spans="1:32">
      <c r="A178" s="3">
        <v>178</v>
      </c>
      <c r="B178" s="285" t="s">
        <v>448</v>
      </c>
      <c r="C178" s="6" t="s">
        <v>449</v>
      </c>
      <c r="D178" s="590">
        <v>0</v>
      </c>
      <c r="E178" s="524">
        <f>1</f>
        <v>1</v>
      </c>
      <c r="F178" s="504">
        <f>1</f>
        <v>1</v>
      </c>
      <c r="G178" s="524"/>
      <c r="H178" s="504"/>
      <c r="I178" s="524"/>
      <c r="J178" s="504"/>
      <c r="K178" s="524">
        <f>3+2</f>
        <v>5</v>
      </c>
      <c r="L178" s="504"/>
      <c r="M178" s="524"/>
      <c r="N178" s="505"/>
      <c r="O178" s="524"/>
      <c r="P178" s="505">
        <f>1</f>
        <v>1</v>
      </c>
      <c r="Q178" s="46"/>
      <c r="R178" s="50">
        <f>1</f>
        <v>1</v>
      </c>
      <c r="S178" s="46"/>
      <c r="T178" s="50"/>
      <c r="U178" s="46"/>
      <c r="V178" s="50"/>
      <c r="W178" s="46"/>
      <c r="X178" s="50">
        <f>1</f>
        <v>1</v>
      </c>
      <c r="Y178" s="46"/>
      <c r="Z178" s="50">
        <f>1</f>
        <v>1</v>
      </c>
      <c r="AA178" s="54">
        <v>12</v>
      </c>
      <c r="AB178" s="52"/>
      <c r="AC178" s="26">
        <f t="shared" si="6"/>
        <v>18</v>
      </c>
      <c r="AD178" s="49">
        <f t="shared" si="7"/>
        <v>5</v>
      </c>
      <c r="AE178" s="469">
        <f t="shared" si="8"/>
        <v>13</v>
      </c>
      <c r="AF178" s="489"/>
    </row>
    <row r="179" spans="1:32" customFormat="1">
      <c r="A179" s="23">
        <v>179</v>
      </c>
      <c r="B179" s="285" t="s">
        <v>450</v>
      </c>
      <c r="C179" s="331" t="s">
        <v>454</v>
      </c>
      <c r="D179" s="590">
        <v>0</v>
      </c>
      <c r="E179" s="46">
        <v>7</v>
      </c>
      <c r="F179" s="98">
        <f>7</f>
        <v>7</v>
      </c>
      <c r="G179" s="46"/>
      <c r="H179" s="98"/>
      <c r="I179" s="46"/>
      <c r="J179" s="98"/>
      <c r="K179" s="46"/>
      <c r="L179" s="98"/>
      <c r="M179" s="46"/>
      <c r="N179" s="50"/>
      <c r="O179" s="46"/>
      <c r="P179" s="50"/>
      <c r="Q179" s="46"/>
      <c r="R179" s="50"/>
      <c r="S179" s="46"/>
      <c r="T179" s="50"/>
      <c r="U179" s="46"/>
      <c r="V179" s="50"/>
      <c r="W179" s="46"/>
      <c r="X179" s="50"/>
      <c r="Y179" s="46"/>
      <c r="Z179" s="50"/>
      <c r="AA179" s="54"/>
      <c r="AB179" s="52"/>
      <c r="AC179" s="26">
        <f t="shared" si="6"/>
        <v>7</v>
      </c>
      <c r="AD179" s="49">
        <f t="shared" si="7"/>
        <v>7</v>
      </c>
      <c r="AE179" s="461">
        <f t="shared" si="8"/>
        <v>0</v>
      </c>
    </row>
    <row r="180" spans="1:32" customFormat="1">
      <c r="A180" s="3">
        <v>180</v>
      </c>
      <c r="B180" s="285" t="s">
        <v>451</v>
      </c>
      <c r="C180" s="331" t="s">
        <v>454</v>
      </c>
      <c r="D180" s="590">
        <v>0</v>
      </c>
      <c r="E180" s="46">
        <v>3</v>
      </c>
      <c r="F180" s="98">
        <f>3</f>
        <v>3</v>
      </c>
      <c r="G180" s="46"/>
      <c r="H180" s="98"/>
      <c r="I180" s="46"/>
      <c r="J180" s="98"/>
      <c r="K180" s="46"/>
      <c r="L180" s="98"/>
      <c r="M180" s="46"/>
      <c r="N180" s="50"/>
      <c r="O180" s="46"/>
      <c r="P180" s="50"/>
      <c r="Q180" s="46"/>
      <c r="R180" s="50"/>
      <c r="S180" s="46"/>
      <c r="T180" s="50"/>
      <c r="U180" s="46"/>
      <c r="V180" s="50"/>
      <c r="W180" s="46"/>
      <c r="X180" s="50"/>
      <c r="Y180" s="46"/>
      <c r="Z180" s="50"/>
      <c r="AA180" s="54"/>
      <c r="AB180" s="52"/>
      <c r="AC180" s="26">
        <f t="shared" si="6"/>
        <v>3</v>
      </c>
      <c r="AD180" s="49">
        <f t="shared" si="7"/>
        <v>3</v>
      </c>
      <c r="AE180" s="461">
        <f t="shared" si="8"/>
        <v>0</v>
      </c>
    </row>
    <row r="181" spans="1:32" customFormat="1">
      <c r="A181" s="23">
        <v>181</v>
      </c>
      <c r="B181" s="285" t="s">
        <v>452</v>
      </c>
      <c r="C181" s="331" t="s">
        <v>455</v>
      </c>
      <c r="D181" s="590">
        <v>0</v>
      </c>
      <c r="E181" s="46">
        <v>6</v>
      </c>
      <c r="F181" s="98">
        <f>6</f>
        <v>6</v>
      </c>
      <c r="G181" s="46"/>
      <c r="H181" s="98"/>
      <c r="I181" s="46"/>
      <c r="J181" s="98"/>
      <c r="K181" s="46"/>
      <c r="L181" s="98"/>
      <c r="M181" s="46"/>
      <c r="N181" s="50"/>
      <c r="O181" s="46"/>
      <c r="P181" s="50"/>
      <c r="Q181" s="46"/>
      <c r="R181" s="50"/>
      <c r="S181" s="46"/>
      <c r="T181" s="50"/>
      <c r="U181" s="46"/>
      <c r="V181" s="50"/>
      <c r="W181" s="46"/>
      <c r="X181" s="50"/>
      <c r="Y181" s="46"/>
      <c r="Z181" s="50"/>
      <c r="AA181" s="54"/>
      <c r="AB181" s="52"/>
      <c r="AC181" s="26">
        <f t="shared" si="6"/>
        <v>6</v>
      </c>
      <c r="AD181" s="49">
        <f t="shared" si="7"/>
        <v>6</v>
      </c>
      <c r="AE181" s="461">
        <f t="shared" si="8"/>
        <v>0</v>
      </c>
    </row>
    <row r="182" spans="1:32" customFormat="1">
      <c r="A182" s="3">
        <v>182</v>
      </c>
      <c r="B182" s="285" t="s">
        <v>453</v>
      </c>
      <c r="C182" s="331" t="s">
        <v>456</v>
      </c>
      <c r="D182" s="590">
        <v>0</v>
      </c>
      <c r="E182" s="46">
        <v>1</v>
      </c>
      <c r="F182" s="98">
        <f>1</f>
        <v>1</v>
      </c>
      <c r="G182" s="46"/>
      <c r="H182" s="98"/>
      <c r="I182" s="46"/>
      <c r="J182" s="98"/>
      <c r="K182" s="46"/>
      <c r="L182" s="98"/>
      <c r="M182" s="46"/>
      <c r="N182" s="50"/>
      <c r="O182" s="46"/>
      <c r="P182" s="50"/>
      <c r="Q182" s="46"/>
      <c r="R182" s="50"/>
      <c r="S182" s="46"/>
      <c r="T182" s="50"/>
      <c r="U182" s="46"/>
      <c r="V182" s="50"/>
      <c r="W182" s="46"/>
      <c r="X182" s="50"/>
      <c r="Y182" s="46"/>
      <c r="Z182" s="50"/>
      <c r="AA182" s="54"/>
      <c r="AB182" s="52"/>
      <c r="AC182" s="26">
        <f t="shared" si="6"/>
        <v>1</v>
      </c>
      <c r="AD182" s="49">
        <f t="shared" si="7"/>
        <v>1</v>
      </c>
      <c r="AE182" s="461">
        <f t="shared" si="8"/>
        <v>0</v>
      </c>
    </row>
    <row r="183" spans="1:32" customFormat="1">
      <c r="A183" s="23">
        <v>183</v>
      </c>
      <c r="B183" s="285" t="s">
        <v>188</v>
      </c>
      <c r="C183" s="331" t="s">
        <v>459</v>
      </c>
      <c r="D183" s="590">
        <v>0</v>
      </c>
      <c r="E183" s="46">
        <v>2</v>
      </c>
      <c r="F183" s="98">
        <v>2</v>
      </c>
      <c r="G183" s="46"/>
      <c r="H183" s="98"/>
      <c r="I183" s="46"/>
      <c r="J183" s="98"/>
      <c r="K183" s="46"/>
      <c r="L183" s="98"/>
      <c r="M183" s="46"/>
      <c r="N183" s="50"/>
      <c r="O183" s="46"/>
      <c r="P183" s="50"/>
      <c r="Q183" s="46"/>
      <c r="R183" s="50"/>
      <c r="S183" s="46"/>
      <c r="T183" s="50"/>
      <c r="U183" s="46"/>
      <c r="V183" s="50"/>
      <c r="W183" s="46"/>
      <c r="X183" s="50"/>
      <c r="Y183" s="46"/>
      <c r="Z183" s="50"/>
      <c r="AA183" s="54"/>
      <c r="AB183" s="52"/>
      <c r="AC183" s="26">
        <f t="shared" si="6"/>
        <v>2</v>
      </c>
      <c r="AD183" s="49">
        <f t="shared" si="7"/>
        <v>2</v>
      </c>
      <c r="AE183" s="461">
        <f t="shared" si="8"/>
        <v>0</v>
      </c>
    </row>
    <row r="184" spans="1:32" customFormat="1">
      <c r="A184" s="3">
        <v>184</v>
      </c>
      <c r="B184" s="285" t="s">
        <v>457</v>
      </c>
      <c r="C184" s="331" t="s">
        <v>159</v>
      </c>
      <c r="D184" s="590">
        <v>0</v>
      </c>
      <c r="E184" s="46">
        <v>1</v>
      </c>
      <c r="F184" s="98">
        <f>1</f>
        <v>1</v>
      </c>
      <c r="G184" s="46"/>
      <c r="H184" s="98"/>
      <c r="I184" s="46"/>
      <c r="J184" s="98"/>
      <c r="K184" s="46"/>
      <c r="L184" s="98"/>
      <c r="M184" s="46"/>
      <c r="N184" s="50"/>
      <c r="O184" s="46"/>
      <c r="P184" s="50"/>
      <c r="Q184" s="46"/>
      <c r="R184" s="50"/>
      <c r="S184" s="46"/>
      <c r="T184" s="50"/>
      <c r="U184" s="46"/>
      <c r="V184" s="50"/>
      <c r="W184" s="46"/>
      <c r="X184" s="50"/>
      <c r="Y184" s="46"/>
      <c r="Z184" s="50"/>
      <c r="AA184" s="54"/>
      <c r="AB184" s="52"/>
      <c r="AC184" s="26">
        <f t="shared" si="6"/>
        <v>1</v>
      </c>
      <c r="AD184" s="49">
        <f t="shared" si="7"/>
        <v>1</v>
      </c>
      <c r="AE184" s="461">
        <f t="shared" si="8"/>
        <v>0</v>
      </c>
    </row>
    <row r="185" spans="1:32" customFormat="1">
      <c r="A185" s="23">
        <v>185</v>
      </c>
      <c r="B185" s="285" t="s">
        <v>458</v>
      </c>
      <c r="C185" s="331" t="s">
        <v>460</v>
      </c>
      <c r="D185" s="590">
        <v>0</v>
      </c>
      <c r="E185" s="46">
        <v>3</v>
      </c>
      <c r="F185" s="98">
        <f>3</f>
        <v>3</v>
      </c>
      <c r="G185" s="46"/>
      <c r="H185" s="98"/>
      <c r="I185" s="46"/>
      <c r="J185" s="98"/>
      <c r="K185" s="46"/>
      <c r="L185" s="98"/>
      <c r="M185" s="46"/>
      <c r="N185" s="50"/>
      <c r="O185" s="46"/>
      <c r="P185" s="50"/>
      <c r="Q185" s="46"/>
      <c r="R185" s="50"/>
      <c r="S185" s="46"/>
      <c r="T185" s="50"/>
      <c r="U185" s="46"/>
      <c r="V185" s="50"/>
      <c r="W185" s="46"/>
      <c r="X185" s="50"/>
      <c r="Y185" s="46"/>
      <c r="Z185" s="50"/>
      <c r="AA185" s="54"/>
      <c r="AB185" s="52"/>
      <c r="AC185" s="26">
        <f t="shared" si="6"/>
        <v>3</v>
      </c>
      <c r="AD185" s="49">
        <f t="shared" si="7"/>
        <v>3</v>
      </c>
      <c r="AE185" s="461">
        <f t="shared" si="8"/>
        <v>0</v>
      </c>
    </row>
    <row r="186" spans="1:32" customFormat="1">
      <c r="A186" s="3">
        <v>186</v>
      </c>
      <c r="B186" s="285" t="s">
        <v>461</v>
      </c>
      <c r="C186" s="331" t="s">
        <v>38</v>
      </c>
      <c r="D186" s="590">
        <v>0</v>
      </c>
      <c r="E186" s="46">
        <f>18+1+38+52</f>
        <v>109</v>
      </c>
      <c r="F186" s="98">
        <f>19</f>
        <v>19</v>
      </c>
      <c r="G186" s="46"/>
      <c r="H186" s="98">
        <f>90</f>
        <v>90</v>
      </c>
      <c r="I186" s="46"/>
      <c r="J186" s="98"/>
      <c r="K186" s="46"/>
      <c r="L186" s="98"/>
      <c r="M186" s="524"/>
      <c r="N186" s="505"/>
      <c r="O186" s="524">
        <f>2</f>
        <v>2</v>
      </c>
      <c r="P186" s="505"/>
      <c r="Q186" s="46"/>
      <c r="R186" s="50"/>
      <c r="S186" s="46"/>
      <c r="T186" s="50"/>
      <c r="U186" s="46"/>
      <c r="V186" s="50"/>
      <c r="W186" s="46"/>
      <c r="X186" s="50"/>
      <c r="Y186" s="46"/>
      <c r="Z186" s="50">
        <f>2</f>
        <v>2</v>
      </c>
      <c r="AA186" s="54"/>
      <c r="AB186" s="52"/>
      <c r="AC186" s="26">
        <f t="shared" si="6"/>
        <v>111</v>
      </c>
      <c r="AD186" s="49">
        <f t="shared" si="7"/>
        <v>111</v>
      </c>
      <c r="AE186" s="469">
        <f t="shared" si="8"/>
        <v>0</v>
      </c>
    </row>
    <row r="187" spans="1:32" customFormat="1">
      <c r="A187" s="23">
        <v>187</v>
      </c>
      <c r="B187" s="285" t="s">
        <v>462</v>
      </c>
      <c r="C187" s="331" t="s">
        <v>463</v>
      </c>
      <c r="D187" s="590">
        <v>0</v>
      </c>
      <c r="E187" s="46">
        <f>42+67</f>
        <v>109</v>
      </c>
      <c r="F187" s="98">
        <f>67</f>
        <v>67</v>
      </c>
      <c r="G187" s="46"/>
      <c r="H187" s="98">
        <f>42</f>
        <v>42</v>
      </c>
      <c r="I187" s="46"/>
      <c r="J187" s="98"/>
      <c r="K187" s="46"/>
      <c r="L187" s="98"/>
      <c r="M187" s="46"/>
      <c r="N187" s="50"/>
      <c r="O187" s="46"/>
      <c r="P187" s="50"/>
      <c r="Q187" s="46"/>
      <c r="R187" s="50"/>
      <c r="S187" s="46"/>
      <c r="T187" s="50"/>
      <c r="U187" s="46"/>
      <c r="V187" s="50"/>
      <c r="W187" s="46"/>
      <c r="X187" s="50"/>
      <c r="Y187" s="46"/>
      <c r="Z187" s="50"/>
      <c r="AA187" s="54"/>
      <c r="AB187" s="52"/>
      <c r="AC187" s="26">
        <f t="shared" si="6"/>
        <v>109</v>
      </c>
      <c r="AD187" s="49">
        <f t="shared" si="7"/>
        <v>109</v>
      </c>
      <c r="AE187" s="461">
        <f t="shared" si="8"/>
        <v>0</v>
      </c>
    </row>
    <row r="188" spans="1:32" customFormat="1">
      <c r="A188" s="3">
        <v>188</v>
      </c>
      <c r="B188" s="285" t="s">
        <v>499</v>
      </c>
      <c r="C188" s="247" t="s">
        <v>500</v>
      </c>
      <c r="D188" s="590">
        <v>0</v>
      </c>
      <c r="E188" s="46">
        <f>1</f>
        <v>1</v>
      </c>
      <c r="F188" s="98">
        <f>1</f>
        <v>1</v>
      </c>
      <c r="G188" s="46"/>
      <c r="H188" s="98"/>
      <c r="I188" s="46"/>
      <c r="J188" s="98"/>
      <c r="K188" s="46"/>
      <c r="L188" s="98"/>
      <c r="M188" s="46"/>
      <c r="N188" s="50"/>
      <c r="O188" s="46"/>
      <c r="P188" s="50"/>
      <c r="Q188" s="46"/>
      <c r="R188" s="50"/>
      <c r="S188" s="46"/>
      <c r="T188" s="50"/>
      <c r="U188" s="46"/>
      <c r="V188" s="50"/>
      <c r="W188" s="46"/>
      <c r="X188" s="50"/>
      <c r="Y188" s="46"/>
      <c r="Z188" s="50"/>
      <c r="AA188" s="54"/>
      <c r="AB188" s="52"/>
      <c r="AC188" s="26">
        <f t="shared" si="6"/>
        <v>1</v>
      </c>
      <c r="AD188" s="49">
        <f t="shared" si="7"/>
        <v>1</v>
      </c>
      <c r="AE188" s="461">
        <f t="shared" si="8"/>
        <v>0</v>
      </c>
    </row>
    <row r="189" spans="1:32" customFormat="1">
      <c r="A189" s="23">
        <v>189</v>
      </c>
      <c r="B189" s="285" t="s">
        <v>501</v>
      </c>
      <c r="C189" s="247" t="s">
        <v>502</v>
      </c>
      <c r="D189" s="590">
        <v>0</v>
      </c>
      <c r="E189" s="46">
        <f>10</f>
        <v>10</v>
      </c>
      <c r="F189" s="98">
        <v>10</v>
      </c>
      <c r="G189" s="46"/>
      <c r="H189" s="98"/>
      <c r="I189" s="46"/>
      <c r="J189" s="98"/>
      <c r="K189" s="46"/>
      <c r="L189" s="98"/>
      <c r="M189" s="46"/>
      <c r="N189" s="50"/>
      <c r="O189" s="46"/>
      <c r="P189" s="50"/>
      <c r="Q189" s="46"/>
      <c r="R189" s="50"/>
      <c r="S189" s="46"/>
      <c r="T189" s="50"/>
      <c r="U189" s="46"/>
      <c r="V189" s="50"/>
      <c r="W189" s="46"/>
      <c r="X189" s="50"/>
      <c r="Y189" s="46"/>
      <c r="Z189" s="50"/>
      <c r="AA189" s="54"/>
      <c r="AB189" s="52"/>
      <c r="AC189" s="26">
        <f t="shared" si="6"/>
        <v>10</v>
      </c>
      <c r="AD189" s="49">
        <f t="shared" si="7"/>
        <v>10</v>
      </c>
      <c r="AE189" s="461">
        <f t="shared" si="8"/>
        <v>0</v>
      </c>
    </row>
    <row r="190" spans="1:32">
      <c r="A190" s="3">
        <v>190</v>
      </c>
      <c r="B190" s="285" t="s">
        <v>503</v>
      </c>
      <c r="C190" s="497" t="s">
        <v>504</v>
      </c>
      <c r="D190" s="590">
        <v>0</v>
      </c>
      <c r="E190" s="524">
        <f>5</f>
        <v>5</v>
      </c>
      <c r="F190" s="504">
        <f>1+4</f>
        <v>5</v>
      </c>
      <c r="G190" s="524">
        <f>1+4</f>
        <v>5</v>
      </c>
      <c r="H190" s="504"/>
      <c r="I190" s="524">
        <f>20</f>
        <v>20</v>
      </c>
      <c r="J190" s="504">
        <f>5+11</f>
        <v>16</v>
      </c>
      <c r="K190" s="524">
        <f>10+20</f>
        <v>30</v>
      </c>
      <c r="L190" s="504"/>
      <c r="M190" s="524"/>
      <c r="N190" s="505"/>
      <c r="O190" s="524"/>
      <c r="P190" s="505"/>
      <c r="Q190" s="46"/>
      <c r="R190" s="50"/>
      <c r="S190" s="46"/>
      <c r="T190" s="50">
        <f>5+3+1+1</f>
        <v>10</v>
      </c>
      <c r="U190" s="46"/>
      <c r="V190" s="50">
        <f>1</f>
        <v>1</v>
      </c>
      <c r="W190" s="46"/>
      <c r="X190" s="50"/>
      <c r="Y190" s="46"/>
      <c r="Z190" s="50">
        <f>4</f>
        <v>4</v>
      </c>
      <c r="AA190" s="54"/>
      <c r="AB190" s="52">
        <v>5</v>
      </c>
      <c r="AC190" s="26">
        <f t="shared" si="6"/>
        <v>60</v>
      </c>
      <c r="AD190" s="49">
        <f t="shared" si="7"/>
        <v>41</v>
      </c>
      <c r="AE190" s="469">
        <f t="shared" si="8"/>
        <v>19</v>
      </c>
      <c r="AF190" s="489"/>
    </row>
    <row r="191" spans="1:32">
      <c r="A191" s="23">
        <v>191</v>
      </c>
      <c r="B191" s="285" t="s">
        <v>505</v>
      </c>
      <c r="C191" s="497" t="s">
        <v>506</v>
      </c>
      <c r="D191" s="590">
        <v>0</v>
      </c>
      <c r="E191" s="524">
        <v>10</v>
      </c>
      <c r="F191" s="504"/>
      <c r="G191" s="524">
        <f>5</f>
        <v>5</v>
      </c>
      <c r="H191" s="504"/>
      <c r="I191" s="524"/>
      <c r="J191" s="504"/>
      <c r="K191" s="524">
        <f>3+2</f>
        <v>5</v>
      </c>
      <c r="L191" s="504"/>
      <c r="M191" s="524"/>
      <c r="N191" s="505"/>
      <c r="O191" s="524"/>
      <c r="P191" s="505"/>
      <c r="Q191" s="46"/>
      <c r="R191" s="50"/>
      <c r="S191" s="46"/>
      <c r="T191" s="50"/>
      <c r="U191" s="46"/>
      <c r="V191" s="50">
        <f>1+1</f>
        <v>2</v>
      </c>
      <c r="W191" s="46"/>
      <c r="X191" s="50"/>
      <c r="Y191" s="46"/>
      <c r="Z191" s="50"/>
      <c r="AA191" s="54"/>
      <c r="AB191" s="52">
        <f>1</f>
        <v>1</v>
      </c>
      <c r="AC191" s="26">
        <f t="shared" si="6"/>
        <v>20</v>
      </c>
      <c r="AD191" s="49">
        <f t="shared" si="7"/>
        <v>3</v>
      </c>
      <c r="AE191" s="469">
        <f t="shared" si="8"/>
        <v>17</v>
      </c>
      <c r="AF191" s="489"/>
    </row>
    <row r="192" spans="1:32" customFormat="1">
      <c r="A192" s="3">
        <v>192</v>
      </c>
      <c r="B192" s="285" t="s">
        <v>540</v>
      </c>
      <c r="C192" s="331" t="s">
        <v>541</v>
      </c>
      <c r="D192" s="590">
        <v>0</v>
      </c>
      <c r="E192" s="46">
        <v>1</v>
      </c>
      <c r="F192" s="98"/>
      <c r="G192" s="46"/>
      <c r="H192" s="98">
        <f>1</f>
        <v>1</v>
      </c>
      <c r="I192" s="46"/>
      <c r="J192" s="98"/>
      <c r="K192" s="46"/>
      <c r="L192" s="98"/>
      <c r="M192" s="46"/>
      <c r="N192" s="50"/>
      <c r="O192" s="46"/>
      <c r="P192" s="50"/>
      <c r="Q192" s="46"/>
      <c r="R192" s="50"/>
      <c r="S192" s="46"/>
      <c r="T192" s="50"/>
      <c r="U192" s="46"/>
      <c r="V192" s="50"/>
      <c r="W192" s="46"/>
      <c r="X192" s="50"/>
      <c r="Y192" s="46"/>
      <c r="Z192" s="50"/>
      <c r="AA192" s="54"/>
      <c r="AB192" s="52"/>
      <c r="AC192" s="26">
        <f t="shared" si="6"/>
        <v>1</v>
      </c>
      <c r="AD192" s="49">
        <f t="shared" si="7"/>
        <v>1</v>
      </c>
      <c r="AE192" s="461">
        <f t="shared" si="8"/>
        <v>0</v>
      </c>
    </row>
    <row r="193" spans="1:32" customFormat="1">
      <c r="A193" s="23">
        <v>193</v>
      </c>
      <c r="B193" s="285" t="s">
        <v>542</v>
      </c>
      <c r="C193" s="331" t="s">
        <v>543</v>
      </c>
      <c r="D193" s="590">
        <v>0</v>
      </c>
      <c r="E193" s="46">
        <v>3</v>
      </c>
      <c r="F193" s="98">
        <v>3</v>
      </c>
      <c r="G193" s="46"/>
      <c r="H193" s="98"/>
      <c r="I193" s="46"/>
      <c r="J193" s="98"/>
      <c r="K193" s="46"/>
      <c r="L193" s="98"/>
      <c r="M193" s="46"/>
      <c r="N193" s="50"/>
      <c r="O193" s="46"/>
      <c r="P193" s="50"/>
      <c r="Q193" s="46"/>
      <c r="R193" s="50"/>
      <c r="S193" s="46"/>
      <c r="T193" s="50"/>
      <c r="U193" s="46"/>
      <c r="V193" s="50"/>
      <c r="W193" s="46"/>
      <c r="X193" s="50"/>
      <c r="Y193" s="46"/>
      <c r="Z193" s="50"/>
      <c r="AA193" s="54"/>
      <c r="AB193" s="52"/>
      <c r="AC193" s="26">
        <f t="shared" si="6"/>
        <v>3</v>
      </c>
      <c r="AD193" s="49">
        <f t="shared" si="7"/>
        <v>3</v>
      </c>
      <c r="AE193" s="461">
        <f t="shared" si="8"/>
        <v>0</v>
      </c>
    </row>
    <row r="194" spans="1:32" customFormat="1">
      <c r="A194" s="3">
        <v>194</v>
      </c>
      <c r="B194" s="285" t="s">
        <v>550</v>
      </c>
      <c r="C194" s="331" t="s">
        <v>551</v>
      </c>
      <c r="D194" s="590">
        <v>0</v>
      </c>
      <c r="E194" s="46">
        <v>16</v>
      </c>
      <c r="F194" s="98"/>
      <c r="G194" s="46">
        <f>1</f>
        <v>1</v>
      </c>
      <c r="H194" s="98">
        <f>16+1</f>
        <v>17</v>
      </c>
      <c r="I194" s="46"/>
      <c r="J194" s="98"/>
      <c r="K194" s="46"/>
      <c r="L194" s="98"/>
      <c r="M194" s="46"/>
      <c r="N194" s="50"/>
      <c r="O194" s="46"/>
      <c r="P194" s="50"/>
      <c r="Q194" s="46"/>
      <c r="R194" s="50"/>
      <c r="S194" s="46"/>
      <c r="T194" s="50"/>
      <c r="U194" s="46"/>
      <c r="V194" s="50"/>
      <c r="W194" s="46"/>
      <c r="X194" s="50"/>
      <c r="Y194" s="46"/>
      <c r="Z194" s="50"/>
      <c r="AA194" s="54">
        <f>3+8</f>
        <v>11</v>
      </c>
      <c r="AB194" s="52">
        <v>8</v>
      </c>
      <c r="AC194" s="26">
        <f t="shared" si="6"/>
        <v>28</v>
      </c>
      <c r="AD194" s="49">
        <f t="shared" si="7"/>
        <v>25</v>
      </c>
      <c r="AE194" s="461">
        <f t="shared" si="8"/>
        <v>3</v>
      </c>
    </row>
    <row r="195" spans="1:32" customFormat="1">
      <c r="A195" s="23">
        <v>195</v>
      </c>
      <c r="B195" s="285" t="s">
        <v>552</v>
      </c>
      <c r="C195" s="331" t="s">
        <v>553</v>
      </c>
      <c r="D195" s="590">
        <v>0</v>
      </c>
      <c r="E195" s="46">
        <v>4</v>
      </c>
      <c r="F195" s="98"/>
      <c r="G195" s="46"/>
      <c r="H195" s="98">
        <f>4</f>
        <v>4</v>
      </c>
      <c r="I195" s="46"/>
      <c r="J195" s="98"/>
      <c r="K195" s="46"/>
      <c r="L195" s="98"/>
      <c r="M195" s="46"/>
      <c r="N195" s="50"/>
      <c r="O195" s="46"/>
      <c r="P195" s="50"/>
      <c r="Q195" s="46"/>
      <c r="R195" s="50"/>
      <c r="S195" s="46"/>
      <c r="T195" s="50"/>
      <c r="U195" s="46"/>
      <c r="V195" s="50"/>
      <c r="W195" s="46"/>
      <c r="X195" s="50"/>
      <c r="Y195" s="46"/>
      <c r="Z195" s="50"/>
      <c r="AA195" s="54"/>
      <c r="AB195" s="52"/>
      <c r="AC195" s="26">
        <f t="shared" si="6"/>
        <v>4</v>
      </c>
      <c r="AD195" s="49">
        <f t="shared" si="7"/>
        <v>4</v>
      </c>
      <c r="AE195" s="461">
        <f t="shared" si="8"/>
        <v>0</v>
      </c>
    </row>
    <row r="196" spans="1:32">
      <c r="A196" s="3">
        <v>196</v>
      </c>
      <c r="B196" s="285" t="s">
        <v>605</v>
      </c>
      <c r="C196" s="498" t="s">
        <v>393</v>
      </c>
      <c r="D196" s="590">
        <v>0</v>
      </c>
      <c r="E196" s="524"/>
      <c r="F196" s="504"/>
      <c r="G196" s="524">
        <f>5+1</f>
        <v>6</v>
      </c>
      <c r="H196" s="504">
        <f>1+1</f>
        <v>2</v>
      </c>
      <c r="I196" s="524"/>
      <c r="J196" s="504"/>
      <c r="K196" s="524"/>
      <c r="L196" s="504"/>
      <c r="M196" s="524">
        <f>10</f>
        <v>10</v>
      </c>
      <c r="N196" s="505"/>
      <c r="O196" s="524"/>
      <c r="P196" s="505">
        <f>1</f>
        <v>1</v>
      </c>
      <c r="Q196" s="46"/>
      <c r="R196" s="50"/>
      <c r="S196" s="46">
        <f>2</f>
        <v>2</v>
      </c>
      <c r="T196" s="50">
        <f>1+2</f>
        <v>3</v>
      </c>
      <c r="U196" s="46"/>
      <c r="V196" s="50"/>
      <c r="W196" s="46"/>
      <c r="X196" s="50">
        <f>1</f>
        <v>1</v>
      </c>
      <c r="Y196" s="46"/>
      <c r="Z196" s="50"/>
      <c r="AA196" s="54"/>
      <c r="AB196" s="52">
        <v>2</v>
      </c>
      <c r="AC196" s="26">
        <f t="shared" si="6"/>
        <v>18</v>
      </c>
      <c r="AD196" s="49">
        <f t="shared" si="7"/>
        <v>9</v>
      </c>
      <c r="AE196" s="469">
        <f t="shared" si="8"/>
        <v>9</v>
      </c>
      <c r="AF196" s="489"/>
    </row>
    <row r="197" spans="1:32" customFormat="1">
      <c r="A197" s="23">
        <v>197</v>
      </c>
      <c r="B197" s="285" t="s">
        <v>658</v>
      </c>
      <c r="C197" s="331" t="s">
        <v>659</v>
      </c>
      <c r="D197" s="590">
        <v>0</v>
      </c>
      <c r="E197" s="46"/>
      <c r="F197" s="98"/>
      <c r="G197" s="46">
        <f>1+2</f>
        <v>3</v>
      </c>
      <c r="H197" s="98">
        <f>1+2</f>
        <v>3</v>
      </c>
      <c r="I197" s="46"/>
      <c r="J197" s="98"/>
      <c r="K197" s="46"/>
      <c r="L197" s="98"/>
      <c r="M197" s="46"/>
      <c r="N197" s="50"/>
      <c r="O197" s="46"/>
      <c r="P197" s="50"/>
      <c r="Q197" s="46"/>
      <c r="R197" s="50"/>
      <c r="S197" s="46"/>
      <c r="T197" s="50"/>
      <c r="U197" s="46"/>
      <c r="V197" s="50"/>
      <c r="W197" s="46"/>
      <c r="X197" s="50"/>
      <c r="Y197" s="46"/>
      <c r="Z197" s="50"/>
      <c r="AA197" s="54"/>
      <c r="AB197" s="52"/>
      <c r="AC197" s="26">
        <f t="shared" si="6"/>
        <v>3</v>
      </c>
      <c r="AD197" s="49">
        <f t="shared" si="7"/>
        <v>3</v>
      </c>
      <c r="AE197" s="461">
        <f t="shared" si="8"/>
        <v>0</v>
      </c>
    </row>
    <row r="198" spans="1:32" customFormat="1">
      <c r="A198" s="3">
        <v>198</v>
      </c>
      <c r="B198" s="285" t="s">
        <v>660</v>
      </c>
      <c r="C198" s="331" t="s">
        <v>661</v>
      </c>
      <c r="D198" s="590">
        <v>0</v>
      </c>
      <c r="E198" s="46"/>
      <c r="F198" s="98"/>
      <c r="G198" s="46">
        <f>1</f>
        <v>1</v>
      </c>
      <c r="H198" s="98">
        <f>1</f>
        <v>1</v>
      </c>
      <c r="I198" s="46"/>
      <c r="J198" s="98"/>
      <c r="K198" s="46"/>
      <c r="L198" s="98"/>
      <c r="M198" s="46"/>
      <c r="N198" s="50"/>
      <c r="O198" s="46"/>
      <c r="P198" s="50"/>
      <c r="Q198" s="46"/>
      <c r="R198" s="50"/>
      <c r="S198" s="46"/>
      <c r="T198" s="50"/>
      <c r="U198" s="46"/>
      <c r="V198" s="50"/>
      <c r="W198" s="46"/>
      <c r="X198" s="50"/>
      <c r="Y198" s="46"/>
      <c r="Z198" s="50"/>
      <c r="AA198" s="54"/>
      <c r="AB198" s="52"/>
      <c r="AC198" s="26">
        <f t="shared" ref="AC198:AC209" si="9">SUM(D198,E198,G198,I198,K198,M198,O198,Q198,S198,U198,W198,Y198,AA198)</f>
        <v>1</v>
      </c>
      <c r="AD198" s="49">
        <f t="shared" ref="AD198:AD209" si="10">SUM(F198,H198,J198,L198,N198,P198,R198,T198,V198,X198,Z198,AB198)</f>
        <v>1</v>
      </c>
      <c r="AE198" s="461">
        <f t="shared" ref="AE198:AE209" si="11">SUM(AC198-AD198)</f>
        <v>0</v>
      </c>
    </row>
    <row r="199" spans="1:32" customFormat="1">
      <c r="A199" s="23">
        <v>199</v>
      </c>
      <c r="B199" s="285" t="s">
        <v>662</v>
      </c>
      <c r="C199" s="331" t="s">
        <v>663</v>
      </c>
      <c r="D199" s="590">
        <v>0</v>
      </c>
      <c r="E199" s="46"/>
      <c r="F199" s="98"/>
      <c r="G199" s="46">
        <f>2</f>
        <v>2</v>
      </c>
      <c r="H199" s="98">
        <f>2</f>
        <v>2</v>
      </c>
      <c r="I199" s="46"/>
      <c r="J199" s="98"/>
      <c r="K199" s="46"/>
      <c r="L199" s="98"/>
      <c r="M199" s="46"/>
      <c r="N199" s="50"/>
      <c r="O199" s="46"/>
      <c r="P199" s="50"/>
      <c r="Q199" s="46"/>
      <c r="R199" s="50"/>
      <c r="S199" s="46"/>
      <c r="T199" s="50"/>
      <c r="U199" s="46"/>
      <c r="V199" s="50"/>
      <c r="W199" s="46"/>
      <c r="X199" s="50"/>
      <c r="Y199" s="46"/>
      <c r="Z199" s="50"/>
      <c r="AA199" s="54"/>
      <c r="AB199" s="52"/>
      <c r="AC199" s="26">
        <f t="shared" si="9"/>
        <v>2</v>
      </c>
      <c r="AD199" s="49">
        <f t="shared" si="10"/>
        <v>2</v>
      </c>
      <c r="AE199" s="461">
        <f t="shared" si="11"/>
        <v>0</v>
      </c>
    </row>
    <row r="200" spans="1:32" customFormat="1">
      <c r="A200" s="3">
        <v>200</v>
      </c>
      <c r="B200" s="285" t="s">
        <v>664</v>
      </c>
      <c r="C200" s="331" t="s">
        <v>665</v>
      </c>
      <c r="D200" s="590">
        <v>0</v>
      </c>
      <c r="E200" s="46"/>
      <c r="F200" s="98"/>
      <c r="G200" s="46">
        <f>2</f>
        <v>2</v>
      </c>
      <c r="H200" s="98">
        <f>2</f>
        <v>2</v>
      </c>
      <c r="I200" s="46"/>
      <c r="J200" s="98"/>
      <c r="K200" s="46"/>
      <c r="L200" s="98"/>
      <c r="M200" s="46"/>
      <c r="N200" s="50"/>
      <c r="O200" s="46"/>
      <c r="P200" s="50"/>
      <c r="Q200" s="46"/>
      <c r="R200" s="50"/>
      <c r="S200" s="46"/>
      <c r="T200" s="50"/>
      <c r="U200" s="46"/>
      <c r="V200" s="50"/>
      <c r="W200" s="46"/>
      <c r="X200" s="50"/>
      <c r="Y200" s="46"/>
      <c r="Z200" s="50"/>
      <c r="AA200" s="54"/>
      <c r="AB200" s="52"/>
      <c r="AC200" s="26">
        <f t="shared" si="9"/>
        <v>2</v>
      </c>
      <c r="AD200" s="49">
        <f t="shared" si="10"/>
        <v>2</v>
      </c>
      <c r="AE200" s="461">
        <f t="shared" si="11"/>
        <v>0</v>
      </c>
    </row>
    <row r="201" spans="1:32" customFormat="1">
      <c r="A201" s="23">
        <v>201</v>
      </c>
      <c r="B201" s="285" t="s">
        <v>729</v>
      </c>
      <c r="C201" s="331" t="s">
        <v>391</v>
      </c>
      <c r="D201" s="590">
        <v>0</v>
      </c>
      <c r="E201" s="46"/>
      <c r="F201" s="98"/>
      <c r="G201" s="46">
        <v>1</v>
      </c>
      <c r="H201" s="98">
        <v>1</v>
      </c>
      <c r="I201" s="46"/>
      <c r="J201" s="98"/>
      <c r="K201" s="46"/>
      <c r="L201" s="98"/>
      <c r="M201" s="46"/>
      <c r="N201" s="50"/>
      <c r="O201" s="46"/>
      <c r="P201" s="50"/>
      <c r="Q201" s="46"/>
      <c r="R201" s="50"/>
      <c r="S201" s="46"/>
      <c r="T201" s="50"/>
      <c r="U201" s="46"/>
      <c r="V201" s="50"/>
      <c r="W201" s="46"/>
      <c r="X201" s="50"/>
      <c r="Y201" s="46"/>
      <c r="Z201" s="50"/>
      <c r="AA201" s="54"/>
      <c r="AB201" s="52"/>
      <c r="AC201" s="26">
        <f t="shared" si="9"/>
        <v>1</v>
      </c>
      <c r="AD201" s="49">
        <f t="shared" si="10"/>
        <v>1</v>
      </c>
      <c r="AE201" s="461">
        <f t="shared" si="11"/>
        <v>0</v>
      </c>
    </row>
    <row r="202" spans="1:32" customFormat="1">
      <c r="A202" s="3">
        <v>202</v>
      </c>
      <c r="B202" s="285" t="s">
        <v>666</v>
      </c>
      <c r="C202" s="331" t="s">
        <v>667</v>
      </c>
      <c r="D202" s="590">
        <v>0</v>
      </c>
      <c r="E202" s="46"/>
      <c r="F202" s="98"/>
      <c r="G202" s="46">
        <f>3</f>
        <v>3</v>
      </c>
      <c r="H202" s="98">
        <v>3</v>
      </c>
      <c r="I202" s="46"/>
      <c r="J202" s="98"/>
      <c r="K202" s="46"/>
      <c r="L202" s="98"/>
      <c r="M202" s="46"/>
      <c r="N202" s="50"/>
      <c r="O202" s="46"/>
      <c r="P202" s="50"/>
      <c r="Q202" s="46"/>
      <c r="R202" s="50"/>
      <c r="S202" s="46"/>
      <c r="T202" s="50"/>
      <c r="U202" s="46"/>
      <c r="V202" s="50"/>
      <c r="W202" s="46"/>
      <c r="X202" s="50"/>
      <c r="Y202" s="46"/>
      <c r="Z202" s="50"/>
      <c r="AA202" s="54"/>
      <c r="AB202" s="52"/>
      <c r="AC202" s="26">
        <f t="shared" si="9"/>
        <v>3</v>
      </c>
      <c r="AD202" s="49">
        <f t="shared" si="10"/>
        <v>3</v>
      </c>
      <c r="AE202" s="461">
        <f t="shared" si="11"/>
        <v>0</v>
      </c>
    </row>
    <row r="203" spans="1:32" customFormat="1">
      <c r="A203" s="23">
        <v>203</v>
      </c>
      <c r="B203" s="285" t="s">
        <v>738</v>
      </c>
      <c r="C203" s="331" t="s">
        <v>320</v>
      </c>
      <c r="D203" s="590">
        <v>0</v>
      </c>
      <c r="E203" s="46"/>
      <c r="F203" s="98"/>
      <c r="G203" s="46">
        <f>1</f>
        <v>1</v>
      </c>
      <c r="H203" s="98">
        <v>1</v>
      </c>
      <c r="I203" s="46"/>
      <c r="J203" s="98"/>
      <c r="K203" s="46"/>
      <c r="L203" s="98"/>
      <c r="M203" s="46"/>
      <c r="N203" s="50"/>
      <c r="O203" s="46"/>
      <c r="P203" s="50"/>
      <c r="Q203" s="46"/>
      <c r="R203" s="50"/>
      <c r="S203" s="46"/>
      <c r="T203" s="50"/>
      <c r="U203" s="46"/>
      <c r="V203" s="50"/>
      <c r="W203" s="46"/>
      <c r="X203" s="50"/>
      <c r="Y203" s="46"/>
      <c r="Z203" s="50"/>
      <c r="AA203" s="54"/>
      <c r="AB203" s="52"/>
      <c r="AC203" s="26">
        <f t="shared" si="9"/>
        <v>1</v>
      </c>
      <c r="AD203" s="49">
        <f t="shared" si="10"/>
        <v>1</v>
      </c>
      <c r="AE203" s="461">
        <f t="shared" si="11"/>
        <v>0</v>
      </c>
    </row>
    <row r="204" spans="1:32" customFormat="1">
      <c r="A204" s="3">
        <v>204</v>
      </c>
      <c r="B204" s="285" t="s">
        <v>668</v>
      </c>
      <c r="C204" s="331" t="s">
        <v>669</v>
      </c>
      <c r="D204" s="590">
        <v>0</v>
      </c>
      <c r="E204" s="46"/>
      <c r="F204" s="98"/>
      <c r="G204" s="46">
        <f>1</f>
        <v>1</v>
      </c>
      <c r="H204" s="98">
        <v>1</v>
      </c>
      <c r="I204" s="46"/>
      <c r="J204" s="98"/>
      <c r="K204" s="46"/>
      <c r="L204" s="98"/>
      <c r="M204" s="46"/>
      <c r="N204" s="50"/>
      <c r="O204" s="46"/>
      <c r="P204" s="50"/>
      <c r="Q204" s="46"/>
      <c r="R204" s="50"/>
      <c r="S204" s="46">
        <f>1</f>
        <v>1</v>
      </c>
      <c r="T204" s="50">
        <v>1</v>
      </c>
      <c r="U204" s="46"/>
      <c r="V204" s="50"/>
      <c r="W204" s="46"/>
      <c r="X204" s="50"/>
      <c r="Y204" s="46"/>
      <c r="Z204" s="50"/>
      <c r="AA204" s="54"/>
      <c r="AB204" s="52"/>
      <c r="AC204" s="26">
        <f t="shared" si="9"/>
        <v>2</v>
      </c>
      <c r="AD204" s="49">
        <f t="shared" si="10"/>
        <v>2</v>
      </c>
      <c r="AE204" s="461">
        <f t="shared" si="11"/>
        <v>0</v>
      </c>
    </row>
    <row r="205" spans="1:32" customFormat="1">
      <c r="A205" s="23">
        <v>205</v>
      </c>
      <c r="B205" s="285" t="s">
        <v>670</v>
      </c>
      <c r="C205" s="331" t="s">
        <v>671</v>
      </c>
      <c r="D205" s="590">
        <v>0</v>
      </c>
      <c r="E205" s="46"/>
      <c r="F205" s="98"/>
      <c r="G205" s="46">
        <f>1</f>
        <v>1</v>
      </c>
      <c r="H205" s="98">
        <v>1</v>
      </c>
      <c r="I205" s="46"/>
      <c r="J205" s="98"/>
      <c r="K205" s="46"/>
      <c r="L205" s="98"/>
      <c r="M205" s="46"/>
      <c r="N205" s="50"/>
      <c r="O205" s="46"/>
      <c r="P205" s="50"/>
      <c r="Q205" s="46"/>
      <c r="R205" s="50"/>
      <c r="S205" s="46"/>
      <c r="T205" s="50"/>
      <c r="U205" s="46"/>
      <c r="V205" s="50"/>
      <c r="W205" s="46"/>
      <c r="X205" s="50"/>
      <c r="Y205" s="46"/>
      <c r="Z205" s="50"/>
      <c r="AA205" s="54"/>
      <c r="AB205" s="52"/>
      <c r="AC205" s="26">
        <f t="shared" si="9"/>
        <v>1</v>
      </c>
      <c r="AD205" s="49">
        <f t="shared" si="10"/>
        <v>1</v>
      </c>
      <c r="AE205" s="461">
        <f t="shared" si="11"/>
        <v>0</v>
      </c>
    </row>
    <row r="206" spans="1:32" customFormat="1">
      <c r="A206" s="3">
        <v>206</v>
      </c>
      <c r="B206" s="285" t="s">
        <v>672</v>
      </c>
      <c r="C206" s="331" t="s">
        <v>673</v>
      </c>
      <c r="D206" s="590">
        <v>0</v>
      </c>
      <c r="E206" s="46"/>
      <c r="F206" s="98"/>
      <c r="G206" s="46">
        <f>1</f>
        <v>1</v>
      </c>
      <c r="H206" s="98">
        <v>1</v>
      </c>
      <c r="I206" s="46"/>
      <c r="J206" s="98"/>
      <c r="K206" s="46"/>
      <c r="L206" s="98"/>
      <c r="M206" s="46"/>
      <c r="N206" s="50"/>
      <c r="O206" s="46"/>
      <c r="P206" s="50"/>
      <c r="Q206" s="46"/>
      <c r="R206" s="50"/>
      <c r="S206" s="46"/>
      <c r="T206" s="50"/>
      <c r="U206" s="46"/>
      <c r="V206" s="50"/>
      <c r="W206" s="46"/>
      <c r="X206" s="50"/>
      <c r="Y206" s="46"/>
      <c r="Z206" s="50"/>
      <c r="AA206" s="54"/>
      <c r="AB206" s="52"/>
      <c r="AC206" s="26">
        <f t="shared" si="9"/>
        <v>1</v>
      </c>
      <c r="AD206" s="49">
        <f t="shared" si="10"/>
        <v>1</v>
      </c>
      <c r="AE206" s="461">
        <f t="shared" si="11"/>
        <v>0</v>
      </c>
    </row>
    <row r="207" spans="1:32">
      <c r="A207" s="23">
        <v>207</v>
      </c>
      <c r="B207" s="285" t="s">
        <v>674</v>
      </c>
      <c r="C207" s="498" t="s">
        <v>675</v>
      </c>
      <c r="D207" s="590">
        <v>0</v>
      </c>
      <c r="E207" s="524"/>
      <c r="F207" s="504"/>
      <c r="G207" s="524">
        <f>3</f>
        <v>3</v>
      </c>
      <c r="H207" s="504">
        <f>1</f>
        <v>1</v>
      </c>
      <c r="I207" s="524"/>
      <c r="J207" s="504"/>
      <c r="K207" s="524"/>
      <c r="L207" s="504"/>
      <c r="M207" s="524"/>
      <c r="N207" s="505"/>
      <c r="O207" s="524"/>
      <c r="P207" s="505"/>
      <c r="Q207" s="46"/>
      <c r="R207" s="50"/>
      <c r="S207" s="46">
        <f>1</f>
        <v>1</v>
      </c>
      <c r="T207" s="50">
        <v>1</v>
      </c>
      <c r="U207" s="46"/>
      <c r="V207" s="50"/>
      <c r="W207" s="46"/>
      <c r="X207" s="50"/>
      <c r="Y207" s="46"/>
      <c r="Z207" s="50"/>
      <c r="AA207" s="54"/>
      <c r="AB207" s="52"/>
      <c r="AC207" s="26">
        <f t="shared" si="9"/>
        <v>4</v>
      </c>
      <c r="AD207" s="49">
        <f t="shared" si="10"/>
        <v>2</v>
      </c>
      <c r="AE207" s="469">
        <f t="shared" si="11"/>
        <v>2</v>
      </c>
      <c r="AF207" s="489"/>
    </row>
    <row r="208" spans="1:32" customFormat="1">
      <c r="A208" s="3">
        <v>208</v>
      </c>
      <c r="B208" s="76" t="s">
        <v>676</v>
      </c>
      <c r="C208" s="331" t="s">
        <v>677</v>
      </c>
      <c r="D208" s="590">
        <v>0</v>
      </c>
      <c r="E208" s="46"/>
      <c r="F208" s="98"/>
      <c r="G208" s="46">
        <f>1</f>
        <v>1</v>
      </c>
      <c r="H208" s="98">
        <v>1</v>
      </c>
      <c r="I208" s="46"/>
      <c r="J208" s="98"/>
      <c r="K208" s="46"/>
      <c r="L208" s="98"/>
      <c r="M208" s="46"/>
      <c r="N208" s="50"/>
      <c r="O208" s="46"/>
      <c r="P208" s="50"/>
      <c r="Q208" s="46"/>
      <c r="R208" s="50"/>
      <c r="S208" s="46"/>
      <c r="T208" s="50"/>
      <c r="U208" s="46"/>
      <c r="V208" s="50"/>
      <c r="W208" s="46"/>
      <c r="X208" s="50"/>
      <c r="Y208" s="46"/>
      <c r="Z208" s="50"/>
      <c r="AA208" s="54"/>
      <c r="AB208" s="52"/>
      <c r="AC208" s="26">
        <f t="shared" si="9"/>
        <v>1</v>
      </c>
      <c r="AD208" s="49">
        <f t="shared" si="10"/>
        <v>1</v>
      </c>
      <c r="AE208" s="461">
        <f t="shared" si="11"/>
        <v>0</v>
      </c>
    </row>
    <row r="209" spans="1:31" customFormat="1">
      <c r="A209" s="23">
        <v>209</v>
      </c>
      <c r="B209" s="76" t="s">
        <v>678</v>
      </c>
      <c r="C209" s="331" t="s">
        <v>679</v>
      </c>
      <c r="D209" s="590">
        <v>0</v>
      </c>
      <c r="E209" s="46"/>
      <c r="F209" s="98"/>
      <c r="G209" s="46">
        <v>1</v>
      </c>
      <c r="H209" s="98">
        <v>1</v>
      </c>
      <c r="I209" s="46"/>
      <c r="J209" s="98"/>
      <c r="K209" s="46"/>
      <c r="L209" s="98"/>
      <c r="M209" s="46"/>
      <c r="N209" s="50"/>
      <c r="O209" s="46"/>
      <c r="P209" s="50"/>
      <c r="Q209" s="46"/>
      <c r="R209" s="50"/>
      <c r="S209" s="46"/>
      <c r="T209" s="50"/>
      <c r="U209" s="46"/>
      <c r="V209" s="50"/>
      <c r="W209" s="46"/>
      <c r="X209" s="50"/>
      <c r="Y209" s="46"/>
      <c r="Z209" s="50"/>
      <c r="AA209" s="54"/>
      <c r="AB209" s="52"/>
      <c r="AC209" s="26">
        <f t="shared" si="9"/>
        <v>1</v>
      </c>
      <c r="AD209" s="49">
        <f t="shared" si="10"/>
        <v>1</v>
      </c>
      <c r="AE209" s="461">
        <f t="shared" si="11"/>
        <v>0</v>
      </c>
    </row>
    <row r="210" spans="1:31" customFormat="1">
      <c r="A210" s="3">
        <v>210</v>
      </c>
      <c r="B210" s="76" t="s">
        <v>680</v>
      </c>
      <c r="C210" s="331" t="s">
        <v>681</v>
      </c>
      <c r="D210" s="590">
        <v>0</v>
      </c>
      <c r="E210" s="46"/>
      <c r="F210" s="98"/>
      <c r="G210" s="46">
        <f>3</f>
        <v>3</v>
      </c>
      <c r="H210" s="98">
        <v>3</v>
      </c>
      <c r="I210" s="46"/>
      <c r="J210" s="98"/>
      <c r="K210" s="46"/>
      <c r="L210" s="98"/>
      <c r="M210" s="46"/>
      <c r="N210" s="50"/>
      <c r="O210" s="46"/>
      <c r="P210" s="50"/>
      <c r="Q210" s="46"/>
      <c r="R210" s="50"/>
      <c r="S210" s="46"/>
      <c r="T210" s="50"/>
      <c r="U210" s="46"/>
      <c r="V210" s="50"/>
      <c r="W210" s="46"/>
      <c r="X210" s="50"/>
      <c r="Y210" s="46"/>
      <c r="Z210" s="50"/>
      <c r="AA210" s="54"/>
      <c r="AB210" s="52"/>
      <c r="AC210" s="26">
        <f t="shared" ref="AC210:AC235" si="12">SUM(D210,E210,G210,I210,K210,M210,O210,Q210,S210,U210,W210,Y210,AA210)</f>
        <v>3</v>
      </c>
      <c r="AD210" s="49">
        <f t="shared" ref="AD210:AD235" si="13">SUM(F210,H210,J210,L210,N210,P210,R210,T210,V210,X210,Z210,AB210)</f>
        <v>3</v>
      </c>
      <c r="AE210" s="461">
        <f t="shared" ref="AE210:AE235" si="14">SUM(AC210-AD210)</f>
        <v>0</v>
      </c>
    </row>
    <row r="211" spans="1:31" customFormat="1">
      <c r="A211" s="23">
        <v>211</v>
      </c>
      <c r="B211" s="76" t="s">
        <v>682</v>
      </c>
      <c r="C211" s="331" t="s">
        <v>683</v>
      </c>
      <c r="D211" s="590">
        <v>0</v>
      </c>
      <c r="E211" s="46"/>
      <c r="F211" s="98"/>
      <c r="G211" s="46">
        <v>2</v>
      </c>
      <c r="H211" s="98">
        <v>2</v>
      </c>
      <c r="I211" s="46"/>
      <c r="J211" s="98"/>
      <c r="K211" s="46"/>
      <c r="L211" s="98"/>
      <c r="M211" s="46"/>
      <c r="N211" s="50"/>
      <c r="O211" s="46"/>
      <c r="P211" s="50"/>
      <c r="Q211" s="46"/>
      <c r="R211" s="50"/>
      <c r="S211" s="46"/>
      <c r="T211" s="50"/>
      <c r="U211" s="46"/>
      <c r="V211" s="50"/>
      <c r="W211" s="46"/>
      <c r="X211" s="50"/>
      <c r="Y211" s="46"/>
      <c r="Z211" s="50"/>
      <c r="AA211" s="54"/>
      <c r="AB211" s="52"/>
      <c r="AC211" s="26">
        <f t="shared" si="12"/>
        <v>2</v>
      </c>
      <c r="AD211" s="49">
        <f t="shared" si="13"/>
        <v>2</v>
      </c>
      <c r="AE211" s="461">
        <f t="shared" si="14"/>
        <v>0</v>
      </c>
    </row>
    <row r="212" spans="1:31" customFormat="1">
      <c r="A212" s="3">
        <v>212</v>
      </c>
      <c r="B212" s="76" t="s">
        <v>684</v>
      </c>
      <c r="C212" s="331" t="s">
        <v>685</v>
      </c>
      <c r="D212" s="590">
        <v>0</v>
      </c>
      <c r="E212" s="46"/>
      <c r="F212" s="98"/>
      <c r="G212" s="46">
        <v>5</v>
      </c>
      <c r="H212" s="98"/>
      <c r="I212" s="46"/>
      <c r="J212" s="98">
        <f>5</f>
        <v>5</v>
      </c>
      <c r="K212" s="46"/>
      <c r="L212" s="98"/>
      <c r="M212" s="46"/>
      <c r="N212" s="50"/>
      <c r="O212" s="46"/>
      <c r="P212" s="50"/>
      <c r="Q212" s="46"/>
      <c r="R212" s="50"/>
      <c r="S212" s="46"/>
      <c r="T212" s="50"/>
      <c r="U212" s="46"/>
      <c r="V212" s="50"/>
      <c r="W212" s="46"/>
      <c r="X212" s="50"/>
      <c r="Y212" s="46"/>
      <c r="Z212" s="50"/>
      <c r="AA212" s="54"/>
      <c r="AB212" s="52"/>
      <c r="AC212" s="26">
        <f t="shared" si="12"/>
        <v>5</v>
      </c>
      <c r="AD212" s="49">
        <f t="shared" si="13"/>
        <v>5</v>
      </c>
      <c r="AE212" s="461">
        <f t="shared" si="14"/>
        <v>0</v>
      </c>
    </row>
    <row r="213" spans="1:31" customFormat="1">
      <c r="A213" s="23">
        <v>213</v>
      </c>
      <c r="B213" s="76" t="s">
        <v>686</v>
      </c>
      <c r="C213" s="331" t="s">
        <v>687</v>
      </c>
      <c r="D213" s="590">
        <v>0</v>
      </c>
      <c r="E213" s="46"/>
      <c r="F213" s="98"/>
      <c r="G213" s="46">
        <v>4</v>
      </c>
      <c r="H213" s="98">
        <f>4</f>
        <v>4</v>
      </c>
      <c r="I213" s="46"/>
      <c r="J213" s="98"/>
      <c r="K213" s="46"/>
      <c r="L213" s="98"/>
      <c r="M213" s="46"/>
      <c r="N213" s="50"/>
      <c r="O213" s="46"/>
      <c r="P213" s="50"/>
      <c r="Q213" s="46"/>
      <c r="R213" s="50"/>
      <c r="S213" s="46"/>
      <c r="T213" s="50"/>
      <c r="U213" s="46"/>
      <c r="V213" s="50"/>
      <c r="W213" s="46"/>
      <c r="X213" s="50"/>
      <c r="Y213" s="46"/>
      <c r="Z213" s="50"/>
      <c r="AA213" s="54"/>
      <c r="AB213" s="52"/>
      <c r="AC213" s="26">
        <f t="shared" si="12"/>
        <v>4</v>
      </c>
      <c r="AD213" s="49">
        <f t="shared" si="13"/>
        <v>4</v>
      </c>
      <c r="AE213" s="461">
        <f t="shared" si="14"/>
        <v>0</v>
      </c>
    </row>
    <row r="214" spans="1:31" customFormat="1">
      <c r="A214" s="3">
        <v>214</v>
      </c>
      <c r="B214" s="285" t="s">
        <v>688</v>
      </c>
      <c r="C214" s="331" t="s">
        <v>689</v>
      </c>
      <c r="D214" s="590">
        <v>0</v>
      </c>
      <c r="E214" s="46"/>
      <c r="F214" s="98"/>
      <c r="G214" s="46">
        <f>1</f>
        <v>1</v>
      </c>
      <c r="H214" s="98">
        <f>1</f>
        <v>1</v>
      </c>
      <c r="I214" s="46"/>
      <c r="J214" s="98"/>
      <c r="K214" s="46"/>
      <c r="L214" s="98"/>
      <c r="M214" s="46"/>
      <c r="N214" s="50"/>
      <c r="O214" s="46"/>
      <c r="P214" s="50"/>
      <c r="Q214" s="46"/>
      <c r="R214" s="50"/>
      <c r="S214" s="46"/>
      <c r="T214" s="50"/>
      <c r="U214" s="46"/>
      <c r="V214" s="50"/>
      <c r="W214" s="46"/>
      <c r="X214" s="50"/>
      <c r="Y214" s="46"/>
      <c r="Z214" s="50"/>
      <c r="AA214" s="54"/>
      <c r="AB214" s="52"/>
      <c r="AC214" s="26">
        <f t="shared" si="12"/>
        <v>1</v>
      </c>
      <c r="AD214" s="49">
        <f t="shared" si="13"/>
        <v>1</v>
      </c>
      <c r="AE214" s="461">
        <f t="shared" si="14"/>
        <v>0</v>
      </c>
    </row>
    <row r="215" spans="1:31" customFormat="1">
      <c r="A215" s="23">
        <v>215</v>
      </c>
      <c r="B215" s="76" t="s">
        <v>690</v>
      </c>
      <c r="C215" s="252" t="s">
        <v>695</v>
      </c>
      <c r="D215" s="590">
        <v>0</v>
      </c>
      <c r="E215" s="46"/>
      <c r="F215" s="98"/>
      <c r="G215" s="46">
        <v>1</v>
      </c>
      <c r="H215" s="98">
        <v>1</v>
      </c>
      <c r="I215" s="46"/>
      <c r="J215" s="98"/>
      <c r="K215" s="46"/>
      <c r="L215" s="98"/>
      <c r="M215" s="46"/>
      <c r="N215" s="50"/>
      <c r="O215" s="46"/>
      <c r="P215" s="50"/>
      <c r="Q215" s="46"/>
      <c r="R215" s="50"/>
      <c r="S215" s="46"/>
      <c r="T215" s="50"/>
      <c r="U215" s="46"/>
      <c r="V215" s="50"/>
      <c r="W215" s="46"/>
      <c r="X215" s="50"/>
      <c r="Y215" s="46"/>
      <c r="Z215" s="50"/>
      <c r="AA215" s="54"/>
      <c r="AB215" s="52"/>
      <c r="AC215" s="26">
        <f t="shared" si="12"/>
        <v>1</v>
      </c>
      <c r="AD215" s="49">
        <f t="shared" si="13"/>
        <v>1</v>
      </c>
      <c r="AE215" s="461">
        <f t="shared" si="14"/>
        <v>0</v>
      </c>
    </row>
    <row r="216" spans="1:31" customFormat="1">
      <c r="A216" s="3">
        <v>216</v>
      </c>
      <c r="B216" s="76" t="s">
        <v>691</v>
      </c>
      <c r="C216" s="252" t="s">
        <v>696</v>
      </c>
      <c r="D216" s="590">
        <v>0</v>
      </c>
      <c r="E216" s="46"/>
      <c r="F216" s="98"/>
      <c r="G216" s="46">
        <v>1</v>
      </c>
      <c r="H216" s="98">
        <v>1</v>
      </c>
      <c r="I216" s="46"/>
      <c r="J216" s="98"/>
      <c r="K216" s="46"/>
      <c r="L216" s="98"/>
      <c r="M216" s="46"/>
      <c r="N216" s="50"/>
      <c r="O216" s="46"/>
      <c r="P216" s="50"/>
      <c r="Q216" s="46"/>
      <c r="R216" s="50"/>
      <c r="S216" s="46"/>
      <c r="T216" s="50"/>
      <c r="U216" s="46"/>
      <c r="V216" s="50"/>
      <c r="W216" s="46"/>
      <c r="X216" s="50"/>
      <c r="Y216" s="46"/>
      <c r="Z216" s="50"/>
      <c r="AA216" s="54"/>
      <c r="AB216" s="52"/>
      <c r="AC216" s="26">
        <f t="shared" si="12"/>
        <v>1</v>
      </c>
      <c r="AD216" s="49">
        <f t="shared" si="13"/>
        <v>1</v>
      </c>
      <c r="AE216" s="461">
        <f t="shared" si="14"/>
        <v>0</v>
      </c>
    </row>
    <row r="217" spans="1:31" customFormat="1">
      <c r="A217" s="23">
        <v>217</v>
      </c>
      <c r="B217" s="76" t="s">
        <v>692</v>
      </c>
      <c r="C217" s="252" t="s">
        <v>697</v>
      </c>
      <c r="D217" s="590">
        <v>0</v>
      </c>
      <c r="E217" s="46"/>
      <c r="F217" s="98"/>
      <c r="G217" s="46">
        <v>1</v>
      </c>
      <c r="H217" s="98">
        <v>1</v>
      </c>
      <c r="I217" s="46"/>
      <c r="J217" s="98"/>
      <c r="K217" s="46"/>
      <c r="L217" s="98"/>
      <c r="M217" s="46"/>
      <c r="N217" s="50"/>
      <c r="O217" s="46"/>
      <c r="P217" s="50"/>
      <c r="Q217" s="46"/>
      <c r="R217" s="50"/>
      <c r="S217" s="46"/>
      <c r="T217" s="50"/>
      <c r="U217" s="46"/>
      <c r="V217" s="50"/>
      <c r="W217" s="46"/>
      <c r="X217" s="50"/>
      <c r="Y217" s="46"/>
      <c r="Z217" s="50"/>
      <c r="AA217" s="54"/>
      <c r="AB217" s="52"/>
      <c r="AC217" s="26">
        <f t="shared" si="12"/>
        <v>1</v>
      </c>
      <c r="AD217" s="49">
        <f t="shared" si="13"/>
        <v>1</v>
      </c>
      <c r="AE217" s="461">
        <f t="shared" si="14"/>
        <v>0</v>
      </c>
    </row>
    <row r="218" spans="1:31" customFormat="1">
      <c r="A218" s="3">
        <v>218</v>
      </c>
      <c r="B218" s="76" t="s">
        <v>693</v>
      </c>
      <c r="C218" s="252" t="s">
        <v>698</v>
      </c>
      <c r="D218" s="590">
        <v>0</v>
      </c>
      <c r="E218" s="46"/>
      <c r="F218" s="98"/>
      <c r="G218" s="46">
        <v>1</v>
      </c>
      <c r="H218" s="98">
        <v>1</v>
      </c>
      <c r="I218" s="46"/>
      <c r="J218" s="98"/>
      <c r="K218" s="46"/>
      <c r="L218" s="98"/>
      <c r="M218" s="46"/>
      <c r="N218" s="50"/>
      <c r="O218" s="46"/>
      <c r="P218" s="50"/>
      <c r="Q218" s="46"/>
      <c r="R218" s="50"/>
      <c r="S218" s="46"/>
      <c r="T218" s="50"/>
      <c r="U218" s="46"/>
      <c r="V218" s="50"/>
      <c r="W218" s="46"/>
      <c r="X218" s="50"/>
      <c r="Y218" s="46"/>
      <c r="Z218" s="50"/>
      <c r="AA218" s="54"/>
      <c r="AB218" s="52"/>
      <c r="AC218" s="26">
        <f t="shared" si="12"/>
        <v>1</v>
      </c>
      <c r="AD218" s="49">
        <f t="shared" si="13"/>
        <v>1</v>
      </c>
      <c r="AE218" s="461">
        <f t="shared" si="14"/>
        <v>0</v>
      </c>
    </row>
    <row r="219" spans="1:31" customFormat="1">
      <c r="A219" s="23">
        <v>219</v>
      </c>
      <c r="B219" s="76" t="s">
        <v>694</v>
      </c>
      <c r="C219" s="252" t="s">
        <v>699</v>
      </c>
      <c r="D219" s="590">
        <v>0</v>
      </c>
      <c r="E219" s="46"/>
      <c r="F219" s="98"/>
      <c r="G219" s="46">
        <v>1</v>
      </c>
      <c r="H219" s="98">
        <v>1</v>
      </c>
      <c r="I219" s="46"/>
      <c r="J219" s="98"/>
      <c r="K219" s="46"/>
      <c r="L219" s="98"/>
      <c r="M219" s="46"/>
      <c r="N219" s="50"/>
      <c r="O219" s="46"/>
      <c r="P219" s="50"/>
      <c r="Q219" s="46"/>
      <c r="R219" s="50"/>
      <c r="S219" s="46"/>
      <c r="T219" s="50"/>
      <c r="U219" s="46"/>
      <c r="V219" s="50"/>
      <c r="W219" s="46"/>
      <c r="X219" s="50"/>
      <c r="Y219" s="46"/>
      <c r="Z219" s="50"/>
      <c r="AA219" s="54"/>
      <c r="AB219" s="52"/>
      <c r="AC219" s="26">
        <f t="shared" si="12"/>
        <v>1</v>
      </c>
      <c r="AD219" s="49">
        <f t="shared" si="13"/>
        <v>1</v>
      </c>
      <c r="AE219" s="461">
        <f t="shared" si="14"/>
        <v>0</v>
      </c>
    </row>
    <row r="220" spans="1:31" customFormat="1">
      <c r="A220" s="3">
        <v>220</v>
      </c>
      <c r="B220" s="76" t="s">
        <v>700</v>
      </c>
      <c r="C220" s="252" t="s">
        <v>702</v>
      </c>
      <c r="D220" s="590">
        <v>0</v>
      </c>
      <c r="E220" s="46"/>
      <c r="F220" s="98"/>
      <c r="G220" s="46">
        <v>3</v>
      </c>
      <c r="H220" s="98">
        <v>3</v>
      </c>
      <c r="I220" s="46"/>
      <c r="J220" s="98"/>
      <c r="K220" s="46"/>
      <c r="L220" s="98"/>
      <c r="M220" s="524">
        <v>12</v>
      </c>
      <c r="N220" s="567"/>
      <c r="O220" s="524"/>
      <c r="P220" s="505">
        <v>5</v>
      </c>
      <c r="Q220" s="46"/>
      <c r="R220" s="50"/>
      <c r="S220" s="46"/>
      <c r="T220" s="50"/>
      <c r="U220" s="46"/>
      <c r="V220" s="50"/>
      <c r="W220" s="46"/>
      <c r="X220" s="50"/>
      <c r="Y220" s="46"/>
      <c r="Z220" s="50"/>
      <c r="AA220" s="54"/>
      <c r="AB220" s="52"/>
      <c r="AC220" s="694">
        <f t="shared" si="12"/>
        <v>15</v>
      </c>
      <c r="AD220" s="695">
        <f t="shared" si="13"/>
        <v>8</v>
      </c>
      <c r="AE220" s="469">
        <f t="shared" si="14"/>
        <v>7</v>
      </c>
    </row>
    <row r="221" spans="1:31" customFormat="1">
      <c r="A221" s="23">
        <v>221</v>
      </c>
      <c r="B221" s="76" t="s">
        <v>701</v>
      </c>
      <c r="C221" s="252" t="s">
        <v>703</v>
      </c>
      <c r="D221" s="590">
        <v>0</v>
      </c>
      <c r="E221" s="46"/>
      <c r="F221" s="98"/>
      <c r="G221" s="46">
        <v>5</v>
      </c>
      <c r="H221" s="98">
        <v>5</v>
      </c>
      <c r="I221" s="46"/>
      <c r="J221" s="98"/>
      <c r="K221" s="46"/>
      <c r="L221" s="98"/>
      <c r="M221" s="46"/>
      <c r="N221" s="50"/>
      <c r="O221" s="46"/>
      <c r="P221" s="50"/>
      <c r="Q221" s="46"/>
      <c r="R221" s="50"/>
      <c r="S221" s="46"/>
      <c r="T221" s="50"/>
      <c r="U221" s="46"/>
      <c r="V221" s="50"/>
      <c r="W221" s="46"/>
      <c r="X221" s="50"/>
      <c r="Y221" s="46"/>
      <c r="Z221" s="50"/>
      <c r="AA221" s="54"/>
      <c r="AB221" s="52"/>
      <c r="AC221" s="26">
        <f t="shared" si="12"/>
        <v>5</v>
      </c>
      <c r="AD221" s="49">
        <f t="shared" si="13"/>
        <v>5</v>
      </c>
      <c r="AE221" s="461">
        <f t="shared" si="14"/>
        <v>0</v>
      </c>
    </row>
    <row r="222" spans="1:31" customFormat="1">
      <c r="A222" s="3">
        <v>222</v>
      </c>
      <c r="B222" s="76" t="s">
        <v>704</v>
      </c>
      <c r="C222" s="331" t="s">
        <v>705</v>
      </c>
      <c r="D222" s="590">
        <v>0</v>
      </c>
      <c r="E222" s="46"/>
      <c r="F222" s="98"/>
      <c r="G222" s="46">
        <v>10</v>
      </c>
      <c r="H222" s="98">
        <v>10</v>
      </c>
      <c r="I222" s="46"/>
      <c r="J222" s="98"/>
      <c r="K222" s="46"/>
      <c r="L222" s="98"/>
      <c r="M222" s="46"/>
      <c r="N222" s="50"/>
      <c r="O222" s="46"/>
      <c r="P222" s="50"/>
      <c r="Q222" s="46"/>
      <c r="R222" s="50"/>
      <c r="S222" s="46"/>
      <c r="T222" s="50"/>
      <c r="U222" s="46"/>
      <c r="V222" s="50"/>
      <c r="W222" s="46"/>
      <c r="X222" s="50"/>
      <c r="Y222" s="46"/>
      <c r="Z222" s="50"/>
      <c r="AA222" s="54"/>
      <c r="AB222" s="52"/>
      <c r="AC222" s="26">
        <f t="shared" si="12"/>
        <v>10</v>
      </c>
      <c r="AD222" s="49">
        <f t="shared" si="13"/>
        <v>10</v>
      </c>
      <c r="AE222" s="461">
        <f t="shared" si="14"/>
        <v>0</v>
      </c>
    </row>
    <row r="223" spans="1:31" customFormat="1">
      <c r="A223" s="23">
        <v>223</v>
      </c>
      <c r="B223" s="76" t="s">
        <v>706</v>
      </c>
      <c r="C223" s="252" t="s">
        <v>711</v>
      </c>
      <c r="D223" s="590">
        <v>0</v>
      </c>
      <c r="E223" s="46"/>
      <c r="F223" s="98"/>
      <c r="G223" s="46">
        <v>1</v>
      </c>
      <c r="H223" s="98"/>
      <c r="I223" s="46"/>
      <c r="J223" s="98">
        <f>1</f>
        <v>1</v>
      </c>
      <c r="K223" s="46"/>
      <c r="L223" s="98"/>
      <c r="M223" s="46"/>
      <c r="N223" s="50"/>
      <c r="O223" s="46"/>
      <c r="P223" s="50"/>
      <c r="Q223" s="46"/>
      <c r="R223" s="50"/>
      <c r="S223" s="46"/>
      <c r="T223" s="50"/>
      <c r="U223" s="46"/>
      <c r="V223" s="50"/>
      <c r="W223" s="46"/>
      <c r="X223" s="50"/>
      <c r="Y223" s="46"/>
      <c r="Z223" s="50"/>
      <c r="AA223" s="54"/>
      <c r="AB223" s="52"/>
      <c r="AC223" s="26">
        <f t="shared" si="12"/>
        <v>1</v>
      </c>
      <c r="AD223" s="49">
        <f t="shared" si="13"/>
        <v>1</v>
      </c>
      <c r="AE223" s="461">
        <f t="shared" si="14"/>
        <v>0</v>
      </c>
    </row>
    <row r="224" spans="1:31" customFormat="1">
      <c r="A224" s="3">
        <v>224</v>
      </c>
      <c r="B224" s="76" t="s">
        <v>707</v>
      </c>
      <c r="C224" s="252" t="s">
        <v>712</v>
      </c>
      <c r="D224" s="590">
        <v>0</v>
      </c>
      <c r="E224" s="46"/>
      <c r="F224" s="98"/>
      <c r="G224" s="46">
        <v>11</v>
      </c>
      <c r="H224" s="98"/>
      <c r="I224" s="46"/>
      <c r="J224" s="98">
        <f>11</f>
        <v>11</v>
      </c>
      <c r="K224" s="46"/>
      <c r="L224" s="98"/>
      <c r="M224" s="46"/>
      <c r="N224" s="50"/>
      <c r="O224" s="46"/>
      <c r="P224" s="50"/>
      <c r="Q224" s="46"/>
      <c r="R224" s="50"/>
      <c r="S224" s="46"/>
      <c r="T224" s="50"/>
      <c r="U224" s="46"/>
      <c r="V224" s="50"/>
      <c r="W224" s="46">
        <v>1</v>
      </c>
      <c r="X224" s="50">
        <v>1</v>
      </c>
      <c r="Y224" s="46"/>
      <c r="Z224" s="50"/>
      <c r="AA224" s="54"/>
      <c r="AB224" s="52"/>
      <c r="AC224" s="26">
        <f t="shared" si="12"/>
        <v>12</v>
      </c>
      <c r="AD224" s="49">
        <f t="shared" si="13"/>
        <v>12</v>
      </c>
      <c r="AE224" s="461">
        <f t="shared" si="14"/>
        <v>0</v>
      </c>
    </row>
    <row r="225" spans="1:32" customFormat="1">
      <c r="A225" s="23">
        <v>225</v>
      </c>
      <c r="B225" s="76" t="s">
        <v>708</v>
      </c>
      <c r="C225" s="252" t="s">
        <v>713</v>
      </c>
      <c r="D225" s="590">
        <v>0</v>
      </c>
      <c r="E225" s="46"/>
      <c r="F225" s="98"/>
      <c r="G225" s="46">
        <v>2</v>
      </c>
      <c r="H225" s="98"/>
      <c r="I225" s="46"/>
      <c r="J225" s="98">
        <f>2</f>
        <v>2</v>
      </c>
      <c r="K225" s="46"/>
      <c r="L225" s="98"/>
      <c r="M225" s="46"/>
      <c r="N225" s="50"/>
      <c r="O225" s="46"/>
      <c r="P225" s="50"/>
      <c r="Q225" s="46"/>
      <c r="R225" s="50"/>
      <c r="S225" s="46"/>
      <c r="T225" s="50"/>
      <c r="U225" s="46"/>
      <c r="V225" s="50"/>
      <c r="W225" s="46"/>
      <c r="X225" s="50"/>
      <c r="Y225" s="46"/>
      <c r="Z225" s="50"/>
      <c r="AA225" s="54"/>
      <c r="AB225" s="52"/>
      <c r="AC225" s="26">
        <f t="shared" si="12"/>
        <v>2</v>
      </c>
      <c r="AD225" s="49">
        <f t="shared" si="13"/>
        <v>2</v>
      </c>
      <c r="AE225" s="461">
        <f t="shared" si="14"/>
        <v>0</v>
      </c>
    </row>
    <row r="226" spans="1:32" customFormat="1">
      <c r="A226" s="3">
        <v>226</v>
      </c>
      <c r="B226" s="76" t="s">
        <v>709</v>
      </c>
      <c r="C226" s="252" t="s">
        <v>714</v>
      </c>
      <c r="D226" s="590">
        <v>0</v>
      </c>
      <c r="E226" s="46"/>
      <c r="F226" s="98"/>
      <c r="G226" s="46">
        <v>4</v>
      </c>
      <c r="H226" s="98"/>
      <c r="I226" s="46">
        <f>1</f>
        <v>1</v>
      </c>
      <c r="J226" s="98">
        <v>5</v>
      </c>
      <c r="K226" s="46"/>
      <c r="L226" s="98"/>
      <c r="M226" s="46"/>
      <c r="N226" s="50"/>
      <c r="O226" s="46"/>
      <c r="P226" s="50"/>
      <c r="Q226" s="46"/>
      <c r="R226" s="50"/>
      <c r="S226" s="46"/>
      <c r="T226" s="50"/>
      <c r="U226" s="46"/>
      <c r="V226" s="50"/>
      <c r="W226" s="46"/>
      <c r="X226" s="50"/>
      <c r="Y226" s="46"/>
      <c r="Z226" s="50"/>
      <c r="AA226" s="54"/>
      <c r="AB226" s="52"/>
      <c r="AC226" s="26">
        <f t="shared" si="12"/>
        <v>5</v>
      </c>
      <c r="AD226" s="49">
        <f t="shared" si="13"/>
        <v>5</v>
      </c>
      <c r="AE226" s="461">
        <f t="shared" si="14"/>
        <v>0</v>
      </c>
    </row>
    <row r="227" spans="1:32" customFormat="1">
      <c r="A227" s="23">
        <v>227</v>
      </c>
      <c r="B227" s="76" t="s">
        <v>710</v>
      </c>
      <c r="C227" s="252" t="s">
        <v>715</v>
      </c>
      <c r="D227" s="590">
        <v>0</v>
      </c>
      <c r="E227" s="46"/>
      <c r="F227" s="98"/>
      <c r="G227" s="46">
        <v>1</v>
      </c>
      <c r="H227" s="98">
        <f>1</f>
        <v>1</v>
      </c>
      <c r="I227" s="46"/>
      <c r="J227" s="98"/>
      <c r="K227" s="46"/>
      <c r="L227" s="98"/>
      <c r="M227" s="46"/>
      <c r="N227" s="50"/>
      <c r="O227" s="46"/>
      <c r="P227" s="50"/>
      <c r="Q227" s="46"/>
      <c r="R227" s="50"/>
      <c r="S227" s="46"/>
      <c r="T227" s="50"/>
      <c r="U227" s="46"/>
      <c r="V227" s="50"/>
      <c r="W227" s="46"/>
      <c r="X227" s="50"/>
      <c r="Y227" s="46"/>
      <c r="Z227" s="50"/>
      <c r="AA227" s="54"/>
      <c r="AB227" s="52"/>
      <c r="AC227" s="26">
        <f t="shared" si="12"/>
        <v>1</v>
      </c>
      <c r="AD227" s="49">
        <f t="shared" si="13"/>
        <v>1</v>
      </c>
      <c r="AE227" s="461">
        <f t="shared" si="14"/>
        <v>0</v>
      </c>
    </row>
    <row r="228" spans="1:32" customFormat="1">
      <c r="A228" s="3">
        <v>228</v>
      </c>
      <c r="B228" s="76" t="s">
        <v>716</v>
      </c>
      <c r="C228" s="331" t="s">
        <v>717</v>
      </c>
      <c r="D228" s="590">
        <v>0</v>
      </c>
      <c r="E228" s="46"/>
      <c r="F228" s="98"/>
      <c r="G228" s="46">
        <v>1</v>
      </c>
      <c r="H228" s="98">
        <v>1</v>
      </c>
      <c r="I228" s="46"/>
      <c r="J228" s="98"/>
      <c r="K228" s="46"/>
      <c r="L228" s="98"/>
      <c r="M228" s="46"/>
      <c r="N228" s="50"/>
      <c r="O228" s="46"/>
      <c r="P228" s="50"/>
      <c r="Q228" s="46"/>
      <c r="R228" s="50"/>
      <c r="S228" s="46"/>
      <c r="T228" s="50"/>
      <c r="U228" s="46"/>
      <c r="V228" s="50"/>
      <c r="W228" s="46"/>
      <c r="X228" s="50"/>
      <c r="Y228" s="46"/>
      <c r="Z228" s="50"/>
      <c r="AA228" s="54"/>
      <c r="AB228" s="52"/>
      <c r="AC228" s="26">
        <f t="shared" si="12"/>
        <v>1</v>
      </c>
      <c r="AD228" s="49">
        <f t="shared" si="13"/>
        <v>1</v>
      </c>
      <c r="AE228" s="461">
        <f t="shared" si="14"/>
        <v>0</v>
      </c>
    </row>
    <row r="229" spans="1:32">
      <c r="A229" s="23">
        <v>229</v>
      </c>
      <c r="B229" s="495" t="s">
        <v>718</v>
      </c>
      <c r="C229" s="498" t="s">
        <v>719</v>
      </c>
      <c r="D229" s="590">
        <v>0</v>
      </c>
      <c r="E229" s="524"/>
      <c r="F229" s="504"/>
      <c r="G229" s="524">
        <f>10</f>
        <v>10</v>
      </c>
      <c r="H229" s="504"/>
      <c r="I229" s="524"/>
      <c r="J229" s="504"/>
      <c r="K229" s="524">
        <f>5+5</f>
        <v>10</v>
      </c>
      <c r="L229" s="504"/>
      <c r="M229" s="524"/>
      <c r="N229" s="505"/>
      <c r="O229" s="524"/>
      <c r="P229" s="505"/>
      <c r="Q229" s="46"/>
      <c r="R229" s="50">
        <f>4</f>
        <v>4</v>
      </c>
      <c r="S229" s="46"/>
      <c r="T229" s="50"/>
      <c r="U229" s="46"/>
      <c r="V229" s="50"/>
      <c r="W229" s="46"/>
      <c r="X229" s="50">
        <f>1</f>
        <v>1</v>
      </c>
      <c r="Y229" s="46"/>
      <c r="Z229" s="50"/>
      <c r="AA229" s="54"/>
      <c r="AB229" s="52"/>
      <c r="AC229" s="26">
        <f t="shared" si="12"/>
        <v>20</v>
      </c>
      <c r="AD229" s="49">
        <f t="shared" si="13"/>
        <v>5</v>
      </c>
      <c r="AE229" s="469">
        <f t="shared" si="14"/>
        <v>15</v>
      </c>
      <c r="AF229" s="489"/>
    </row>
    <row r="230" spans="1:32" customFormat="1">
      <c r="A230" s="3">
        <v>230</v>
      </c>
      <c r="B230" s="76" t="s">
        <v>720</v>
      </c>
      <c r="C230" s="331" t="s">
        <v>721</v>
      </c>
      <c r="D230" s="590">
        <v>0</v>
      </c>
      <c r="E230" s="46"/>
      <c r="F230" s="98"/>
      <c r="G230" s="46">
        <f>1</f>
        <v>1</v>
      </c>
      <c r="H230" s="98">
        <v>1</v>
      </c>
      <c r="I230" s="46"/>
      <c r="J230" s="98"/>
      <c r="K230" s="46"/>
      <c r="L230" s="98"/>
      <c r="M230" s="46"/>
      <c r="N230" s="50"/>
      <c r="O230" s="46"/>
      <c r="P230" s="50"/>
      <c r="Q230" s="46"/>
      <c r="R230" s="50"/>
      <c r="S230" s="46"/>
      <c r="T230" s="50"/>
      <c r="U230" s="46"/>
      <c r="V230" s="50"/>
      <c r="W230" s="46"/>
      <c r="X230" s="50"/>
      <c r="Y230" s="46"/>
      <c r="Z230" s="50"/>
      <c r="AA230" s="54"/>
      <c r="AB230" s="52"/>
      <c r="AC230" s="26">
        <f t="shared" si="12"/>
        <v>1</v>
      </c>
      <c r="AD230" s="49">
        <f t="shared" si="13"/>
        <v>1</v>
      </c>
      <c r="AE230" s="461">
        <f t="shared" si="14"/>
        <v>0</v>
      </c>
    </row>
    <row r="231" spans="1:32" customFormat="1">
      <c r="A231" s="23">
        <v>231</v>
      </c>
      <c r="B231" s="76" t="s">
        <v>722</v>
      </c>
      <c r="C231" s="331" t="s">
        <v>723</v>
      </c>
      <c r="D231" s="590">
        <v>0</v>
      </c>
      <c r="E231" s="46"/>
      <c r="F231" s="98"/>
      <c r="G231" s="46">
        <f>1</f>
        <v>1</v>
      </c>
      <c r="H231" s="98">
        <v>1</v>
      </c>
      <c r="I231" s="46"/>
      <c r="J231" s="98"/>
      <c r="K231" s="46"/>
      <c r="L231" s="98"/>
      <c r="M231" s="46"/>
      <c r="N231" s="50"/>
      <c r="O231" s="46"/>
      <c r="P231" s="50"/>
      <c r="Q231" s="46"/>
      <c r="R231" s="50"/>
      <c r="S231" s="46"/>
      <c r="T231" s="50"/>
      <c r="U231" s="46"/>
      <c r="V231" s="50"/>
      <c r="W231" s="46"/>
      <c r="X231" s="50"/>
      <c r="Y231" s="46"/>
      <c r="Z231" s="50"/>
      <c r="AA231" s="54"/>
      <c r="AB231" s="52"/>
      <c r="AC231" s="26">
        <f t="shared" si="12"/>
        <v>1</v>
      </c>
      <c r="AD231" s="49">
        <f t="shared" si="13"/>
        <v>1</v>
      </c>
      <c r="AE231" s="461">
        <f t="shared" si="14"/>
        <v>0</v>
      </c>
    </row>
    <row r="232" spans="1:32" customFormat="1">
      <c r="A232" s="3">
        <v>232</v>
      </c>
      <c r="B232" s="76" t="s">
        <v>724</v>
      </c>
      <c r="C232" s="331" t="s">
        <v>725</v>
      </c>
      <c r="D232" s="590">
        <v>0</v>
      </c>
      <c r="E232" s="46"/>
      <c r="F232" s="98"/>
      <c r="G232" s="46">
        <f>1</f>
        <v>1</v>
      </c>
      <c r="H232" s="98">
        <v>1</v>
      </c>
      <c r="I232" s="46"/>
      <c r="J232" s="98"/>
      <c r="K232" s="46"/>
      <c r="L232" s="98"/>
      <c r="M232" s="46"/>
      <c r="N232" s="50"/>
      <c r="O232" s="46"/>
      <c r="P232" s="50"/>
      <c r="Q232" s="46"/>
      <c r="R232" s="50"/>
      <c r="S232" s="46"/>
      <c r="T232" s="50"/>
      <c r="U232" s="46"/>
      <c r="V232" s="50"/>
      <c r="W232" s="46"/>
      <c r="X232" s="50"/>
      <c r="Y232" s="46"/>
      <c r="Z232" s="50"/>
      <c r="AA232" s="54"/>
      <c r="AB232" s="52"/>
      <c r="AC232" s="26">
        <f t="shared" si="12"/>
        <v>1</v>
      </c>
      <c r="AD232" s="49">
        <f t="shared" si="13"/>
        <v>1</v>
      </c>
      <c r="AE232" s="461">
        <f t="shared" si="14"/>
        <v>0</v>
      </c>
    </row>
    <row r="233" spans="1:32" customFormat="1">
      <c r="A233" s="23">
        <v>233</v>
      </c>
      <c r="B233" s="76" t="s">
        <v>288</v>
      </c>
      <c r="C233" s="331" t="s">
        <v>727</v>
      </c>
      <c r="D233" s="590">
        <v>0</v>
      </c>
      <c r="E233" s="46"/>
      <c r="F233" s="98"/>
      <c r="G233" s="46">
        <f>1</f>
        <v>1</v>
      </c>
      <c r="H233" s="98">
        <v>1</v>
      </c>
      <c r="I233" s="46"/>
      <c r="J233" s="98"/>
      <c r="K233" s="46"/>
      <c r="L233" s="98"/>
      <c r="M233" s="46"/>
      <c r="N233" s="50"/>
      <c r="O233" s="46"/>
      <c r="P233" s="50"/>
      <c r="Q233" s="46"/>
      <c r="R233" s="50"/>
      <c r="S233" s="46"/>
      <c r="T233" s="50"/>
      <c r="U233" s="46"/>
      <c r="V233" s="50"/>
      <c r="W233" s="46"/>
      <c r="X233" s="50"/>
      <c r="Y233" s="46"/>
      <c r="Z233" s="50"/>
      <c r="AA233" s="54"/>
      <c r="AB233" s="52"/>
      <c r="AC233" s="26">
        <f t="shared" si="12"/>
        <v>1</v>
      </c>
      <c r="AD233" s="49">
        <f t="shared" si="13"/>
        <v>1</v>
      </c>
      <c r="AE233" s="461">
        <f t="shared" si="14"/>
        <v>0</v>
      </c>
    </row>
    <row r="234" spans="1:32" customFormat="1">
      <c r="A234" s="3">
        <v>234</v>
      </c>
      <c r="B234" s="76" t="s">
        <v>726</v>
      </c>
      <c r="C234" s="252" t="s">
        <v>728</v>
      </c>
      <c r="D234" s="590">
        <v>0</v>
      </c>
      <c r="E234" s="46"/>
      <c r="F234" s="98"/>
      <c r="G234" s="46">
        <f>1</f>
        <v>1</v>
      </c>
      <c r="H234" s="98">
        <v>1</v>
      </c>
      <c r="I234" s="46"/>
      <c r="J234" s="98"/>
      <c r="K234" s="46"/>
      <c r="L234" s="98"/>
      <c r="M234" s="46"/>
      <c r="N234" s="50"/>
      <c r="O234" s="46"/>
      <c r="P234" s="50"/>
      <c r="Q234" s="46"/>
      <c r="R234" s="50"/>
      <c r="S234" s="46"/>
      <c r="T234" s="50"/>
      <c r="U234" s="46"/>
      <c r="V234" s="50"/>
      <c r="W234" s="46"/>
      <c r="X234" s="50"/>
      <c r="Y234" s="46"/>
      <c r="Z234" s="50"/>
      <c r="AA234" s="54"/>
      <c r="AB234" s="52"/>
      <c r="AC234" s="26">
        <f t="shared" si="12"/>
        <v>1</v>
      </c>
      <c r="AD234" s="49">
        <f t="shared" si="13"/>
        <v>1</v>
      </c>
      <c r="AE234" s="461">
        <f t="shared" si="14"/>
        <v>0</v>
      </c>
    </row>
    <row r="235" spans="1:32" customFormat="1">
      <c r="A235" s="23">
        <v>235</v>
      </c>
      <c r="B235" s="76" t="s">
        <v>761</v>
      </c>
      <c r="C235" s="252" t="s">
        <v>766</v>
      </c>
      <c r="D235" s="590">
        <v>0</v>
      </c>
      <c r="E235" s="46"/>
      <c r="F235" s="98"/>
      <c r="G235" s="46">
        <v>200</v>
      </c>
      <c r="H235" s="98">
        <v>186</v>
      </c>
      <c r="I235" s="46"/>
      <c r="J235" s="98">
        <f>14</f>
        <v>14</v>
      </c>
      <c r="K235" s="46"/>
      <c r="L235" s="98"/>
      <c r="M235" s="46"/>
      <c r="N235" s="50"/>
      <c r="O235" s="46">
        <v>35</v>
      </c>
      <c r="P235" s="50">
        <v>35</v>
      </c>
      <c r="Q235" s="46"/>
      <c r="R235" s="50"/>
      <c r="S235" s="46"/>
      <c r="T235" s="50"/>
      <c r="U235" s="46"/>
      <c r="V235" s="50"/>
      <c r="W235" s="46"/>
      <c r="X235" s="50"/>
      <c r="Y235" s="46"/>
      <c r="Z235" s="50"/>
      <c r="AA235" s="54"/>
      <c r="AB235" s="52"/>
      <c r="AC235" s="26">
        <f t="shared" si="12"/>
        <v>235</v>
      </c>
      <c r="AD235" s="49">
        <f t="shared" si="13"/>
        <v>235</v>
      </c>
      <c r="AE235" s="461">
        <f t="shared" si="14"/>
        <v>0</v>
      </c>
    </row>
    <row r="236" spans="1:32" customFormat="1">
      <c r="A236" s="3">
        <v>236</v>
      </c>
      <c r="B236" s="76" t="s">
        <v>814</v>
      </c>
      <c r="C236" s="252" t="s">
        <v>818</v>
      </c>
      <c r="D236" s="590">
        <v>0</v>
      </c>
      <c r="E236" s="46"/>
      <c r="F236" s="98"/>
      <c r="G236" s="46"/>
      <c r="H236" s="98"/>
      <c r="I236" s="46">
        <v>1</v>
      </c>
      <c r="J236" s="98">
        <v>1</v>
      </c>
      <c r="K236" s="46"/>
      <c r="L236" s="98"/>
      <c r="M236" s="46"/>
      <c r="N236" s="50"/>
      <c r="O236" s="46"/>
      <c r="P236" s="50"/>
      <c r="Q236" s="46"/>
      <c r="R236" s="50"/>
      <c r="S236" s="46"/>
      <c r="T236" s="50"/>
      <c r="U236" s="46"/>
      <c r="V236" s="50"/>
      <c r="W236" s="46"/>
      <c r="X236" s="50"/>
      <c r="Y236" s="46"/>
      <c r="Z236" s="50"/>
      <c r="AA236" s="54"/>
      <c r="AB236" s="52"/>
      <c r="AC236" s="26">
        <f t="shared" ref="AC236:AC249" si="15">SUM(D236,E236,G236,I236,K236,M236,O236,Q236,S236,U236,W236,Y236,AA236)</f>
        <v>1</v>
      </c>
      <c r="AD236" s="49">
        <f t="shared" ref="AD236:AD249" si="16">SUM(F236,H236,J236,L236,N236,P236,R236,T236,V236,X236,Z236,AB236)</f>
        <v>1</v>
      </c>
      <c r="AE236" s="461">
        <f t="shared" ref="AE236:AE249" si="17">SUM(AC236-AD236)</f>
        <v>0</v>
      </c>
    </row>
    <row r="237" spans="1:32" customFormat="1">
      <c r="A237" s="23">
        <v>237</v>
      </c>
      <c r="B237" s="76" t="s">
        <v>815</v>
      </c>
      <c r="C237" s="252" t="s">
        <v>819</v>
      </c>
      <c r="D237" s="590">
        <v>0</v>
      </c>
      <c r="E237" s="46"/>
      <c r="F237" s="98"/>
      <c r="G237" s="46"/>
      <c r="H237" s="98"/>
      <c r="I237" s="46">
        <v>1</v>
      </c>
      <c r="J237" s="98">
        <v>1</v>
      </c>
      <c r="K237" s="46"/>
      <c r="L237" s="98"/>
      <c r="M237" s="46"/>
      <c r="N237" s="50"/>
      <c r="O237" s="46"/>
      <c r="P237" s="50"/>
      <c r="Q237" s="46"/>
      <c r="R237" s="50"/>
      <c r="S237" s="46"/>
      <c r="T237" s="50"/>
      <c r="U237" s="46">
        <f>4</f>
        <v>4</v>
      </c>
      <c r="V237" s="50">
        <v>4</v>
      </c>
      <c r="W237" s="46"/>
      <c r="X237" s="50"/>
      <c r="Y237" s="46"/>
      <c r="Z237" s="50"/>
      <c r="AA237" s="54"/>
      <c r="AB237" s="52"/>
      <c r="AC237" s="26">
        <f t="shared" si="15"/>
        <v>5</v>
      </c>
      <c r="AD237" s="49">
        <f t="shared" si="16"/>
        <v>5</v>
      </c>
      <c r="AE237" s="461">
        <f t="shared" si="17"/>
        <v>0</v>
      </c>
    </row>
    <row r="238" spans="1:32" customFormat="1">
      <c r="A238" s="3">
        <v>238</v>
      </c>
      <c r="B238" s="76" t="s">
        <v>816</v>
      </c>
      <c r="C238" s="252" t="s">
        <v>681</v>
      </c>
      <c r="D238" s="590">
        <v>0</v>
      </c>
      <c r="E238" s="46"/>
      <c r="F238" s="98"/>
      <c r="G238" s="46"/>
      <c r="H238" s="98"/>
      <c r="I238" s="46">
        <v>3</v>
      </c>
      <c r="J238" s="98">
        <f>3</f>
        <v>3</v>
      </c>
      <c r="K238" s="46"/>
      <c r="L238" s="98"/>
      <c r="M238" s="46"/>
      <c r="N238" s="50"/>
      <c r="O238" s="46"/>
      <c r="P238" s="50"/>
      <c r="Q238" s="46"/>
      <c r="R238" s="50"/>
      <c r="S238" s="46"/>
      <c r="T238" s="50"/>
      <c r="U238" s="46"/>
      <c r="V238" s="50"/>
      <c r="W238" s="46"/>
      <c r="X238" s="50"/>
      <c r="Y238" s="46"/>
      <c r="Z238" s="50"/>
      <c r="AA238" s="54"/>
      <c r="AB238" s="52"/>
      <c r="AC238" s="26">
        <f t="shared" si="15"/>
        <v>3</v>
      </c>
      <c r="AD238" s="49">
        <f t="shared" si="16"/>
        <v>3</v>
      </c>
      <c r="AE238" s="461">
        <f t="shared" si="17"/>
        <v>0</v>
      </c>
    </row>
    <row r="239" spans="1:32">
      <c r="A239" s="23">
        <v>239</v>
      </c>
      <c r="B239" s="495" t="s">
        <v>817</v>
      </c>
      <c r="C239" s="499" t="s">
        <v>820</v>
      </c>
      <c r="D239" s="590">
        <v>0</v>
      </c>
      <c r="E239" s="524"/>
      <c r="F239" s="504"/>
      <c r="G239" s="524"/>
      <c r="H239" s="504"/>
      <c r="I239" s="524">
        <v>50</v>
      </c>
      <c r="J239" s="504">
        <v>45</v>
      </c>
      <c r="K239" s="524"/>
      <c r="L239" s="504"/>
      <c r="M239" s="524"/>
      <c r="N239" s="505"/>
      <c r="O239" s="524"/>
      <c r="P239" s="505"/>
      <c r="Q239" s="46"/>
      <c r="R239" s="50"/>
      <c r="S239" s="46"/>
      <c r="T239" s="50"/>
      <c r="U239" s="46"/>
      <c r="V239" s="50"/>
      <c r="W239" s="46"/>
      <c r="X239" s="50"/>
      <c r="Y239" s="46"/>
      <c r="Z239" s="50"/>
      <c r="AA239" s="54"/>
      <c r="AB239" s="52"/>
      <c r="AC239" s="26">
        <f t="shared" si="15"/>
        <v>50</v>
      </c>
      <c r="AD239" s="49">
        <f t="shared" si="16"/>
        <v>45</v>
      </c>
      <c r="AE239" s="469">
        <f t="shared" si="17"/>
        <v>5</v>
      </c>
      <c r="AF239" s="489"/>
    </row>
    <row r="240" spans="1:32">
      <c r="A240" s="3">
        <v>240</v>
      </c>
      <c r="B240" s="495" t="s">
        <v>821</v>
      </c>
      <c r="C240" s="498" t="s">
        <v>822</v>
      </c>
      <c r="D240" s="590">
        <v>0</v>
      </c>
      <c r="E240" s="524"/>
      <c r="F240" s="504"/>
      <c r="G240" s="524"/>
      <c r="H240" s="504"/>
      <c r="I240" s="524">
        <v>10</v>
      </c>
      <c r="J240" s="504"/>
      <c r="K240" s="524">
        <f>10</f>
        <v>10</v>
      </c>
      <c r="L240" s="504"/>
      <c r="M240" s="524"/>
      <c r="N240" s="505"/>
      <c r="O240" s="524"/>
      <c r="P240" s="505">
        <f>10</f>
        <v>10</v>
      </c>
      <c r="Q240" s="46"/>
      <c r="R240" s="50"/>
      <c r="S240" s="46"/>
      <c r="T240" s="50"/>
      <c r="U240" s="46"/>
      <c r="V240" s="50"/>
      <c r="W240" s="46"/>
      <c r="X240" s="50">
        <v>3</v>
      </c>
      <c r="Y240" s="46"/>
      <c r="Z240" s="50"/>
      <c r="AA240" s="54"/>
      <c r="AB240" s="52"/>
      <c r="AC240" s="26">
        <f t="shared" si="15"/>
        <v>20</v>
      </c>
      <c r="AD240" s="49">
        <f t="shared" si="16"/>
        <v>13</v>
      </c>
      <c r="AE240" s="469">
        <f t="shared" si="17"/>
        <v>7</v>
      </c>
      <c r="AF240" s="489"/>
    </row>
    <row r="241" spans="1:32" customFormat="1">
      <c r="A241" s="23">
        <v>241</v>
      </c>
      <c r="B241" s="76" t="s">
        <v>850</v>
      </c>
      <c r="C241" s="252" t="s">
        <v>766</v>
      </c>
      <c r="D241" s="590">
        <v>0</v>
      </c>
      <c r="E241" s="46"/>
      <c r="F241" s="98"/>
      <c r="G241" s="46"/>
      <c r="H241" s="98"/>
      <c r="I241" s="46">
        <v>200</v>
      </c>
      <c r="J241" s="98">
        <v>152</v>
      </c>
      <c r="K241" s="46"/>
      <c r="L241" s="98">
        <v>48</v>
      </c>
      <c r="M241" s="46"/>
      <c r="N241" s="50"/>
      <c r="O241" s="46"/>
      <c r="P241" s="50"/>
      <c r="Q241" s="46"/>
      <c r="R241" s="50"/>
      <c r="S241" s="46"/>
      <c r="T241" s="50"/>
      <c r="U241" s="46"/>
      <c r="V241" s="50"/>
      <c r="W241" s="46"/>
      <c r="X241" s="50"/>
      <c r="Y241" s="46"/>
      <c r="Z241" s="50"/>
      <c r="AA241" s="54"/>
      <c r="AB241" s="52"/>
      <c r="AC241" s="26">
        <f t="shared" si="15"/>
        <v>200</v>
      </c>
      <c r="AD241" s="49">
        <f t="shared" si="16"/>
        <v>200</v>
      </c>
      <c r="AE241" s="469">
        <f t="shared" si="17"/>
        <v>0</v>
      </c>
    </row>
    <row r="242" spans="1:32" customFormat="1">
      <c r="A242" s="3">
        <v>242</v>
      </c>
      <c r="B242" s="76" t="s">
        <v>856</v>
      </c>
      <c r="C242" s="252" t="s">
        <v>858</v>
      </c>
      <c r="D242" s="590">
        <v>0</v>
      </c>
      <c r="E242" s="46"/>
      <c r="F242" s="98"/>
      <c r="G242" s="46"/>
      <c r="H242" s="98"/>
      <c r="I242" s="46">
        <v>1</v>
      </c>
      <c r="J242" s="98">
        <v>1</v>
      </c>
      <c r="K242" s="46"/>
      <c r="L242" s="98"/>
      <c r="M242" s="46"/>
      <c r="N242" s="50"/>
      <c r="O242" s="46"/>
      <c r="P242" s="50"/>
      <c r="Q242" s="46"/>
      <c r="R242" s="50"/>
      <c r="S242" s="46"/>
      <c r="T242" s="50"/>
      <c r="U242" s="46">
        <f>4</f>
        <v>4</v>
      </c>
      <c r="V242" s="50">
        <v>4</v>
      </c>
      <c r="W242" s="46"/>
      <c r="X242" s="50"/>
      <c r="Y242" s="46"/>
      <c r="Z242" s="50"/>
      <c r="AA242" s="54"/>
      <c r="AB242" s="52"/>
      <c r="AC242" s="26">
        <f t="shared" si="15"/>
        <v>5</v>
      </c>
      <c r="AD242" s="49">
        <f t="shared" si="16"/>
        <v>5</v>
      </c>
      <c r="AE242" s="461">
        <f t="shared" si="17"/>
        <v>0</v>
      </c>
    </row>
    <row r="243" spans="1:32" customFormat="1">
      <c r="A243" s="23">
        <v>243</v>
      </c>
      <c r="B243" s="76" t="s">
        <v>862</v>
      </c>
      <c r="C243" s="252" t="s">
        <v>868</v>
      </c>
      <c r="D243" s="590">
        <v>0</v>
      </c>
      <c r="E243" s="46"/>
      <c r="F243" s="98"/>
      <c r="G243" s="46"/>
      <c r="H243" s="98"/>
      <c r="I243" s="46">
        <v>1</v>
      </c>
      <c r="J243" s="98">
        <v>1</v>
      </c>
      <c r="K243" s="46"/>
      <c r="L243" s="98"/>
      <c r="M243" s="46"/>
      <c r="N243" s="50"/>
      <c r="O243" s="46"/>
      <c r="P243" s="50"/>
      <c r="Q243" s="46"/>
      <c r="R243" s="50"/>
      <c r="S243" s="46"/>
      <c r="T243" s="50"/>
      <c r="U243" s="46"/>
      <c r="V243" s="50"/>
      <c r="W243" s="46"/>
      <c r="X243" s="50"/>
      <c r="Y243" s="46"/>
      <c r="Z243" s="50"/>
      <c r="AA243" s="54"/>
      <c r="AB243" s="52"/>
      <c r="AC243" s="26">
        <f t="shared" si="15"/>
        <v>1</v>
      </c>
      <c r="AD243" s="49">
        <f t="shared" si="16"/>
        <v>1</v>
      </c>
      <c r="AE243" s="461">
        <f t="shared" si="17"/>
        <v>0</v>
      </c>
    </row>
    <row r="244" spans="1:32" customFormat="1">
      <c r="A244" s="3">
        <v>244</v>
      </c>
      <c r="B244" s="76" t="s">
        <v>863</v>
      </c>
      <c r="C244" s="252" t="s">
        <v>869</v>
      </c>
      <c r="D244" s="590">
        <v>0</v>
      </c>
      <c r="E244" s="46"/>
      <c r="F244" s="98"/>
      <c r="G244" s="46"/>
      <c r="H244" s="98"/>
      <c r="I244" s="46">
        <v>6</v>
      </c>
      <c r="J244" s="98">
        <v>6</v>
      </c>
      <c r="K244" s="46"/>
      <c r="L244" s="98"/>
      <c r="M244" s="46"/>
      <c r="N244" s="50"/>
      <c r="O244" s="46"/>
      <c r="P244" s="50"/>
      <c r="Q244" s="46"/>
      <c r="R244" s="50"/>
      <c r="S244" s="46"/>
      <c r="T244" s="50"/>
      <c r="U244" s="46">
        <v>4</v>
      </c>
      <c r="V244" s="50">
        <v>4</v>
      </c>
      <c r="W244" s="46"/>
      <c r="X244" s="50"/>
      <c r="Y244" s="46"/>
      <c r="Z244" s="50"/>
      <c r="AA244" s="54"/>
      <c r="AB244" s="52"/>
      <c r="AC244" s="26">
        <f t="shared" si="15"/>
        <v>10</v>
      </c>
      <c r="AD244" s="49">
        <f t="shared" si="16"/>
        <v>10</v>
      </c>
      <c r="AE244" s="461">
        <f t="shared" si="17"/>
        <v>0</v>
      </c>
    </row>
    <row r="245" spans="1:32" customFormat="1">
      <c r="A245" s="23">
        <v>245</v>
      </c>
      <c r="B245" s="76" t="s">
        <v>864</v>
      </c>
      <c r="C245" s="252" t="s">
        <v>870</v>
      </c>
      <c r="D245" s="590">
        <v>0</v>
      </c>
      <c r="E245" s="46"/>
      <c r="F245" s="98"/>
      <c r="G245" s="46"/>
      <c r="H245" s="98"/>
      <c r="I245" s="46">
        <v>6</v>
      </c>
      <c r="J245" s="98">
        <v>6</v>
      </c>
      <c r="K245" s="46"/>
      <c r="L245" s="98"/>
      <c r="M245" s="46"/>
      <c r="N245" s="50"/>
      <c r="O245" s="46"/>
      <c r="P245" s="50"/>
      <c r="Q245" s="46"/>
      <c r="R245" s="50"/>
      <c r="S245" s="46"/>
      <c r="T245" s="50"/>
      <c r="U245" s="46"/>
      <c r="V245" s="50"/>
      <c r="W245" s="46"/>
      <c r="X245" s="50"/>
      <c r="Y245" s="46"/>
      <c r="Z245" s="50"/>
      <c r="AA245" s="54"/>
      <c r="AB245" s="52"/>
      <c r="AC245" s="26">
        <f t="shared" si="15"/>
        <v>6</v>
      </c>
      <c r="AD245" s="49">
        <f t="shared" si="16"/>
        <v>6</v>
      </c>
      <c r="AE245" s="461">
        <f t="shared" si="17"/>
        <v>0</v>
      </c>
    </row>
    <row r="246" spans="1:32" customFormat="1">
      <c r="A246" s="3">
        <v>246</v>
      </c>
      <c r="B246" s="76" t="s">
        <v>865</v>
      </c>
      <c r="C246" s="252" t="s">
        <v>871</v>
      </c>
      <c r="D246" s="590">
        <v>0</v>
      </c>
      <c r="E246" s="46"/>
      <c r="F246" s="98"/>
      <c r="G246" s="46"/>
      <c r="H246" s="98"/>
      <c r="I246" s="46">
        <v>2</v>
      </c>
      <c r="J246" s="98">
        <v>2</v>
      </c>
      <c r="K246" s="46"/>
      <c r="L246" s="98"/>
      <c r="M246" s="46"/>
      <c r="N246" s="50"/>
      <c r="O246" s="46"/>
      <c r="P246" s="50"/>
      <c r="Q246" s="46"/>
      <c r="R246" s="50"/>
      <c r="S246" s="46"/>
      <c r="T246" s="50"/>
      <c r="U246" s="46">
        <f>8</f>
        <v>8</v>
      </c>
      <c r="V246" s="50">
        <v>8</v>
      </c>
      <c r="W246" s="46"/>
      <c r="X246" s="50"/>
      <c r="Y246" s="46"/>
      <c r="Z246" s="50"/>
      <c r="AA246" s="54"/>
      <c r="AB246" s="52"/>
      <c r="AC246" s="26">
        <f t="shared" si="15"/>
        <v>10</v>
      </c>
      <c r="AD246" s="49">
        <f t="shared" si="16"/>
        <v>10</v>
      </c>
      <c r="AE246" s="461">
        <f t="shared" si="17"/>
        <v>0</v>
      </c>
    </row>
    <row r="247" spans="1:32" customFormat="1">
      <c r="A247" s="23">
        <v>247</v>
      </c>
      <c r="B247" s="76" t="s">
        <v>866</v>
      </c>
      <c r="C247" s="252" t="s">
        <v>872</v>
      </c>
      <c r="D247" s="590">
        <v>0</v>
      </c>
      <c r="E247" s="46"/>
      <c r="F247" s="98"/>
      <c r="G247" s="46"/>
      <c r="H247" s="98"/>
      <c r="I247" s="46">
        <v>1</v>
      </c>
      <c r="J247" s="98">
        <v>1</v>
      </c>
      <c r="K247" s="46"/>
      <c r="L247" s="98"/>
      <c r="M247" s="46"/>
      <c r="N247" s="50"/>
      <c r="O247" s="46"/>
      <c r="P247" s="50"/>
      <c r="Q247" s="46"/>
      <c r="R247" s="50"/>
      <c r="S247" s="46"/>
      <c r="T247" s="50"/>
      <c r="U247" s="46">
        <f>2</f>
        <v>2</v>
      </c>
      <c r="V247" s="50">
        <v>2</v>
      </c>
      <c r="W247" s="46"/>
      <c r="X247" s="50"/>
      <c r="Y247" s="46"/>
      <c r="Z247" s="50"/>
      <c r="AA247" s="54"/>
      <c r="AB247" s="52"/>
      <c r="AC247" s="26">
        <f t="shared" si="15"/>
        <v>3</v>
      </c>
      <c r="AD247" s="49">
        <f t="shared" si="16"/>
        <v>3</v>
      </c>
      <c r="AE247" s="461">
        <f t="shared" si="17"/>
        <v>0</v>
      </c>
    </row>
    <row r="248" spans="1:32" customFormat="1">
      <c r="A248" s="3">
        <v>248</v>
      </c>
      <c r="B248" s="76" t="s">
        <v>867</v>
      </c>
      <c r="C248" s="252" t="s">
        <v>873</v>
      </c>
      <c r="D248" s="590">
        <v>0</v>
      </c>
      <c r="E248" s="46"/>
      <c r="F248" s="98"/>
      <c r="G248" s="46"/>
      <c r="H248" s="98"/>
      <c r="I248" s="46">
        <v>2</v>
      </c>
      <c r="J248" s="98">
        <v>2</v>
      </c>
      <c r="K248" s="46"/>
      <c r="L248" s="98"/>
      <c r="M248" s="46">
        <v>1</v>
      </c>
      <c r="N248" s="50">
        <v>1</v>
      </c>
      <c r="O248" s="46"/>
      <c r="P248" s="50"/>
      <c r="Q248" s="46"/>
      <c r="R248" s="50"/>
      <c r="S248" s="46"/>
      <c r="T248" s="50"/>
      <c r="U248" s="46"/>
      <c r="V248" s="50"/>
      <c r="W248" s="46"/>
      <c r="X248" s="50"/>
      <c r="Y248" s="46"/>
      <c r="Z248" s="50"/>
      <c r="AA248" s="54"/>
      <c r="AB248" s="52"/>
      <c r="AC248" s="26">
        <f t="shared" si="15"/>
        <v>3</v>
      </c>
      <c r="AD248" s="49">
        <f t="shared" si="16"/>
        <v>3</v>
      </c>
      <c r="AE248" s="461">
        <f t="shared" si="17"/>
        <v>0</v>
      </c>
    </row>
    <row r="249" spans="1:32" customFormat="1">
      <c r="A249" s="23">
        <v>249</v>
      </c>
      <c r="B249" s="76" t="s">
        <v>761</v>
      </c>
      <c r="C249" s="252" t="s">
        <v>766</v>
      </c>
      <c r="D249" s="590">
        <v>0</v>
      </c>
      <c r="E249" s="46"/>
      <c r="F249" s="98"/>
      <c r="G249" s="46">
        <v>200</v>
      </c>
      <c r="H249" s="98">
        <v>186</v>
      </c>
      <c r="I249" s="46"/>
      <c r="J249" s="98"/>
      <c r="K249" s="46"/>
      <c r="L249" s="98">
        <v>14</v>
      </c>
      <c r="M249" s="46"/>
      <c r="N249" s="50"/>
      <c r="O249" s="46"/>
      <c r="P249" s="50"/>
      <c r="Q249" s="46"/>
      <c r="R249" s="50"/>
      <c r="S249" s="46"/>
      <c r="T249" s="50"/>
      <c r="U249" s="46"/>
      <c r="V249" s="50"/>
      <c r="W249" s="46"/>
      <c r="X249" s="50"/>
      <c r="Y249" s="46"/>
      <c r="Z249" s="50"/>
      <c r="AA249" s="54"/>
      <c r="AB249" s="52"/>
      <c r="AC249" s="26">
        <f t="shared" si="15"/>
        <v>200</v>
      </c>
      <c r="AD249" s="49">
        <f t="shared" si="16"/>
        <v>200</v>
      </c>
      <c r="AE249" s="461">
        <f t="shared" si="17"/>
        <v>0</v>
      </c>
    </row>
    <row r="250" spans="1:32">
      <c r="A250" s="3">
        <v>250</v>
      </c>
      <c r="B250" s="495" t="s">
        <v>891</v>
      </c>
      <c r="C250" s="498" t="s">
        <v>898</v>
      </c>
      <c r="D250" s="590">
        <v>0</v>
      </c>
      <c r="E250" s="524"/>
      <c r="F250" s="504"/>
      <c r="G250" s="524"/>
      <c r="H250" s="504"/>
      <c r="I250" s="524"/>
      <c r="J250" s="504"/>
      <c r="K250" s="524">
        <v>10</v>
      </c>
      <c r="L250" s="504"/>
      <c r="M250" s="524"/>
      <c r="N250" s="505"/>
      <c r="O250" s="524"/>
      <c r="P250" s="505"/>
      <c r="Q250" s="46"/>
      <c r="R250" s="50"/>
      <c r="S250" s="46"/>
      <c r="T250" s="50"/>
      <c r="U250" s="46"/>
      <c r="V250" s="50"/>
      <c r="W250" s="46"/>
      <c r="X250" s="50"/>
      <c r="Y250" s="46"/>
      <c r="Z250" s="50"/>
      <c r="AA250" s="54"/>
      <c r="AB250" s="52"/>
      <c r="AC250" s="26">
        <f t="shared" ref="AC250:AC258" si="18">SUM(D250,E250,G250,I250,K250,M250,O250,Q250,S250,U250,W250,Y250,AA250)</f>
        <v>10</v>
      </c>
      <c r="AD250" s="49">
        <f t="shared" ref="AD250:AD258" si="19">SUM(F250,H250,J250,L250,N250,P250,R250,T250,V250,X250,Z250,AB250)</f>
        <v>0</v>
      </c>
      <c r="AE250" s="469">
        <f t="shared" ref="AE250:AE258" si="20">SUM(AC250-AD250)</f>
        <v>10</v>
      </c>
      <c r="AF250" s="489"/>
    </row>
    <row r="251" spans="1:32" customFormat="1">
      <c r="A251" s="23">
        <v>251</v>
      </c>
      <c r="B251" s="76" t="s">
        <v>892</v>
      </c>
      <c r="C251" s="331" t="s">
        <v>899</v>
      </c>
      <c r="D251" s="590">
        <v>0</v>
      </c>
      <c r="E251" s="46"/>
      <c r="F251" s="98"/>
      <c r="G251" s="46"/>
      <c r="H251" s="98"/>
      <c r="I251" s="46"/>
      <c r="J251" s="98"/>
      <c r="K251" s="46">
        <v>2</v>
      </c>
      <c r="L251" s="98">
        <f>2</f>
        <v>2</v>
      </c>
      <c r="M251" s="46"/>
      <c r="N251" s="50"/>
      <c r="O251" s="46"/>
      <c r="P251" s="50"/>
      <c r="Q251" s="46"/>
      <c r="R251" s="50"/>
      <c r="S251" s="46">
        <f>5+2</f>
        <v>7</v>
      </c>
      <c r="T251" s="50">
        <f>2+5</f>
        <v>7</v>
      </c>
      <c r="U251" s="46">
        <f>19+7</f>
        <v>26</v>
      </c>
      <c r="V251" s="50"/>
      <c r="W251" s="46"/>
      <c r="X251" s="50">
        <v>26</v>
      </c>
      <c r="Y251" s="46"/>
      <c r="Z251" s="50"/>
      <c r="AA251" s="54"/>
      <c r="AB251" s="52"/>
      <c r="AC251" s="26">
        <f t="shared" si="18"/>
        <v>35</v>
      </c>
      <c r="AD251" s="49">
        <f t="shared" si="19"/>
        <v>35</v>
      </c>
      <c r="AE251" s="461">
        <f t="shared" si="20"/>
        <v>0</v>
      </c>
    </row>
    <row r="252" spans="1:32" customFormat="1">
      <c r="A252" s="3">
        <v>252</v>
      </c>
      <c r="B252" s="76" t="s">
        <v>893</v>
      </c>
      <c r="C252" s="331" t="s">
        <v>900</v>
      </c>
      <c r="D252" s="590">
        <v>0</v>
      </c>
      <c r="E252" s="46"/>
      <c r="F252" s="98"/>
      <c r="G252" s="46"/>
      <c r="H252" s="98"/>
      <c r="I252" s="46"/>
      <c r="J252" s="98"/>
      <c r="K252" s="46">
        <v>2</v>
      </c>
      <c r="L252" s="98">
        <v>2</v>
      </c>
      <c r="M252" s="46"/>
      <c r="N252" s="50"/>
      <c r="O252" s="46"/>
      <c r="P252" s="50"/>
      <c r="Q252" s="46"/>
      <c r="R252" s="50"/>
      <c r="S252" s="46"/>
      <c r="T252" s="50"/>
      <c r="U252" s="46"/>
      <c r="V252" s="50"/>
      <c r="W252" s="46"/>
      <c r="X252" s="50"/>
      <c r="Y252" s="46"/>
      <c r="Z252" s="50"/>
      <c r="AA252" s="54"/>
      <c r="AB252" s="52"/>
      <c r="AC252" s="26">
        <f t="shared" si="18"/>
        <v>2</v>
      </c>
      <c r="AD252" s="49">
        <f t="shared" si="19"/>
        <v>2</v>
      </c>
      <c r="AE252" s="461">
        <f t="shared" si="20"/>
        <v>0</v>
      </c>
    </row>
    <row r="253" spans="1:32" customFormat="1">
      <c r="A253" s="23">
        <v>253</v>
      </c>
      <c r="B253" s="76" t="s">
        <v>894</v>
      </c>
      <c r="C253" s="331" t="s">
        <v>901</v>
      </c>
      <c r="D253" s="590">
        <v>0</v>
      </c>
      <c r="E253" s="46"/>
      <c r="F253" s="98"/>
      <c r="G253" s="46"/>
      <c r="H253" s="98"/>
      <c r="I253" s="46"/>
      <c r="J253" s="98"/>
      <c r="K253" s="46">
        <v>2</v>
      </c>
      <c r="L253" s="98">
        <v>2</v>
      </c>
      <c r="M253" s="46"/>
      <c r="N253" s="50"/>
      <c r="O253" s="46"/>
      <c r="P253" s="50"/>
      <c r="Q253" s="46"/>
      <c r="R253" s="50"/>
      <c r="S253" s="46"/>
      <c r="T253" s="50"/>
      <c r="U253" s="46"/>
      <c r="V253" s="50"/>
      <c r="W253" s="46"/>
      <c r="X253" s="50"/>
      <c r="Y253" s="46"/>
      <c r="Z253" s="50"/>
      <c r="AA253" s="54"/>
      <c r="AB253" s="52"/>
      <c r="AC253" s="26">
        <f t="shared" si="18"/>
        <v>2</v>
      </c>
      <c r="AD253" s="49">
        <f t="shared" si="19"/>
        <v>2</v>
      </c>
      <c r="AE253" s="461">
        <f t="shared" si="20"/>
        <v>0</v>
      </c>
    </row>
    <row r="254" spans="1:32" customFormat="1">
      <c r="A254" s="3">
        <v>254</v>
      </c>
      <c r="B254" s="76" t="s">
        <v>895</v>
      </c>
      <c r="C254" s="331" t="s">
        <v>902</v>
      </c>
      <c r="D254" s="590">
        <v>0</v>
      </c>
      <c r="E254" s="46"/>
      <c r="F254" s="98"/>
      <c r="G254" s="46"/>
      <c r="H254" s="98"/>
      <c r="I254" s="46"/>
      <c r="J254" s="98"/>
      <c r="K254" s="46">
        <v>2</v>
      </c>
      <c r="L254" s="98">
        <v>2</v>
      </c>
      <c r="M254" s="46"/>
      <c r="N254" s="50"/>
      <c r="O254" s="46"/>
      <c r="P254" s="50"/>
      <c r="Q254" s="46">
        <f>1</f>
        <v>1</v>
      </c>
      <c r="R254" s="50">
        <f>1</f>
        <v>1</v>
      </c>
      <c r="S254" s="46">
        <f>1+6</f>
        <v>7</v>
      </c>
      <c r="T254" s="50">
        <v>1</v>
      </c>
      <c r="U254" s="46"/>
      <c r="V254" s="50"/>
      <c r="W254" s="46"/>
      <c r="X254" s="50">
        <v>6</v>
      </c>
      <c r="Y254" s="46"/>
      <c r="Z254" s="50"/>
      <c r="AA254" s="54"/>
      <c r="AB254" s="52"/>
      <c r="AC254" s="26">
        <f t="shared" si="18"/>
        <v>10</v>
      </c>
      <c r="AD254" s="49">
        <f t="shared" si="19"/>
        <v>10</v>
      </c>
      <c r="AE254" s="469">
        <f t="shared" si="20"/>
        <v>0</v>
      </c>
    </row>
    <row r="255" spans="1:32" customFormat="1">
      <c r="A255" s="23">
        <v>255</v>
      </c>
      <c r="B255" s="76" t="s">
        <v>896</v>
      </c>
      <c r="C255" s="331" t="s">
        <v>903</v>
      </c>
      <c r="D255" s="590">
        <v>0</v>
      </c>
      <c r="E255" s="46"/>
      <c r="F255" s="98"/>
      <c r="G255" s="46"/>
      <c r="H255" s="98"/>
      <c r="I255" s="46"/>
      <c r="J255" s="98"/>
      <c r="K255" s="46">
        <v>2</v>
      </c>
      <c r="L255" s="98">
        <v>2</v>
      </c>
      <c r="M255" s="46"/>
      <c r="N255" s="50"/>
      <c r="O255" s="46"/>
      <c r="P255" s="50"/>
      <c r="Q255" s="46"/>
      <c r="R255" s="50"/>
      <c r="S255" s="46"/>
      <c r="T255" s="50"/>
      <c r="U255" s="46"/>
      <c r="V255" s="50"/>
      <c r="W255" s="46"/>
      <c r="X255" s="50"/>
      <c r="Y255" s="46"/>
      <c r="Z255" s="50"/>
      <c r="AA255" s="54"/>
      <c r="AB255" s="52"/>
      <c r="AC255" s="26">
        <f t="shared" si="18"/>
        <v>2</v>
      </c>
      <c r="AD255" s="49">
        <f t="shared" si="19"/>
        <v>2</v>
      </c>
      <c r="AE255" s="461">
        <f t="shared" si="20"/>
        <v>0</v>
      </c>
    </row>
    <row r="256" spans="1:32">
      <c r="A256" s="3">
        <v>256</v>
      </c>
      <c r="B256" s="495" t="s">
        <v>897</v>
      </c>
      <c r="C256" s="498" t="s">
        <v>904</v>
      </c>
      <c r="D256" s="590">
        <v>0</v>
      </c>
      <c r="E256" s="524"/>
      <c r="F256" s="504"/>
      <c r="G256" s="524"/>
      <c r="H256" s="504"/>
      <c r="I256" s="524"/>
      <c r="J256" s="504"/>
      <c r="K256" s="524">
        <v>2</v>
      </c>
      <c r="L256" s="504"/>
      <c r="M256" s="524"/>
      <c r="N256" s="505"/>
      <c r="O256" s="46"/>
      <c r="P256" s="505">
        <v>2</v>
      </c>
      <c r="Q256" s="46"/>
      <c r="R256" s="50"/>
      <c r="S256" s="46"/>
      <c r="T256" s="50"/>
      <c r="U256" s="46"/>
      <c r="V256" s="50"/>
      <c r="W256" s="46"/>
      <c r="X256" s="50"/>
      <c r="Y256" s="46"/>
      <c r="Z256" s="50"/>
      <c r="AA256" s="54"/>
      <c r="AB256" s="52"/>
      <c r="AC256" s="26">
        <f t="shared" si="18"/>
        <v>2</v>
      </c>
      <c r="AD256" s="49">
        <f t="shared" si="19"/>
        <v>2</v>
      </c>
      <c r="AE256" s="469">
        <f t="shared" si="20"/>
        <v>0</v>
      </c>
      <c r="AF256" s="489"/>
    </row>
    <row r="257" spans="1:32">
      <c r="A257" s="23">
        <v>257</v>
      </c>
      <c r="B257" s="495" t="s">
        <v>1178</v>
      </c>
      <c r="C257" s="498" t="s">
        <v>905</v>
      </c>
      <c r="D257" s="590">
        <v>0</v>
      </c>
      <c r="E257" s="524"/>
      <c r="F257" s="504"/>
      <c r="G257" s="524"/>
      <c r="H257" s="504"/>
      <c r="I257" s="524"/>
      <c r="J257" s="504"/>
      <c r="K257" s="524">
        <v>25</v>
      </c>
      <c r="L257" s="504"/>
      <c r="M257" s="524"/>
      <c r="N257" s="505"/>
      <c r="O257" s="524"/>
      <c r="P257" s="505"/>
      <c r="Q257" s="46">
        <f>25</f>
        <v>25</v>
      </c>
      <c r="R257" s="50"/>
      <c r="S257" s="46"/>
      <c r="T257" s="50"/>
      <c r="U257" s="46"/>
      <c r="V257" s="50"/>
      <c r="W257" s="46"/>
      <c r="X257" s="50">
        <f>2</f>
        <v>2</v>
      </c>
      <c r="Y257" s="46"/>
      <c r="Z257" s="50"/>
      <c r="AA257" s="54"/>
      <c r="AB257" s="52"/>
      <c r="AC257" s="26">
        <f t="shared" si="18"/>
        <v>50</v>
      </c>
      <c r="AD257" s="49">
        <f t="shared" si="19"/>
        <v>2</v>
      </c>
      <c r="AE257" s="469">
        <f t="shared" si="20"/>
        <v>48</v>
      </c>
      <c r="AF257" s="489"/>
    </row>
    <row r="258" spans="1:32">
      <c r="A258" s="3">
        <v>258</v>
      </c>
      <c r="B258" s="495" t="s">
        <v>954</v>
      </c>
      <c r="C258" s="498" t="s">
        <v>955</v>
      </c>
      <c r="D258" s="590">
        <v>0</v>
      </c>
      <c r="E258" s="524"/>
      <c r="F258" s="504"/>
      <c r="G258" s="524"/>
      <c r="H258" s="504"/>
      <c r="I258" s="524"/>
      <c r="J258" s="504"/>
      <c r="K258" s="524"/>
      <c r="L258" s="504"/>
      <c r="M258" s="524">
        <v>1</v>
      </c>
      <c r="N258" s="505">
        <v>1</v>
      </c>
      <c r="O258" s="46"/>
      <c r="P258" s="50"/>
      <c r="Q258" s="46">
        <f>1</f>
        <v>1</v>
      </c>
      <c r="R258" s="50">
        <f>1</f>
        <v>1</v>
      </c>
      <c r="S258" s="46"/>
      <c r="T258" s="50"/>
      <c r="U258" s="46"/>
      <c r="V258" s="50"/>
      <c r="W258" s="46"/>
      <c r="X258" s="50"/>
      <c r="Y258" s="46"/>
      <c r="Z258" s="50"/>
      <c r="AA258" s="54"/>
      <c r="AB258" s="52"/>
      <c r="AC258" s="26">
        <f t="shared" si="18"/>
        <v>2</v>
      </c>
      <c r="AD258" s="49">
        <f t="shared" si="19"/>
        <v>2</v>
      </c>
      <c r="AE258" s="461">
        <f t="shared" si="20"/>
        <v>0</v>
      </c>
      <c r="AF258" s="489"/>
    </row>
    <row r="259" spans="1:32">
      <c r="A259" s="533">
        <v>259</v>
      </c>
      <c r="B259" s="495" t="s">
        <v>1007</v>
      </c>
      <c r="C259" s="535" t="s">
        <v>1016</v>
      </c>
      <c r="D259" s="590">
        <v>0</v>
      </c>
      <c r="E259" s="524"/>
      <c r="F259" s="504"/>
      <c r="G259" s="524"/>
      <c r="H259" s="504"/>
      <c r="I259" s="524"/>
      <c r="J259" s="504"/>
      <c r="K259" s="524"/>
      <c r="L259" s="504"/>
      <c r="M259" s="524">
        <v>4</v>
      </c>
      <c r="N259" s="505"/>
      <c r="O259" s="524"/>
      <c r="P259" s="505"/>
      <c r="Q259" s="46"/>
      <c r="R259" s="50">
        <v>4</v>
      </c>
      <c r="S259" s="46">
        <v>4</v>
      </c>
      <c r="T259" s="50">
        <v>4</v>
      </c>
      <c r="U259" s="46"/>
      <c r="V259" s="50"/>
      <c r="W259" s="46"/>
      <c r="X259" s="50"/>
      <c r="Y259" s="46"/>
      <c r="Z259" s="50"/>
      <c r="AA259" s="54"/>
      <c r="AB259" s="52"/>
      <c r="AC259" s="26">
        <f t="shared" ref="AC259:AC269" si="21">SUM(D259,E259,G259,I259,K259,M259,O259,Q259,S259,U259,W259,Y259,AA259)</f>
        <v>8</v>
      </c>
      <c r="AD259" s="49">
        <f t="shared" ref="AD259:AD269" si="22">SUM(F259,H259,J259,L259,N259,P259,R259,T259,V259,X259,Z259,AB259)</f>
        <v>8</v>
      </c>
      <c r="AE259" s="469">
        <f t="shared" ref="AE259:AE269" si="23">SUM(AC259-AD259)</f>
        <v>0</v>
      </c>
      <c r="AF259" s="489"/>
    </row>
    <row r="260" spans="1:32">
      <c r="A260" s="534">
        <v>260</v>
      </c>
      <c r="B260" s="495" t="s">
        <v>1008</v>
      </c>
      <c r="C260" s="535" t="s">
        <v>1017</v>
      </c>
      <c r="D260" s="590">
        <v>0</v>
      </c>
      <c r="E260" s="524"/>
      <c r="F260" s="504"/>
      <c r="G260" s="524"/>
      <c r="H260" s="504"/>
      <c r="I260" s="524"/>
      <c r="J260" s="504"/>
      <c r="K260" s="524"/>
      <c r="L260" s="504"/>
      <c r="M260" s="524">
        <v>29</v>
      </c>
      <c r="N260" s="505"/>
      <c r="O260" s="524"/>
      <c r="P260" s="505"/>
      <c r="Q260" s="46"/>
      <c r="R260" s="50">
        <v>29</v>
      </c>
      <c r="S260" s="46">
        <f>17</f>
        <v>17</v>
      </c>
      <c r="T260" s="50">
        <v>17</v>
      </c>
      <c r="U260" s="46"/>
      <c r="V260" s="50"/>
      <c r="W260" s="46"/>
      <c r="X260" s="50"/>
      <c r="Y260" s="46"/>
      <c r="Z260" s="50"/>
      <c r="AA260" s="54"/>
      <c r="AB260" s="52"/>
      <c r="AC260" s="26">
        <f t="shared" si="21"/>
        <v>46</v>
      </c>
      <c r="AD260" s="49">
        <f t="shared" si="22"/>
        <v>46</v>
      </c>
      <c r="AE260" s="469">
        <f t="shared" si="23"/>
        <v>0</v>
      </c>
      <c r="AF260" s="489"/>
    </row>
    <row r="261" spans="1:32">
      <c r="A261" s="533">
        <v>261</v>
      </c>
      <c r="B261" s="495" t="s">
        <v>1009</v>
      </c>
      <c r="C261" s="535" t="s">
        <v>1017</v>
      </c>
      <c r="D261" s="590">
        <v>0</v>
      </c>
      <c r="E261" s="524"/>
      <c r="F261" s="504"/>
      <c r="G261" s="524"/>
      <c r="H261" s="504"/>
      <c r="I261" s="524"/>
      <c r="J261" s="504"/>
      <c r="K261" s="524"/>
      <c r="L261" s="504"/>
      <c r="M261" s="524">
        <v>12</v>
      </c>
      <c r="N261" s="505"/>
      <c r="O261" s="524"/>
      <c r="P261" s="505"/>
      <c r="Q261" s="46"/>
      <c r="R261" s="50">
        <v>12</v>
      </c>
      <c r="S261" s="46">
        <f>6</f>
        <v>6</v>
      </c>
      <c r="T261" s="50">
        <v>6</v>
      </c>
      <c r="U261" s="46"/>
      <c r="V261" s="50"/>
      <c r="W261" s="46"/>
      <c r="X261" s="50"/>
      <c r="Y261" s="46"/>
      <c r="Z261" s="50"/>
      <c r="AA261" s="54"/>
      <c r="AB261" s="52"/>
      <c r="AC261" s="26">
        <f t="shared" si="21"/>
        <v>18</v>
      </c>
      <c r="AD261" s="49">
        <f t="shared" si="22"/>
        <v>18</v>
      </c>
      <c r="AE261" s="469">
        <f t="shared" si="23"/>
        <v>0</v>
      </c>
      <c r="AF261" s="489"/>
    </row>
    <row r="262" spans="1:32">
      <c r="A262" s="534">
        <v>262</v>
      </c>
      <c r="B262" s="495" t="s">
        <v>1010</v>
      </c>
      <c r="C262" s="535" t="s">
        <v>1017</v>
      </c>
      <c r="D262" s="590">
        <v>0</v>
      </c>
      <c r="E262" s="524"/>
      <c r="F262" s="504"/>
      <c r="G262" s="524"/>
      <c r="H262" s="504"/>
      <c r="I262" s="524"/>
      <c r="J262" s="504"/>
      <c r="K262" s="524"/>
      <c r="L262" s="504"/>
      <c r="M262" s="524">
        <v>9</v>
      </c>
      <c r="N262" s="505"/>
      <c r="O262" s="524"/>
      <c r="P262" s="505"/>
      <c r="Q262" s="46"/>
      <c r="R262" s="50">
        <v>9</v>
      </c>
      <c r="S262" s="46">
        <f>1</f>
        <v>1</v>
      </c>
      <c r="T262" s="50">
        <v>1</v>
      </c>
      <c r="U262" s="46"/>
      <c r="V262" s="50"/>
      <c r="W262" s="46"/>
      <c r="X262" s="50"/>
      <c r="Y262" s="46"/>
      <c r="Z262" s="50"/>
      <c r="AA262" s="54"/>
      <c r="AB262" s="52"/>
      <c r="AC262" s="26">
        <f t="shared" si="21"/>
        <v>10</v>
      </c>
      <c r="AD262" s="49">
        <f t="shared" si="22"/>
        <v>10</v>
      </c>
      <c r="AE262" s="469">
        <f t="shared" si="23"/>
        <v>0</v>
      </c>
      <c r="AF262" s="489"/>
    </row>
    <row r="263" spans="1:32">
      <c r="A263" s="533">
        <v>263</v>
      </c>
      <c r="B263" s="495" t="s">
        <v>1011</v>
      </c>
      <c r="C263" s="535" t="s">
        <v>1017</v>
      </c>
      <c r="D263" s="590">
        <v>0</v>
      </c>
      <c r="E263" s="524"/>
      <c r="F263" s="504"/>
      <c r="G263" s="524"/>
      <c r="H263" s="504"/>
      <c r="I263" s="524"/>
      <c r="J263" s="504"/>
      <c r="K263" s="524"/>
      <c r="L263" s="504"/>
      <c r="M263" s="524">
        <v>11</v>
      </c>
      <c r="N263" s="505"/>
      <c r="O263" s="524"/>
      <c r="P263" s="505"/>
      <c r="Q263" s="46"/>
      <c r="R263" s="50">
        <v>11</v>
      </c>
      <c r="S263" s="46">
        <v>1</v>
      </c>
      <c r="T263" s="50">
        <v>1</v>
      </c>
      <c r="U263" s="46"/>
      <c r="V263" s="50"/>
      <c r="W263" s="46"/>
      <c r="X263" s="50"/>
      <c r="Y263" s="46"/>
      <c r="Z263" s="50"/>
      <c r="AA263" s="54"/>
      <c r="AB263" s="52"/>
      <c r="AC263" s="26">
        <f t="shared" si="21"/>
        <v>12</v>
      </c>
      <c r="AD263" s="49">
        <f t="shared" si="22"/>
        <v>12</v>
      </c>
      <c r="AE263" s="469">
        <f t="shared" si="23"/>
        <v>0</v>
      </c>
      <c r="AF263" s="489"/>
    </row>
    <row r="264" spans="1:32">
      <c r="A264" s="534">
        <v>264</v>
      </c>
      <c r="B264" s="495" t="s">
        <v>1012</v>
      </c>
      <c r="C264" s="535" t="s">
        <v>1017</v>
      </c>
      <c r="D264" s="590">
        <v>0</v>
      </c>
      <c r="E264" s="524"/>
      <c r="F264" s="504"/>
      <c r="G264" s="524"/>
      <c r="H264" s="504"/>
      <c r="I264" s="524"/>
      <c r="J264" s="504"/>
      <c r="K264" s="524"/>
      <c r="L264" s="504"/>
      <c r="M264" s="524">
        <v>1</v>
      </c>
      <c r="N264" s="505"/>
      <c r="O264" s="524"/>
      <c r="P264" s="505"/>
      <c r="Q264" s="46"/>
      <c r="R264" s="50">
        <v>1</v>
      </c>
      <c r="S264" s="46"/>
      <c r="T264" s="50"/>
      <c r="U264" s="46"/>
      <c r="V264" s="50"/>
      <c r="W264" s="46"/>
      <c r="X264" s="50"/>
      <c r="Y264" s="46"/>
      <c r="Z264" s="50"/>
      <c r="AA264" s="54"/>
      <c r="AB264" s="52"/>
      <c r="AC264" s="26">
        <f t="shared" si="21"/>
        <v>1</v>
      </c>
      <c r="AD264" s="49">
        <f t="shared" si="22"/>
        <v>1</v>
      </c>
      <c r="AE264" s="469">
        <f t="shared" si="23"/>
        <v>0</v>
      </c>
      <c r="AF264" s="489"/>
    </row>
    <row r="265" spans="1:32">
      <c r="A265" s="533">
        <v>265</v>
      </c>
      <c r="B265" s="495" t="s">
        <v>1013</v>
      </c>
      <c r="C265" s="535" t="s">
        <v>1017</v>
      </c>
      <c r="D265" s="590">
        <v>0</v>
      </c>
      <c r="E265" s="524"/>
      <c r="F265" s="504"/>
      <c r="G265" s="524"/>
      <c r="H265" s="504"/>
      <c r="I265" s="524"/>
      <c r="J265" s="504"/>
      <c r="K265" s="524"/>
      <c r="L265" s="504"/>
      <c r="M265" s="524">
        <v>1</v>
      </c>
      <c r="N265" s="505"/>
      <c r="O265" s="524"/>
      <c r="P265" s="505"/>
      <c r="Q265" s="46"/>
      <c r="R265" s="50">
        <v>1</v>
      </c>
      <c r="S265" s="46">
        <f>1</f>
        <v>1</v>
      </c>
      <c r="T265" s="50">
        <v>1</v>
      </c>
      <c r="U265" s="46"/>
      <c r="V265" s="50"/>
      <c r="W265" s="46"/>
      <c r="X265" s="50"/>
      <c r="Y265" s="46"/>
      <c r="Z265" s="50"/>
      <c r="AA265" s="54"/>
      <c r="AB265" s="52"/>
      <c r="AC265" s="26">
        <f t="shared" si="21"/>
        <v>2</v>
      </c>
      <c r="AD265" s="49">
        <f t="shared" si="22"/>
        <v>2</v>
      </c>
      <c r="AE265" s="469">
        <f t="shared" si="23"/>
        <v>0</v>
      </c>
      <c r="AF265" s="489"/>
    </row>
    <row r="266" spans="1:32">
      <c r="A266" s="534">
        <v>266</v>
      </c>
      <c r="B266" s="495" t="s">
        <v>1014</v>
      </c>
      <c r="C266" s="535" t="s">
        <v>1018</v>
      </c>
      <c r="D266" s="590">
        <v>0</v>
      </c>
      <c r="E266" s="524"/>
      <c r="F266" s="504"/>
      <c r="G266" s="524"/>
      <c r="H266" s="504"/>
      <c r="I266" s="524"/>
      <c r="J266" s="504"/>
      <c r="K266" s="524"/>
      <c r="L266" s="504"/>
      <c r="M266" s="524">
        <v>5</v>
      </c>
      <c r="N266" s="505">
        <v>5</v>
      </c>
      <c r="O266" s="46"/>
      <c r="P266" s="50"/>
      <c r="Q266" s="46"/>
      <c r="R266" s="50"/>
      <c r="S266" s="46"/>
      <c r="T266" s="50"/>
      <c r="U266" s="46"/>
      <c r="V266" s="50"/>
      <c r="W266" s="46"/>
      <c r="X266" s="50"/>
      <c r="Y266" s="46"/>
      <c r="Z266" s="50"/>
      <c r="AA266" s="54"/>
      <c r="AB266" s="52"/>
      <c r="AC266" s="26">
        <f t="shared" si="21"/>
        <v>5</v>
      </c>
      <c r="AD266" s="49">
        <f t="shared" si="22"/>
        <v>5</v>
      </c>
      <c r="AE266" s="461">
        <f t="shared" si="23"/>
        <v>0</v>
      </c>
      <c r="AF266" s="489"/>
    </row>
    <row r="267" spans="1:32">
      <c r="A267" s="533">
        <v>267</v>
      </c>
      <c r="B267" s="495" t="s">
        <v>1014</v>
      </c>
      <c r="C267" s="535" t="s">
        <v>1018</v>
      </c>
      <c r="D267" s="590">
        <v>0</v>
      </c>
      <c r="E267" s="524"/>
      <c r="F267" s="504"/>
      <c r="G267" s="524"/>
      <c r="H267" s="504"/>
      <c r="I267" s="524"/>
      <c r="J267" s="504"/>
      <c r="K267" s="524"/>
      <c r="L267" s="504"/>
      <c r="M267" s="524">
        <v>4</v>
      </c>
      <c r="N267" s="505"/>
      <c r="O267" s="524"/>
      <c r="P267" s="505"/>
      <c r="Q267" s="46"/>
      <c r="R267" s="50"/>
      <c r="S267" s="46"/>
      <c r="T267" s="50"/>
      <c r="U267" s="46"/>
      <c r="V267" s="50"/>
      <c r="W267" s="46"/>
      <c r="X267" s="50"/>
      <c r="Y267" s="46"/>
      <c r="Z267" s="50"/>
      <c r="AA267" s="54"/>
      <c r="AB267" s="52"/>
      <c r="AC267" s="26">
        <f t="shared" si="21"/>
        <v>4</v>
      </c>
      <c r="AD267" s="49">
        <f t="shared" si="22"/>
        <v>0</v>
      </c>
      <c r="AE267" s="469">
        <f t="shared" si="23"/>
        <v>4</v>
      </c>
      <c r="AF267" s="489"/>
    </row>
    <row r="268" spans="1:32">
      <c r="A268" s="534">
        <v>268</v>
      </c>
      <c r="B268" s="495" t="s">
        <v>1015</v>
      </c>
      <c r="C268" s="535" t="s">
        <v>1019</v>
      </c>
      <c r="D268" s="590">
        <v>0</v>
      </c>
      <c r="E268" s="524"/>
      <c r="F268" s="504"/>
      <c r="G268" s="524"/>
      <c r="H268" s="504"/>
      <c r="I268" s="524"/>
      <c r="J268" s="504"/>
      <c r="K268" s="524"/>
      <c r="L268" s="504"/>
      <c r="M268" s="524">
        <v>1</v>
      </c>
      <c r="N268" s="505">
        <v>1</v>
      </c>
      <c r="O268" s="46"/>
      <c r="P268" s="50"/>
      <c r="Q268" s="46"/>
      <c r="R268" s="50"/>
      <c r="S268" s="46"/>
      <c r="T268" s="50"/>
      <c r="U268" s="46"/>
      <c r="V268" s="50"/>
      <c r="W268" s="46"/>
      <c r="X268" s="50"/>
      <c r="Y268" s="46"/>
      <c r="Z268" s="50"/>
      <c r="AA268" s="54"/>
      <c r="AB268" s="52"/>
      <c r="AC268" s="26">
        <f t="shared" si="21"/>
        <v>1</v>
      </c>
      <c r="AD268" s="49">
        <f t="shared" si="22"/>
        <v>1</v>
      </c>
      <c r="AE268" s="461">
        <f t="shared" si="23"/>
        <v>0</v>
      </c>
      <c r="AF268" s="489"/>
    </row>
    <row r="269" spans="1:32">
      <c r="A269" s="533">
        <v>269</v>
      </c>
      <c r="B269" s="495" t="s">
        <v>1020</v>
      </c>
      <c r="C269" s="536" t="s">
        <v>1021</v>
      </c>
      <c r="D269" s="590">
        <v>0</v>
      </c>
      <c r="E269" s="524"/>
      <c r="F269" s="504"/>
      <c r="G269" s="524"/>
      <c r="H269" s="504"/>
      <c r="I269" s="524"/>
      <c r="J269" s="504"/>
      <c r="K269" s="524"/>
      <c r="L269" s="504"/>
      <c r="M269" s="524">
        <v>2</v>
      </c>
      <c r="N269" s="505">
        <v>2</v>
      </c>
      <c r="O269" s="46"/>
      <c r="P269" s="50"/>
      <c r="Q269" s="46"/>
      <c r="R269" s="50"/>
      <c r="S269" s="46"/>
      <c r="T269" s="50"/>
      <c r="U269" s="46"/>
      <c r="V269" s="50"/>
      <c r="W269" s="46"/>
      <c r="X269" s="50"/>
      <c r="Y269" s="46"/>
      <c r="Z269" s="50"/>
      <c r="AA269" s="54"/>
      <c r="AB269" s="52"/>
      <c r="AC269" s="26">
        <f t="shared" si="21"/>
        <v>2</v>
      </c>
      <c r="AD269" s="49">
        <f t="shared" si="22"/>
        <v>2</v>
      </c>
      <c r="AE269" s="461">
        <f t="shared" si="23"/>
        <v>0</v>
      </c>
      <c r="AF269" s="489"/>
    </row>
    <row r="270" spans="1:32">
      <c r="A270" s="534">
        <v>270</v>
      </c>
      <c r="B270" s="495" t="s">
        <v>1022</v>
      </c>
      <c r="C270" s="535" t="s">
        <v>1028</v>
      </c>
      <c r="D270" s="590">
        <v>0</v>
      </c>
      <c r="E270" s="524"/>
      <c r="F270" s="504"/>
      <c r="G270" s="524"/>
      <c r="H270" s="504"/>
      <c r="I270" s="524"/>
      <c r="J270" s="504"/>
      <c r="K270" s="524"/>
      <c r="L270" s="504"/>
      <c r="M270" s="524">
        <v>8</v>
      </c>
      <c r="N270" s="505">
        <v>8</v>
      </c>
      <c r="O270" s="46"/>
      <c r="P270" s="50"/>
      <c r="Q270" s="46">
        <f>4</f>
        <v>4</v>
      </c>
      <c r="R270" s="50"/>
      <c r="S270" s="46"/>
      <c r="T270" s="50"/>
      <c r="U270" s="46"/>
      <c r="V270" s="50">
        <f>2</f>
        <v>2</v>
      </c>
      <c r="W270" s="46">
        <v>26</v>
      </c>
      <c r="X270" s="50"/>
      <c r="Y270" s="46"/>
      <c r="Z270" s="50"/>
      <c r="AA270" s="54"/>
      <c r="AB270" s="52">
        <f>1+1+26</f>
        <v>28</v>
      </c>
      <c r="AC270" s="26">
        <f>SUM(D270,E270,G270,I270,K270,M270,O270,Q270,S270,U270,W270,Y270,AA270)</f>
        <v>38</v>
      </c>
      <c r="AD270" s="49">
        <f>SUM(F270,H270,J270,L270,N270,P270,R270,T270,V270,X270,Z270,AB270)</f>
        <v>38</v>
      </c>
      <c r="AE270" s="469">
        <f>SUM(AC270-AD270)</f>
        <v>0</v>
      </c>
      <c r="AF270" s="489"/>
    </row>
    <row r="271" spans="1:32">
      <c r="A271" s="533">
        <v>271</v>
      </c>
      <c r="B271" s="495" t="s">
        <v>1023</v>
      </c>
      <c r="C271" s="535" t="s">
        <v>1029</v>
      </c>
      <c r="D271" s="590">
        <v>0</v>
      </c>
      <c r="E271" s="524"/>
      <c r="F271" s="504"/>
      <c r="G271" s="524"/>
      <c r="H271" s="504"/>
      <c r="I271" s="524"/>
      <c r="J271" s="504"/>
      <c r="K271" s="524"/>
      <c r="L271" s="504"/>
      <c r="M271" s="524">
        <v>1</v>
      </c>
      <c r="N271" s="505">
        <f>1</f>
        <v>1</v>
      </c>
      <c r="O271" s="46"/>
      <c r="P271" s="50"/>
      <c r="Q271" s="46"/>
      <c r="R271" s="50"/>
      <c r="S271" s="46">
        <f>1</f>
        <v>1</v>
      </c>
      <c r="T271" s="50">
        <v>1</v>
      </c>
      <c r="U271" s="46"/>
      <c r="V271" s="50"/>
      <c r="W271" s="46"/>
      <c r="X271" s="50"/>
      <c r="Y271" s="46"/>
      <c r="Z271" s="50"/>
      <c r="AA271" s="54"/>
      <c r="AB271" s="52"/>
      <c r="AC271" s="26">
        <f t="shared" ref="AC271:AC276" si="24">SUM(D271,E271,G271,I271,K271,M271,O271,Q271,S271,U271,W271,Y271,AA271)</f>
        <v>2</v>
      </c>
      <c r="AD271" s="49">
        <f t="shared" ref="AD271:AD276" si="25">SUM(F271,H271,J271,L271,N271,P271,R271,T271,V271,X271,Z271,AB271)</f>
        <v>2</v>
      </c>
      <c r="AE271" s="461">
        <f t="shared" ref="AE271:AE276" si="26">SUM(AC271-AD271)</f>
        <v>0</v>
      </c>
      <c r="AF271" s="489"/>
    </row>
    <row r="272" spans="1:32">
      <c r="A272" s="534">
        <v>272</v>
      </c>
      <c r="B272" s="495" t="s">
        <v>1024</v>
      </c>
      <c r="C272" s="535" t="s">
        <v>1030</v>
      </c>
      <c r="D272" s="590">
        <v>0</v>
      </c>
      <c r="E272" s="524"/>
      <c r="F272" s="504"/>
      <c r="G272" s="524"/>
      <c r="H272" s="504"/>
      <c r="I272" s="524"/>
      <c r="J272" s="504"/>
      <c r="K272" s="524"/>
      <c r="L272" s="504"/>
      <c r="M272" s="524">
        <v>1</v>
      </c>
      <c r="N272" s="505">
        <v>1</v>
      </c>
      <c r="O272" s="46"/>
      <c r="P272" s="50"/>
      <c r="Q272" s="46"/>
      <c r="R272" s="50"/>
      <c r="S272" s="46"/>
      <c r="T272" s="50"/>
      <c r="U272" s="46"/>
      <c r="V272" s="50"/>
      <c r="W272" s="46"/>
      <c r="X272" s="50"/>
      <c r="Y272" s="46"/>
      <c r="Z272" s="50"/>
      <c r="AA272" s="54"/>
      <c r="AB272" s="52"/>
      <c r="AC272" s="26">
        <f t="shared" si="24"/>
        <v>1</v>
      </c>
      <c r="AD272" s="49">
        <f t="shared" si="25"/>
        <v>1</v>
      </c>
      <c r="AE272" s="461">
        <f t="shared" si="26"/>
        <v>0</v>
      </c>
      <c r="AF272" s="489"/>
    </row>
    <row r="273" spans="1:32">
      <c r="A273" s="533">
        <v>273</v>
      </c>
      <c r="B273" s="495" t="s">
        <v>1025</v>
      </c>
      <c r="C273" s="499" t="s">
        <v>1031</v>
      </c>
      <c r="D273" s="590">
        <v>0</v>
      </c>
      <c r="E273" s="524"/>
      <c r="F273" s="504"/>
      <c r="G273" s="524"/>
      <c r="H273" s="504"/>
      <c r="I273" s="524"/>
      <c r="J273" s="504"/>
      <c r="K273" s="524"/>
      <c r="L273" s="504"/>
      <c r="M273" s="524">
        <v>1</v>
      </c>
      <c r="N273" s="505">
        <v>1</v>
      </c>
      <c r="O273" s="46"/>
      <c r="P273" s="50"/>
      <c r="Q273" s="46"/>
      <c r="R273" s="50"/>
      <c r="S273" s="46"/>
      <c r="T273" s="50"/>
      <c r="U273" s="46"/>
      <c r="V273" s="50"/>
      <c r="W273" s="46"/>
      <c r="X273" s="50"/>
      <c r="Y273" s="46"/>
      <c r="Z273" s="50"/>
      <c r="AA273" s="54"/>
      <c r="AB273" s="52"/>
      <c r="AC273" s="26">
        <f t="shared" si="24"/>
        <v>1</v>
      </c>
      <c r="AD273" s="49">
        <f t="shared" si="25"/>
        <v>1</v>
      </c>
      <c r="AE273" s="461">
        <f t="shared" si="26"/>
        <v>0</v>
      </c>
      <c r="AF273" s="489"/>
    </row>
    <row r="274" spans="1:32">
      <c r="A274" s="534">
        <v>274</v>
      </c>
      <c r="B274" s="495" t="s">
        <v>1026</v>
      </c>
      <c r="C274" s="499" t="s">
        <v>1032</v>
      </c>
      <c r="D274" s="590">
        <v>0</v>
      </c>
      <c r="E274" s="524"/>
      <c r="F274" s="504"/>
      <c r="G274" s="524"/>
      <c r="H274" s="504"/>
      <c r="I274" s="524"/>
      <c r="J274" s="504"/>
      <c r="K274" s="524"/>
      <c r="L274" s="504"/>
      <c r="M274" s="524">
        <v>64</v>
      </c>
      <c r="N274" s="505">
        <v>64</v>
      </c>
      <c r="O274" s="46"/>
      <c r="P274" s="50"/>
      <c r="Q274" s="46">
        <f>100</f>
        <v>100</v>
      </c>
      <c r="R274" s="50">
        <f>48</f>
        <v>48</v>
      </c>
      <c r="S274" s="46">
        <f>32</f>
        <v>32</v>
      </c>
      <c r="T274" s="50">
        <f>32</f>
        <v>32</v>
      </c>
      <c r="U274" s="46"/>
      <c r="V274" s="50"/>
      <c r="W274" s="46"/>
      <c r="X274" s="50"/>
      <c r="Y274" s="46"/>
      <c r="Z274" s="50"/>
      <c r="AA274" s="54"/>
      <c r="AB274" s="52"/>
      <c r="AC274" s="26">
        <f t="shared" si="24"/>
        <v>196</v>
      </c>
      <c r="AD274" s="49">
        <f t="shared" si="25"/>
        <v>144</v>
      </c>
      <c r="AE274" s="469">
        <f t="shared" si="26"/>
        <v>52</v>
      </c>
      <c r="AF274" s="489"/>
    </row>
    <row r="275" spans="1:32">
      <c r="A275" s="533">
        <v>275</v>
      </c>
      <c r="B275" s="495" t="s">
        <v>1027</v>
      </c>
      <c r="C275" s="499" t="s">
        <v>1033</v>
      </c>
      <c r="D275" s="590">
        <v>0</v>
      </c>
      <c r="E275" s="524"/>
      <c r="F275" s="504"/>
      <c r="G275" s="524"/>
      <c r="H275" s="504"/>
      <c r="I275" s="524"/>
      <c r="J275" s="504"/>
      <c r="K275" s="524"/>
      <c r="L275" s="504"/>
      <c r="M275" s="524">
        <v>16</v>
      </c>
      <c r="N275" s="505">
        <v>16</v>
      </c>
      <c r="O275" s="46"/>
      <c r="P275" s="50"/>
      <c r="Q275" s="46"/>
      <c r="R275" s="50"/>
      <c r="S275" s="46"/>
      <c r="T275" s="50"/>
      <c r="U275" s="46"/>
      <c r="V275" s="50"/>
      <c r="W275" s="46"/>
      <c r="X275" s="50"/>
      <c r="Y275" s="46"/>
      <c r="Z275" s="50"/>
      <c r="AA275" s="54"/>
      <c r="AB275" s="52"/>
      <c r="AC275" s="26">
        <f t="shared" si="24"/>
        <v>16</v>
      </c>
      <c r="AD275" s="49">
        <f t="shared" si="25"/>
        <v>16</v>
      </c>
      <c r="AE275" s="461">
        <f t="shared" si="26"/>
        <v>0</v>
      </c>
      <c r="AF275" s="489"/>
    </row>
    <row r="276" spans="1:32">
      <c r="A276" s="534">
        <v>276</v>
      </c>
      <c r="B276" s="495" t="s">
        <v>1078</v>
      </c>
      <c r="C276" s="559" t="s">
        <v>1080</v>
      </c>
      <c r="D276" s="590">
        <v>0</v>
      </c>
      <c r="E276" s="532"/>
      <c r="F276" s="507"/>
      <c r="G276" s="532"/>
      <c r="H276" s="507"/>
      <c r="I276" s="532"/>
      <c r="J276" s="507"/>
      <c r="K276" s="532"/>
      <c r="L276" s="507"/>
      <c r="M276" s="524"/>
      <c r="N276" s="505"/>
      <c r="O276" s="46">
        <v>10</v>
      </c>
      <c r="P276" s="505">
        <v>10</v>
      </c>
      <c r="Q276" s="54"/>
      <c r="R276" s="52"/>
      <c r="S276" s="54"/>
      <c r="T276" s="52"/>
      <c r="U276" s="54"/>
      <c r="V276" s="52"/>
      <c r="W276" s="54"/>
      <c r="X276" s="52"/>
      <c r="Y276" s="54"/>
      <c r="Z276" s="52"/>
      <c r="AA276" s="54"/>
      <c r="AB276" s="52"/>
      <c r="AC276" s="696">
        <f t="shared" si="24"/>
        <v>10</v>
      </c>
      <c r="AD276" s="50">
        <f t="shared" si="25"/>
        <v>10</v>
      </c>
      <c r="AE276" s="469">
        <f t="shared" si="26"/>
        <v>0</v>
      </c>
      <c r="AF276" s="489"/>
    </row>
    <row r="277" spans="1:32">
      <c r="A277" s="533">
        <v>277</v>
      </c>
      <c r="B277" s="495" t="s">
        <v>1201</v>
      </c>
      <c r="C277" s="559" t="s">
        <v>1101</v>
      </c>
      <c r="D277" s="590">
        <v>0</v>
      </c>
      <c r="E277" s="532"/>
      <c r="F277" s="507"/>
      <c r="G277" s="532"/>
      <c r="H277" s="507"/>
      <c r="I277" s="532"/>
      <c r="J277" s="507"/>
      <c r="K277" s="532"/>
      <c r="L277" s="507"/>
      <c r="M277" s="524"/>
      <c r="N277" s="505"/>
      <c r="O277" s="524">
        <v>2</v>
      </c>
      <c r="P277" s="505"/>
      <c r="Q277" s="54"/>
      <c r="R277" s="52">
        <f>2</f>
        <v>2</v>
      </c>
      <c r="S277" s="54"/>
      <c r="T277" s="52"/>
      <c r="U277" s="54"/>
      <c r="V277" s="52"/>
      <c r="W277" s="54"/>
      <c r="X277" s="52"/>
      <c r="Y277" s="54"/>
      <c r="Z277" s="52"/>
      <c r="AA277" s="54"/>
      <c r="AB277" s="52"/>
      <c r="AC277" s="696">
        <f t="shared" ref="AC277:AC290" si="27">SUM(D277,E277,G277,I277,K277,M277,O277,Q277,S277,U277,W277,Y277,AA277)</f>
        <v>2</v>
      </c>
      <c r="AD277" s="50">
        <f t="shared" ref="AD277:AD290" si="28">SUM(F277,H277,J277,L277,N277,P277,R277,T277,V277,X277,Z277,AB277)</f>
        <v>2</v>
      </c>
      <c r="AE277" s="469">
        <f t="shared" ref="AE277:AE290" si="29">SUM(AC277-AD277)</f>
        <v>0</v>
      </c>
      <c r="AF277" s="489"/>
    </row>
    <row r="278" spans="1:32">
      <c r="A278" s="534">
        <v>278</v>
      </c>
      <c r="B278" s="495" t="s">
        <v>1100</v>
      </c>
      <c r="C278" s="559" t="s">
        <v>1102</v>
      </c>
      <c r="D278" s="590">
        <v>0</v>
      </c>
      <c r="E278" s="524"/>
      <c r="F278" s="504"/>
      <c r="G278" s="524"/>
      <c r="H278" s="504"/>
      <c r="I278" s="524"/>
      <c r="J278" s="504"/>
      <c r="K278" s="524"/>
      <c r="L278" s="504"/>
      <c r="M278" s="524"/>
      <c r="N278" s="505"/>
      <c r="O278" s="524">
        <v>10</v>
      </c>
      <c r="P278" s="505">
        <f>3</f>
        <v>3</v>
      </c>
      <c r="Q278" s="54"/>
      <c r="R278" s="52"/>
      <c r="S278" s="54"/>
      <c r="T278" s="52">
        <f>2</f>
        <v>2</v>
      </c>
      <c r="U278" s="54"/>
      <c r="V278" s="52"/>
      <c r="W278" s="54"/>
      <c r="X278" s="52">
        <f>2</f>
        <v>2</v>
      </c>
      <c r="Y278" s="54"/>
      <c r="Z278" s="52"/>
      <c r="AA278" s="54"/>
      <c r="AB278" s="52"/>
      <c r="AC278" s="696">
        <f t="shared" si="27"/>
        <v>10</v>
      </c>
      <c r="AD278" s="50">
        <f t="shared" si="28"/>
        <v>7</v>
      </c>
      <c r="AE278" s="469">
        <f t="shared" si="29"/>
        <v>3</v>
      </c>
      <c r="AF278" s="489"/>
    </row>
    <row r="279" spans="1:32">
      <c r="A279" s="533">
        <v>279</v>
      </c>
      <c r="B279" s="495" t="s">
        <v>1096</v>
      </c>
      <c r="C279" s="559" t="s">
        <v>1098</v>
      </c>
      <c r="D279" s="590">
        <v>0</v>
      </c>
      <c r="E279" s="532"/>
      <c r="F279" s="507"/>
      <c r="G279" s="532"/>
      <c r="H279" s="507"/>
      <c r="I279" s="532"/>
      <c r="J279" s="507"/>
      <c r="K279" s="532"/>
      <c r="L279" s="507"/>
      <c r="M279" s="524"/>
      <c r="N279" s="505"/>
      <c r="O279" s="46">
        <v>1</v>
      </c>
      <c r="P279" s="505">
        <v>1</v>
      </c>
      <c r="Q279" s="54"/>
      <c r="R279" s="52"/>
      <c r="S279" s="54"/>
      <c r="T279" s="52"/>
      <c r="U279" s="54"/>
      <c r="V279" s="52"/>
      <c r="W279" s="54"/>
      <c r="X279" s="52"/>
      <c r="Y279" s="54"/>
      <c r="Z279" s="52"/>
      <c r="AA279" s="54"/>
      <c r="AB279" s="52"/>
      <c r="AC279" s="696">
        <f t="shared" si="27"/>
        <v>1</v>
      </c>
      <c r="AD279" s="50">
        <f t="shared" si="28"/>
        <v>1</v>
      </c>
      <c r="AE279" s="469">
        <f t="shared" si="29"/>
        <v>0</v>
      </c>
      <c r="AF279" s="489"/>
    </row>
    <row r="280" spans="1:32">
      <c r="A280" s="534">
        <v>280</v>
      </c>
      <c r="B280" s="495" t="s">
        <v>896</v>
      </c>
      <c r="C280" s="559" t="s">
        <v>903</v>
      </c>
      <c r="D280" s="590">
        <v>0</v>
      </c>
      <c r="E280" s="532"/>
      <c r="F280" s="507"/>
      <c r="G280" s="532"/>
      <c r="H280" s="507"/>
      <c r="I280" s="532"/>
      <c r="J280" s="507"/>
      <c r="K280" s="532"/>
      <c r="L280" s="507"/>
      <c r="M280" s="524"/>
      <c r="N280" s="505"/>
      <c r="O280" s="46">
        <v>1</v>
      </c>
      <c r="P280" s="505">
        <v>1</v>
      </c>
      <c r="Q280" s="54"/>
      <c r="R280" s="52"/>
      <c r="S280" s="54"/>
      <c r="T280" s="52"/>
      <c r="U280" s="54"/>
      <c r="V280" s="52"/>
      <c r="W280" s="54"/>
      <c r="X280" s="52"/>
      <c r="Y280" s="54"/>
      <c r="Z280" s="52"/>
      <c r="AA280" s="54"/>
      <c r="AB280" s="52"/>
      <c r="AC280" s="696">
        <f t="shared" si="27"/>
        <v>1</v>
      </c>
      <c r="AD280" s="50">
        <f t="shared" si="28"/>
        <v>1</v>
      </c>
      <c r="AE280" s="469">
        <f t="shared" si="29"/>
        <v>0</v>
      </c>
      <c r="AF280" s="489"/>
    </row>
    <row r="281" spans="1:32">
      <c r="A281" s="533">
        <v>281</v>
      </c>
      <c r="B281" s="495" t="s">
        <v>1081</v>
      </c>
      <c r="C281" s="559" t="s">
        <v>1088</v>
      </c>
      <c r="D281" s="590">
        <v>0</v>
      </c>
      <c r="E281" s="532"/>
      <c r="F281" s="507"/>
      <c r="G281" s="532"/>
      <c r="H281" s="507"/>
      <c r="I281" s="532"/>
      <c r="J281" s="507"/>
      <c r="K281" s="532"/>
      <c r="L281" s="507"/>
      <c r="M281" s="524"/>
      <c r="N281" s="505"/>
      <c r="O281" s="46">
        <v>1</v>
      </c>
      <c r="P281" s="505">
        <v>1</v>
      </c>
      <c r="Q281" s="54"/>
      <c r="R281" s="52"/>
      <c r="S281" s="54">
        <v>1</v>
      </c>
      <c r="T281" s="52">
        <f>1</f>
        <v>1</v>
      </c>
      <c r="U281" s="54"/>
      <c r="V281" s="52"/>
      <c r="W281" s="54"/>
      <c r="X281" s="52"/>
      <c r="Y281" s="54"/>
      <c r="Z281" s="52"/>
      <c r="AA281" s="54"/>
      <c r="AB281" s="52"/>
      <c r="AC281" s="696">
        <f t="shared" si="27"/>
        <v>2</v>
      </c>
      <c r="AD281" s="50">
        <f t="shared" si="28"/>
        <v>2</v>
      </c>
      <c r="AE281" s="469">
        <f t="shared" si="29"/>
        <v>0</v>
      </c>
      <c r="AF281" s="489"/>
    </row>
    <row r="282" spans="1:32">
      <c r="A282" s="534">
        <v>282</v>
      </c>
      <c r="B282" s="495" t="s">
        <v>1082</v>
      </c>
      <c r="C282" s="559" t="s">
        <v>1089</v>
      </c>
      <c r="D282" s="590">
        <v>0</v>
      </c>
      <c r="E282" s="532"/>
      <c r="F282" s="507"/>
      <c r="G282" s="532"/>
      <c r="H282" s="507"/>
      <c r="I282" s="532"/>
      <c r="J282" s="507"/>
      <c r="K282" s="532"/>
      <c r="L282" s="507"/>
      <c r="M282" s="524"/>
      <c r="N282" s="505"/>
      <c r="O282" s="46">
        <v>2</v>
      </c>
      <c r="P282" s="505">
        <v>2</v>
      </c>
      <c r="Q282" s="54"/>
      <c r="R282" s="52"/>
      <c r="S282" s="54"/>
      <c r="T282" s="52"/>
      <c r="U282" s="54"/>
      <c r="V282" s="52"/>
      <c r="W282" s="54"/>
      <c r="X282" s="52"/>
      <c r="Y282" s="54"/>
      <c r="Z282" s="52"/>
      <c r="AA282" s="54"/>
      <c r="AB282" s="52"/>
      <c r="AC282" s="696">
        <f t="shared" si="27"/>
        <v>2</v>
      </c>
      <c r="AD282" s="50">
        <f t="shared" si="28"/>
        <v>2</v>
      </c>
      <c r="AE282" s="469">
        <f t="shared" si="29"/>
        <v>0</v>
      </c>
      <c r="AF282" s="489"/>
    </row>
    <row r="283" spans="1:32">
      <c r="A283" s="534">
        <v>284</v>
      </c>
      <c r="B283" s="495" t="s">
        <v>321</v>
      </c>
      <c r="C283" s="559" t="s">
        <v>320</v>
      </c>
      <c r="D283" s="590">
        <v>0</v>
      </c>
      <c r="E283" s="532"/>
      <c r="F283" s="507"/>
      <c r="G283" s="532"/>
      <c r="H283" s="507"/>
      <c r="I283" s="532"/>
      <c r="J283" s="507"/>
      <c r="K283" s="532"/>
      <c r="L283" s="507"/>
      <c r="M283" s="524"/>
      <c r="N283" s="505"/>
      <c r="O283" s="46">
        <v>4</v>
      </c>
      <c r="P283" s="505">
        <v>4</v>
      </c>
      <c r="Q283" s="54"/>
      <c r="R283" s="52"/>
      <c r="S283" s="54"/>
      <c r="T283" s="52"/>
      <c r="U283" s="54"/>
      <c r="V283" s="52"/>
      <c r="W283" s="54"/>
      <c r="X283" s="52"/>
      <c r="Y283" s="54"/>
      <c r="Z283" s="52"/>
      <c r="AA283" s="54"/>
      <c r="AB283" s="52"/>
      <c r="AC283" s="696">
        <f t="shared" si="27"/>
        <v>4</v>
      </c>
      <c r="AD283" s="50">
        <f t="shared" si="28"/>
        <v>4</v>
      </c>
      <c r="AE283" s="469">
        <f t="shared" si="29"/>
        <v>0</v>
      </c>
      <c r="AF283" s="489"/>
    </row>
    <row r="284" spans="1:32">
      <c r="A284" s="533">
        <v>285</v>
      </c>
      <c r="B284" s="495" t="s">
        <v>1083</v>
      </c>
      <c r="C284" s="559" t="s">
        <v>1090</v>
      </c>
      <c r="D284" s="590">
        <v>0</v>
      </c>
      <c r="E284" s="532"/>
      <c r="F284" s="507"/>
      <c r="G284" s="532"/>
      <c r="H284" s="507"/>
      <c r="I284" s="532"/>
      <c r="J284" s="507"/>
      <c r="K284" s="532"/>
      <c r="L284" s="507"/>
      <c r="M284" s="524"/>
      <c r="N284" s="505"/>
      <c r="O284" s="46">
        <v>1</v>
      </c>
      <c r="P284" s="505">
        <v>1</v>
      </c>
      <c r="Q284" s="54"/>
      <c r="R284" s="52"/>
      <c r="S284" s="54"/>
      <c r="T284" s="52"/>
      <c r="U284" s="54"/>
      <c r="V284" s="52"/>
      <c r="W284" s="54"/>
      <c r="X284" s="52"/>
      <c r="Y284" s="54"/>
      <c r="Z284" s="52"/>
      <c r="AA284" s="54"/>
      <c r="AB284" s="52"/>
      <c r="AC284" s="696">
        <f t="shared" si="27"/>
        <v>1</v>
      </c>
      <c r="AD284" s="50">
        <f t="shared" si="28"/>
        <v>1</v>
      </c>
      <c r="AE284" s="469">
        <f t="shared" si="29"/>
        <v>0</v>
      </c>
      <c r="AF284" s="489"/>
    </row>
    <row r="285" spans="1:32">
      <c r="A285" s="534">
        <v>286</v>
      </c>
      <c r="B285" s="495" t="s">
        <v>1084</v>
      </c>
      <c r="C285" s="559" t="s">
        <v>1091</v>
      </c>
      <c r="D285" s="590">
        <v>0</v>
      </c>
      <c r="E285" s="532"/>
      <c r="F285" s="507"/>
      <c r="G285" s="532"/>
      <c r="H285" s="507"/>
      <c r="I285" s="532"/>
      <c r="J285" s="507"/>
      <c r="K285" s="532"/>
      <c r="L285" s="507"/>
      <c r="M285" s="524"/>
      <c r="N285" s="505"/>
      <c r="O285" s="46">
        <v>2</v>
      </c>
      <c r="P285" s="505">
        <v>2</v>
      </c>
      <c r="Q285" s="54"/>
      <c r="R285" s="52"/>
      <c r="S285" s="54"/>
      <c r="T285" s="52"/>
      <c r="U285" s="54"/>
      <c r="V285" s="52"/>
      <c r="W285" s="54"/>
      <c r="X285" s="52"/>
      <c r="Y285" s="54"/>
      <c r="Z285" s="52"/>
      <c r="AA285" s="54"/>
      <c r="AB285" s="52"/>
      <c r="AC285" s="696">
        <f t="shared" si="27"/>
        <v>2</v>
      </c>
      <c r="AD285" s="50">
        <f t="shared" si="28"/>
        <v>2</v>
      </c>
      <c r="AE285" s="469">
        <f t="shared" si="29"/>
        <v>0</v>
      </c>
      <c r="AF285" s="489"/>
    </row>
    <row r="286" spans="1:32">
      <c r="A286" s="533">
        <v>287</v>
      </c>
      <c r="B286" s="495" t="s">
        <v>1085</v>
      </c>
      <c r="C286" s="559" t="s">
        <v>1092</v>
      </c>
      <c r="D286" s="590">
        <v>0</v>
      </c>
      <c r="E286" s="532"/>
      <c r="F286" s="507"/>
      <c r="G286" s="532"/>
      <c r="H286" s="507"/>
      <c r="I286" s="532"/>
      <c r="J286" s="507"/>
      <c r="K286" s="532"/>
      <c r="L286" s="507"/>
      <c r="M286" s="524"/>
      <c r="N286" s="505"/>
      <c r="O286" s="46">
        <v>3</v>
      </c>
      <c r="P286" s="505">
        <v>3</v>
      </c>
      <c r="Q286" s="54"/>
      <c r="R286" s="52"/>
      <c r="S286" s="54"/>
      <c r="T286" s="52"/>
      <c r="U286" s="54"/>
      <c r="V286" s="52"/>
      <c r="W286" s="54"/>
      <c r="X286" s="52"/>
      <c r="Y286" s="54"/>
      <c r="Z286" s="52"/>
      <c r="AA286" s="54"/>
      <c r="AB286" s="52"/>
      <c r="AC286" s="696">
        <f t="shared" si="27"/>
        <v>3</v>
      </c>
      <c r="AD286" s="50">
        <f t="shared" si="28"/>
        <v>3</v>
      </c>
      <c r="AE286" s="469">
        <f t="shared" si="29"/>
        <v>0</v>
      </c>
      <c r="AF286" s="489"/>
    </row>
    <row r="287" spans="1:32">
      <c r="A287" s="534">
        <v>288</v>
      </c>
      <c r="B287" s="495" t="s">
        <v>1086</v>
      </c>
      <c r="C287" s="559" t="s">
        <v>1093</v>
      </c>
      <c r="D287" s="590">
        <v>0</v>
      </c>
      <c r="E287" s="532"/>
      <c r="F287" s="507"/>
      <c r="G287" s="532"/>
      <c r="H287" s="507"/>
      <c r="I287" s="532"/>
      <c r="J287" s="507"/>
      <c r="K287" s="532"/>
      <c r="L287" s="507"/>
      <c r="M287" s="524"/>
      <c r="N287" s="505"/>
      <c r="O287" s="46">
        <v>8</v>
      </c>
      <c r="P287" s="505">
        <v>8</v>
      </c>
      <c r="Q287" s="54"/>
      <c r="R287" s="52"/>
      <c r="S287" s="54"/>
      <c r="T287" s="52"/>
      <c r="U287" s="54"/>
      <c r="V287" s="52"/>
      <c r="W287" s="54"/>
      <c r="X287" s="52"/>
      <c r="Y287" s="54"/>
      <c r="Z287" s="52"/>
      <c r="AA287" s="54"/>
      <c r="AB287" s="52"/>
      <c r="AC287" s="696">
        <f t="shared" si="27"/>
        <v>8</v>
      </c>
      <c r="AD287" s="50">
        <f t="shared" si="28"/>
        <v>8</v>
      </c>
      <c r="AE287" s="469">
        <f t="shared" si="29"/>
        <v>0</v>
      </c>
      <c r="AF287" s="489"/>
    </row>
    <row r="288" spans="1:32">
      <c r="A288" s="533">
        <v>289</v>
      </c>
      <c r="B288" s="495" t="s">
        <v>664</v>
      </c>
      <c r="C288" s="499" t="s">
        <v>1094</v>
      </c>
      <c r="D288" s="590">
        <v>0</v>
      </c>
      <c r="E288" s="532"/>
      <c r="F288" s="507"/>
      <c r="G288" s="532"/>
      <c r="H288" s="507"/>
      <c r="I288" s="532"/>
      <c r="J288" s="507"/>
      <c r="K288" s="532"/>
      <c r="L288" s="507"/>
      <c r="M288" s="524"/>
      <c r="N288" s="505"/>
      <c r="O288" s="46">
        <v>10</v>
      </c>
      <c r="P288" s="505">
        <v>10</v>
      </c>
      <c r="Q288" s="54"/>
      <c r="R288" s="52"/>
      <c r="S288" s="54"/>
      <c r="T288" s="52"/>
      <c r="U288" s="54"/>
      <c r="V288" s="52"/>
      <c r="W288" s="54"/>
      <c r="X288" s="52"/>
      <c r="Y288" s="54"/>
      <c r="Z288" s="52"/>
      <c r="AA288" s="54"/>
      <c r="AB288" s="52"/>
      <c r="AC288" s="696">
        <f t="shared" si="27"/>
        <v>10</v>
      </c>
      <c r="AD288" s="50">
        <f t="shared" si="28"/>
        <v>10</v>
      </c>
      <c r="AE288" s="469">
        <f t="shared" si="29"/>
        <v>0</v>
      </c>
      <c r="AF288" s="489"/>
    </row>
    <row r="289" spans="1:32">
      <c r="A289" s="534">
        <v>290</v>
      </c>
      <c r="B289" s="495" t="s">
        <v>1087</v>
      </c>
      <c r="C289" s="499" t="s">
        <v>1095</v>
      </c>
      <c r="D289" s="590">
        <v>0</v>
      </c>
      <c r="E289" s="532"/>
      <c r="F289" s="507"/>
      <c r="G289" s="532"/>
      <c r="H289" s="507"/>
      <c r="I289" s="532"/>
      <c r="J289" s="507"/>
      <c r="K289" s="532"/>
      <c r="L289" s="507"/>
      <c r="M289" s="524"/>
      <c r="N289" s="505"/>
      <c r="O289" s="46">
        <v>7</v>
      </c>
      <c r="P289" s="505">
        <v>7</v>
      </c>
      <c r="Q289" s="54"/>
      <c r="R289" s="52"/>
      <c r="S289" s="54"/>
      <c r="T289" s="52"/>
      <c r="U289" s="54"/>
      <c r="V289" s="52"/>
      <c r="W289" s="54"/>
      <c r="X289" s="52"/>
      <c r="Y289" s="54"/>
      <c r="Z289" s="52"/>
      <c r="AA289" s="54"/>
      <c r="AB289" s="52"/>
      <c r="AC289" s="696">
        <f t="shared" si="27"/>
        <v>7</v>
      </c>
      <c r="AD289" s="50">
        <f t="shared" si="28"/>
        <v>7</v>
      </c>
      <c r="AE289" s="469">
        <f t="shared" si="29"/>
        <v>0</v>
      </c>
      <c r="AF289" s="489"/>
    </row>
    <row r="290" spans="1:32">
      <c r="A290" s="533">
        <v>291</v>
      </c>
      <c r="B290" s="495" t="s">
        <v>701</v>
      </c>
      <c r="C290" s="499" t="s">
        <v>1097</v>
      </c>
      <c r="D290" s="590">
        <v>0</v>
      </c>
      <c r="E290" s="532"/>
      <c r="F290" s="507"/>
      <c r="G290" s="532"/>
      <c r="H290" s="507"/>
      <c r="I290" s="532"/>
      <c r="J290" s="507"/>
      <c r="K290" s="532"/>
      <c r="L290" s="507"/>
      <c r="M290" s="524"/>
      <c r="N290" s="505"/>
      <c r="O290" s="46">
        <v>5</v>
      </c>
      <c r="P290" s="505">
        <v>5</v>
      </c>
      <c r="Q290" s="46"/>
      <c r="R290" s="50"/>
      <c r="S290" s="46"/>
      <c r="T290" s="50"/>
      <c r="U290" s="46"/>
      <c r="V290" s="50"/>
      <c r="W290" s="46"/>
      <c r="X290" s="50"/>
      <c r="Y290" s="46"/>
      <c r="Z290" s="50"/>
      <c r="AA290" s="46"/>
      <c r="AB290" s="50"/>
      <c r="AC290" s="696">
        <f t="shared" si="27"/>
        <v>5</v>
      </c>
      <c r="AD290" s="50">
        <f t="shared" si="28"/>
        <v>5</v>
      </c>
      <c r="AE290" s="469">
        <f t="shared" si="29"/>
        <v>0</v>
      </c>
      <c r="AF290" s="489"/>
    </row>
    <row r="291" spans="1:32">
      <c r="A291" s="534">
        <v>292</v>
      </c>
      <c r="B291" s="495" t="s">
        <v>1129</v>
      </c>
      <c r="C291" s="331" t="s">
        <v>1092</v>
      </c>
      <c r="D291" s="590">
        <v>0</v>
      </c>
      <c r="E291" s="532"/>
      <c r="F291" s="507"/>
      <c r="G291" s="532"/>
      <c r="H291" s="507"/>
      <c r="I291" s="532"/>
      <c r="J291" s="507"/>
      <c r="K291" s="532"/>
      <c r="L291" s="507"/>
      <c r="M291" s="524"/>
      <c r="N291" s="505"/>
      <c r="O291" s="46">
        <v>19</v>
      </c>
      <c r="P291" s="505">
        <v>19</v>
      </c>
      <c r="Q291" s="46"/>
      <c r="R291" s="50"/>
      <c r="S291" s="46"/>
      <c r="T291" s="50"/>
      <c r="U291" s="46"/>
      <c r="V291" s="50"/>
      <c r="W291" s="46"/>
      <c r="X291" s="50"/>
      <c r="Y291" s="46"/>
      <c r="Z291" s="50"/>
      <c r="AA291" s="46"/>
      <c r="AB291" s="50"/>
      <c r="AC291" s="696">
        <f t="shared" ref="AC291:AC306" si="30">SUM(D291,E291,G291,I291,K291,M291,O291,Q291,S291,U291,W291,Y291,AA291)</f>
        <v>19</v>
      </c>
      <c r="AD291" s="50">
        <f t="shared" ref="AD291:AD306" si="31">SUM(F291,H291,J291,L291,N291,P291,R291,T291,V291,X291,Z291,AB291)</f>
        <v>19</v>
      </c>
      <c r="AE291" s="469">
        <f t="shared" ref="AE291:AE306" si="32">SUM(AC291-AD291)</f>
        <v>0</v>
      </c>
      <c r="AF291" s="489"/>
    </row>
    <row r="292" spans="1:32">
      <c r="A292" s="533">
        <v>293</v>
      </c>
      <c r="B292" s="495" t="s">
        <v>1130</v>
      </c>
      <c r="C292" s="331" t="s">
        <v>1133</v>
      </c>
      <c r="D292" s="590">
        <v>0</v>
      </c>
      <c r="E292" s="532"/>
      <c r="F292" s="507"/>
      <c r="G292" s="532"/>
      <c r="H292" s="507"/>
      <c r="I292" s="532"/>
      <c r="J292" s="507"/>
      <c r="K292" s="532"/>
      <c r="L292" s="507"/>
      <c r="M292" s="524"/>
      <c r="N292" s="505"/>
      <c r="O292" s="46">
        <v>1</v>
      </c>
      <c r="P292" s="505">
        <v>1</v>
      </c>
      <c r="Q292" s="46"/>
      <c r="R292" s="50"/>
      <c r="S292" s="46"/>
      <c r="T292" s="50"/>
      <c r="U292" s="46">
        <v>5</v>
      </c>
      <c r="V292" s="50">
        <v>5</v>
      </c>
      <c r="W292" s="46"/>
      <c r="X292" s="50"/>
      <c r="Y292" s="46"/>
      <c r="Z292" s="50"/>
      <c r="AA292" s="46"/>
      <c r="AB292" s="50"/>
      <c r="AC292" s="696">
        <f t="shared" si="30"/>
        <v>6</v>
      </c>
      <c r="AD292" s="50">
        <f t="shared" si="31"/>
        <v>6</v>
      </c>
      <c r="AE292" s="469">
        <f t="shared" si="32"/>
        <v>0</v>
      </c>
      <c r="AF292" s="489"/>
    </row>
    <row r="293" spans="1:32">
      <c r="A293" s="534">
        <v>294</v>
      </c>
      <c r="B293" s="495" t="s">
        <v>122</v>
      </c>
      <c r="C293" s="331" t="s">
        <v>1134</v>
      </c>
      <c r="D293" s="590">
        <v>0</v>
      </c>
      <c r="E293" s="532"/>
      <c r="F293" s="507"/>
      <c r="G293" s="532"/>
      <c r="H293" s="507"/>
      <c r="I293" s="532"/>
      <c r="J293" s="507"/>
      <c r="K293" s="532"/>
      <c r="L293" s="507"/>
      <c r="M293" s="524"/>
      <c r="N293" s="505"/>
      <c r="O293" s="524">
        <v>30</v>
      </c>
      <c r="P293" s="505"/>
      <c r="Q293" s="46"/>
      <c r="R293" s="50">
        <f>30</f>
        <v>30</v>
      </c>
      <c r="S293" s="46"/>
      <c r="T293" s="50"/>
      <c r="U293" s="46"/>
      <c r="V293" s="50"/>
      <c r="W293" s="46"/>
      <c r="X293" s="50"/>
      <c r="Y293" s="46"/>
      <c r="Z293" s="50"/>
      <c r="AA293" s="46"/>
      <c r="AB293" s="50"/>
      <c r="AC293" s="696">
        <f t="shared" si="30"/>
        <v>30</v>
      </c>
      <c r="AD293" s="50">
        <f t="shared" si="31"/>
        <v>30</v>
      </c>
      <c r="AE293" s="469">
        <f t="shared" si="32"/>
        <v>0</v>
      </c>
      <c r="AF293" s="489"/>
    </row>
    <row r="294" spans="1:32">
      <c r="A294" s="533">
        <v>295</v>
      </c>
      <c r="B294" s="495" t="s">
        <v>158</v>
      </c>
      <c r="C294" s="331" t="s">
        <v>157</v>
      </c>
      <c r="D294" s="590">
        <v>0</v>
      </c>
      <c r="E294" s="532"/>
      <c r="F294" s="507"/>
      <c r="G294" s="532"/>
      <c r="H294" s="507"/>
      <c r="I294" s="532"/>
      <c r="J294" s="507"/>
      <c r="K294" s="532"/>
      <c r="L294" s="507"/>
      <c r="M294" s="524"/>
      <c r="N294" s="505"/>
      <c r="O294" s="524">
        <v>1</v>
      </c>
      <c r="P294" s="505"/>
      <c r="Q294" s="46"/>
      <c r="R294" s="50">
        <f>1</f>
        <v>1</v>
      </c>
      <c r="S294" s="46"/>
      <c r="T294" s="50"/>
      <c r="U294" s="46"/>
      <c r="V294" s="50"/>
      <c r="W294" s="46"/>
      <c r="X294" s="50"/>
      <c r="Y294" s="46"/>
      <c r="Z294" s="50"/>
      <c r="AA294" s="46"/>
      <c r="AB294" s="50"/>
      <c r="AC294" s="696">
        <f t="shared" si="30"/>
        <v>1</v>
      </c>
      <c r="AD294" s="50">
        <f t="shared" si="31"/>
        <v>1</v>
      </c>
      <c r="AE294" s="469">
        <f t="shared" si="32"/>
        <v>0</v>
      </c>
      <c r="AF294" s="489"/>
    </row>
    <row r="295" spans="1:32">
      <c r="A295" s="534">
        <v>296</v>
      </c>
      <c r="B295" s="495" t="s">
        <v>1131</v>
      </c>
      <c r="C295" s="331" t="s">
        <v>1135</v>
      </c>
      <c r="D295" s="590">
        <v>0</v>
      </c>
      <c r="E295" s="532"/>
      <c r="F295" s="507"/>
      <c r="G295" s="532"/>
      <c r="H295" s="507"/>
      <c r="I295" s="532"/>
      <c r="J295" s="507"/>
      <c r="K295" s="532"/>
      <c r="L295" s="507"/>
      <c r="M295" s="524"/>
      <c r="N295" s="505"/>
      <c r="O295" s="524">
        <v>5</v>
      </c>
      <c r="P295" s="505"/>
      <c r="Q295" s="46"/>
      <c r="R295" s="50">
        <f>5</f>
        <v>5</v>
      </c>
      <c r="S295" s="46"/>
      <c r="T295" s="50"/>
      <c r="U295" s="46"/>
      <c r="V295" s="50"/>
      <c r="W295" s="46"/>
      <c r="X295" s="50"/>
      <c r="Y295" s="46"/>
      <c r="Z295" s="50"/>
      <c r="AA295" s="46"/>
      <c r="AB295" s="50"/>
      <c r="AC295" s="696">
        <f t="shared" si="30"/>
        <v>5</v>
      </c>
      <c r="AD295" s="50">
        <f t="shared" si="31"/>
        <v>5</v>
      </c>
      <c r="AE295" s="469">
        <f t="shared" si="32"/>
        <v>0</v>
      </c>
      <c r="AF295" s="489"/>
    </row>
    <row r="296" spans="1:32">
      <c r="A296" s="533">
        <v>297</v>
      </c>
      <c r="B296" s="495" t="s">
        <v>1132</v>
      </c>
      <c r="C296" s="331" t="s">
        <v>1136</v>
      </c>
      <c r="D296" s="590">
        <v>0</v>
      </c>
      <c r="E296" s="532"/>
      <c r="F296" s="507"/>
      <c r="G296" s="532"/>
      <c r="H296" s="507"/>
      <c r="I296" s="532"/>
      <c r="J296" s="507"/>
      <c r="K296" s="532"/>
      <c r="L296" s="507"/>
      <c r="M296" s="524"/>
      <c r="N296" s="505"/>
      <c r="O296" s="524">
        <v>1</v>
      </c>
      <c r="P296" s="505"/>
      <c r="Q296" s="46"/>
      <c r="R296" s="50">
        <f>1</f>
        <v>1</v>
      </c>
      <c r="S296" s="46"/>
      <c r="T296" s="50"/>
      <c r="U296" s="46"/>
      <c r="V296" s="50"/>
      <c r="W296" s="46"/>
      <c r="X296" s="50"/>
      <c r="Y296" s="46"/>
      <c r="Z296" s="50"/>
      <c r="AA296" s="46">
        <v>1</v>
      </c>
      <c r="AB296" s="50">
        <v>1</v>
      </c>
      <c r="AC296" s="696">
        <f t="shared" si="30"/>
        <v>2</v>
      </c>
      <c r="AD296" s="50">
        <f t="shared" si="31"/>
        <v>2</v>
      </c>
      <c r="AE296" s="469">
        <f t="shared" si="32"/>
        <v>0</v>
      </c>
      <c r="AF296" s="489"/>
    </row>
    <row r="297" spans="1:32">
      <c r="A297" s="534">
        <v>298</v>
      </c>
      <c r="B297" s="495" t="s">
        <v>188</v>
      </c>
      <c r="C297" s="331" t="s">
        <v>1136</v>
      </c>
      <c r="D297" s="590">
        <v>0</v>
      </c>
      <c r="E297" s="532"/>
      <c r="F297" s="507"/>
      <c r="G297" s="532"/>
      <c r="H297" s="507"/>
      <c r="I297" s="532"/>
      <c r="J297" s="507"/>
      <c r="K297" s="532"/>
      <c r="L297" s="507"/>
      <c r="M297" s="524"/>
      <c r="N297" s="505"/>
      <c r="O297" s="524">
        <v>2</v>
      </c>
      <c r="P297" s="505"/>
      <c r="Q297" s="46"/>
      <c r="R297" s="50">
        <f>2</f>
        <v>2</v>
      </c>
      <c r="S297" s="46"/>
      <c r="T297" s="50"/>
      <c r="U297" s="46"/>
      <c r="V297" s="50"/>
      <c r="W297" s="46"/>
      <c r="X297" s="50"/>
      <c r="Y297" s="46"/>
      <c r="Z297" s="50"/>
      <c r="AA297" s="46"/>
      <c r="AB297" s="50"/>
      <c r="AC297" s="696">
        <f t="shared" si="30"/>
        <v>2</v>
      </c>
      <c r="AD297" s="50">
        <f t="shared" si="31"/>
        <v>2</v>
      </c>
      <c r="AE297" s="469">
        <f t="shared" si="32"/>
        <v>0</v>
      </c>
      <c r="AF297" s="489"/>
    </row>
    <row r="298" spans="1:32">
      <c r="A298" s="533">
        <v>299</v>
      </c>
      <c r="B298" s="495" t="s">
        <v>1692</v>
      </c>
      <c r="C298" s="331" t="s">
        <v>1691</v>
      </c>
      <c r="D298" s="590">
        <v>0</v>
      </c>
      <c r="E298" s="524"/>
      <c r="F298" s="504"/>
      <c r="G298" s="524"/>
      <c r="H298" s="504"/>
      <c r="I298" s="524"/>
      <c r="J298" s="504"/>
      <c r="K298" s="524"/>
      <c r="L298" s="504"/>
      <c r="M298" s="524"/>
      <c r="N298" s="505"/>
      <c r="O298" s="524">
        <v>150</v>
      </c>
      <c r="P298" s="505">
        <v>45</v>
      </c>
      <c r="Q298" s="46"/>
      <c r="R298" s="50"/>
      <c r="S298" s="46"/>
      <c r="T298" s="50"/>
      <c r="U298" s="46"/>
      <c r="V298" s="50"/>
      <c r="W298" s="46"/>
      <c r="X298" s="50">
        <f>6+64+15</f>
        <v>85</v>
      </c>
      <c r="Y298" s="46"/>
      <c r="Z298" s="50"/>
      <c r="AA298" s="46"/>
      <c r="AB298" s="50"/>
      <c r="AC298" s="696">
        <f t="shared" si="30"/>
        <v>150</v>
      </c>
      <c r="AD298" s="50">
        <f t="shared" si="31"/>
        <v>130</v>
      </c>
      <c r="AE298" s="469">
        <f t="shared" si="32"/>
        <v>20</v>
      </c>
      <c r="AF298" s="489"/>
    </row>
    <row r="299" spans="1:32">
      <c r="A299" s="534">
        <v>300</v>
      </c>
      <c r="B299" s="495" t="s">
        <v>1165</v>
      </c>
      <c r="C299" s="331" t="s">
        <v>1455</v>
      </c>
      <c r="D299" s="590">
        <v>0</v>
      </c>
      <c r="E299" s="524"/>
      <c r="F299" s="504"/>
      <c r="G299" s="524"/>
      <c r="H299" s="504"/>
      <c r="I299" s="524"/>
      <c r="J299" s="504"/>
      <c r="K299" s="524"/>
      <c r="L299" s="504"/>
      <c r="M299" s="524"/>
      <c r="N299" s="505"/>
      <c r="O299" s="524"/>
      <c r="P299" s="505"/>
      <c r="Q299" s="46">
        <v>20</v>
      </c>
      <c r="R299" s="50"/>
      <c r="S299" s="46"/>
      <c r="T299" s="50">
        <f>2</f>
        <v>2</v>
      </c>
      <c r="U299" s="46"/>
      <c r="V299" s="50">
        <f>3+2+1</f>
        <v>6</v>
      </c>
      <c r="W299" s="46"/>
      <c r="X299" s="50"/>
      <c r="Y299" s="46"/>
      <c r="Z299" s="50">
        <v>1</v>
      </c>
      <c r="AA299" s="46"/>
      <c r="AB299" s="50">
        <f>1+2</f>
        <v>3</v>
      </c>
      <c r="AC299" s="696">
        <f t="shared" si="30"/>
        <v>20</v>
      </c>
      <c r="AD299" s="50">
        <f t="shared" si="31"/>
        <v>12</v>
      </c>
      <c r="AE299" s="469">
        <f t="shared" si="32"/>
        <v>8</v>
      </c>
      <c r="AF299" s="489"/>
    </row>
    <row r="300" spans="1:32">
      <c r="A300" s="533">
        <v>301</v>
      </c>
      <c r="B300" s="495" t="s">
        <v>1167</v>
      </c>
      <c r="C300" s="499" t="s">
        <v>1168</v>
      </c>
      <c r="D300" s="590">
        <v>0</v>
      </c>
      <c r="E300" s="524"/>
      <c r="F300" s="504"/>
      <c r="G300" s="524"/>
      <c r="H300" s="504"/>
      <c r="I300" s="524"/>
      <c r="J300" s="504"/>
      <c r="K300" s="524"/>
      <c r="L300" s="504"/>
      <c r="M300" s="524"/>
      <c r="N300" s="505"/>
      <c r="O300" s="524"/>
      <c r="P300" s="505"/>
      <c r="Q300" s="46">
        <v>20</v>
      </c>
      <c r="R300" s="50">
        <f>15</f>
        <v>15</v>
      </c>
      <c r="S300" s="46"/>
      <c r="T300" s="50"/>
      <c r="U300" s="46"/>
      <c r="V300" s="50"/>
      <c r="W300" s="46"/>
      <c r="X300" s="50"/>
      <c r="Y300" s="46"/>
      <c r="Z300" s="50"/>
      <c r="AA300" s="46"/>
      <c r="AB300" s="50"/>
      <c r="AC300" s="696">
        <f t="shared" si="30"/>
        <v>20</v>
      </c>
      <c r="AD300" s="50">
        <f t="shared" si="31"/>
        <v>15</v>
      </c>
      <c r="AE300" s="469">
        <f t="shared" si="32"/>
        <v>5</v>
      </c>
      <c r="AF300" s="489"/>
    </row>
    <row r="301" spans="1:32">
      <c r="A301" s="534">
        <v>302</v>
      </c>
      <c r="B301" s="495" t="s">
        <v>1169</v>
      </c>
      <c r="C301" s="499" t="s">
        <v>1170</v>
      </c>
      <c r="D301" s="590">
        <v>0</v>
      </c>
      <c r="E301" s="524"/>
      <c r="F301" s="504"/>
      <c r="G301" s="524"/>
      <c r="H301" s="504"/>
      <c r="I301" s="524"/>
      <c r="J301" s="504"/>
      <c r="K301" s="524"/>
      <c r="L301" s="504"/>
      <c r="M301" s="524"/>
      <c r="N301" s="505"/>
      <c r="O301" s="524"/>
      <c r="P301" s="505"/>
      <c r="Q301" s="46">
        <v>10</v>
      </c>
      <c r="R301" s="50"/>
      <c r="S301" s="46"/>
      <c r="T301" s="50"/>
      <c r="U301" s="46"/>
      <c r="V301" s="50"/>
      <c r="W301" s="46">
        <v>24</v>
      </c>
      <c r="X301" s="50">
        <f>28</f>
        <v>28</v>
      </c>
      <c r="Y301" s="46"/>
      <c r="Z301" s="50"/>
      <c r="AA301" s="46">
        <f>4</f>
        <v>4</v>
      </c>
      <c r="AB301" s="50"/>
      <c r="AC301" s="696">
        <f t="shared" si="30"/>
        <v>38</v>
      </c>
      <c r="AD301" s="50">
        <f t="shared" si="31"/>
        <v>28</v>
      </c>
      <c r="AE301" s="469">
        <f t="shared" si="32"/>
        <v>10</v>
      </c>
      <c r="AF301" s="489"/>
    </row>
    <row r="302" spans="1:32">
      <c r="A302" s="533">
        <v>303</v>
      </c>
      <c r="B302" s="495" t="s">
        <v>1171</v>
      </c>
      <c r="C302" s="499" t="s">
        <v>1172</v>
      </c>
      <c r="D302" s="590">
        <v>0</v>
      </c>
      <c r="E302" s="524"/>
      <c r="F302" s="504"/>
      <c r="G302" s="524"/>
      <c r="H302" s="504"/>
      <c r="I302" s="524"/>
      <c r="J302" s="504"/>
      <c r="K302" s="524"/>
      <c r="L302" s="504"/>
      <c r="M302" s="524"/>
      <c r="N302" s="505"/>
      <c r="O302" s="524"/>
      <c r="P302" s="505"/>
      <c r="Q302" s="46">
        <v>5</v>
      </c>
      <c r="R302" s="50"/>
      <c r="S302" s="46"/>
      <c r="T302" s="50"/>
      <c r="U302" s="46"/>
      <c r="V302" s="50"/>
      <c r="W302" s="46"/>
      <c r="X302" s="50"/>
      <c r="Y302" s="46"/>
      <c r="Z302" s="50"/>
      <c r="AA302" s="46"/>
      <c r="AB302" s="50"/>
      <c r="AC302" s="696">
        <f t="shared" si="30"/>
        <v>5</v>
      </c>
      <c r="AD302" s="50">
        <f t="shared" si="31"/>
        <v>0</v>
      </c>
      <c r="AE302" s="469">
        <f t="shared" si="32"/>
        <v>5</v>
      </c>
      <c r="AF302" s="489"/>
    </row>
    <row r="303" spans="1:32">
      <c r="A303" s="534">
        <v>304</v>
      </c>
      <c r="B303" s="495" t="s">
        <v>1173</v>
      </c>
      <c r="C303" s="499" t="s">
        <v>1174</v>
      </c>
      <c r="D303" s="590">
        <v>0</v>
      </c>
      <c r="E303" s="539"/>
      <c r="F303" s="540"/>
      <c r="G303" s="539"/>
      <c r="H303" s="540"/>
      <c r="I303" s="539"/>
      <c r="J303" s="540"/>
      <c r="K303" s="539"/>
      <c r="L303" s="540"/>
      <c r="M303" s="524"/>
      <c r="N303" s="505"/>
      <c r="O303" s="524"/>
      <c r="P303" s="505"/>
      <c r="Q303" s="46">
        <v>1</v>
      </c>
      <c r="R303" s="50">
        <f>1</f>
        <v>1</v>
      </c>
      <c r="S303" s="46"/>
      <c r="T303" s="50"/>
      <c r="U303" s="46">
        <f>1</f>
        <v>1</v>
      </c>
      <c r="V303" s="50"/>
      <c r="W303" s="46"/>
      <c r="X303" s="50">
        <f>1</f>
        <v>1</v>
      </c>
      <c r="Y303" s="46"/>
      <c r="Z303" s="50"/>
      <c r="AA303" s="46"/>
      <c r="AB303" s="50"/>
      <c r="AC303" s="696">
        <f t="shared" si="30"/>
        <v>2</v>
      </c>
      <c r="AD303" s="50">
        <f t="shared" si="31"/>
        <v>2</v>
      </c>
      <c r="AE303" s="469">
        <f t="shared" si="32"/>
        <v>0</v>
      </c>
      <c r="AF303" s="489"/>
    </row>
    <row r="304" spans="1:32">
      <c r="A304" s="533">
        <v>305</v>
      </c>
      <c r="B304" s="495" t="s">
        <v>1179</v>
      </c>
      <c r="C304" s="499" t="s">
        <v>1181</v>
      </c>
      <c r="D304" s="590">
        <v>0</v>
      </c>
      <c r="E304" s="524"/>
      <c r="F304" s="504"/>
      <c r="G304" s="524"/>
      <c r="H304" s="504"/>
      <c r="I304" s="524"/>
      <c r="J304" s="504"/>
      <c r="K304" s="524"/>
      <c r="L304" s="504"/>
      <c r="M304" s="524"/>
      <c r="N304" s="505"/>
      <c r="O304" s="524"/>
      <c r="P304" s="505"/>
      <c r="Q304" s="46">
        <v>6</v>
      </c>
      <c r="R304" s="50"/>
      <c r="S304" s="46"/>
      <c r="T304" s="50"/>
      <c r="U304" s="46"/>
      <c r="V304" s="50"/>
      <c r="W304" s="46"/>
      <c r="X304" s="50"/>
      <c r="Y304" s="46"/>
      <c r="Z304" s="50">
        <f>1</f>
        <v>1</v>
      </c>
      <c r="AA304" s="46"/>
      <c r="AB304" s="50"/>
      <c r="AC304" s="696">
        <f t="shared" si="30"/>
        <v>6</v>
      </c>
      <c r="AD304" s="50">
        <f t="shared" si="31"/>
        <v>1</v>
      </c>
      <c r="AE304" s="469">
        <f t="shared" si="32"/>
        <v>5</v>
      </c>
      <c r="AF304" s="489"/>
    </row>
    <row r="305" spans="1:32">
      <c r="A305" s="534">
        <v>306</v>
      </c>
      <c r="B305" s="495" t="s">
        <v>1180</v>
      </c>
      <c r="C305" s="499" t="s">
        <v>1182</v>
      </c>
      <c r="D305" s="590">
        <v>0</v>
      </c>
      <c r="E305" s="524"/>
      <c r="F305" s="504"/>
      <c r="G305" s="524"/>
      <c r="H305" s="504"/>
      <c r="I305" s="524"/>
      <c r="J305" s="504"/>
      <c r="K305" s="524"/>
      <c r="L305" s="504"/>
      <c r="M305" s="524"/>
      <c r="N305" s="505"/>
      <c r="O305" s="524"/>
      <c r="P305" s="505"/>
      <c r="Q305" s="46">
        <v>30</v>
      </c>
      <c r="R305" s="50"/>
      <c r="S305" s="46"/>
      <c r="T305" s="50"/>
      <c r="U305" s="46"/>
      <c r="V305" s="50">
        <f>6</f>
        <v>6</v>
      </c>
      <c r="W305" s="46"/>
      <c r="X305" s="50">
        <f>1</f>
        <v>1</v>
      </c>
      <c r="Y305" s="46"/>
      <c r="Z305" s="50"/>
      <c r="AA305" s="46">
        <v>10</v>
      </c>
      <c r="AB305" s="50">
        <f>1+6</f>
        <v>7</v>
      </c>
      <c r="AC305" s="696">
        <f t="shared" si="30"/>
        <v>40</v>
      </c>
      <c r="AD305" s="50">
        <f t="shared" si="31"/>
        <v>14</v>
      </c>
      <c r="AE305" s="469">
        <f t="shared" si="32"/>
        <v>26</v>
      </c>
      <c r="AF305" s="489"/>
    </row>
    <row r="306" spans="1:32">
      <c r="A306" s="533">
        <v>307</v>
      </c>
      <c r="B306" s="495" t="s">
        <v>1183</v>
      </c>
      <c r="C306" s="499" t="s">
        <v>1186</v>
      </c>
      <c r="D306" s="590">
        <v>0</v>
      </c>
      <c r="E306" s="524"/>
      <c r="F306" s="504"/>
      <c r="G306" s="524"/>
      <c r="H306" s="504"/>
      <c r="I306" s="524"/>
      <c r="J306" s="504"/>
      <c r="K306" s="524"/>
      <c r="L306" s="504"/>
      <c r="M306" s="524"/>
      <c r="N306" s="505"/>
      <c r="O306" s="524"/>
      <c r="P306" s="505"/>
      <c r="Q306" s="46">
        <v>126</v>
      </c>
      <c r="R306" s="50"/>
      <c r="S306" s="46"/>
      <c r="T306" s="50"/>
      <c r="U306" s="46"/>
      <c r="V306" s="50"/>
      <c r="W306" s="46">
        <v>24</v>
      </c>
      <c r="X306" s="50"/>
      <c r="Y306" s="46"/>
      <c r="Z306" s="50">
        <v>30</v>
      </c>
      <c r="AA306" s="46"/>
      <c r="AB306" s="50"/>
      <c r="AC306" s="696">
        <f t="shared" si="30"/>
        <v>150</v>
      </c>
      <c r="AD306" s="50">
        <f t="shared" si="31"/>
        <v>30</v>
      </c>
      <c r="AE306" s="469">
        <f t="shared" si="32"/>
        <v>120</v>
      </c>
      <c r="AF306" s="489"/>
    </row>
    <row r="307" spans="1:32">
      <c r="A307" s="534">
        <v>308</v>
      </c>
      <c r="B307" s="495" t="s">
        <v>1184</v>
      </c>
      <c r="C307" s="499" t="s">
        <v>1187</v>
      </c>
      <c r="D307" s="590">
        <v>0</v>
      </c>
      <c r="E307" s="539"/>
      <c r="F307" s="540"/>
      <c r="G307" s="539"/>
      <c r="H307" s="540"/>
      <c r="I307" s="539"/>
      <c r="J307" s="540"/>
      <c r="K307" s="539"/>
      <c r="L307" s="540"/>
      <c r="M307" s="524"/>
      <c r="N307" s="505"/>
      <c r="O307" s="524"/>
      <c r="P307" s="505"/>
      <c r="Q307" s="46">
        <v>8</v>
      </c>
      <c r="R307" s="50">
        <f>8</f>
        <v>8</v>
      </c>
      <c r="S307" s="46"/>
      <c r="T307" s="50"/>
      <c r="U307" s="46">
        <v>12</v>
      </c>
      <c r="V307" s="50">
        <v>12</v>
      </c>
      <c r="W307" s="46">
        <v>2</v>
      </c>
      <c r="X307" s="50"/>
      <c r="Y307" s="46"/>
      <c r="Z307" s="50">
        <f>2</f>
        <v>2</v>
      </c>
      <c r="AA307" s="46">
        <v>10</v>
      </c>
      <c r="AB307" s="50">
        <f>8+1</f>
        <v>9</v>
      </c>
      <c r="AC307" s="696">
        <f t="shared" ref="AC307:AC350" si="33">SUM(D307,E307,G307,I307,K307,M307,O307,Q307,S307,U307,W307,Y307,AA307)</f>
        <v>32</v>
      </c>
      <c r="AD307" s="50">
        <f t="shared" ref="AD307:AD350" si="34">SUM(F307,H307,J307,L307,N307,P307,R307,T307,V307,X307,Z307,AB307)</f>
        <v>31</v>
      </c>
      <c r="AE307" s="469">
        <f t="shared" ref="AE307:AE350" si="35">SUM(AC307-AD307)</f>
        <v>1</v>
      </c>
      <c r="AF307" s="489"/>
    </row>
    <row r="308" spans="1:32">
      <c r="A308" s="533">
        <v>309</v>
      </c>
      <c r="B308" s="495" t="s">
        <v>1185</v>
      </c>
      <c r="C308" s="499" t="s">
        <v>1188</v>
      </c>
      <c r="D308" s="590">
        <v>0</v>
      </c>
      <c r="E308" s="539"/>
      <c r="F308" s="540"/>
      <c r="G308" s="539"/>
      <c r="H308" s="540"/>
      <c r="I308" s="539"/>
      <c r="J308" s="540"/>
      <c r="K308" s="539"/>
      <c r="L308" s="540"/>
      <c r="M308" s="524"/>
      <c r="N308" s="505"/>
      <c r="O308" s="524"/>
      <c r="P308" s="505"/>
      <c r="Q308" s="46">
        <v>34</v>
      </c>
      <c r="R308" s="50">
        <v>34</v>
      </c>
      <c r="S308" s="46"/>
      <c r="T308" s="50"/>
      <c r="U308" s="46">
        <f>66</f>
        <v>66</v>
      </c>
      <c r="V308" s="50">
        <v>46</v>
      </c>
      <c r="W308" s="46"/>
      <c r="X308" s="50"/>
      <c r="Y308" s="46"/>
      <c r="Z308" s="50"/>
      <c r="AA308" s="46"/>
      <c r="AB308" s="50"/>
      <c r="AC308" s="696">
        <f t="shared" si="33"/>
        <v>100</v>
      </c>
      <c r="AD308" s="50">
        <f t="shared" si="34"/>
        <v>80</v>
      </c>
      <c r="AE308" s="469">
        <f t="shared" si="35"/>
        <v>20</v>
      </c>
      <c r="AF308" s="489"/>
    </row>
    <row r="309" spans="1:32">
      <c r="A309" s="534">
        <v>310</v>
      </c>
      <c r="B309" s="495" t="s">
        <v>1212</v>
      </c>
      <c r="C309" s="499" t="s">
        <v>1247</v>
      </c>
      <c r="D309" s="590">
        <v>0</v>
      </c>
      <c r="E309" s="524"/>
      <c r="F309" s="504"/>
      <c r="G309" s="524"/>
      <c r="H309" s="504"/>
      <c r="I309" s="524"/>
      <c r="J309" s="504"/>
      <c r="K309" s="524"/>
      <c r="L309" s="504"/>
      <c r="M309" s="524"/>
      <c r="N309" s="505"/>
      <c r="O309" s="524"/>
      <c r="P309" s="505"/>
      <c r="Q309" s="46">
        <v>2</v>
      </c>
      <c r="R309" s="50">
        <v>2</v>
      </c>
      <c r="S309" s="46">
        <f>1</f>
        <v>1</v>
      </c>
      <c r="T309" s="50">
        <v>1</v>
      </c>
      <c r="U309" s="46"/>
      <c r="V309" s="50"/>
      <c r="W309" s="46"/>
      <c r="X309" s="50"/>
      <c r="Y309" s="46"/>
      <c r="Z309" s="50"/>
      <c r="AA309" s="46"/>
      <c r="AB309" s="50"/>
      <c r="AC309" s="696">
        <f t="shared" si="33"/>
        <v>3</v>
      </c>
      <c r="AD309" s="50">
        <f t="shared" si="34"/>
        <v>3</v>
      </c>
      <c r="AE309" s="469">
        <f t="shared" si="35"/>
        <v>0</v>
      </c>
      <c r="AF309" s="489"/>
    </row>
    <row r="310" spans="1:32">
      <c r="A310" s="533">
        <v>311</v>
      </c>
      <c r="B310" s="495" t="s">
        <v>1213</v>
      </c>
      <c r="C310" s="499" t="s">
        <v>1247</v>
      </c>
      <c r="D310" s="590">
        <v>0</v>
      </c>
      <c r="E310" s="524"/>
      <c r="F310" s="504"/>
      <c r="G310" s="524"/>
      <c r="H310" s="504"/>
      <c r="I310" s="524"/>
      <c r="J310" s="504"/>
      <c r="K310" s="524"/>
      <c r="L310" s="504"/>
      <c r="M310" s="524"/>
      <c r="N310" s="505"/>
      <c r="O310" s="524"/>
      <c r="P310" s="505"/>
      <c r="Q310" s="46">
        <v>1</v>
      </c>
      <c r="R310" s="50">
        <v>1</v>
      </c>
      <c r="S310" s="46"/>
      <c r="T310" s="50"/>
      <c r="U310" s="46"/>
      <c r="V310" s="50"/>
      <c r="W310" s="46"/>
      <c r="X310" s="50"/>
      <c r="Y310" s="46"/>
      <c r="Z310" s="50"/>
      <c r="AA310" s="46"/>
      <c r="AB310" s="50"/>
      <c r="AC310" s="696">
        <f t="shared" si="33"/>
        <v>1</v>
      </c>
      <c r="AD310" s="50">
        <f t="shared" si="34"/>
        <v>1</v>
      </c>
      <c r="AE310" s="469">
        <f t="shared" si="35"/>
        <v>0</v>
      </c>
      <c r="AF310" s="489"/>
    </row>
    <row r="311" spans="1:32">
      <c r="A311" s="534">
        <v>312</v>
      </c>
      <c r="B311" s="495" t="s">
        <v>1214</v>
      </c>
      <c r="C311" s="499" t="s">
        <v>1248</v>
      </c>
      <c r="D311" s="590">
        <v>0</v>
      </c>
      <c r="E311" s="524"/>
      <c r="F311" s="504"/>
      <c r="G311" s="524"/>
      <c r="H311" s="504"/>
      <c r="I311" s="524"/>
      <c r="J311" s="504"/>
      <c r="K311" s="524"/>
      <c r="L311" s="504"/>
      <c r="M311" s="524"/>
      <c r="N311" s="505"/>
      <c r="O311" s="524"/>
      <c r="P311" s="505"/>
      <c r="Q311" s="46">
        <v>15</v>
      </c>
      <c r="R311" s="50">
        <v>15</v>
      </c>
      <c r="S311" s="46">
        <f>11</f>
        <v>11</v>
      </c>
      <c r="T311" s="50">
        <v>11</v>
      </c>
      <c r="U311" s="46"/>
      <c r="V311" s="50"/>
      <c r="W311" s="46"/>
      <c r="X311" s="50"/>
      <c r="Y311" s="46"/>
      <c r="Z311" s="50"/>
      <c r="AA311" s="46"/>
      <c r="AB311" s="50"/>
      <c r="AC311" s="696">
        <f t="shared" si="33"/>
        <v>26</v>
      </c>
      <c r="AD311" s="50">
        <f t="shared" si="34"/>
        <v>26</v>
      </c>
      <c r="AE311" s="469">
        <f t="shared" si="35"/>
        <v>0</v>
      </c>
      <c r="AF311" s="489"/>
    </row>
    <row r="312" spans="1:32">
      <c r="A312" s="533">
        <v>313</v>
      </c>
      <c r="B312" s="495" t="s">
        <v>1215</v>
      </c>
      <c r="C312" s="499" t="s">
        <v>1249</v>
      </c>
      <c r="D312" s="590">
        <v>0</v>
      </c>
      <c r="E312" s="524"/>
      <c r="F312" s="504"/>
      <c r="G312" s="524"/>
      <c r="H312" s="504"/>
      <c r="I312" s="524"/>
      <c r="J312" s="504"/>
      <c r="K312" s="524"/>
      <c r="L312" s="504"/>
      <c r="M312" s="524"/>
      <c r="N312" s="505"/>
      <c r="O312" s="524"/>
      <c r="P312" s="505"/>
      <c r="Q312" s="46">
        <v>2</v>
      </c>
      <c r="R312" s="50">
        <v>2</v>
      </c>
      <c r="S312" s="46"/>
      <c r="T312" s="50"/>
      <c r="U312" s="46"/>
      <c r="V312" s="50"/>
      <c r="W312" s="46"/>
      <c r="X312" s="50"/>
      <c r="Y312" s="46"/>
      <c r="Z312" s="50"/>
      <c r="AA312" s="46"/>
      <c r="AB312" s="50"/>
      <c r="AC312" s="696">
        <f t="shared" si="33"/>
        <v>2</v>
      </c>
      <c r="AD312" s="50">
        <f t="shared" si="34"/>
        <v>2</v>
      </c>
      <c r="AE312" s="469">
        <f t="shared" si="35"/>
        <v>0</v>
      </c>
      <c r="AF312" s="489"/>
    </row>
    <row r="313" spans="1:32">
      <c r="A313" s="534">
        <v>314</v>
      </c>
      <c r="B313" s="495" t="s">
        <v>1216</v>
      </c>
      <c r="C313" s="499" t="s">
        <v>1250</v>
      </c>
      <c r="D313" s="590">
        <v>0</v>
      </c>
      <c r="E313" s="524"/>
      <c r="F313" s="504"/>
      <c r="G313" s="524"/>
      <c r="H313" s="504"/>
      <c r="I313" s="524"/>
      <c r="J313" s="504"/>
      <c r="K313" s="524"/>
      <c r="L313" s="504"/>
      <c r="M313" s="524"/>
      <c r="N313" s="505"/>
      <c r="O313" s="524"/>
      <c r="P313" s="505"/>
      <c r="Q313" s="46">
        <v>2</v>
      </c>
      <c r="R313" s="50">
        <v>2</v>
      </c>
      <c r="S313" s="46"/>
      <c r="T313" s="50"/>
      <c r="U313" s="46"/>
      <c r="V313" s="50"/>
      <c r="W313" s="46"/>
      <c r="X313" s="50"/>
      <c r="Y313" s="46"/>
      <c r="Z313" s="50"/>
      <c r="AA313" s="46"/>
      <c r="AB313" s="50"/>
      <c r="AC313" s="696">
        <f t="shared" si="33"/>
        <v>2</v>
      </c>
      <c r="AD313" s="50">
        <f t="shared" si="34"/>
        <v>2</v>
      </c>
      <c r="AE313" s="469">
        <f t="shared" si="35"/>
        <v>0</v>
      </c>
      <c r="AF313" s="489"/>
    </row>
    <row r="314" spans="1:32">
      <c r="A314" s="533">
        <v>315</v>
      </c>
      <c r="B314" s="495" t="s">
        <v>1217</v>
      </c>
      <c r="C314" s="499" t="s">
        <v>1251</v>
      </c>
      <c r="D314" s="590">
        <v>0</v>
      </c>
      <c r="E314" s="524"/>
      <c r="F314" s="504"/>
      <c r="G314" s="524"/>
      <c r="H314" s="504"/>
      <c r="I314" s="524"/>
      <c r="J314" s="504"/>
      <c r="K314" s="524"/>
      <c r="L314" s="504"/>
      <c r="M314" s="524"/>
      <c r="N314" s="505"/>
      <c r="O314" s="524"/>
      <c r="P314" s="505"/>
      <c r="Q314" s="46">
        <v>2</v>
      </c>
      <c r="R314" s="50">
        <v>2</v>
      </c>
      <c r="S314" s="46"/>
      <c r="T314" s="50"/>
      <c r="U314" s="46"/>
      <c r="V314" s="50"/>
      <c r="W314" s="46"/>
      <c r="X314" s="50"/>
      <c r="Y314" s="46"/>
      <c r="Z314" s="50"/>
      <c r="AA314" s="46"/>
      <c r="AB314" s="50"/>
      <c r="AC314" s="696">
        <f t="shared" si="33"/>
        <v>2</v>
      </c>
      <c r="AD314" s="50">
        <f t="shared" si="34"/>
        <v>2</v>
      </c>
      <c r="AE314" s="469">
        <f t="shared" si="35"/>
        <v>0</v>
      </c>
      <c r="AF314" s="489"/>
    </row>
    <row r="315" spans="1:32">
      <c r="A315" s="534">
        <v>316</v>
      </c>
      <c r="B315" s="495" t="s">
        <v>1218</v>
      </c>
      <c r="C315" s="499" t="s">
        <v>1252</v>
      </c>
      <c r="D315" s="590">
        <v>0</v>
      </c>
      <c r="E315" s="524"/>
      <c r="F315" s="504"/>
      <c r="G315" s="524"/>
      <c r="H315" s="504"/>
      <c r="I315" s="524"/>
      <c r="J315" s="504"/>
      <c r="K315" s="524"/>
      <c r="L315" s="504"/>
      <c r="M315" s="524"/>
      <c r="N315" s="505"/>
      <c r="O315" s="524"/>
      <c r="P315" s="505"/>
      <c r="Q315" s="46">
        <v>2</v>
      </c>
      <c r="R315" s="50">
        <v>2</v>
      </c>
      <c r="S315" s="46"/>
      <c r="T315" s="50"/>
      <c r="U315" s="46"/>
      <c r="V315" s="50"/>
      <c r="W315" s="46"/>
      <c r="X315" s="50"/>
      <c r="Y315" s="46"/>
      <c r="Z315" s="50"/>
      <c r="AA315" s="46"/>
      <c r="AB315" s="50"/>
      <c r="AC315" s="696">
        <f t="shared" si="33"/>
        <v>2</v>
      </c>
      <c r="AD315" s="50">
        <f t="shared" si="34"/>
        <v>2</v>
      </c>
      <c r="AE315" s="469">
        <f t="shared" si="35"/>
        <v>0</v>
      </c>
      <c r="AF315" s="489"/>
    </row>
    <row r="316" spans="1:32">
      <c r="A316" s="533">
        <v>317</v>
      </c>
      <c r="B316" s="495" t="s">
        <v>1219</v>
      </c>
      <c r="C316" s="499" t="s">
        <v>1253</v>
      </c>
      <c r="D316" s="590">
        <v>0</v>
      </c>
      <c r="E316" s="524"/>
      <c r="F316" s="504"/>
      <c r="G316" s="524"/>
      <c r="H316" s="504"/>
      <c r="I316" s="524"/>
      <c r="J316" s="504"/>
      <c r="K316" s="524"/>
      <c r="L316" s="504"/>
      <c r="M316" s="524"/>
      <c r="N316" s="505"/>
      <c r="O316" s="524"/>
      <c r="P316" s="505"/>
      <c r="Q316" s="46">
        <v>2</v>
      </c>
      <c r="R316" s="50">
        <v>2</v>
      </c>
      <c r="S316" s="46"/>
      <c r="T316" s="50"/>
      <c r="U316" s="46"/>
      <c r="V316" s="50"/>
      <c r="W316" s="46"/>
      <c r="X316" s="50"/>
      <c r="Y316" s="46"/>
      <c r="Z316" s="50"/>
      <c r="AA316" s="46"/>
      <c r="AB316" s="50"/>
      <c r="AC316" s="696">
        <f t="shared" si="33"/>
        <v>2</v>
      </c>
      <c r="AD316" s="50">
        <f t="shared" si="34"/>
        <v>2</v>
      </c>
      <c r="AE316" s="469">
        <f t="shared" si="35"/>
        <v>0</v>
      </c>
      <c r="AF316" s="489"/>
    </row>
    <row r="317" spans="1:32">
      <c r="A317" s="534">
        <v>318</v>
      </c>
      <c r="B317" s="495" t="s">
        <v>1220</v>
      </c>
      <c r="C317" s="499" t="s">
        <v>1254</v>
      </c>
      <c r="D317" s="590">
        <v>0</v>
      </c>
      <c r="E317" s="524"/>
      <c r="F317" s="504"/>
      <c r="G317" s="524"/>
      <c r="H317" s="504"/>
      <c r="I317" s="524"/>
      <c r="J317" s="504"/>
      <c r="K317" s="524"/>
      <c r="L317" s="504"/>
      <c r="M317" s="524"/>
      <c r="N317" s="505"/>
      <c r="O317" s="524"/>
      <c r="P317" s="505"/>
      <c r="Q317" s="46">
        <v>1</v>
      </c>
      <c r="R317" s="50">
        <v>1</v>
      </c>
      <c r="S317" s="46">
        <f>1</f>
        <v>1</v>
      </c>
      <c r="T317" s="50">
        <v>1</v>
      </c>
      <c r="U317" s="46"/>
      <c r="V317" s="50"/>
      <c r="W317" s="46"/>
      <c r="X317" s="50"/>
      <c r="Y317" s="46"/>
      <c r="Z317" s="50"/>
      <c r="AA317" s="46"/>
      <c r="AB317" s="50"/>
      <c r="AC317" s="696">
        <f t="shared" si="33"/>
        <v>2</v>
      </c>
      <c r="AD317" s="50">
        <f t="shared" si="34"/>
        <v>2</v>
      </c>
      <c r="AE317" s="469">
        <f t="shared" si="35"/>
        <v>0</v>
      </c>
      <c r="AF317" s="489"/>
    </row>
    <row r="318" spans="1:32">
      <c r="A318" s="533">
        <v>319</v>
      </c>
      <c r="B318" s="495" t="s">
        <v>1221</v>
      </c>
      <c r="C318" s="499" t="s">
        <v>1255</v>
      </c>
      <c r="D318" s="590">
        <v>0</v>
      </c>
      <c r="E318" s="524"/>
      <c r="F318" s="504"/>
      <c r="G318" s="524"/>
      <c r="H318" s="504"/>
      <c r="I318" s="524"/>
      <c r="J318" s="504"/>
      <c r="K318" s="524"/>
      <c r="L318" s="504"/>
      <c r="M318" s="524"/>
      <c r="N318" s="505"/>
      <c r="O318" s="524"/>
      <c r="P318" s="505"/>
      <c r="Q318" s="46">
        <v>4</v>
      </c>
      <c r="R318" s="50">
        <v>4</v>
      </c>
      <c r="S318" s="46"/>
      <c r="T318" s="50"/>
      <c r="U318" s="46"/>
      <c r="V318" s="50"/>
      <c r="W318" s="46"/>
      <c r="X318" s="50"/>
      <c r="Y318" s="46"/>
      <c r="Z318" s="50"/>
      <c r="AA318" s="46"/>
      <c r="AB318" s="50"/>
      <c r="AC318" s="696">
        <f t="shared" si="33"/>
        <v>4</v>
      </c>
      <c r="AD318" s="50">
        <f t="shared" si="34"/>
        <v>4</v>
      </c>
      <c r="AE318" s="469">
        <f t="shared" si="35"/>
        <v>0</v>
      </c>
      <c r="AF318" s="489"/>
    </row>
    <row r="319" spans="1:32">
      <c r="A319" s="534">
        <v>320</v>
      </c>
      <c r="B319" s="495" t="s">
        <v>205</v>
      </c>
      <c r="C319" s="499" t="s">
        <v>1256</v>
      </c>
      <c r="D319" s="590">
        <v>0</v>
      </c>
      <c r="E319" s="524"/>
      <c r="F319" s="504"/>
      <c r="G319" s="524"/>
      <c r="H319" s="504"/>
      <c r="I319" s="524"/>
      <c r="J319" s="504"/>
      <c r="K319" s="524"/>
      <c r="L319" s="504"/>
      <c r="M319" s="524"/>
      <c r="N319" s="505"/>
      <c r="O319" s="524"/>
      <c r="P319" s="505"/>
      <c r="Q319" s="46">
        <v>3</v>
      </c>
      <c r="R319" s="50">
        <v>3</v>
      </c>
      <c r="S319" s="46"/>
      <c r="T319" s="50"/>
      <c r="U319" s="46"/>
      <c r="V319" s="50"/>
      <c r="W319" s="46"/>
      <c r="X319" s="50"/>
      <c r="Y319" s="46"/>
      <c r="Z319" s="50"/>
      <c r="AA319" s="46"/>
      <c r="AB319" s="50"/>
      <c r="AC319" s="696">
        <f t="shared" si="33"/>
        <v>3</v>
      </c>
      <c r="AD319" s="50">
        <f t="shared" si="34"/>
        <v>3</v>
      </c>
      <c r="AE319" s="469">
        <f t="shared" si="35"/>
        <v>0</v>
      </c>
      <c r="AF319" s="489"/>
    </row>
    <row r="320" spans="1:32">
      <c r="A320" s="533">
        <v>321</v>
      </c>
      <c r="B320" s="495" t="s">
        <v>1222</v>
      </c>
      <c r="C320" s="499" t="s">
        <v>1257</v>
      </c>
      <c r="D320" s="590">
        <v>0</v>
      </c>
      <c r="E320" s="524"/>
      <c r="F320" s="504"/>
      <c r="G320" s="524"/>
      <c r="H320" s="504"/>
      <c r="I320" s="524"/>
      <c r="J320" s="504"/>
      <c r="K320" s="524"/>
      <c r="L320" s="504"/>
      <c r="M320" s="524"/>
      <c r="N320" s="505"/>
      <c r="O320" s="524"/>
      <c r="P320" s="505"/>
      <c r="Q320" s="46">
        <v>2</v>
      </c>
      <c r="R320" s="50">
        <v>2</v>
      </c>
      <c r="S320" s="46"/>
      <c r="T320" s="50"/>
      <c r="U320" s="46"/>
      <c r="V320" s="50"/>
      <c r="W320" s="46"/>
      <c r="X320" s="50"/>
      <c r="Y320" s="46"/>
      <c r="Z320" s="50"/>
      <c r="AA320" s="46"/>
      <c r="AB320" s="50"/>
      <c r="AC320" s="696">
        <f t="shared" si="33"/>
        <v>2</v>
      </c>
      <c r="AD320" s="50">
        <f t="shared" si="34"/>
        <v>2</v>
      </c>
      <c r="AE320" s="469">
        <f t="shared" si="35"/>
        <v>0</v>
      </c>
      <c r="AF320" s="489"/>
    </row>
    <row r="321" spans="1:32">
      <c r="A321" s="534">
        <v>322</v>
      </c>
      <c r="B321" s="495" t="s">
        <v>1223</v>
      </c>
      <c r="C321" s="499" t="s">
        <v>1258</v>
      </c>
      <c r="D321" s="590">
        <v>0</v>
      </c>
      <c r="E321" s="524"/>
      <c r="F321" s="504"/>
      <c r="G321" s="524"/>
      <c r="H321" s="504"/>
      <c r="I321" s="524"/>
      <c r="J321" s="504"/>
      <c r="K321" s="524"/>
      <c r="L321" s="504"/>
      <c r="M321" s="524"/>
      <c r="N321" s="505"/>
      <c r="O321" s="524"/>
      <c r="P321" s="505"/>
      <c r="Q321" s="46">
        <v>6</v>
      </c>
      <c r="R321" s="50">
        <v>6</v>
      </c>
      <c r="S321" s="46">
        <v>3</v>
      </c>
      <c r="T321" s="50">
        <v>3</v>
      </c>
      <c r="U321" s="46"/>
      <c r="V321" s="50"/>
      <c r="W321" s="46"/>
      <c r="X321" s="50"/>
      <c r="Y321" s="46"/>
      <c r="Z321" s="50"/>
      <c r="AA321" s="46"/>
      <c r="AB321" s="50"/>
      <c r="AC321" s="696">
        <f t="shared" si="33"/>
        <v>9</v>
      </c>
      <c r="AD321" s="50">
        <f t="shared" si="34"/>
        <v>9</v>
      </c>
      <c r="AE321" s="469">
        <f t="shared" si="35"/>
        <v>0</v>
      </c>
      <c r="AF321" s="489"/>
    </row>
    <row r="322" spans="1:32">
      <c r="A322" s="533">
        <v>323</v>
      </c>
      <c r="B322" s="495" t="s">
        <v>1224</v>
      </c>
      <c r="C322" s="499" t="s">
        <v>1259</v>
      </c>
      <c r="D322" s="590">
        <v>0</v>
      </c>
      <c r="E322" s="524"/>
      <c r="F322" s="504"/>
      <c r="G322" s="524"/>
      <c r="H322" s="504"/>
      <c r="I322" s="524"/>
      <c r="J322" s="504"/>
      <c r="K322" s="524"/>
      <c r="L322" s="504"/>
      <c r="M322" s="524"/>
      <c r="N322" s="505"/>
      <c r="O322" s="524"/>
      <c r="P322" s="505"/>
      <c r="Q322" s="46">
        <v>1</v>
      </c>
      <c r="R322" s="50">
        <v>1</v>
      </c>
      <c r="S322" s="46">
        <f>1</f>
        <v>1</v>
      </c>
      <c r="T322" s="50">
        <v>1</v>
      </c>
      <c r="U322" s="46"/>
      <c r="V322" s="50"/>
      <c r="W322" s="46"/>
      <c r="X322" s="50"/>
      <c r="Y322" s="46"/>
      <c r="Z322" s="50"/>
      <c r="AA322" s="46"/>
      <c r="AB322" s="50"/>
      <c r="AC322" s="696">
        <f t="shared" si="33"/>
        <v>2</v>
      </c>
      <c r="AD322" s="50">
        <f t="shared" si="34"/>
        <v>2</v>
      </c>
      <c r="AE322" s="469">
        <f t="shared" si="35"/>
        <v>0</v>
      </c>
      <c r="AF322" s="489"/>
    </row>
    <row r="323" spans="1:32">
      <c r="A323" s="534">
        <v>324</v>
      </c>
      <c r="B323" s="495" t="s">
        <v>1225</v>
      </c>
      <c r="C323" s="499" t="s">
        <v>1260</v>
      </c>
      <c r="D323" s="590">
        <v>0</v>
      </c>
      <c r="E323" s="524"/>
      <c r="F323" s="504"/>
      <c r="G323" s="524"/>
      <c r="H323" s="504"/>
      <c r="I323" s="524"/>
      <c r="J323" s="504"/>
      <c r="K323" s="524"/>
      <c r="L323" s="504"/>
      <c r="M323" s="524"/>
      <c r="N323" s="505"/>
      <c r="O323" s="524"/>
      <c r="P323" s="505"/>
      <c r="Q323" s="46">
        <v>16</v>
      </c>
      <c r="R323" s="50">
        <v>16</v>
      </c>
      <c r="S323" s="46"/>
      <c r="T323" s="50"/>
      <c r="U323" s="46"/>
      <c r="V323" s="50"/>
      <c r="W323" s="46"/>
      <c r="X323" s="50"/>
      <c r="Y323" s="46"/>
      <c r="Z323" s="50"/>
      <c r="AA323" s="46"/>
      <c r="AB323" s="50"/>
      <c r="AC323" s="696">
        <f t="shared" si="33"/>
        <v>16</v>
      </c>
      <c r="AD323" s="50">
        <f t="shared" si="34"/>
        <v>16</v>
      </c>
      <c r="AE323" s="469">
        <f t="shared" si="35"/>
        <v>0</v>
      </c>
      <c r="AF323" s="489"/>
    </row>
    <row r="324" spans="1:32">
      <c r="A324" s="533">
        <v>325</v>
      </c>
      <c r="B324" s="495" t="s">
        <v>1226</v>
      </c>
      <c r="C324" s="499" t="s">
        <v>1261</v>
      </c>
      <c r="D324" s="590">
        <v>0</v>
      </c>
      <c r="E324" s="524"/>
      <c r="F324" s="504"/>
      <c r="G324" s="524"/>
      <c r="H324" s="504"/>
      <c r="I324" s="524"/>
      <c r="J324" s="504"/>
      <c r="K324" s="524"/>
      <c r="L324" s="504"/>
      <c r="M324" s="524"/>
      <c r="N324" s="505"/>
      <c r="O324" s="524"/>
      <c r="P324" s="505"/>
      <c r="Q324" s="46">
        <v>1</v>
      </c>
      <c r="R324" s="50">
        <v>1</v>
      </c>
      <c r="S324" s="46"/>
      <c r="T324" s="50"/>
      <c r="U324" s="46"/>
      <c r="V324" s="50"/>
      <c r="W324" s="46"/>
      <c r="X324" s="50"/>
      <c r="Y324" s="46"/>
      <c r="Z324" s="50"/>
      <c r="AA324" s="46"/>
      <c r="AB324" s="50"/>
      <c r="AC324" s="696">
        <f t="shared" si="33"/>
        <v>1</v>
      </c>
      <c r="AD324" s="50">
        <f t="shared" si="34"/>
        <v>1</v>
      </c>
      <c r="AE324" s="469">
        <f t="shared" si="35"/>
        <v>0</v>
      </c>
      <c r="AF324" s="489"/>
    </row>
    <row r="325" spans="1:32">
      <c r="A325" s="534">
        <v>326</v>
      </c>
      <c r="B325" s="495" t="s">
        <v>323</v>
      </c>
      <c r="C325" s="499" t="s">
        <v>1262</v>
      </c>
      <c r="D325" s="590">
        <v>0</v>
      </c>
      <c r="E325" s="524"/>
      <c r="F325" s="504"/>
      <c r="G325" s="524"/>
      <c r="H325" s="504"/>
      <c r="I325" s="524"/>
      <c r="J325" s="504"/>
      <c r="K325" s="524"/>
      <c r="L325" s="504"/>
      <c r="M325" s="524"/>
      <c r="N325" s="505"/>
      <c r="O325" s="524"/>
      <c r="P325" s="505"/>
      <c r="Q325" s="46">
        <v>1</v>
      </c>
      <c r="R325" s="50">
        <v>1</v>
      </c>
      <c r="S325" s="46"/>
      <c r="T325" s="50"/>
      <c r="U325" s="46"/>
      <c r="V325" s="50"/>
      <c r="W325" s="46"/>
      <c r="X325" s="50"/>
      <c r="Y325" s="46"/>
      <c r="Z325" s="50"/>
      <c r="AA325" s="46"/>
      <c r="AB325" s="50"/>
      <c r="AC325" s="696">
        <f t="shared" si="33"/>
        <v>1</v>
      </c>
      <c r="AD325" s="50">
        <f t="shared" si="34"/>
        <v>1</v>
      </c>
      <c r="AE325" s="469">
        <f t="shared" si="35"/>
        <v>0</v>
      </c>
      <c r="AF325" s="489"/>
    </row>
    <row r="326" spans="1:32">
      <c r="A326" s="533">
        <v>327</v>
      </c>
      <c r="B326" s="495" t="s">
        <v>1227</v>
      </c>
      <c r="C326" s="499" t="s">
        <v>1263</v>
      </c>
      <c r="D326" s="590">
        <v>0</v>
      </c>
      <c r="E326" s="524"/>
      <c r="F326" s="504"/>
      <c r="G326" s="524"/>
      <c r="H326" s="504"/>
      <c r="I326" s="524"/>
      <c r="J326" s="504"/>
      <c r="K326" s="524"/>
      <c r="L326" s="504"/>
      <c r="M326" s="524"/>
      <c r="N326" s="505"/>
      <c r="O326" s="524"/>
      <c r="P326" s="505"/>
      <c r="Q326" s="46">
        <v>10</v>
      </c>
      <c r="R326" s="50">
        <v>10</v>
      </c>
      <c r="S326" s="46"/>
      <c r="T326" s="50"/>
      <c r="U326" s="46"/>
      <c r="V326" s="50"/>
      <c r="W326" s="46"/>
      <c r="X326" s="50"/>
      <c r="Y326" s="46"/>
      <c r="Z326" s="50"/>
      <c r="AA326" s="46"/>
      <c r="AB326" s="50"/>
      <c r="AC326" s="696">
        <f t="shared" si="33"/>
        <v>10</v>
      </c>
      <c r="AD326" s="50">
        <f t="shared" si="34"/>
        <v>10</v>
      </c>
      <c r="AE326" s="469">
        <f t="shared" si="35"/>
        <v>0</v>
      </c>
      <c r="AF326" s="489"/>
    </row>
    <row r="327" spans="1:32">
      <c r="A327" s="534">
        <v>328</v>
      </c>
      <c r="B327" s="495" t="s">
        <v>1228</v>
      </c>
      <c r="C327" s="499" t="s">
        <v>1264</v>
      </c>
      <c r="D327" s="590">
        <v>0</v>
      </c>
      <c r="E327" s="524"/>
      <c r="F327" s="504"/>
      <c r="G327" s="524"/>
      <c r="H327" s="504"/>
      <c r="I327" s="524"/>
      <c r="J327" s="504"/>
      <c r="K327" s="524"/>
      <c r="L327" s="504"/>
      <c r="M327" s="524"/>
      <c r="N327" s="505"/>
      <c r="O327" s="524"/>
      <c r="P327" s="505"/>
      <c r="Q327" s="46">
        <v>12</v>
      </c>
      <c r="R327" s="50">
        <v>12</v>
      </c>
      <c r="S327" s="46">
        <f>6</f>
        <v>6</v>
      </c>
      <c r="T327" s="50">
        <v>6</v>
      </c>
      <c r="U327" s="46"/>
      <c r="V327" s="50"/>
      <c r="W327" s="46"/>
      <c r="X327" s="50"/>
      <c r="Y327" s="46"/>
      <c r="Z327" s="50"/>
      <c r="AA327" s="46"/>
      <c r="AB327" s="50"/>
      <c r="AC327" s="696">
        <f t="shared" si="33"/>
        <v>18</v>
      </c>
      <c r="AD327" s="50">
        <f t="shared" si="34"/>
        <v>18</v>
      </c>
      <c r="AE327" s="469">
        <f t="shared" si="35"/>
        <v>0</v>
      </c>
      <c r="AF327" s="489"/>
    </row>
    <row r="328" spans="1:32">
      <c r="A328" s="533">
        <v>329</v>
      </c>
      <c r="B328" s="495" t="s">
        <v>1229</v>
      </c>
      <c r="C328" s="499" t="s">
        <v>1265</v>
      </c>
      <c r="D328" s="590">
        <v>0</v>
      </c>
      <c r="E328" s="524"/>
      <c r="F328" s="504"/>
      <c r="G328" s="524"/>
      <c r="H328" s="504"/>
      <c r="I328" s="524"/>
      <c r="J328" s="504"/>
      <c r="K328" s="524"/>
      <c r="L328" s="504"/>
      <c r="M328" s="524"/>
      <c r="N328" s="505"/>
      <c r="O328" s="524"/>
      <c r="P328" s="505"/>
      <c r="Q328" s="46">
        <v>32</v>
      </c>
      <c r="R328" s="50">
        <v>32</v>
      </c>
      <c r="S328" s="46">
        <f>6</f>
        <v>6</v>
      </c>
      <c r="T328" s="50">
        <v>6</v>
      </c>
      <c r="U328" s="46"/>
      <c r="V328" s="50"/>
      <c r="W328" s="46"/>
      <c r="X328" s="50"/>
      <c r="Y328" s="46"/>
      <c r="Z328" s="50"/>
      <c r="AA328" s="46"/>
      <c r="AB328" s="50"/>
      <c r="AC328" s="696">
        <f t="shared" si="33"/>
        <v>38</v>
      </c>
      <c r="AD328" s="50">
        <f t="shared" si="34"/>
        <v>38</v>
      </c>
      <c r="AE328" s="469">
        <f t="shared" si="35"/>
        <v>0</v>
      </c>
      <c r="AF328" s="489"/>
    </row>
    <row r="329" spans="1:32">
      <c r="A329" s="534">
        <v>330</v>
      </c>
      <c r="B329" s="495" t="s">
        <v>192</v>
      </c>
      <c r="C329" s="499" t="s">
        <v>1266</v>
      </c>
      <c r="D329" s="590">
        <v>0</v>
      </c>
      <c r="E329" s="524"/>
      <c r="F329" s="504"/>
      <c r="G329" s="524"/>
      <c r="H329" s="504"/>
      <c r="I329" s="524"/>
      <c r="J329" s="504"/>
      <c r="K329" s="524"/>
      <c r="L329" s="504"/>
      <c r="M329" s="524"/>
      <c r="N329" s="505"/>
      <c r="O329" s="524"/>
      <c r="P329" s="505"/>
      <c r="Q329" s="46">
        <v>3</v>
      </c>
      <c r="R329" s="50">
        <v>3</v>
      </c>
      <c r="S329" s="46"/>
      <c r="T329" s="50"/>
      <c r="U329" s="46"/>
      <c r="V329" s="50"/>
      <c r="W329" s="46"/>
      <c r="X329" s="50"/>
      <c r="Y329" s="46"/>
      <c r="Z329" s="50"/>
      <c r="AA329" s="46"/>
      <c r="AB329" s="50"/>
      <c r="AC329" s="696">
        <f t="shared" si="33"/>
        <v>3</v>
      </c>
      <c r="AD329" s="50">
        <f t="shared" si="34"/>
        <v>3</v>
      </c>
      <c r="AE329" s="469">
        <f t="shared" si="35"/>
        <v>0</v>
      </c>
      <c r="AF329" s="489"/>
    </row>
    <row r="330" spans="1:32">
      <c r="A330" s="533">
        <v>331</v>
      </c>
      <c r="B330" s="495" t="s">
        <v>1230</v>
      </c>
      <c r="C330" s="499" t="s">
        <v>1267</v>
      </c>
      <c r="D330" s="590">
        <v>0</v>
      </c>
      <c r="E330" s="524"/>
      <c r="F330" s="504"/>
      <c r="G330" s="524"/>
      <c r="H330" s="504"/>
      <c r="I330" s="524"/>
      <c r="J330" s="504"/>
      <c r="K330" s="524"/>
      <c r="L330" s="504"/>
      <c r="M330" s="524"/>
      <c r="N330" s="505"/>
      <c r="O330" s="524"/>
      <c r="P330" s="505"/>
      <c r="Q330" s="46">
        <v>4</v>
      </c>
      <c r="R330" s="50">
        <v>4</v>
      </c>
      <c r="S330" s="46"/>
      <c r="T330" s="50"/>
      <c r="U330" s="46"/>
      <c r="V330" s="50"/>
      <c r="W330" s="46"/>
      <c r="X330" s="50"/>
      <c r="Y330" s="46"/>
      <c r="Z330" s="50"/>
      <c r="AA330" s="46"/>
      <c r="AB330" s="50"/>
      <c r="AC330" s="696">
        <f t="shared" si="33"/>
        <v>4</v>
      </c>
      <c r="AD330" s="50">
        <f t="shared" si="34"/>
        <v>4</v>
      </c>
      <c r="AE330" s="469">
        <f t="shared" si="35"/>
        <v>0</v>
      </c>
      <c r="AF330" s="489"/>
    </row>
    <row r="331" spans="1:32">
      <c r="A331" s="534">
        <v>332</v>
      </c>
      <c r="B331" s="495" t="s">
        <v>1231</v>
      </c>
      <c r="C331" s="499" t="s">
        <v>1268</v>
      </c>
      <c r="D331" s="590">
        <v>0</v>
      </c>
      <c r="E331" s="524"/>
      <c r="F331" s="504"/>
      <c r="G331" s="524"/>
      <c r="H331" s="504"/>
      <c r="I331" s="524"/>
      <c r="J331" s="504"/>
      <c r="K331" s="524"/>
      <c r="L331" s="504"/>
      <c r="M331" s="524"/>
      <c r="N331" s="505"/>
      <c r="O331" s="524"/>
      <c r="P331" s="505"/>
      <c r="Q331" s="46">
        <v>4</v>
      </c>
      <c r="R331" s="50">
        <v>4</v>
      </c>
      <c r="S331" s="46">
        <f>2</f>
        <v>2</v>
      </c>
      <c r="T331" s="50">
        <f>2</f>
        <v>2</v>
      </c>
      <c r="U331" s="46"/>
      <c r="V331" s="50"/>
      <c r="W331" s="46"/>
      <c r="X331" s="50"/>
      <c r="Y331" s="46"/>
      <c r="Z331" s="50"/>
      <c r="AA331" s="46"/>
      <c r="AB331" s="50"/>
      <c r="AC331" s="696">
        <f t="shared" si="33"/>
        <v>6</v>
      </c>
      <c r="AD331" s="50">
        <f t="shared" si="34"/>
        <v>6</v>
      </c>
      <c r="AE331" s="469">
        <f t="shared" si="35"/>
        <v>0</v>
      </c>
      <c r="AF331" s="489"/>
    </row>
    <row r="332" spans="1:32">
      <c r="A332" s="533">
        <v>333</v>
      </c>
      <c r="B332" s="495" t="s">
        <v>1232</v>
      </c>
      <c r="C332" s="499" t="s">
        <v>1269</v>
      </c>
      <c r="D332" s="590">
        <v>0</v>
      </c>
      <c r="E332" s="524"/>
      <c r="F332" s="504"/>
      <c r="G332" s="524"/>
      <c r="H332" s="504"/>
      <c r="I332" s="524"/>
      <c r="J332" s="504"/>
      <c r="K332" s="524"/>
      <c r="L332" s="504"/>
      <c r="M332" s="524"/>
      <c r="N332" s="505"/>
      <c r="O332" s="524"/>
      <c r="P332" s="505"/>
      <c r="Q332" s="46">
        <v>4</v>
      </c>
      <c r="R332" s="50">
        <v>4</v>
      </c>
      <c r="S332" s="46">
        <f>2</f>
        <v>2</v>
      </c>
      <c r="T332" s="50">
        <v>2</v>
      </c>
      <c r="U332" s="46"/>
      <c r="V332" s="50"/>
      <c r="W332" s="46"/>
      <c r="X332" s="50"/>
      <c r="Y332" s="46"/>
      <c r="Z332" s="50"/>
      <c r="AA332" s="46"/>
      <c r="AB332" s="50"/>
      <c r="AC332" s="696">
        <f t="shared" si="33"/>
        <v>6</v>
      </c>
      <c r="AD332" s="50">
        <f t="shared" si="34"/>
        <v>6</v>
      </c>
      <c r="AE332" s="469">
        <f t="shared" si="35"/>
        <v>0</v>
      </c>
      <c r="AF332" s="489"/>
    </row>
    <row r="333" spans="1:32">
      <c r="A333" s="534">
        <v>334</v>
      </c>
      <c r="B333" s="495" t="s">
        <v>1233</v>
      </c>
      <c r="C333" s="499" t="s">
        <v>1270</v>
      </c>
      <c r="D333" s="590">
        <v>0</v>
      </c>
      <c r="E333" s="524"/>
      <c r="F333" s="504"/>
      <c r="G333" s="524"/>
      <c r="H333" s="504"/>
      <c r="I333" s="524"/>
      <c r="J333" s="504"/>
      <c r="K333" s="524"/>
      <c r="L333" s="504"/>
      <c r="M333" s="524"/>
      <c r="N333" s="505"/>
      <c r="O333" s="524"/>
      <c r="P333" s="505"/>
      <c r="Q333" s="46">
        <v>4</v>
      </c>
      <c r="R333" s="50">
        <v>4</v>
      </c>
      <c r="S333" s="46">
        <f>1</f>
        <v>1</v>
      </c>
      <c r="T333" s="50">
        <v>1</v>
      </c>
      <c r="U333" s="46"/>
      <c r="V333" s="50"/>
      <c r="W333" s="46"/>
      <c r="X333" s="50"/>
      <c r="Y333" s="46"/>
      <c r="Z333" s="50"/>
      <c r="AA333" s="46"/>
      <c r="AB333" s="50"/>
      <c r="AC333" s="696">
        <f t="shared" si="33"/>
        <v>5</v>
      </c>
      <c r="AD333" s="50">
        <f t="shared" si="34"/>
        <v>5</v>
      </c>
      <c r="AE333" s="469">
        <f t="shared" si="35"/>
        <v>0</v>
      </c>
      <c r="AF333" s="489"/>
    </row>
    <row r="334" spans="1:32">
      <c r="A334" s="533">
        <v>335</v>
      </c>
      <c r="B334" s="495" t="s">
        <v>1234</v>
      </c>
      <c r="C334" s="499" t="s">
        <v>1271</v>
      </c>
      <c r="D334" s="590">
        <v>0</v>
      </c>
      <c r="E334" s="524"/>
      <c r="F334" s="504"/>
      <c r="G334" s="524"/>
      <c r="H334" s="504"/>
      <c r="I334" s="524"/>
      <c r="J334" s="504"/>
      <c r="K334" s="524"/>
      <c r="L334" s="504"/>
      <c r="M334" s="524"/>
      <c r="N334" s="505"/>
      <c r="O334" s="524"/>
      <c r="P334" s="505"/>
      <c r="Q334" s="46">
        <v>4</v>
      </c>
      <c r="R334" s="50">
        <v>4</v>
      </c>
      <c r="S334" s="46"/>
      <c r="T334" s="50"/>
      <c r="U334" s="46"/>
      <c r="V334" s="50"/>
      <c r="W334" s="46"/>
      <c r="X334" s="50"/>
      <c r="Y334" s="46"/>
      <c r="Z334" s="50"/>
      <c r="AA334" s="46"/>
      <c r="AB334" s="50"/>
      <c r="AC334" s="696">
        <f t="shared" si="33"/>
        <v>4</v>
      </c>
      <c r="AD334" s="50">
        <f t="shared" si="34"/>
        <v>4</v>
      </c>
      <c r="AE334" s="469">
        <f t="shared" si="35"/>
        <v>0</v>
      </c>
      <c r="AF334" s="489"/>
    </row>
    <row r="335" spans="1:32">
      <c r="A335" s="534">
        <v>336</v>
      </c>
      <c r="B335" s="495" t="s">
        <v>1235</v>
      </c>
      <c r="C335" s="499" t="s">
        <v>1272</v>
      </c>
      <c r="D335" s="590">
        <v>0</v>
      </c>
      <c r="E335" s="524"/>
      <c r="F335" s="504"/>
      <c r="G335" s="524"/>
      <c r="H335" s="504"/>
      <c r="I335" s="524"/>
      <c r="J335" s="504"/>
      <c r="K335" s="524"/>
      <c r="L335" s="504"/>
      <c r="M335" s="524"/>
      <c r="N335" s="505"/>
      <c r="O335" s="524"/>
      <c r="P335" s="505"/>
      <c r="Q335" s="46">
        <v>12</v>
      </c>
      <c r="R335" s="50">
        <v>12</v>
      </c>
      <c r="S335" s="46"/>
      <c r="T335" s="50"/>
      <c r="U335" s="46">
        <f>16</f>
        <v>16</v>
      </c>
      <c r="V335" s="50"/>
      <c r="W335" s="46"/>
      <c r="X335" s="50">
        <f>16</f>
        <v>16</v>
      </c>
      <c r="Y335" s="46"/>
      <c r="Z335" s="50"/>
      <c r="AA335" s="46"/>
      <c r="AB335" s="50"/>
      <c r="AC335" s="696">
        <f t="shared" si="33"/>
        <v>28</v>
      </c>
      <c r="AD335" s="50">
        <f t="shared" si="34"/>
        <v>28</v>
      </c>
      <c r="AE335" s="469">
        <f t="shared" si="35"/>
        <v>0</v>
      </c>
      <c r="AF335" s="489"/>
    </row>
    <row r="336" spans="1:32">
      <c r="A336" s="533">
        <v>337</v>
      </c>
      <c r="B336" s="495" t="s">
        <v>668</v>
      </c>
      <c r="C336" s="499" t="s">
        <v>1273</v>
      </c>
      <c r="D336" s="590">
        <v>0</v>
      </c>
      <c r="E336" s="524"/>
      <c r="F336" s="504"/>
      <c r="G336" s="524"/>
      <c r="H336" s="504"/>
      <c r="I336" s="524"/>
      <c r="J336" s="504"/>
      <c r="K336" s="524"/>
      <c r="L336" s="504"/>
      <c r="M336" s="524"/>
      <c r="N336" s="505"/>
      <c r="O336" s="524"/>
      <c r="P336" s="505"/>
      <c r="Q336" s="46">
        <v>3</v>
      </c>
      <c r="R336" s="50">
        <v>3</v>
      </c>
      <c r="S336" s="46"/>
      <c r="T336" s="50"/>
      <c r="U336" s="46"/>
      <c r="V336" s="50"/>
      <c r="W336" s="46"/>
      <c r="X336" s="50"/>
      <c r="Y336" s="46"/>
      <c r="Z336" s="50"/>
      <c r="AA336" s="46"/>
      <c r="AB336" s="50"/>
      <c r="AC336" s="696">
        <f t="shared" si="33"/>
        <v>3</v>
      </c>
      <c r="AD336" s="50">
        <f t="shared" si="34"/>
        <v>3</v>
      </c>
      <c r="AE336" s="469">
        <f t="shared" si="35"/>
        <v>0</v>
      </c>
      <c r="AF336" s="489"/>
    </row>
    <row r="337" spans="1:32">
      <c r="A337" s="534">
        <v>338</v>
      </c>
      <c r="B337" s="495" t="s">
        <v>1236</v>
      </c>
      <c r="C337" s="499" t="s">
        <v>1274</v>
      </c>
      <c r="D337" s="590">
        <v>0</v>
      </c>
      <c r="E337" s="524"/>
      <c r="F337" s="504"/>
      <c r="G337" s="524"/>
      <c r="H337" s="504"/>
      <c r="I337" s="524"/>
      <c r="J337" s="504"/>
      <c r="K337" s="524"/>
      <c r="L337" s="504"/>
      <c r="M337" s="524"/>
      <c r="N337" s="505"/>
      <c r="O337" s="524"/>
      <c r="P337" s="505"/>
      <c r="Q337" s="46">
        <v>20</v>
      </c>
      <c r="R337" s="50">
        <v>20</v>
      </c>
      <c r="S337" s="46">
        <v>6</v>
      </c>
      <c r="T337" s="50">
        <v>6</v>
      </c>
      <c r="U337" s="46"/>
      <c r="V337" s="50"/>
      <c r="W337" s="46"/>
      <c r="X337" s="50"/>
      <c r="Y337" s="46"/>
      <c r="Z337" s="50"/>
      <c r="AA337" s="46"/>
      <c r="AB337" s="50"/>
      <c r="AC337" s="696">
        <f t="shared" si="33"/>
        <v>26</v>
      </c>
      <c r="AD337" s="50">
        <f t="shared" si="34"/>
        <v>26</v>
      </c>
      <c r="AE337" s="469">
        <f t="shared" si="35"/>
        <v>0</v>
      </c>
      <c r="AF337" s="489"/>
    </row>
    <row r="338" spans="1:32">
      <c r="A338" s="533">
        <v>339</v>
      </c>
      <c r="B338" s="495" t="s">
        <v>1236</v>
      </c>
      <c r="C338" s="499" t="s">
        <v>1274</v>
      </c>
      <c r="D338" s="590">
        <v>0</v>
      </c>
      <c r="E338" s="524"/>
      <c r="F338" s="504"/>
      <c r="G338" s="524"/>
      <c r="H338" s="504"/>
      <c r="I338" s="524"/>
      <c r="J338" s="504"/>
      <c r="K338" s="524"/>
      <c r="L338" s="504"/>
      <c r="M338" s="524"/>
      <c r="N338" s="505"/>
      <c r="O338" s="524"/>
      <c r="P338" s="505"/>
      <c r="Q338" s="46">
        <v>2</v>
      </c>
      <c r="R338" s="50">
        <v>2</v>
      </c>
      <c r="S338" s="46"/>
      <c r="T338" s="50"/>
      <c r="U338" s="46"/>
      <c r="V338" s="50"/>
      <c r="W338" s="46"/>
      <c r="X338" s="50"/>
      <c r="Y338" s="46"/>
      <c r="Z338" s="50"/>
      <c r="AA338" s="46"/>
      <c r="AB338" s="50"/>
      <c r="AC338" s="696">
        <f t="shared" si="33"/>
        <v>2</v>
      </c>
      <c r="AD338" s="50">
        <f t="shared" si="34"/>
        <v>2</v>
      </c>
      <c r="AE338" s="469">
        <f t="shared" si="35"/>
        <v>0</v>
      </c>
      <c r="AF338" s="489"/>
    </row>
    <row r="339" spans="1:32">
      <c r="A339" s="534">
        <v>340</v>
      </c>
      <c r="B339" s="495" t="s">
        <v>1237</v>
      </c>
      <c r="C339" s="499" t="s">
        <v>1275</v>
      </c>
      <c r="D339" s="590">
        <v>0</v>
      </c>
      <c r="E339" s="524"/>
      <c r="F339" s="504"/>
      <c r="G339" s="524"/>
      <c r="H339" s="504"/>
      <c r="I339" s="524"/>
      <c r="J339" s="504"/>
      <c r="K339" s="524"/>
      <c r="L339" s="504"/>
      <c r="M339" s="524"/>
      <c r="N339" s="505"/>
      <c r="O339" s="524"/>
      <c r="P339" s="505"/>
      <c r="Q339" s="46">
        <v>4</v>
      </c>
      <c r="R339" s="50">
        <v>4</v>
      </c>
      <c r="S339" s="46">
        <v>2</v>
      </c>
      <c r="T339" s="50">
        <f>2</f>
        <v>2</v>
      </c>
      <c r="U339" s="46"/>
      <c r="V339" s="50"/>
      <c r="W339" s="46"/>
      <c r="X339" s="50"/>
      <c r="Y339" s="46"/>
      <c r="Z339" s="50"/>
      <c r="AA339" s="46"/>
      <c r="AB339" s="50"/>
      <c r="AC339" s="696">
        <f t="shared" si="33"/>
        <v>6</v>
      </c>
      <c r="AD339" s="50">
        <f t="shared" si="34"/>
        <v>6</v>
      </c>
      <c r="AE339" s="469">
        <f t="shared" si="35"/>
        <v>0</v>
      </c>
      <c r="AF339" s="489"/>
    </row>
    <row r="340" spans="1:32">
      <c r="A340" s="533">
        <v>341</v>
      </c>
      <c r="B340" s="495" t="s">
        <v>1238</v>
      </c>
      <c r="C340" s="499" t="s">
        <v>1276</v>
      </c>
      <c r="D340" s="590">
        <v>0</v>
      </c>
      <c r="E340" s="524"/>
      <c r="F340" s="504"/>
      <c r="G340" s="524"/>
      <c r="H340" s="504"/>
      <c r="I340" s="524"/>
      <c r="J340" s="504"/>
      <c r="K340" s="524"/>
      <c r="L340" s="504"/>
      <c r="M340" s="524"/>
      <c r="N340" s="505"/>
      <c r="O340" s="524"/>
      <c r="P340" s="505"/>
      <c r="Q340" s="46">
        <v>4</v>
      </c>
      <c r="R340" s="50">
        <v>4</v>
      </c>
      <c r="S340" s="46">
        <v>4</v>
      </c>
      <c r="T340" s="50">
        <v>4</v>
      </c>
      <c r="U340" s="46"/>
      <c r="V340" s="50"/>
      <c r="W340" s="46"/>
      <c r="X340" s="50"/>
      <c r="Y340" s="46"/>
      <c r="Z340" s="50"/>
      <c r="AA340" s="46"/>
      <c r="AB340" s="50"/>
      <c r="AC340" s="696">
        <f t="shared" si="33"/>
        <v>8</v>
      </c>
      <c r="AD340" s="50">
        <f t="shared" si="34"/>
        <v>8</v>
      </c>
      <c r="AE340" s="469">
        <f t="shared" si="35"/>
        <v>0</v>
      </c>
      <c r="AF340" s="489"/>
    </row>
    <row r="341" spans="1:32">
      <c r="A341" s="534">
        <v>342</v>
      </c>
      <c r="B341" s="495" t="s">
        <v>1239</v>
      </c>
      <c r="C341" s="499" t="s">
        <v>1277</v>
      </c>
      <c r="D341" s="590">
        <v>0</v>
      </c>
      <c r="E341" s="524"/>
      <c r="F341" s="504"/>
      <c r="G341" s="524"/>
      <c r="H341" s="504"/>
      <c r="I341" s="524"/>
      <c r="J341" s="504"/>
      <c r="K341" s="524"/>
      <c r="L341" s="504"/>
      <c r="M341" s="524"/>
      <c r="N341" s="505"/>
      <c r="O341" s="524"/>
      <c r="P341" s="505"/>
      <c r="Q341" s="46">
        <v>3</v>
      </c>
      <c r="R341" s="50">
        <v>3</v>
      </c>
      <c r="S341" s="46">
        <f>1</f>
        <v>1</v>
      </c>
      <c r="T341" s="50">
        <v>1</v>
      </c>
      <c r="U341" s="46"/>
      <c r="V341" s="50"/>
      <c r="W341" s="46"/>
      <c r="X341" s="50"/>
      <c r="Y341" s="46"/>
      <c r="Z341" s="50"/>
      <c r="AA341" s="46"/>
      <c r="AB341" s="50"/>
      <c r="AC341" s="696">
        <f t="shared" si="33"/>
        <v>4</v>
      </c>
      <c r="AD341" s="50">
        <f t="shared" si="34"/>
        <v>4</v>
      </c>
      <c r="AE341" s="469">
        <f t="shared" si="35"/>
        <v>0</v>
      </c>
      <c r="AF341" s="489"/>
    </row>
    <row r="342" spans="1:32">
      <c r="A342" s="533">
        <v>343</v>
      </c>
      <c r="B342" s="495" t="s">
        <v>1240</v>
      </c>
      <c r="C342" s="499" t="s">
        <v>1278</v>
      </c>
      <c r="D342" s="590">
        <v>0</v>
      </c>
      <c r="E342" s="524"/>
      <c r="F342" s="504"/>
      <c r="G342" s="524"/>
      <c r="H342" s="504"/>
      <c r="I342" s="524"/>
      <c r="J342" s="504"/>
      <c r="K342" s="524"/>
      <c r="L342" s="504"/>
      <c r="M342" s="524"/>
      <c r="N342" s="505"/>
      <c r="O342" s="524"/>
      <c r="P342" s="505"/>
      <c r="Q342" s="46">
        <v>4</v>
      </c>
      <c r="R342" s="50">
        <v>4</v>
      </c>
      <c r="S342" s="46"/>
      <c r="T342" s="50"/>
      <c r="U342" s="46"/>
      <c r="V342" s="50"/>
      <c r="W342" s="46"/>
      <c r="X342" s="50"/>
      <c r="Y342" s="46"/>
      <c r="Z342" s="50"/>
      <c r="AA342" s="46"/>
      <c r="AB342" s="50"/>
      <c r="AC342" s="696">
        <f t="shared" si="33"/>
        <v>4</v>
      </c>
      <c r="AD342" s="50">
        <f t="shared" si="34"/>
        <v>4</v>
      </c>
      <c r="AE342" s="469">
        <f t="shared" si="35"/>
        <v>0</v>
      </c>
      <c r="AF342" s="489"/>
    </row>
    <row r="343" spans="1:32">
      <c r="A343" s="534">
        <v>344</v>
      </c>
      <c r="B343" s="495" t="s">
        <v>1241</v>
      </c>
      <c r="C343" s="499" t="s">
        <v>1279</v>
      </c>
      <c r="D343" s="590">
        <v>0</v>
      </c>
      <c r="E343" s="524"/>
      <c r="F343" s="504"/>
      <c r="G343" s="524"/>
      <c r="H343" s="504"/>
      <c r="I343" s="524"/>
      <c r="J343" s="504"/>
      <c r="K343" s="524"/>
      <c r="L343" s="504"/>
      <c r="M343" s="524"/>
      <c r="N343" s="505"/>
      <c r="O343" s="524"/>
      <c r="P343" s="505"/>
      <c r="Q343" s="46">
        <v>1</v>
      </c>
      <c r="R343" s="50">
        <v>1</v>
      </c>
      <c r="S343" s="46"/>
      <c r="T343" s="50"/>
      <c r="U343" s="46"/>
      <c r="V343" s="50"/>
      <c r="W343" s="46"/>
      <c r="X343" s="50"/>
      <c r="Y343" s="46"/>
      <c r="Z343" s="50"/>
      <c r="AA343" s="46"/>
      <c r="AB343" s="50"/>
      <c r="AC343" s="696">
        <f t="shared" si="33"/>
        <v>1</v>
      </c>
      <c r="AD343" s="50">
        <f t="shared" si="34"/>
        <v>1</v>
      </c>
      <c r="AE343" s="469">
        <f t="shared" si="35"/>
        <v>0</v>
      </c>
      <c r="AF343" s="489"/>
    </row>
    <row r="344" spans="1:32">
      <c r="A344" s="534">
        <v>346</v>
      </c>
      <c r="B344" s="495" t="s">
        <v>1242</v>
      </c>
      <c r="C344" s="499" t="s">
        <v>1281</v>
      </c>
      <c r="D344" s="590">
        <v>0</v>
      </c>
      <c r="E344" s="524"/>
      <c r="F344" s="504"/>
      <c r="G344" s="524"/>
      <c r="H344" s="504"/>
      <c r="I344" s="524"/>
      <c r="J344" s="504"/>
      <c r="K344" s="524"/>
      <c r="L344" s="504"/>
      <c r="M344" s="524"/>
      <c r="N344" s="505"/>
      <c r="O344" s="524"/>
      <c r="P344" s="505"/>
      <c r="Q344" s="46">
        <v>1</v>
      </c>
      <c r="R344" s="50">
        <v>1</v>
      </c>
      <c r="S344" s="46">
        <v>2</v>
      </c>
      <c r="T344" s="50">
        <v>2</v>
      </c>
      <c r="U344" s="46"/>
      <c r="V344" s="50"/>
      <c r="W344" s="46"/>
      <c r="X344" s="50"/>
      <c r="Y344" s="46"/>
      <c r="Z344" s="50"/>
      <c r="AA344" s="46"/>
      <c r="AB344" s="50"/>
      <c r="AC344" s="696">
        <f t="shared" si="33"/>
        <v>3</v>
      </c>
      <c r="AD344" s="50">
        <f t="shared" si="34"/>
        <v>3</v>
      </c>
      <c r="AE344" s="469">
        <f t="shared" si="35"/>
        <v>0</v>
      </c>
      <c r="AF344" s="489"/>
    </row>
    <row r="345" spans="1:32">
      <c r="A345" s="533">
        <v>347</v>
      </c>
      <c r="B345" s="495" t="s">
        <v>1243</v>
      </c>
      <c r="C345" s="499" t="s">
        <v>1282</v>
      </c>
      <c r="D345" s="590">
        <v>0</v>
      </c>
      <c r="E345" s="524"/>
      <c r="F345" s="504"/>
      <c r="G345" s="524"/>
      <c r="H345" s="504"/>
      <c r="I345" s="524"/>
      <c r="J345" s="504"/>
      <c r="K345" s="524"/>
      <c r="L345" s="504"/>
      <c r="M345" s="524"/>
      <c r="N345" s="505"/>
      <c r="O345" s="524"/>
      <c r="P345" s="505"/>
      <c r="Q345" s="46">
        <v>2</v>
      </c>
      <c r="R345" s="50">
        <v>2</v>
      </c>
      <c r="S345" s="46"/>
      <c r="T345" s="50"/>
      <c r="U345" s="46"/>
      <c r="V345" s="50"/>
      <c r="W345" s="46"/>
      <c r="X345" s="50"/>
      <c r="Y345" s="46"/>
      <c r="Z345" s="50"/>
      <c r="AA345" s="46"/>
      <c r="AB345" s="50"/>
      <c r="AC345" s="696">
        <f t="shared" si="33"/>
        <v>2</v>
      </c>
      <c r="AD345" s="50">
        <f t="shared" si="34"/>
        <v>2</v>
      </c>
      <c r="AE345" s="469">
        <f t="shared" si="35"/>
        <v>0</v>
      </c>
      <c r="AF345" s="489"/>
    </row>
    <row r="346" spans="1:32">
      <c r="A346" s="534">
        <v>348</v>
      </c>
      <c r="B346" s="495" t="s">
        <v>1244</v>
      </c>
      <c r="C346" s="499" t="s">
        <v>1283</v>
      </c>
      <c r="D346" s="590">
        <v>0</v>
      </c>
      <c r="E346" s="524"/>
      <c r="F346" s="504"/>
      <c r="G346" s="524"/>
      <c r="H346" s="504"/>
      <c r="I346" s="524"/>
      <c r="J346" s="504"/>
      <c r="K346" s="524"/>
      <c r="L346" s="504"/>
      <c r="M346" s="524"/>
      <c r="N346" s="505"/>
      <c r="O346" s="524"/>
      <c r="P346" s="505"/>
      <c r="Q346" s="46">
        <v>2</v>
      </c>
      <c r="R346" s="50">
        <v>2</v>
      </c>
      <c r="S346" s="46">
        <v>1</v>
      </c>
      <c r="T346" s="50">
        <v>1</v>
      </c>
      <c r="U346" s="46"/>
      <c r="V346" s="50"/>
      <c r="W346" s="46"/>
      <c r="X346" s="50"/>
      <c r="Y346" s="46"/>
      <c r="Z346" s="50"/>
      <c r="AA346" s="46"/>
      <c r="AB346" s="50"/>
      <c r="AC346" s="696">
        <f t="shared" si="33"/>
        <v>3</v>
      </c>
      <c r="AD346" s="50">
        <f t="shared" si="34"/>
        <v>3</v>
      </c>
      <c r="AE346" s="469">
        <f t="shared" si="35"/>
        <v>0</v>
      </c>
      <c r="AF346" s="489"/>
    </row>
    <row r="347" spans="1:32">
      <c r="A347" s="533">
        <v>349</v>
      </c>
      <c r="B347" s="495" t="s">
        <v>1245</v>
      </c>
      <c r="C347" s="499" t="s">
        <v>1284</v>
      </c>
      <c r="D347" s="590">
        <v>0</v>
      </c>
      <c r="E347" s="524"/>
      <c r="F347" s="504"/>
      <c r="G347" s="524"/>
      <c r="H347" s="504"/>
      <c r="I347" s="524"/>
      <c r="J347" s="504"/>
      <c r="K347" s="524"/>
      <c r="L347" s="504"/>
      <c r="M347" s="524"/>
      <c r="N347" s="505"/>
      <c r="O347" s="524"/>
      <c r="P347" s="505"/>
      <c r="Q347" s="46">
        <v>6</v>
      </c>
      <c r="R347" s="50">
        <v>6</v>
      </c>
      <c r="S347" s="46"/>
      <c r="T347" s="50"/>
      <c r="U347" s="46"/>
      <c r="V347" s="50"/>
      <c r="W347" s="46"/>
      <c r="X347" s="50"/>
      <c r="Y347" s="46"/>
      <c r="Z347" s="50"/>
      <c r="AA347" s="46"/>
      <c r="AB347" s="50"/>
      <c r="AC347" s="696">
        <f t="shared" si="33"/>
        <v>6</v>
      </c>
      <c r="AD347" s="50">
        <f t="shared" si="34"/>
        <v>6</v>
      </c>
      <c r="AE347" s="469">
        <f t="shared" si="35"/>
        <v>0</v>
      </c>
      <c r="AF347" s="489"/>
    </row>
    <row r="348" spans="1:32">
      <c r="A348" s="534">
        <v>350</v>
      </c>
      <c r="B348" s="495" t="s">
        <v>1246</v>
      </c>
      <c r="C348" s="499" t="s">
        <v>1285</v>
      </c>
      <c r="D348" s="590">
        <v>0</v>
      </c>
      <c r="E348" s="524"/>
      <c r="F348" s="504"/>
      <c r="G348" s="524"/>
      <c r="H348" s="504"/>
      <c r="I348" s="524"/>
      <c r="J348" s="504"/>
      <c r="K348" s="524"/>
      <c r="L348" s="504"/>
      <c r="M348" s="524"/>
      <c r="N348" s="505"/>
      <c r="O348" s="524"/>
      <c r="P348" s="505"/>
      <c r="Q348" s="46">
        <v>2</v>
      </c>
      <c r="R348" s="50">
        <v>2</v>
      </c>
      <c r="S348" s="46"/>
      <c r="T348" s="50"/>
      <c r="U348" s="46"/>
      <c r="V348" s="50"/>
      <c r="W348" s="46"/>
      <c r="X348" s="50"/>
      <c r="Y348" s="46"/>
      <c r="Z348" s="50"/>
      <c r="AA348" s="46"/>
      <c r="AB348" s="50"/>
      <c r="AC348" s="696">
        <f t="shared" si="33"/>
        <v>2</v>
      </c>
      <c r="AD348" s="50">
        <f t="shared" si="34"/>
        <v>2</v>
      </c>
      <c r="AE348" s="469">
        <f t="shared" si="35"/>
        <v>0</v>
      </c>
      <c r="AF348" s="489"/>
    </row>
    <row r="349" spans="1:32">
      <c r="A349" s="533">
        <v>351</v>
      </c>
      <c r="B349" s="495" t="s">
        <v>896</v>
      </c>
      <c r="C349" s="499" t="s">
        <v>903</v>
      </c>
      <c r="D349" s="590">
        <v>0</v>
      </c>
      <c r="E349" s="524"/>
      <c r="F349" s="504"/>
      <c r="G349" s="524"/>
      <c r="H349" s="504"/>
      <c r="I349" s="524"/>
      <c r="J349" s="504"/>
      <c r="K349" s="524"/>
      <c r="L349" s="504"/>
      <c r="M349" s="524"/>
      <c r="N349" s="505"/>
      <c r="O349" s="524"/>
      <c r="P349" s="505"/>
      <c r="Q349" s="46">
        <v>1</v>
      </c>
      <c r="R349" s="50">
        <f>1</f>
        <v>1</v>
      </c>
      <c r="S349" s="46"/>
      <c r="T349" s="50"/>
      <c r="U349" s="46"/>
      <c r="V349" s="50"/>
      <c r="W349" s="46"/>
      <c r="X349" s="50"/>
      <c r="Y349" s="46"/>
      <c r="Z349" s="50"/>
      <c r="AA349" s="46"/>
      <c r="AB349" s="50"/>
      <c r="AC349" s="696">
        <f t="shared" si="33"/>
        <v>1</v>
      </c>
      <c r="AD349" s="50">
        <f t="shared" si="34"/>
        <v>1</v>
      </c>
      <c r="AE349" s="469">
        <f t="shared" si="35"/>
        <v>0</v>
      </c>
      <c r="AF349" s="489"/>
    </row>
    <row r="350" spans="1:32">
      <c r="A350" s="534">
        <v>352</v>
      </c>
      <c r="B350" s="495" t="s">
        <v>1340</v>
      </c>
      <c r="C350" s="499" t="s">
        <v>1339</v>
      </c>
      <c r="D350" s="590">
        <v>0</v>
      </c>
      <c r="E350" s="524"/>
      <c r="F350" s="504"/>
      <c r="G350" s="524"/>
      <c r="H350" s="504"/>
      <c r="I350" s="524"/>
      <c r="J350" s="504"/>
      <c r="K350" s="524"/>
      <c r="L350" s="504"/>
      <c r="M350" s="524"/>
      <c r="N350" s="505"/>
      <c r="O350" s="524"/>
      <c r="P350" s="505"/>
      <c r="Q350" s="46"/>
      <c r="R350" s="50"/>
      <c r="S350" s="46">
        <v>4</v>
      </c>
      <c r="T350" s="50">
        <v>4</v>
      </c>
      <c r="U350" s="46">
        <f>4</f>
        <v>4</v>
      </c>
      <c r="V350" s="50"/>
      <c r="W350" s="46"/>
      <c r="X350" s="50">
        <f>4</f>
        <v>4</v>
      </c>
      <c r="Y350" s="46"/>
      <c r="Z350" s="50"/>
      <c r="AA350" s="46"/>
      <c r="AB350" s="50"/>
      <c r="AC350" s="696">
        <f t="shared" si="33"/>
        <v>8</v>
      </c>
      <c r="AD350" s="50">
        <f t="shared" si="34"/>
        <v>8</v>
      </c>
      <c r="AE350" s="469">
        <f t="shared" si="35"/>
        <v>0</v>
      </c>
      <c r="AF350" s="489"/>
    </row>
    <row r="351" spans="1:32">
      <c r="A351" s="533">
        <v>353</v>
      </c>
      <c r="B351" s="495" t="s">
        <v>1343</v>
      </c>
      <c r="C351" s="499" t="s">
        <v>1342</v>
      </c>
      <c r="D351" s="590">
        <v>0</v>
      </c>
      <c r="E351" s="524"/>
      <c r="F351" s="504"/>
      <c r="G351" s="524"/>
      <c r="H351" s="504"/>
      <c r="I351" s="524"/>
      <c r="J351" s="504"/>
      <c r="K351" s="524"/>
      <c r="L351" s="504"/>
      <c r="M351" s="524"/>
      <c r="N351" s="505"/>
      <c r="O351" s="524"/>
      <c r="P351" s="505"/>
      <c r="Q351" s="46"/>
      <c r="R351" s="50"/>
      <c r="S351" s="46">
        <v>4</v>
      </c>
      <c r="T351" s="50">
        <v>4</v>
      </c>
      <c r="U351" s="46"/>
      <c r="V351" s="50"/>
      <c r="W351" s="46"/>
      <c r="X351" s="50"/>
      <c r="Y351" s="46"/>
      <c r="Z351" s="50"/>
      <c r="AA351" s="46"/>
      <c r="AB351" s="50"/>
      <c r="AC351" s="696">
        <f t="shared" ref="AC351:AC356" si="36">SUM(D351,E351,G351,I351,K351,M351,O351,Q351,S351,U351,W351,Y351,AA351)</f>
        <v>4</v>
      </c>
      <c r="AD351" s="50">
        <f t="shared" ref="AD351:AD356" si="37">SUM(F351,H351,J351,L351,N351,P351,R351,T351,V351,X351,Z351,AB351)</f>
        <v>4</v>
      </c>
      <c r="AE351" s="469">
        <f t="shared" ref="AE351:AE356" si="38">SUM(AC351-AD351)</f>
        <v>0</v>
      </c>
      <c r="AF351" s="489"/>
    </row>
    <row r="352" spans="1:32">
      <c r="A352" s="534">
        <v>354</v>
      </c>
      <c r="B352" s="495" t="s">
        <v>1345</v>
      </c>
      <c r="C352" s="499" t="s">
        <v>1344</v>
      </c>
      <c r="D352" s="590">
        <v>0</v>
      </c>
      <c r="E352" s="524"/>
      <c r="F352" s="504"/>
      <c r="G352" s="524"/>
      <c r="H352" s="504"/>
      <c r="I352" s="524"/>
      <c r="J352" s="504"/>
      <c r="K352" s="524"/>
      <c r="L352" s="504"/>
      <c r="M352" s="524"/>
      <c r="N352" s="505"/>
      <c r="O352" s="524"/>
      <c r="P352" s="505"/>
      <c r="Q352" s="46"/>
      <c r="R352" s="50"/>
      <c r="S352" s="46">
        <v>1</v>
      </c>
      <c r="T352" s="50">
        <f>1</f>
        <v>1</v>
      </c>
      <c r="U352" s="46"/>
      <c r="V352" s="50"/>
      <c r="W352" s="46"/>
      <c r="X352" s="50"/>
      <c r="Y352" s="46"/>
      <c r="Z352" s="50"/>
      <c r="AA352" s="46">
        <f>1</f>
        <v>1</v>
      </c>
      <c r="AB352" s="50">
        <f>1</f>
        <v>1</v>
      </c>
      <c r="AC352" s="696">
        <f t="shared" si="36"/>
        <v>2</v>
      </c>
      <c r="AD352" s="50">
        <f t="shared" si="37"/>
        <v>2</v>
      </c>
      <c r="AE352" s="469">
        <f t="shared" si="38"/>
        <v>0</v>
      </c>
      <c r="AF352" s="489"/>
    </row>
    <row r="353" spans="1:32">
      <c r="A353" s="533">
        <v>355</v>
      </c>
      <c r="B353" s="495" t="s">
        <v>1347</v>
      </c>
      <c r="C353" s="499" t="s">
        <v>1346</v>
      </c>
      <c r="D353" s="590">
        <v>0</v>
      </c>
      <c r="E353" s="524"/>
      <c r="F353" s="504"/>
      <c r="G353" s="524"/>
      <c r="H353" s="504"/>
      <c r="I353" s="524"/>
      <c r="J353" s="504"/>
      <c r="K353" s="524"/>
      <c r="L353" s="504"/>
      <c r="M353" s="524"/>
      <c r="N353" s="505"/>
      <c r="O353" s="524"/>
      <c r="P353" s="505"/>
      <c r="Q353" s="46"/>
      <c r="R353" s="50"/>
      <c r="S353" s="46">
        <v>1</v>
      </c>
      <c r="T353" s="50">
        <v>1</v>
      </c>
      <c r="U353" s="46"/>
      <c r="V353" s="50"/>
      <c r="W353" s="46"/>
      <c r="X353" s="50"/>
      <c r="Y353" s="46"/>
      <c r="Z353" s="50"/>
      <c r="AA353" s="46"/>
      <c r="AB353" s="50"/>
      <c r="AC353" s="696">
        <f t="shared" si="36"/>
        <v>1</v>
      </c>
      <c r="AD353" s="50">
        <f t="shared" si="37"/>
        <v>1</v>
      </c>
      <c r="AE353" s="469">
        <f t="shared" si="38"/>
        <v>0</v>
      </c>
      <c r="AF353" s="489"/>
    </row>
    <row r="354" spans="1:32">
      <c r="A354" s="534">
        <v>356</v>
      </c>
      <c r="B354" s="495" t="s">
        <v>1349</v>
      </c>
      <c r="C354" s="499" t="s">
        <v>1348</v>
      </c>
      <c r="D354" s="590">
        <v>0</v>
      </c>
      <c r="E354" s="524"/>
      <c r="F354" s="504"/>
      <c r="G354" s="524"/>
      <c r="H354" s="504"/>
      <c r="I354" s="524"/>
      <c r="J354" s="504"/>
      <c r="K354" s="524"/>
      <c r="L354" s="504"/>
      <c r="M354" s="524"/>
      <c r="N354" s="505"/>
      <c r="O354" s="524"/>
      <c r="P354" s="505"/>
      <c r="Q354" s="46"/>
      <c r="R354" s="50"/>
      <c r="S354" s="46">
        <v>4</v>
      </c>
      <c r="T354" s="50">
        <v>4</v>
      </c>
      <c r="U354" s="46"/>
      <c r="V354" s="50"/>
      <c r="W354" s="46"/>
      <c r="X354" s="50"/>
      <c r="Y354" s="46"/>
      <c r="Z354" s="50"/>
      <c r="AA354" s="46"/>
      <c r="AB354" s="50"/>
      <c r="AC354" s="696">
        <f t="shared" si="36"/>
        <v>4</v>
      </c>
      <c r="AD354" s="50">
        <f t="shared" si="37"/>
        <v>4</v>
      </c>
      <c r="AE354" s="469">
        <f t="shared" si="38"/>
        <v>0</v>
      </c>
      <c r="AF354" s="489"/>
    </row>
    <row r="355" spans="1:32">
      <c r="A355" s="533">
        <v>357</v>
      </c>
      <c r="B355" s="495" t="s">
        <v>1351</v>
      </c>
      <c r="C355" s="499" t="s">
        <v>1350</v>
      </c>
      <c r="D355" s="590">
        <v>0</v>
      </c>
      <c r="E355" s="524"/>
      <c r="F355" s="504"/>
      <c r="G355" s="524"/>
      <c r="H355" s="504"/>
      <c r="I355" s="524"/>
      <c r="J355" s="504"/>
      <c r="K355" s="524"/>
      <c r="L355" s="504"/>
      <c r="M355" s="524"/>
      <c r="N355" s="505"/>
      <c r="O355" s="524"/>
      <c r="P355" s="505"/>
      <c r="Q355" s="46"/>
      <c r="R355" s="50"/>
      <c r="S355" s="46">
        <v>4</v>
      </c>
      <c r="T355" s="50">
        <v>4</v>
      </c>
      <c r="U355" s="46"/>
      <c r="V355" s="50"/>
      <c r="W355" s="46"/>
      <c r="X355" s="50"/>
      <c r="Y355" s="46"/>
      <c r="Z355" s="50"/>
      <c r="AA355" s="46"/>
      <c r="AB355" s="50"/>
      <c r="AC355" s="696">
        <f t="shared" si="36"/>
        <v>4</v>
      </c>
      <c r="AD355" s="50">
        <f t="shared" si="37"/>
        <v>4</v>
      </c>
      <c r="AE355" s="469">
        <f t="shared" si="38"/>
        <v>0</v>
      </c>
      <c r="AF355" s="489"/>
    </row>
    <row r="356" spans="1:32">
      <c r="A356" s="534">
        <v>358</v>
      </c>
      <c r="B356" s="495" t="s">
        <v>1353</v>
      </c>
      <c r="C356" s="499" t="s">
        <v>1352</v>
      </c>
      <c r="D356" s="590">
        <v>0</v>
      </c>
      <c r="E356" s="524"/>
      <c r="F356" s="504"/>
      <c r="G356" s="524"/>
      <c r="H356" s="504"/>
      <c r="I356" s="524"/>
      <c r="J356" s="504"/>
      <c r="K356" s="524"/>
      <c r="L356" s="504"/>
      <c r="M356" s="524"/>
      <c r="N356" s="505"/>
      <c r="O356" s="524"/>
      <c r="P356" s="505"/>
      <c r="Q356" s="46"/>
      <c r="R356" s="50"/>
      <c r="S356" s="46">
        <v>4</v>
      </c>
      <c r="T356" s="50">
        <v>4</v>
      </c>
      <c r="U356" s="46"/>
      <c r="V356" s="50"/>
      <c r="W356" s="46"/>
      <c r="X356" s="50"/>
      <c r="Y356" s="46"/>
      <c r="Z356" s="50"/>
      <c r="AA356" s="46"/>
      <c r="AB356" s="50"/>
      <c r="AC356" s="696">
        <f t="shared" si="36"/>
        <v>4</v>
      </c>
      <c r="AD356" s="50">
        <f t="shared" si="37"/>
        <v>4</v>
      </c>
      <c r="AE356" s="469">
        <f t="shared" si="38"/>
        <v>0</v>
      </c>
      <c r="AF356" s="489"/>
    </row>
    <row r="357" spans="1:32">
      <c r="A357" s="533">
        <v>359</v>
      </c>
      <c r="B357" s="495" t="s">
        <v>1355</v>
      </c>
      <c r="C357" s="499" t="s">
        <v>1354</v>
      </c>
      <c r="D357" s="590">
        <v>0</v>
      </c>
      <c r="E357" s="524"/>
      <c r="F357" s="504"/>
      <c r="G357" s="524"/>
      <c r="H357" s="504"/>
      <c r="I357" s="524"/>
      <c r="J357" s="504"/>
      <c r="K357" s="524"/>
      <c r="L357" s="504"/>
      <c r="M357" s="524"/>
      <c r="N357" s="505"/>
      <c r="O357" s="524"/>
      <c r="P357" s="505"/>
      <c r="Q357" s="46"/>
      <c r="R357" s="50"/>
      <c r="S357" s="46">
        <v>4</v>
      </c>
      <c r="T357" s="50">
        <v>4</v>
      </c>
      <c r="U357" s="46"/>
      <c r="V357" s="50"/>
      <c r="W357" s="46"/>
      <c r="X357" s="50"/>
      <c r="Y357" s="46"/>
      <c r="Z357" s="50"/>
      <c r="AA357" s="46"/>
      <c r="AB357" s="50"/>
      <c r="AC357" s="696">
        <f>SUM(D357,E357,G357,I357,K357,M357,O357,Q357,S357,U357,W357,Y357,AA357)</f>
        <v>4</v>
      </c>
      <c r="AD357" s="50">
        <f>SUM(F357,H357,J357,L357,N357,P357,R357,T357,V357,X357,Z357,AB357)</f>
        <v>4</v>
      </c>
      <c r="AE357" s="469">
        <f>SUM(AC357-AD357)</f>
        <v>0</v>
      </c>
      <c r="AF357" s="489"/>
    </row>
    <row r="358" spans="1:32">
      <c r="A358" s="534">
        <v>360</v>
      </c>
      <c r="B358" s="495" t="s">
        <v>1357</v>
      </c>
      <c r="C358" s="499" t="s">
        <v>1356</v>
      </c>
      <c r="D358" s="590">
        <v>0</v>
      </c>
      <c r="E358" s="524"/>
      <c r="F358" s="504"/>
      <c r="G358" s="524"/>
      <c r="H358" s="504"/>
      <c r="I358" s="524"/>
      <c r="J358" s="504"/>
      <c r="K358" s="524"/>
      <c r="L358" s="504"/>
      <c r="M358" s="524"/>
      <c r="N358" s="505"/>
      <c r="O358" s="524"/>
      <c r="P358" s="505"/>
      <c r="Q358" s="46"/>
      <c r="R358" s="50"/>
      <c r="S358" s="46">
        <v>4</v>
      </c>
      <c r="T358" s="50">
        <v>4</v>
      </c>
      <c r="U358" s="46"/>
      <c r="V358" s="50"/>
      <c r="W358" s="46"/>
      <c r="X358" s="50"/>
      <c r="Y358" s="46"/>
      <c r="Z358" s="50"/>
      <c r="AA358" s="46"/>
      <c r="AB358" s="50"/>
      <c r="AC358" s="696">
        <f>SUM(D358,E358,G358,I358,K358,M358,O358,Q358,S358,U358,W358,Y358,AA358)</f>
        <v>4</v>
      </c>
      <c r="AD358" s="50">
        <f>SUM(F358,H358,J358,L358,N358,P358,R358,T358,V358,X358,Z358,AB358)</f>
        <v>4</v>
      </c>
      <c r="AE358" s="469">
        <f>SUM(AC358-AD358)</f>
        <v>0</v>
      </c>
      <c r="AF358" s="489"/>
    </row>
    <row r="359" spans="1:32">
      <c r="A359" s="533">
        <v>361</v>
      </c>
      <c r="B359" s="495" t="s">
        <v>1360</v>
      </c>
      <c r="C359" s="499" t="s">
        <v>1342</v>
      </c>
      <c r="D359" s="590">
        <v>0</v>
      </c>
      <c r="E359" s="524"/>
      <c r="F359" s="504"/>
      <c r="G359" s="524"/>
      <c r="H359" s="504"/>
      <c r="I359" s="524"/>
      <c r="J359" s="504"/>
      <c r="K359" s="524"/>
      <c r="L359" s="504"/>
      <c r="M359" s="524"/>
      <c r="N359" s="505"/>
      <c r="O359" s="524"/>
      <c r="P359" s="505"/>
      <c r="Q359" s="46"/>
      <c r="R359" s="50"/>
      <c r="S359" s="46">
        <v>2</v>
      </c>
      <c r="T359" s="50">
        <v>2</v>
      </c>
      <c r="U359" s="46"/>
      <c r="V359" s="50"/>
      <c r="W359" s="46"/>
      <c r="X359" s="50"/>
      <c r="Y359" s="46"/>
      <c r="Z359" s="50"/>
      <c r="AA359" s="46"/>
      <c r="AB359" s="50"/>
      <c r="AC359" s="696">
        <f>SUM(D359,E359,G359,I359,K359,M359,O359,Q359,S359,U359,W359,Y359,AA359)</f>
        <v>2</v>
      </c>
      <c r="AD359" s="50">
        <f>SUM(F359,H359,J359,L359,N359,P359,R359,T359,V359,X359,Z359,AB359)</f>
        <v>2</v>
      </c>
      <c r="AE359" s="469">
        <f>SUM(AC359-AD359)</f>
        <v>0</v>
      </c>
      <c r="AF359" s="489"/>
    </row>
    <row r="360" spans="1:32">
      <c r="A360" s="534">
        <v>362</v>
      </c>
      <c r="B360" s="495" t="s">
        <v>1363</v>
      </c>
      <c r="C360" s="499" t="s">
        <v>1376</v>
      </c>
      <c r="D360" s="590">
        <v>0</v>
      </c>
      <c r="E360" s="524"/>
      <c r="F360" s="504"/>
      <c r="G360" s="524"/>
      <c r="H360" s="504"/>
      <c r="I360" s="524"/>
      <c r="J360" s="504"/>
      <c r="K360" s="524"/>
      <c r="L360" s="504"/>
      <c r="M360" s="524"/>
      <c r="N360" s="505"/>
      <c r="O360" s="524"/>
      <c r="P360" s="505"/>
      <c r="Q360" s="46"/>
      <c r="R360" s="50"/>
      <c r="S360" s="46">
        <v>1</v>
      </c>
      <c r="T360" s="50">
        <f>1</f>
        <v>1</v>
      </c>
      <c r="U360" s="46"/>
      <c r="V360" s="50"/>
      <c r="W360" s="46"/>
      <c r="X360" s="50"/>
      <c r="Y360" s="46"/>
      <c r="Z360" s="50"/>
      <c r="AA360" s="46"/>
      <c r="AB360" s="50"/>
      <c r="AC360" s="696">
        <f t="shared" ref="AC360:AC381" si="39">SUM(D360,E360,G360,I360,K360,M360,O360,Q360,S360,U360,W360,Y360,AA360)</f>
        <v>1</v>
      </c>
      <c r="AD360" s="50">
        <f t="shared" ref="AD360:AD381" si="40">SUM(F360,H360,J360,L360,N360,P360,R360,T360,V360,X360,Z360,AB360)</f>
        <v>1</v>
      </c>
      <c r="AE360" s="469">
        <f t="shared" ref="AE360:AE381" si="41">SUM(AC360-AD360)</f>
        <v>0</v>
      </c>
      <c r="AF360" s="489"/>
    </row>
    <row r="361" spans="1:32">
      <c r="A361" s="533">
        <v>363</v>
      </c>
      <c r="B361" s="495" t="s">
        <v>1364</v>
      </c>
      <c r="C361" s="499" t="s">
        <v>1377</v>
      </c>
      <c r="D361" s="590">
        <v>0</v>
      </c>
      <c r="E361" s="524"/>
      <c r="F361" s="504"/>
      <c r="G361" s="524"/>
      <c r="H361" s="504"/>
      <c r="I361" s="524"/>
      <c r="J361" s="504"/>
      <c r="K361" s="524"/>
      <c r="L361" s="504"/>
      <c r="M361" s="524"/>
      <c r="N361" s="505"/>
      <c r="O361" s="524"/>
      <c r="P361" s="505"/>
      <c r="Q361" s="46"/>
      <c r="R361" s="50"/>
      <c r="S361" s="46">
        <v>1</v>
      </c>
      <c r="T361" s="50">
        <f>1</f>
        <v>1</v>
      </c>
      <c r="U361" s="46"/>
      <c r="V361" s="50"/>
      <c r="W361" s="46"/>
      <c r="X361" s="50"/>
      <c r="Y361" s="46"/>
      <c r="Z361" s="50"/>
      <c r="AA361" s="46"/>
      <c r="AB361" s="50"/>
      <c r="AC361" s="696">
        <f t="shared" si="39"/>
        <v>1</v>
      </c>
      <c r="AD361" s="50">
        <f t="shared" si="40"/>
        <v>1</v>
      </c>
      <c r="AE361" s="469">
        <f t="shared" si="41"/>
        <v>0</v>
      </c>
      <c r="AF361" s="489"/>
    </row>
    <row r="362" spans="1:32">
      <c r="A362" s="534">
        <v>364</v>
      </c>
      <c r="B362" s="495" t="s">
        <v>1365</v>
      </c>
      <c r="C362" s="499" t="s">
        <v>1378</v>
      </c>
      <c r="D362" s="590">
        <v>0</v>
      </c>
      <c r="E362" s="524"/>
      <c r="F362" s="504"/>
      <c r="G362" s="524"/>
      <c r="H362" s="504"/>
      <c r="I362" s="524"/>
      <c r="J362" s="504"/>
      <c r="K362" s="524"/>
      <c r="L362" s="504"/>
      <c r="M362" s="524"/>
      <c r="N362" s="505"/>
      <c r="O362" s="524"/>
      <c r="P362" s="505"/>
      <c r="Q362" s="46"/>
      <c r="R362" s="50"/>
      <c r="S362" s="46">
        <v>1</v>
      </c>
      <c r="T362" s="50">
        <f>1</f>
        <v>1</v>
      </c>
      <c r="U362" s="46"/>
      <c r="V362" s="50"/>
      <c r="W362" s="46"/>
      <c r="X362" s="50"/>
      <c r="Y362" s="46"/>
      <c r="Z362" s="50"/>
      <c r="AA362" s="46"/>
      <c r="AB362" s="50"/>
      <c r="AC362" s="696">
        <f t="shared" si="39"/>
        <v>1</v>
      </c>
      <c r="AD362" s="50">
        <f t="shared" si="40"/>
        <v>1</v>
      </c>
      <c r="AE362" s="469">
        <f t="shared" si="41"/>
        <v>0</v>
      </c>
      <c r="AF362" s="489"/>
    </row>
    <row r="363" spans="1:32">
      <c r="A363" s="533">
        <v>365</v>
      </c>
      <c r="B363" s="495" t="s">
        <v>1366</v>
      </c>
      <c r="C363" s="499" t="s">
        <v>1379</v>
      </c>
      <c r="D363" s="590">
        <v>0</v>
      </c>
      <c r="E363" s="524"/>
      <c r="F363" s="504"/>
      <c r="G363" s="524"/>
      <c r="H363" s="504"/>
      <c r="I363" s="524"/>
      <c r="J363" s="504"/>
      <c r="K363" s="524"/>
      <c r="L363" s="504"/>
      <c r="M363" s="524"/>
      <c r="N363" s="505"/>
      <c r="O363" s="524"/>
      <c r="P363" s="505"/>
      <c r="Q363" s="46"/>
      <c r="R363" s="50"/>
      <c r="S363" s="46">
        <v>2</v>
      </c>
      <c r="T363" s="50">
        <f>2</f>
        <v>2</v>
      </c>
      <c r="U363" s="46"/>
      <c r="V363" s="50"/>
      <c r="W363" s="46"/>
      <c r="X363" s="50"/>
      <c r="Y363" s="46"/>
      <c r="Z363" s="50"/>
      <c r="AA363" s="46"/>
      <c r="AB363" s="50"/>
      <c r="AC363" s="696">
        <f t="shared" si="39"/>
        <v>2</v>
      </c>
      <c r="AD363" s="50">
        <f t="shared" si="40"/>
        <v>2</v>
      </c>
      <c r="AE363" s="469">
        <f t="shared" si="41"/>
        <v>0</v>
      </c>
      <c r="AF363" s="489"/>
    </row>
    <row r="364" spans="1:32">
      <c r="A364" s="534">
        <v>366</v>
      </c>
      <c r="B364" s="495" t="s">
        <v>136</v>
      </c>
      <c r="C364" s="499" t="s">
        <v>1380</v>
      </c>
      <c r="D364" s="590">
        <v>0</v>
      </c>
      <c r="E364" s="524"/>
      <c r="F364" s="504"/>
      <c r="G364" s="524"/>
      <c r="H364" s="504"/>
      <c r="I364" s="524"/>
      <c r="J364" s="504"/>
      <c r="K364" s="524"/>
      <c r="L364" s="504"/>
      <c r="M364" s="524"/>
      <c r="N364" s="505"/>
      <c r="O364" s="524"/>
      <c r="P364" s="505"/>
      <c r="Q364" s="46"/>
      <c r="R364" s="50"/>
      <c r="S364" s="46">
        <v>2</v>
      </c>
      <c r="T364" s="50"/>
      <c r="U364" s="46">
        <v>1</v>
      </c>
      <c r="V364" s="50"/>
      <c r="W364" s="46"/>
      <c r="X364" s="50">
        <f>2+1</f>
        <v>3</v>
      </c>
      <c r="Y364" s="46"/>
      <c r="Z364" s="50"/>
      <c r="AA364" s="46"/>
      <c r="AB364" s="50"/>
      <c r="AC364" s="696">
        <f t="shared" si="39"/>
        <v>3</v>
      </c>
      <c r="AD364" s="50">
        <f t="shared" si="40"/>
        <v>3</v>
      </c>
      <c r="AE364" s="469">
        <f t="shared" si="41"/>
        <v>0</v>
      </c>
      <c r="AF364" s="489"/>
    </row>
    <row r="365" spans="1:32">
      <c r="A365" s="533">
        <v>367</v>
      </c>
      <c r="B365" s="495" t="s">
        <v>1367</v>
      </c>
      <c r="C365" s="499" t="s">
        <v>1381</v>
      </c>
      <c r="D365" s="590">
        <v>0</v>
      </c>
      <c r="E365" s="524"/>
      <c r="F365" s="504"/>
      <c r="G365" s="524"/>
      <c r="H365" s="504"/>
      <c r="I365" s="524"/>
      <c r="J365" s="504"/>
      <c r="K365" s="524"/>
      <c r="L365" s="504"/>
      <c r="M365" s="524"/>
      <c r="N365" s="505"/>
      <c r="O365" s="524"/>
      <c r="P365" s="505"/>
      <c r="Q365" s="46"/>
      <c r="R365" s="50"/>
      <c r="S365" s="46">
        <v>4</v>
      </c>
      <c r="T365" s="50">
        <f>4</f>
        <v>4</v>
      </c>
      <c r="U365" s="46"/>
      <c r="V365" s="50"/>
      <c r="W365" s="46"/>
      <c r="X365" s="50"/>
      <c r="Y365" s="46"/>
      <c r="Z365" s="50"/>
      <c r="AA365" s="46"/>
      <c r="AB365" s="50"/>
      <c r="AC365" s="696">
        <f t="shared" si="39"/>
        <v>4</v>
      </c>
      <c r="AD365" s="50">
        <f t="shared" si="40"/>
        <v>4</v>
      </c>
      <c r="AE365" s="469">
        <f t="shared" si="41"/>
        <v>0</v>
      </c>
      <c r="AF365" s="489"/>
    </row>
    <row r="366" spans="1:32">
      <c r="A366" s="534">
        <v>368</v>
      </c>
      <c r="B366" s="495" t="s">
        <v>1368</v>
      </c>
      <c r="C366" s="499" t="s">
        <v>1382</v>
      </c>
      <c r="D366" s="590">
        <v>0</v>
      </c>
      <c r="E366" s="524"/>
      <c r="F366" s="504"/>
      <c r="G366" s="524"/>
      <c r="H366" s="504"/>
      <c r="I366" s="524"/>
      <c r="J366" s="504"/>
      <c r="K366" s="524"/>
      <c r="L366" s="504"/>
      <c r="M366" s="524"/>
      <c r="N366" s="505"/>
      <c r="O366" s="524"/>
      <c r="P366" s="505"/>
      <c r="Q366" s="46"/>
      <c r="R366" s="50"/>
      <c r="S366" s="46">
        <v>6</v>
      </c>
      <c r="T366" s="50">
        <f>6</f>
        <v>6</v>
      </c>
      <c r="U366" s="46"/>
      <c r="V366" s="50"/>
      <c r="W366" s="46"/>
      <c r="X366" s="50"/>
      <c r="Y366" s="46"/>
      <c r="Z366" s="50"/>
      <c r="AA366" s="46"/>
      <c r="AB366" s="50"/>
      <c r="AC366" s="696">
        <f t="shared" si="39"/>
        <v>6</v>
      </c>
      <c r="AD366" s="50">
        <f t="shared" si="40"/>
        <v>6</v>
      </c>
      <c r="AE366" s="469">
        <f t="shared" si="41"/>
        <v>0</v>
      </c>
      <c r="AF366" s="489"/>
    </row>
    <row r="367" spans="1:32">
      <c r="A367" s="533">
        <v>369</v>
      </c>
      <c r="B367" s="495" t="s">
        <v>1369</v>
      </c>
      <c r="C367" s="499" t="s">
        <v>1383</v>
      </c>
      <c r="D367" s="590">
        <v>0</v>
      </c>
      <c r="E367" s="524"/>
      <c r="F367" s="504"/>
      <c r="G367" s="524"/>
      <c r="H367" s="504"/>
      <c r="I367" s="524"/>
      <c r="J367" s="504"/>
      <c r="K367" s="524"/>
      <c r="L367" s="504"/>
      <c r="M367" s="524"/>
      <c r="N367" s="505"/>
      <c r="O367" s="524"/>
      <c r="P367" s="505"/>
      <c r="Q367" s="46"/>
      <c r="R367" s="50"/>
      <c r="S367" s="46">
        <v>2</v>
      </c>
      <c r="T367" s="50">
        <f>2</f>
        <v>2</v>
      </c>
      <c r="U367" s="46"/>
      <c r="V367" s="50"/>
      <c r="W367" s="46"/>
      <c r="X367" s="50"/>
      <c r="Y367" s="46"/>
      <c r="Z367" s="50"/>
      <c r="AA367" s="46"/>
      <c r="AB367" s="50"/>
      <c r="AC367" s="696">
        <f t="shared" si="39"/>
        <v>2</v>
      </c>
      <c r="AD367" s="50">
        <f t="shared" si="40"/>
        <v>2</v>
      </c>
      <c r="AE367" s="469">
        <f t="shared" si="41"/>
        <v>0</v>
      </c>
      <c r="AF367" s="489"/>
    </row>
    <row r="368" spans="1:32">
      <c r="A368" s="534">
        <v>370</v>
      </c>
      <c r="B368" s="495" t="s">
        <v>1370</v>
      </c>
      <c r="C368" s="499" t="s">
        <v>1384</v>
      </c>
      <c r="D368" s="590">
        <v>0</v>
      </c>
      <c r="E368" s="524"/>
      <c r="F368" s="504"/>
      <c r="G368" s="524"/>
      <c r="H368" s="504"/>
      <c r="I368" s="524"/>
      <c r="J368" s="504"/>
      <c r="K368" s="524"/>
      <c r="L368" s="504"/>
      <c r="M368" s="524"/>
      <c r="N368" s="505"/>
      <c r="O368" s="524"/>
      <c r="P368" s="505"/>
      <c r="Q368" s="46"/>
      <c r="R368" s="50"/>
      <c r="S368" s="46">
        <v>2</v>
      </c>
      <c r="T368" s="50">
        <f>2</f>
        <v>2</v>
      </c>
      <c r="U368" s="46"/>
      <c r="V368" s="50"/>
      <c r="W368" s="46"/>
      <c r="X368" s="50"/>
      <c r="Y368" s="46"/>
      <c r="Z368" s="50"/>
      <c r="AA368" s="46"/>
      <c r="AB368" s="50"/>
      <c r="AC368" s="696">
        <f t="shared" si="39"/>
        <v>2</v>
      </c>
      <c r="AD368" s="50">
        <f t="shared" si="40"/>
        <v>2</v>
      </c>
      <c r="AE368" s="469">
        <f t="shared" si="41"/>
        <v>0</v>
      </c>
      <c r="AF368" s="489"/>
    </row>
    <row r="369" spans="1:32">
      <c r="A369" s="533">
        <v>371</v>
      </c>
      <c r="B369" s="495" t="s">
        <v>1371</v>
      </c>
      <c r="C369" s="499" t="s">
        <v>1385</v>
      </c>
      <c r="D369" s="590">
        <v>0</v>
      </c>
      <c r="E369" s="524"/>
      <c r="F369" s="504"/>
      <c r="G369" s="524"/>
      <c r="H369" s="504"/>
      <c r="I369" s="524"/>
      <c r="J369" s="504"/>
      <c r="K369" s="524"/>
      <c r="L369" s="504"/>
      <c r="M369" s="524"/>
      <c r="N369" s="505"/>
      <c r="O369" s="524"/>
      <c r="P369" s="505"/>
      <c r="Q369" s="46"/>
      <c r="R369" s="50"/>
      <c r="S369" s="46">
        <v>1</v>
      </c>
      <c r="T369" s="50">
        <f>1</f>
        <v>1</v>
      </c>
      <c r="U369" s="46"/>
      <c r="V369" s="50"/>
      <c r="W369" s="46"/>
      <c r="X369" s="50"/>
      <c r="Y369" s="46"/>
      <c r="Z369" s="50"/>
      <c r="AA369" s="46"/>
      <c r="AB369" s="50"/>
      <c r="AC369" s="696">
        <f t="shared" si="39"/>
        <v>1</v>
      </c>
      <c r="AD369" s="50">
        <f t="shared" si="40"/>
        <v>1</v>
      </c>
      <c r="AE369" s="469">
        <f t="shared" si="41"/>
        <v>0</v>
      </c>
      <c r="AF369" s="489"/>
    </row>
    <row r="370" spans="1:32">
      <c r="A370" s="534">
        <v>372</v>
      </c>
      <c r="B370" s="495" t="s">
        <v>1372</v>
      </c>
      <c r="C370" s="499" t="s">
        <v>1386</v>
      </c>
      <c r="D370" s="590">
        <v>0</v>
      </c>
      <c r="E370" s="524"/>
      <c r="F370" s="504"/>
      <c r="G370" s="524"/>
      <c r="H370" s="504"/>
      <c r="I370" s="524"/>
      <c r="J370" s="504"/>
      <c r="K370" s="524"/>
      <c r="L370" s="504"/>
      <c r="M370" s="524"/>
      <c r="N370" s="505"/>
      <c r="O370" s="524"/>
      <c r="P370" s="505"/>
      <c r="Q370" s="46"/>
      <c r="R370" s="50"/>
      <c r="S370" s="46">
        <v>2</v>
      </c>
      <c r="T370" s="50">
        <f>2</f>
        <v>2</v>
      </c>
      <c r="U370" s="46"/>
      <c r="V370" s="50"/>
      <c r="W370" s="46"/>
      <c r="X370" s="50"/>
      <c r="Y370" s="46"/>
      <c r="Z370" s="50"/>
      <c r="AA370" s="46"/>
      <c r="AB370" s="50"/>
      <c r="AC370" s="696">
        <f t="shared" si="39"/>
        <v>2</v>
      </c>
      <c r="AD370" s="50">
        <f t="shared" si="40"/>
        <v>2</v>
      </c>
      <c r="AE370" s="469">
        <f t="shared" si="41"/>
        <v>0</v>
      </c>
      <c r="AF370" s="489"/>
    </row>
    <row r="371" spans="1:32">
      <c r="A371" s="533">
        <v>373</v>
      </c>
      <c r="B371" s="495" t="s">
        <v>1373</v>
      </c>
      <c r="C371" s="499" t="s">
        <v>1387</v>
      </c>
      <c r="D371" s="590">
        <v>0</v>
      </c>
      <c r="E371" s="524"/>
      <c r="F371" s="504"/>
      <c r="G371" s="524"/>
      <c r="H371" s="504"/>
      <c r="I371" s="524"/>
      <c r="J371" s="504"/>
      <c r="K371" s="524"/>
      <c r="L371" s="504"/>
      <c r="M371" s="524"/>
      <c r="N371" s="505"/>
      <c r="O371" s="524"/>
      <c r="P371" s="505"/>
      <c r="Q371" s="46"/>
      <c r="R371" s="50"/>
      <c r="S371" s="46">
        <v>1</v>
      </c>
      <c r="T371" s="50">
        <f>1</f>
        <v>1</v>
      </c>
      <c r="U371" s="46"/>
      <c r="V371" s="50"/>
      <c r="W371" s="46"/>
      <c r="X371" s="50"/>
      <c r="Y371" s="46"/>
      <c r="Z371" s="50"/>
      <c r="AA371" s="46"/>
      <c r="AB371" s="50"/>
      <c r="AC371" s="696">
        <f t="shared" si="39"/>
        <v>1</v>
      </c>
      <c r="AD371" s="50">
        <f t="shared" si="40"/>
        <v>1</v>
      </c>
      <c r="AE371" s="469">
        <f t="shared" si="41"/>
        <v>0</v>
      </c>
      <c r="AF371" s="489"/>
    </row>
    <row r="372" spans="1:32">
      <c r="A372" s="534">
        <v>374</v>
      </c>
      <c r="B372" s="495" t="s">
        <v>142</v>
      </c>
      <c r="C372" s="499" t="s">
        <v>1388</v>
      </c>
      <c r="D372" s="590">
        <v>0</v>
      </c>
      <c r="E372" s="524"/>
      <c r="F372" s="504"/>
      <c r="G372" s="524"/>
      <c r="H372" s="504"/>
      <c r="I372" s="524"/>
      <c r="J372" s="504"/>
      <c r="K372" s="524"/>
      <c r="L372" s="504"/>
      <c r="M372" s="524"/>
      <c r="N372" s="505"/>
      <c r="O372" s="524"/>
      <c r="P372" s="505"/>
      <c r="Q372" s="46"/>
      <c r="R372" s="50"/>
      <c r="S372" s="46">
        <v>1</v>
      </c>
      <c r="T372" s="50">
        <f>1</f>
        <v>1</v>
      </c>
      <c r="U372" s="46"/>
      <c r="V372" s="50"/>
      <c r="W372" s="46"/>
      <c r="X372" s="50"/>
      <c r="Y372" s="46"/>
      <c r="Z372" s="50"/>
      <c r="AA372" s="46"/>
      <c r="AB372" s="50"/>
      <c r="AC372" s="696">
        <f t="shared" si="39"/>
        <v>1</v>
      </c>
      <c r="AD372" s="50">
        <f t="shared" si="40"/>
        <v>1</v>
      </c>
      <c r="AE372" s="469">
        <f t="shared" si="41"/>
        <v>0</v>
      </c>
      <c r="AF372" s="489"/>
    </row>
    <row r="373" spans="1:32">
      <c r="A373" s="533">
        <v>375</v>
      </c>
      <c r="B373" s="495" t="s">
        <v>1374</v>
      </c>
      <c r="C373" s="499" t="s">
        <v>1389</v>
      </c>
      <c r="D373" s="590">
        <v>0</v>
      </c>
      <c r="E373" s="524"/>
      <c r="F373" s="504"/>
      <c r="G373" s="524"/>
      <c r="H373" s="504"/>
      <c r="I373" s="524"/>
      <c r="J373" s="504"/>
      <c r="K373" s="524"/>
      <c r="L373" s="504"/>
      <c r="M373" s="524"/>
      <c r="N373" s="505"/>
      <c r="O373" s="524"/>
      <c r="P373" s="505"/>
      <c r="Q373" s="46"/>
      <c r="R373" s="50"/>
      <c r="S373" s="46">
        <v>5</v>
      </c>
      <c r="T373" s="50">
        <f>5</f>
        <v>5</v>
      </c>
      <c r="U373" s="46"/>
      <c r="V373" s="50"/>
      <c r="W373" s="46"/>
      <c r="X373" s="50"/>
      <c r="Y373" s="46"/>
      <c r="Z373" s="50"/>
      <c r="AA373" s="46"/>
      <c r="AB373" s="50"/>
      <c r="AC373" s="696">
        <f t="shared" si="39"/>
        <v>5</v>
      </c>
      <c r="AD373" s="50">
        <f t="shared" si="40"/>
        <v>5</v>
      </c>
      <c r="AE373" s="469">
        <f t="shared" si="41"/>
        <v>0</v>
      </c>
      <c r="AF373" s="489"/>
    </row>
    <row r="374" spans="1:32">
      <c r="A374" s="534">
        <v>376</v>
      </c>
      <c r="B374" s="495" t="s">
        <v>893</v>
      </c>
      <c r="C374" s="499" t="s">
        <v>1390</v>
      </c>
      <c r="D374" s="590">
        <v>0</v>
      </c>
      <c r="E374" s="524"/>
      <c r="F374" s="504"/>
      <c r="G374" s="524"/>
      <c r="H374" s="504"/>
      <c r="I374" s="524"/>
      <c r="J374" s="504"/>
      <c r="K374" s="524"/>
      <c r="L374" s="504"/>
      <c r="M374" s="524"/>
      <c r="N374" s="505"/>
      <c r="O374" s="524"/>
      <c r="P374" s="505"/>
      <c r="Q374" s="46"/>
      <c r="R374" s="50"/>
      <c r="S374" s="46">
        <v>2</v>
      </c>
      <c r="T374" s="50">
        <f>2</f>
        <v>2</v>
      </c>
      <c r="U374" s="46"/>
      <c r="V374" s="50"/>
      <c r="W374" s="46"/>
      <c r="X374" s="50"/>
      <c r="Y374" s="46"/>
      <c r="Z374" s="50"/>
      <c r="AA374" s="46"/>
      <c r="AB374" s="50"/>
      <c r="AC374" s="696">
        <f t="shared" si="39"/>
        <v>2</v>
      </c>
      <c r="AD374" s="50">
        <f t="shared" si="40"/>
        <v>2</v>
      </c>
      <c r="AE374" s="469">
        <f t="shared" si="41"/>
        <v>0</v>
      </c>
      <c r="AF374" s="489"/>
    </row>
    <row r="375" spans="1:32">
      <c r="A375" s="533">
        <v>377</v>
      </c>
      <c r="B375" s="495" t="s">
        <v>140</v>
      </c>
      <c r="C375" s="499" t="s">
        <v>1391</v>
      </c>
      <c r="D375" s="590">
        <v>0</v>
      </c>
      <c r="E375" s="524"/>
      <c r="F375" s="504"/>
      <c r="G375" s="524"/>
      <c r="H375" s="504"/>
      <c r="I375" s="524"/>
      <c r="J375" s="504"/>
      <c r="K375" s="524"/>
      <c r="L375" s="504"/>
      <c r="M375" s="524"/>
      <c r="N375" s="505"/>
      <c r="O375" s="524"/>
      <c r="P375" s="505"/>
      <c r="Q375" s="46"/>
      <c r="R375" s="50"/>
      <c r="S375" s="46">
        <v>1</v>
      </c>
      <c r="T375" s="50">
        <f>1</f>
        <v>1</v>
      </c>
      <c r="U375" s="46"/>
      <c r="V375" s="50"/>
      <c r="W375" s="46"/>
      <c r="X375" s="50"/>
      <c r="Y375" s="46"/>
      <c r="Z375" s="50"/>
      <c r="AA375" s="46"/>
      <c r="AB375" s="50"/>
      <c r="AC375" s="696">
        <f t="shared" si="39"/>
        <v>1</v>
      </c>
      <c r="AD375" s="50">
        <f t="shared" si="40"/>
        <v>1</v>
      </c>
      <c r="AE375" s="469">
        <f t="shared" si="41"/>
        <v>0</v>
      </c>
      <c r="AF375" s="489"/>
    </row>
    <row r="376" spans="1:32">
      <c r="A376" s="534">
        <v>378</v>
      </c>
      <c r="B376" s="495" t="s">
        <v>894</v>
      </c>
      <c r="C376" s="499" t="s">
        <v>1392</v>
      </c>
      <c r="D376" s="590">
        <v>0</v>
      </c>
      <c r="E376" s="524"/>
      <c r="F376" s="504"/>
      <c r="G376" s="524"/>
      <c r="H376" s="504"/>
      <c r="I376" s="524"/>
      <c r="J376" s="504"/>
      <c r="K376" s="524"/>
      <c r="L376" s="504"/>
      <c r="M376" s="524"/>
      <c r="N376" s="505"/>
      <c r="O376" s="524"/>
      <c r="P376" s="505"/>
      <c r="Q376" s="46"/>
      <c r="R376" s="50"/>
      <c r="S376" s="46">
        <v>2</v>
      </c>
      <c r="T376" s="50">
        <f>2</f>
        <v>2</v>
      </c>
      <c r="U376" s="46"/>
      <c r="V376" s="50"/>
      <c r="W376" s="46"/>
      <c r="X376" s="50"/>
      <c r="Y376" s="46"/>
      <c r="Z376" s="50"/>
      <c r="AA376" s="46"/>
      <c r="AB376" s="50"/>
      <c r="AC376" s="696">
        <f t="shared" si="39"/>
        <v>2</v>
      </c>
      <c r="AD376" s="50">
        <f t="shared" si="40"/>
        <v>2</v>
      </c>
      <c r="AE376" s="469">
        <f t="shared" si="41"/>
        <v>0</v>
      </c>
      <c r="AF376" s="489"/>
    </row>
    <row r="377" spans="1:32">
      <c r="A377" s="533">
        <v>379</v>
      </c>
      <c r="B377" s="495" t="s">
        <v>1375</v>
      </c>
      <c r="C377" s="499" t="s">
        <v>1393</v>
      </c>
      <c r="D377" s="590">
        <v>0</v>
      </c>
      <c r="E377" s="524"/>
      <c r="F377" s="504"/>
      <c r="G377" s="524"/>
      <c r="H377" s="504"/>
      <c r="I377" s="524"/>
      <c r="J377" s="504"/>
      <c r="K377" s="524"/>
      <c r="L377" s="504"/>
      <c r="M377" s="524"/>
      <c r="N377" s="505"/>
      <c r="O377" s="524"/>
      <c r="P377" s="505"/>
      <c r="Q377" s="46"/>
      <c r="R377" s="50"/>
      <c r="S377" s="46">
        <v>4</v>
      </c>
      <c r="T377" s="50">
        <f>4</f>
        <v>4</v>
      </c>
      <c r="U377" s="46"/>
      <c r="V377" s="50"/>
      <c r="W377" s="46"/>
      <c r="X377" s="50"/>
      <c r="Y377" s="46"/>
      <c r="Z377" s="50"/>
      <c r="AA377" s="46"/>
      <c r="AB377" s="50"/>
      <c r="AC377" s="696">
        <f t="shared" si="39"/>
        <v>4</v>
      </c>
      <c r="AD377" s="50">
        <f t="shared" si="40"/>
        <v>4</v>
      </c>
      <c r="AE377" s="469">
        <f t="shared" si="41"/>
        <v>0</v>
      </c>
      <c r="AF377" s="489"/>
    </row>
    <row r="378" spans="1:32">
      <c r="A378" s="534">
        <v>380</v>
      </c>
      <c r="B378" s="495" t="s">
        <v>1478</v>
      </c>
      <c r="C378" s="499" t="s">
        <v>1394</v>
      </c>
      <c r="D378" s="590">
        <v>0</v>
      </c>
      <c r="E378" s="524"/>
      <c r="F378" s="504"/>
      <c r="G378" s="524"/>
      <c r="H378" s="504"/>
      <c r="I378" s="524"/>
      <c r="J378" s="504"/>
      <c r="K378" s="524"/>
      <c r="L378" s="504"/>
      <c r="M378" s="524"/>
      <c r="N378" s="505"/>
      <c r="O378" s="524"/>
      <c r="P378" s="505"/>
      <c r="Q378" s="46"/>
      <c r="R378" s="50"/>
      <c r="S378" s="46">
        <v>50</v>
      </c>
      <c r="T378" s="50"/>
      <c r="U378" s="46"/>
      <c r="V378" s="50">
        <v>10</v>
      </c>
      <c r="W378" s="46"/>
      <c r="X378" s="50">
        <f>6+1</f>
        <v>7</v>
      </c>
      <c r="Y378" s="46"/>
      <c r="Z378" s="50"/>
      <c r="AA378" s="46"/>
      <c r="AB378" s="50"/>
      <c r="AC378" s="696">
        <f t="shared" si="39"/>
        <v>50</v>
      </c>
      <c r="AD378" s="50">
        <f t="shared" si="40"/>
        <v>17</v>
      </c>
      <c r="AE378" s="469">
        <f t="shared" si="41"/>
        <v>33</v>
      </c>
      <c r="AF378" s="489"/>
    </row>
    <row r="379" spans="1:32">
      <c r="A379" s="533">
        <v>381</v>
      </c>
      <c r="B379" s="495" t="s">
        <v>1432</v>
      </c>
      <c r="C379" s="499" t="s">
        <v>1395</v>
      </c>
      <c r="D379" s="590">
        <v>0</v>
      </c>
      <c r="E379" s="524"/>
      <c r="F379" s="504"/>
      <c r="G379" s="524"/>
      <c r="H379" s="504"/>
      <c r="I379" s="524"/>
      <c r="J379" s="504"/>
      <c r="K379" s="524"/>
      <c r="L379" s="504"/>
      <c r="M379" s="524"/>
      <c r="N379" s="505"/>
      <c r="O379" s="524"/>
      <c r="P379" s="505"/>
      <c r="Q379" s="46"/>
      <c r="R379" s="50"/>
      <c r="S379" s="46">
        <v>12</v>
      </c>
      <c r="T379" s="50">
        <f>12</f>
        <v>12</v>
      </c>
      <c r="U379" s="46"/>
      <c r="V379" s="50"/>
      <c r="W379" s="46"/>
      <c r="X379" s="50"/>
      <c r="Y379" s="46"/>
      <c r="Z379" s="50"/>
      <c r="AA379" s="46"/>
      <c r="AB379" s="50"/>
      <c r="AC379" s="696">
        <f t="shared" si="39"/>
        <v>12</v>
      </c>
      <c r="AD379" s="50">
        <f t="shared" si="40"/>
        <v>12</v>
      </c>
      <c r="AE379" s="469">
        <f t="shared" si="41"/>
        <v>0</v>
      </c>
      <c r="AF379" s="489"/>
    </row>
    <row r="380" spans="1:32" ht="27.6">
      <c r="A380" s="534">
        <v>382</v>
      </c>
      <c r="B380" s="495" t="s">
        <v>1469</v>
      </c>
      <c r="C380" s="619" t="s">
        <v>1472</v>
      </c>
      <c r="D380" s="590">
        <v>0</v>
      </c>
      <c r="E380" s="524"/>
      <c r="F380" s="504"/>
      <c r="G380" s="524"/>
      <c r="H380" s="504"/>
      <c r="I380" s="524"/>
      <c r="J380" s="504"/>
      <c r="K380" s="524"/>
      <c r="L380" s="504"/>
      <c r="M380" s="524"/>
      <c r="N380" s="505"/>
      <c r="O380" s="524"/>
      <c r="P380" s="505"/>
      <c r="Q380" s="46"/>
      <c r="R380" s="50"/>
      <c r="S380" s="46"/>
      <c r="T380" s="50"/>
      <c r="U380" s="46">
        <v>4</v>
      </c>
      <c r="V380" s="50">
        <v>4</v>
      </c>
      <c r="W380" s="46"/>
      <c r="X380" s="50"/>
      <c r="Y380" s="46"/>
      <c r="Z380" s="50"/>
      <c r="AA380" s="46"/>
      <c r="AB380" s="50"/>
      <c r="AC380" s="696">
        <f t="shared" si="39"/>
        <v>4</v>
      </c>
      <c r="AD380" s="50">
        <f t="shared" si="40"/>
        <v>4</v>
      </c>
      <c r="AE380" s="469">
        <f t="shared" si="41"/>
        <v>0</v>
      </c>
      <c r="AF380" s="489"/>
    </row>
    <row r="381" spans="1:32">
      <c r="A381" s="533">
        <v>383</v>
      </c>
      <c r="B381" s="495" t="s">
        <v>1470</v>
      </c>
      <c r="C381" s="499" t="s">
        <v>1471</v>
      </c>
      <c r="D381" s="590">
        <v>0</v>
      </c>
      <c r="E381" s="524"/>
      <c r="F381" s="504"/>
      <c r="G381" s="524"/>
      <c r="H381" s="504"/>
      <c r="I381" s="524"/>
      <c r="J381" s="504"/>
      <c r="K381" s="524"/>
      <c r="L381" s="504"/>
      <c r="M381" s="524"/>
      <c r="N381" s="505"/>
      <c r="O381" s="524"/>
      <c r="P381" s="505"/>
      <c r="Q381" s="46"/>
      <c r="R381" s="50"/>
      <c r="S381" s="46"/>
      <c r="T381" s="50"/>
      <c r="U381" s="46">
        <v>1</v>
      </c>
      <c r="V381" s="50">
        <v>1</v>
      </c>
      <c r="W381" s="46"/>
      <c r="X381" s="50"/>
      <c r="Y381" s="46"/>
      <c r="Z381" s="50"/>
      <c r="AA381" s="46"/>
      <c r="AB381" s="50"/>
      <c r="AC381" s="696">
        <f t="shared" si="39"/>
        <v>1</v>
      </c>
      <c r="AD381" s="50">
        <f t="shared" si="40"/>
        <v>1</v>
      </c>
      <c r="AE381" s="469">
        <f t="shared" si="41"/>
        <v>0</v>
      </c>
      <c r="AF381" s="489"/>
    </row>
    <row r="382" spans="1:32">
      <c r="A382" s="534">
        <v>384</v>
      </c>
      <c r="B382" s="495" t="s">
        <v>1480</v>
      </c>
      <c r="C382" s="499" t="s">
        <v>1514</v>
      </c>
      <c r="D382" s="590">
        <v>0</v>
      </c>
      <c r="E382" s="524"/>
      <c r="F382" s="504"/>
      <c r="G382" s="524"/>
      <c r="H382" s="504"/>
      <c r="I382" s="524"/>
      <c r="J382" s="504"/>
      <c r="K382" s="524"/>
      <c r="L382" s="504"/>
      <c r="M382" s="524"/>
      <c r="N382" s="505"/>
      <c r="O382" s="524"/>
      <c r="P382" s="505"/>
      <c r="Q382" s="46"/>
      <c r="R382" s="50"/>
      <c r="S382" s="46"/>
      <c r="T382" s="50"/>
      <c r="U382" s="46">
        <v>1</v>
      </c>
      <c r="V382" s="50"/>
      <c r="W382" s="46">
        <v>7</v>
      </c>
      <c r="X382" s="50">
        <v>8</v>
      </c>
      <c r="Y382" s="46"/>
      <c r="Z382" s="50"/>
      <c r="AA382" s="46"/>
      <c r="AB382" s="50"/>
      <c r="AC382" s="696">
        <f t="shared" ref="AC382:AC419" si="42">SUM(D382,E382,G382,I382,K382,M382,O382,Q382,S382,U382,W382,Y382,AA382)</f>
        <v>8</v>
      </c>
      <c r="AD382" s="50">
        <f t="shared" ref="AD382:AD419" si="43">SUM(F382,H382,J382,L382,N382,P382,R382,T382,V382,X382,Z382,AB382)</f>
        <v>8</v>
      </c>
      <c r="AE382" s="469">
        <f t="shared" ref="AE382:AE419" si="44">SUM(AC382-AD382)</f>
        <v>0</v>
      </c>
      <c r="AF382" s="489"/>
    </row>
    <row r="383" spans="1:32">
      <c r="A383" s="533">
        <v>385</v>
      </c>
      <c r="B383" s="495" t="s">
        <v>1481</v>
      </c>
      <c r="C383" s="499" t="s">
        <v>1515</v>
      </c>
      <c r="D383" s="590">
        <v>0</v>
      </c>
      <c r="E383" s="524"/>
      <c r="F383" s="504"/>
      <c r="G383" s="524"/>
      <c r="H383" s="504"/>
      <c r="I383" s="524"/>
      <c r="J383" s="504"/>
      <c r="K383" s="524"/>
      <c r="L383" s="504"/>
      <c r="M383" s="524"/>
      <c r="N383" s="505"/>
      <c r="O383" s="524"/>
      <c r="P383" s="505"/>
      <c r="Q383" s="46"/>
      <c r="R383" s="50"/>
      <c r="S383" s="46"/>
      <c r="T383" s="50"/>
      <c r="U383" s="46">
        <v>1</v>
      </c>
      <c r="V383" s="50">
        <v>1</v>
      </c>
      <c r="W383" s="46"/>
      <c r="X383" s="50"/>
      <c r="Y383" s="46"/>
      <c r="Z383" s="50"/>
      <c r="AA383" s="46"/>
      <c r="AB383" s="50"/>
      <c r="AC383" s="696">
        <f t="shared" si="42"/>
        <v>1</v>
      </c>
      <c r="AD383" s="50">
        <f t="shared" si="43"/>
        <v>1</v>
      </c>
      <c r="AE383" s="469">
        <f t="shared" si="44"/>
        <v>0</v>
      </c>
      <c r="AF383" s="489"/>
    </row>
    <row r="384" spans="1:32">
      <c r="A384" s="534">
        <v>386</v>
      </c>
      <c r="B384" s="495" t="s">
        <v>875</v>
      </c>
      <c r="C384" s="499" t="s">
        <v>870</v>
      </c>
      <c r="D384" s="590">
        <v>0</v>
      </c>
      <c r="E384" s="524"/>
      <c r="F384" s="504"/>
      <c r="G384" s="524"/>
      <c r="H384" s="504"/>
      <c r="I384" s="524"/>
      <c r="J384" s="504"/>
      <c r="K384" s="524"/>
      <c r="L384" s="504"/>
      <c r="M384" s="524"/>
      <c r="N384" s="505"/>
      <c r="O384" s="524"/>
      <c r="P384" s="505"/>
      <c r="Q384" s="46"/>
      <c r="R384" s="50"/>
      <c r="S384" s="46"/>
      <c r="T384" s="50"/>
      <c r="U384" s="46">
        <v>8</v>
      </c>
      <c r="V384" s="50">
        <v>8</v>
      </c>
      <c r="W384" s="46"/>
      <c r="X384" s="50"/>
      <c r="Y384" s="46"/>
      <c r="Z384" s="50"/>
      <c r="AA384" s="46"/>
      <c r="AB384" s="50"/>
      <c r="AC384" s="696">
        <f t="shared" si="42"/>
        <v>8</v>
      </c>
      <c r="AD384" s="50">
        <f t="shared" si="43"/>
        <v>8</v>
      </c>
      <c r="AE384" s="469">
        <f t="shared" si="44"/>
        <v>0</v>
      </c>
      <c r="AF384" s="489"/>
    </row>
    <row r="385" spans="1:32">
      <c r="A385" s="533">
        <v>387</v>
      </c>
      <c r="B385" s="495" t="s">
        <v>1482</v>
      </c>
      <c r="C385" s="499" t="s">
        <v>1516</v>
      </c>
      <c r="D385" s="590">
        <v>0</v>
      </c>
      <c r="E385" s="524"/>
      <c r="F385" s="504"/>
      <c r="G385" s="524"/>
      <c r="H385" s="504"/>
      <c r="I385" s="524"/>
      <c r="J385" s="504"/>
      <c r="K385" s="524"/>
      <c r="L385" s="504"/>
      <c r="M385" s="524"/>
      <c r="N385" s="505"/>
      <c r="O385" s="524"/>
      <c r="P385" s="505"/>
      <c r="Q385" s="46"/>
      <c r="R385" s="50"/>
      <c r="S385" s="46"/>
      <c r="T385" s="50"/>
      <c r="U385" s="46">
        <v>5</v>
      </c>
      <c r="V385" s="50">
        <v>5</v>
      </c>
      <c r="W385" s="46"/>
      <c r="X385" s="50"/>
      <c r="Y385" s="46"/>
      <c r="Z385" s="50"/>
      <c r="AA385" s="46"/>
      <c r="AB385" s="50"/>
      <c r="AC385" s="696">
        <f t="shared" si="42"/>
        <v>5</v>
      </c>
      <c r="AD385" s="50">
        <f t="shared" si="43"/>
        <v>5</v>
      </c>
      <c r="AE385" s="469">
        <f t="shared" si="44"/>
        <v>0</v>
      </c>
      <c r="AF385" s="489"/>
    </row>
    <row r="386" spans="1:32">
      <c r="A386" s="534">
        <v>388</v>
      </c>
      <c r="B386" s="495" t="s">
        <v>1483</v>
      </c>
      <c r="C386" s="499" t="s">
        <v>1517</v>
      </c>
      <c r="D386" s="590">
        <v>0</v>
      </c>
      <c r="E386" s="524"/>
      <c r="F386" s="504"/>
      <c r="G386" s="524"/>
      <c r="H386" s="504"/>
      <c r="I386" s="524"/>
      <c r="J386" s="504"/>
      <c r="K386" s="524"/>
      <c r="L386" s="504"/>
      <c r="M386" s="524"/>
      <c r="N386" s="505"/>
      <c r="O386" s="524"/>
      <c r="P386" s="505"/>
      <c r="Q386" s="46"/>
      <c r="R386" s="50"/>
      <c r="S386" s="46"/>
      <c r="T386" s="50"/>
      <c r="U386" s="46">
        <v>5</v>
      </c>
      <c r="V386" s="50">
        <v>5</v>
      </c>
      <c r="W386" s="46"/>
      <c r="X386" s="50"/>
      <c r="Y386" s="46"/>
      <c r="Z386" s="50"/>
      <c r="AA386" s="46"/>
      <c r="AB386" s="50"/>
      <c r="AC386" s="696">
        <f t="shared" si="42"/>
        <v>5</v>
      </c>
      <c r="AD386" s="50">
        <f t="shared" si="43"/>
        <v>5</v>
      </c>
      <c r="AE386" s="469">
        <f t="shared" si="44"/>
        <v>0</v>
      </c>
      <c r="AF386" s="489"/>
    </row>
    <row r="387" spans="1:32">
      <c r="A387" s="533">
        <v>389</v>
      </c>
      <c r="B387" s="495" t="s">
        <v>1484</v>
      </c>
      <c r="C387" s="499" t="s">
        <v>1518</v>
      </c>
      <c r="D387" s="590">
        <v>0</v>
      </c>
      <c r="E387" s="524"/>
      <c r="F387" s="504"/>
      <c r="G387" s="524"/>
      <c r="H387" s="504"/>
      <c r="I387" s="524"/>
      <c r="J387" s="504"/>
      <c r="K387" s="524"/>
      <c r="L387" s="504"/>
      <c r="M387" s="524"/>
      <c r="N387" s="505"/>
      <c r="O387" s="524"/>
      <c r="P387" s="505"/>
      <c r="Q387" s="46"/>
      <c r="R387" s="50"/>
      <c r="S387" s="46"/>
      <c r="T387" s="50"/>
      <c r="U387" s="46">
        <v>5</v>
      </c>
      <c r="V387" s="50">
        <v>5</v>
      </c>
      <c r="W387" s="46"/>
      <c r="X387" s="50"/>
      <c r="Y387" s="46"/>
      <c r="Z387" s="50"/>
      <c r="AA387" s="46"/>
      <c r="AB387" s="50"/>
      <c r="AC387" s="696">
        <f t="shared" si="42"/>
        <v>5</v>
      </c>
      <c r="AD387" s="50">
        <f t="shared" si="43"/>
        <v>5</v>
      </c>
      <c r="AE387" s="469">
        <f t="shared" si="44"/>
        <v>0</v>
      </c>
      <c r="AF387" s="489"/>
    </row>
    <row r="388" spans="1:32">
      <c r="A388" s="534">
        <v>390</v>
      </c>
      <c r="B388" s="495" t="s">
        <v>1485</v>
      </c>
      <c r="C388" s="499" t="s">
        <v>1519</v>
      </c>
      <c r="D388" s="590">
        <v>0</v>
      </c>
      <c r="E388" s="524"/>
      <c r="F388" s="504"/>
      <c r="G388" s="524"/>
      <c r="H388" s="504"/>
      <c r="I388" s="524"/>
      <c r="J388" s="504"/>
      <c r="K388" s="524"/>
      <c r="L388" s="504"/>
      <c r="M388" s="524"/>
      <c r="N388" s="505"/>
      <c r="O388" s="524"/>
      <c r="P388" s="505"/>
      <c r="Q388" s="46"/>
      <c r="R388" s="50"/>
      <c r="S388" s="46"/>
      <c r="T388" s="50"/>
      <c r="U388" s="46">
        <v>5</v>
      </c>
      <c r="V388" s="50">
        <v>5</v>
      </c>
      <c r="W388" s="46"/>
      <c r="X388" s="50"/>
      <c r="Y388" s="46"/>
      <c r="Z388" s="50"/>
      <c r="AA388" s="46"/>
      <c r="AB388" s="50"/>
      <c r="AC388" s="696">
        <f t="shared" si="42"/>
        <v>5</v>
      </c>
      <c r="AD388" s="50">
        <f t="shared" si="43"/>
        <v>5</v>
      </c>
      <c r="AE388" s="469">
        <f t="shared" si="44"/>
        <v>0</v>
      </c>
      <c r="AF388" s="489"/>
    </row>
    <row r="389" spans="1:32">
      <c r="A389" s="533">
        <v>391</v>
      </c>
      <c r="B389" s="495" t="s">
        <v>1486</v>
      </c>
      <c r="C389" s="499" t="s">
        <v>1520</v>
      </c>
      <c r="D389" s="590">
        <v>0</v>
      </c>
      <c r="E389" s="524"/>
      <c r="F389" s="504"/>
      <c r="G389" s="524"/>
      <c r="H389" s="504"/>
      <c r="I389" s="524"/>
      <c r="J389" s="504"/>
      <c r="K389" s="524"/>
      <c r="L389" s="504"/>
      <c r="M389" s="524"/>
      <c r="N389" s="505"/>
      <c r="O389" s="524"/>
      <c r="P389" s="505"/>
      <c r="Q389" s="46"/>
      <c r="R389" s="50"/>
      <c r="S389" s="46"/>
      <c r="T389" s="50"/>
      <c r="U389" s="46">
        <v>5</v>
      </c>
      <c r="V389" s="50">
        <v>5</v>
      </c>
      <c r="W389" s="46"/>
      <c r="X389" s="50"/>
      <c r="Y389" s="46"/>
      <c r="Z389" s="50"/>
      <c r="AA389" s="46"/>
      <c r="AB389" s="50"/>
      <c r="AC389" s="696">
        <f t="shared" si="42"/>
        <v>5</v>
      </c>
      <c r="AD389" s="50">
        <f t="shared" si="43"/>
        <v>5</v>
      </c>
      <c r="AE389" s="469">
        <f t="shared" si="44"/>
        <v>0</v>
      </c>
      <c r="AF389" s="489"/>
    </row>
    <row r="390" spans="1:32">
      <c r="A390" s="534">
        <v>392</v>
      </c>
      <c r="B390" s="495" t="s">
        <v>1487</v>
      </c>
      <c r="C390" s="499" t="s">
        <v>1521</v>
      </c>
      <c r="D390" s="590">
        <v>0</v>
      </c>
      <c r="E390" s="524"/>
      <c r="F390" s="504"/>
      <c r="G390" s="524"/>
      <c r="H390" s="504"/>
      <c r="I390" s="524"/>
      <c r="J390" s="504"/>
      <c r="K390" s="524"/>
      <c r="L390" s="504"/>
      <c r="M390" s="524"/>
      <c r="N390" s="505"/>
      <c r="O390" s="524"/>
      <c r="P390" s="505"/>
      <c r="Q390" s="46"/>
      <c r="R390" s="50"/>
      <c r="S390" s="46"/>
      <c r="T390" s="50"/>
      <c r="U390" s="46">
        <v>5</v>
      </c>
      <c r="V390" s="50">
        <v>5</v>
      </c>
      <c r="W390" s="46"/>
      <c r="X390" s="50"/>
      <c r="Y390" s="46"/>
      <c r="Z390" s="50"/>
      <c r="AA390" s="46"/>
      <c r="AB390" s="50"/>
      <c r="AC390" s="696">
        <f t="shared" si="42"/>
        <v>5</v>
      </c>
      <c r="AD390" s="50">
        <f t="shared" si="43"/>
        <v>5</v>
      </c>
      <c r="AE390" s="469">
        <f t="shared" si="44"/>
        <v>0</v>
      </c>
      <c r="AF390" s="489"/>
    </row>
    <row r="391" spans="1:32">
      <c r="A391" s="533">
        <v>393</v>
      </c>
      <c r="B391" s="495" t="s">
        <v>1488</v>
      </c>
      <c r="C391" s="499" t="s">
        <v>1522</v>
      </c>
      <c r="D391" s="590">
        <v>0</v>
      </c>
      <c r="E391" s="524"/>
      <c r="F391" s="504"/>
      <c r="G391" s="524"/>
      <c r="H391" s="504"/>
      <c r="I391" s="524"/>
      <c r="J391" s="504"/>
      <c r="K391" s="524"/>
      <c r="L391" s="504"/>
      <c r="M391" s="524"/>
      <c r="N391" s="505"/>
      <c r="O391" s="524"/>
      <c r="P391" s="505"/>
      <c r="Q391" s="46"/>
      <c r="R391" s="50"/>
      <c r="S391" s="46"/>
      <c r="T391" s="50"/>
      <c r="U391" s="46">
        <v>5</v>
      </c>
      <c r="V391" s="50">
        <v>5</v>
      </c>
      <c r="W391" s="46"/>
      <c r="X391" s="50"/>
      <c r="Y391" s="46"/>
      <c r="Z391" s="50"/>
      <c r="AA391" s="46"/>
      <c r="AB391" s="50"/>
      <c r="AC391" s="696">
        <f t="shared" si="42"/>
        <v>5</v>
      </c>
      <c r="AD391" s="50">
        <f t="shared" si="43"/>
        <v>5</v>
      </c>
      <c r="AE391" s="469">
        <f t="shared" si="44"/>
        <v>0</v>
      </c>
      <c r="AF391" s="489"/>
    </row>
    <row r="392" spans="1:32">
      <c r="A392" s="534">
        <v>394</v>
      </c>
      <c r="B392" s="495" t="s">
        <v>1489</v>
      </c>
      <c r="C392" s="499" t="s">
        <v>1523</v>
      </c>
      <c r="D392" s="590">
        <v>0</v>
      </c>
      <c r="E392" s="524"/>
      <c r="F392" s="504"/>
      <c r="G392" s="524"/>
      <c r="H392" s="504"/>
      <c r="I392" s="524"/>
      <c r="J392" s="504"/>
      <c r="K392" s="524"/>
      <c r="L392" s="504"/>
      <c r="M392" s="524"/>
      <c r="N392" s="505"/>
      <c r="O392" s="524"/>
      <c r="P392" s="505"/>
      <c r="Q392" s="46"/>
      <c r="R392" s="50"/>
      <c r="S392" s="46"/>
      <c r="T392" s="50"/>
      <c r="U392" s="46">
        <v>4</v>
      </c>
      <c r="V392" s="50"/>
      <c r="W392" s="46"/>
      <c r="X392" s="50">
        <f>4</f>
        <v>4</v>
      </c>
      <c r="Y392" s="46"/>
      <c r="Z392" s="50"/>
      <c r="AA392" s="46"/>
      <c r="AB392" s="50"/>
      <c r="AC392" s="696">
        <f t="shared" si="42"/>
        <v>4</v>
      </c>
      <c r="AD392" s="50">
        <f t="shared" si="43"/>
        <v>4</v>
      </c>
      <c r="AE392" s="469">
        <f t="shared" si="44"/>
        <v>0</v>
      </c>
      <c r="AF392" s="489"/>
    </row>
    <row r="393" spans="1:32">
      <c r="A393" s="533">
        <v>395</v>
      </c>
      <c r="B393" s="495" t="s">
        <v>1490</v>
      </c>
      <c r="C393" s="499" t="s">
        <v>1524</v>
      </c>
      <c r="D393" s="590">
        <v>0</v>
      </c>
      <c r="E393" s="524"/>
      <c r="F393" s="504"/>
      <c r="G393" s="524"/>
      <c r="H393" s="504"/>
      <c r="I393" s="524"/>
      <c r="J393" s="504"/>
      <c r="K393" s="524"/>
      <c r="L393" s="504"/>
      <c r="M393" s="524"/>
      <c r="N393" s="505"/>
      <c r="O393" s="524"/>
      <c r="P393" s="505"/>
      <c r="Q393" s="46"/>
      <c r="R393" s="50"/>
      <c r="S393" s="46"/>
      <c r="T393" s="50"/>
      <c r="U393" s="46">
        <v>4</v>
      </c>
      <c r="V393" s="50"/>
      <c r="W393" s="46"/>
      <c r="X393" s="50">
        <f>4</f>
        <v>4</v>
      </c>
      <c r="Y393" s="46"/>
      <c r="Z393" s="50"/>
      <c r="AA393" s="46"/>
      <c r="AB393" s="50"/>
      <c r="AC393" s="696">
        <f t="shared" si="42"/>
        <v>4</v>
      </c>
      <c r="AD393" s="50">
        <f t="shared" si="43"/>
        <v>4</v>
      </c>
      <c r="AE393" s="469">
        <f t="shared" si="44"/>
        <v>0</v>
      </c>
      <c r="AF393" s="489"/>
    </row>
    <row r="394" spans="1:32">
      <c r="A394" s="534">
        <v>396</v>
      </c>
      <c r="B394" s="495" t="s">
        <v>1491</v>
      </c>
      <c r="C394" s="499" t="s">
        <v>1525</v>
      </c>
      <c r="D394" s="590">
        <v>0</v>
      </c>
      <c r="E394" s="524"/>
      <c r="F394" s="504"/>
      <c r="G394" s="524"/>
      <c r="H394" s="504"/>
      <c r="I394" s="524"/>
      <c r="J394" s="504"/>
      <c r="K394" s="524"/>
      <c r="L394" s="504"/>
      <c r="M394" s="524"/>
      <c r="N394" s="505"/>
      <c r="O394" s="524"/>
      <c r="P394" s="505"/>
      <c r="Q394" s="46"/>
      <c r="R394" s="50"/>
      <c r="S394" s="46"/>
      <c r="T394" s="50"/>
      <c r="U394" s="46">
        <v>4</v>
      </c>
      <c r="V394" s="50"/>
      <c r="W394" s="46"/>
      <c r="X394" s="50">
        <f>4</f>
        <v>4</v>
      </c>
      <c r="Y394" s="46"/>
      <c r="Z394" s="50"/>
      <c r="AA394" s="46"/>
      <c r="AB394" s="50"/>
      <c r="AC394" s="696">
        <f t="shared" si="42"/>
        <v>4</v>
      </c>
      <c r="AD394" s="50">
        <f t="shared" si="43"/>
        <v>4</v>
      </c>
      <c r="AE394" s="469">
        <f t="shared" si="44"/>
        <v>0</v>
      </c>
      <c r="AF394" s="489"/>
    </row>
    <row r="395" spans="1:32">
      <c r="A395" s="533">
        <v>397</v>
      </c>
      <c r="B395" s="495" t="s">
        <v>1492</v>
      </c>
      <c r="C395" s="499" t="s">
        <v>1526</v>
      </c>
      <c r="D395" s="590">
        <v>0</v>
      </c>
      <c r="E395" s="524"/>
      <c r="F395" s="504"/>
      <c r="G395" s="524"/>
      <c r="H395" s="504"/>
      <c r="I395" s="524"/>
      <c r="J395" s="504"/>
      <c r="K395" s="524"/>
      <c r="L395" s="504"/>
      <c r="M395" s="524"/>
      <c r="N395" s="505"/>
      <c r="O395" s="524"/>
      <c r="P395" s="505"/>
      <c r="Q395" s="46"/>
      <c r="R395" s="50"/>
      <c r="S395" s="46"/>
      <c r="T395" s="50"/>
      <c r="U395" s="46">
        <v>4</v>
      </c>
      <c r="V395" s="50"/>
      <c r="W395" s="46"/>
      <c r="X395" s="50">
        <f>4</f>
        <v>4</v>
      </c>
      <c r="Y395" s="46"/>
      <c r="Z395" s="50"/>
      <c r="AA395" s="46"/>
      <c r="AB395" s="50"/>
      <c r="AC395" s="696">
        <f t="shared" si="42"/>
        <v>4</v>
      </c>
      <c r="AD395" s="50">
        <f t="shared" si="43"/>
        <v>4</v>
      </c>
      <c r="AE395" s="469">
        <f t="shared" si="44"/>
        <v>0</v>
      </c>
      <c r="AF395" s="489"/>
    </row>
    <row r="396" spans="1:32">
      <c r="A396" s="534">
        <v>398</v>
      </c>
      <c r="B396" s="495" t="s">
        <v>1493</v>
      </c>
      <c r="C396" s="499" t="s">
        <v>1527</v>
      </c>
      <c r="D396" s="590">
        <v>0</v>
      </c>
      <c r="E396" s="524"/>
      <c r="F396" s="504"/>
      <c r="G396" s="524"/>
      <c r="H396" s="504"/>
      <c r="I396" s="524"/>
      <c r="J396" s="504"/>
      <c r="K396" s="524"/>
      <c r="L396" s="504"/>
      <c r="M396" s="524"/>
      <c r="N396" s="505"/>
      <c r="O396" s="524"/>
      <c r="P396" s="505"/>
      <c r="Q396" s="46"/>
      <c r="R396" s="50"/>
      <c r="S396" s="46"/>
      <c r="T396" s="50"/>
      <c r="U396" s="46">
        <v>1</v>
      </c>
      <c r="V396" s="50"/>
      <c r="W396" s="46"/>
      <c r="X396" s="50">
        <f>1</f>
        <v>1</v>
      </c>
      <c r="Y396" s="46"/>
      <c r="Z396" s="50"/>
      <c r="AA396" s="46"/>
      <c r="AB396" s="50"/>
      <c r="AC396" s="696">
        <f t="shared" si="42"/>
        <v>1</v>
      </c>
      <c r="AD396" s="50">
        <f t="shared" si="43"/>
        <v>1</v>
      </c>
      <c r="AE396" s="469">
        <f t="shared" si="44"/>
        <v>0</v>
      </c>
      <c r="AF396" s="489"/>
    </row>
    <row r="397" spans="1:32">
      <c r="A397" s="533">
        <v>399</v>
      </c>
      <c r="B397" s="495" t="s">
        <v>1494</v>
      </c>
      <c r="C397" s="499" t="s">
        <v>1528</v>
      </c>
      <c r="D397" s="590">
        <v>0</v>
      </c>
      <c r="E397" s="524"/>
      <c r="F397" s="504"/>
      <c r="G397" s="524"/>
      <c r="H397" s="504"/>
      <c r="I397" s="524"/>
      <c r="J397" s="504"/>
      <c r="K397" s="524"/>
      <c r="L397" s="504"/>
      <c r="M397" s="524"/>
      <c r="N397" s="505"/>
      <c r="O397" s="524"/>
      <c r="P397" s="505"/>
      <c r="Q397" s="46"/>
      <c r="R397" s="50"/>
      <c r="S397" s="46"/>
      <c r="T397" s="50"/>
      <c r="U397" s="46">
        <v>2</v>
      </c>
      <c r="V397" s="50"/>
      <c r="W397" s="46"/>
      <c r="X397" s="50">
        <f>2</f>
        <v>2</v>
      </c>
      <c r="Y397" s="46"/>
      <c r="Z397" s="50"/>
      <c r="AA397" s="46"/>
      <c r="AB397" s="50"/>
      <c r="AC397" s="696">
        <f t="shared" si="42"/>
        <v>2</v>
      </c>
      <c r="AD397" s="50">
        <f t="shared" si="43"/>
        <v>2</v>
      </c>
      <c r="AE397" s="469">
        <f t="shared" si="44"/>
        <v>0</v>
      </c>
      <c r="AF397" s="489"/>
    </row>
    <row r="398" spans="1:32">
      <c r="A398" s="534">
        <v>400</v>
      </c>
      <c r="B398" s="495" t="s">
        <v>1495</v>
      </c>
      <c r="C398" s="499" t="s">
        <v>1529</v>
      </c>
      <c r="D398" s="590">
        <v>0</v>
      </c>
      <c r="E398" s="524"/>
      <c r="F398" s="504"/>
      <c r="G398" s="524"/>
      <c r="H398" s="504"/>
      <c r="I398" s="524"/>
      <c r="J398" s="504"/>
      <c r="K398" s="524"/>
      <c r="L398" s="504"/>
      <c r="M398" s="524"/>
      <c r="N398" s="505"/>
      <c r="O398" s="524"/>
      <c r="P398" s="505"/>
      <c r="Q398" s="46"/>
      <c r="R398" s="50"/>
      <c r="S398" s="46"/>
      <c r="T398" s="50"/>
      <c r="U398" s="46">
        <v>1</v>
      </c>
      <c r="V398" s="50"/>
      <c r="W398" s="46"/>
      <c r="X398" s="50">
        <f>1</f>
        <v>1</v>
      </c>
      <c r="Y398" s="46"/>
      <c r="Z398" s="50"/>
      <c r="AA398" s="46"/>
      <c r="AB398" s="50"/>
      <c r="AC398" s="696">
        <f t="shared" si="42"/>
        <v>1</v>
      </c>
      <c r="AD398" s="50">
        <f t="shared" si="43"/>
        <v>1</v>
      </c>
      <c r="AE398" s="469">
        <f t="shared" si="44"/>
        <v>0</v>
      </c>
      <c r="AF398" s="489"/>
    </row>
    <row r="399" spans="1:32">
      <c r="A399" s="533">
        <v>401</v>
      </c>
      <c r="B399" s="495" t="s">
        <v>1496</v>
      </c>
      <c r="C399" s="499" t="s">
        <v>1530</v>
      </c>
      <c r="D399" s="590">
        <v>0</v>
      </c>
      <c r="E399" s="524"/>
      <c r="F399" s="504"/>
      <c r="G399" s="524"/>
      <c r="H399" s="504"/>
      <c r="I399" s="524"/>
      <c r="J399" s="504"/>
      <c r="K399" s="524"/>
      <c r="L399" s="504"/>
      <c r="M399" s="524"/>
      <c r="N399" s="505"/>
      <c r="O399" s="524"/>
      <c r="P399" s="505"/>
      <c r="Q399" s="46"/>
      <c r="R399" s="50"/>
      <c r="S399" s="46"/>
      <c r="T399" s="50"/>
      <c r="U399" s="46">
        <v>1</v>
      </c>
      <c r="V399" s="50"/>
      <c r="W399" s="46"/>
      <c r="X399" s="50">
        <f>1</f>
        <v>1</v>
      </c>
      <c r="Y399" s="46"/>
      <c r="Z399" s="50"/>
      <c r="AA399" s="46"/>
      <c r="AB399" s="50"/>
      <c r="AC399" s="696">
        <f t="shared" si="42"/>
        <v>1</v>
      </c>
      <c r="AD399" s="50">
        <f t="shared" si="43"/>
        <v>1</v>
      </c>
      <c r="AE399" s="469">
        <f t="shared" si="44"/>
        <v>0</v>
      </c>
      <c r="AF399" s="489"/>
    </row>
    <row r="400" spans="1:32">
      <c r="A400" s="533">
        <v>403</v>
      </c>
      <c r="B400" s="495" t="s">
        <v>1497</v>
      </c>
      <c r="C400" s="499" t="s">
        <v>1531</v>
      </c>
      <c r="D400" s="590">
        <v>0</v>
      </c>
      <c r="E400" s="524"/>
      <c r="F400" s="504"/>
      <c r="G400" s="524"/>
      <c r="H400" s="504"/>
      <c r="I400" s="524"/>
      <c r="J400" s="504"/>
      <c r="K400" s="524"/>
      <c r="L400" s="504"/>
      <c r="M400" s="524"/>
      <c r="N400" s="505"/>
      <c r="O400" s="524"/>
      <c r="P400" s="505"/>
      <c r="Q400" s="46"/>
      <c r="R400" s="50"/>
      <c r="S400" s="46"/>
      <c r="T400" s="50"/>
      <c r="U400" s="46">
        <v>14</v>
      </c>
      <c r="V400" s="50"/>
      <c r="W400" s="46"/>
      <c r="X400" s="50">
        <f>14</f>
        <v>14</v>
      </c>
      <c r="Y400" s="46"/>
      <c r="Z400" s="50"/>
      <c r="AA400" s="46"/>
      <c r="AB400" s="50"/>
      <c r="AC400" s="696">
        <f t="shared" si="42"/>
        <v>14</v>
      </c>
      <c r="AD400" s="50">
        <f t="shared" si="43"/>
        <v>14</v>
      </c>
      <c r="AE400" s="469">
        <f t="shared" si="44"/>
        <v>0</v>
      </c>
      <c r="AF400" s="489"/>
    </row>
    <row r="401" spans="1:32">
      <c r="A401" s="534">
        <v>404</v>
      </c>
      <c r="B401" s="495" t="s">
        <v>1498</v>
      </c>
      <c r="C401" s="499" t="s">
        <v>1532</v>
      </c>
      <c r="D401" s="590">
        <v>0</v>
      </c>
      <c r="E401" s="524"/>
      <c r="F401" s="504"/>
      <c r="G401" s="524"/>
      <c r="H401" s="504"/>
      <c r="I401" s="524"/>
      <c r="J401" s="504"/>
      <c r="K401" s="524"/>
      <c r="L401" s="504"/>
      <c r="M401" s="524"/>
      <c r="N401" s="505"/>
      <c r="O401" s="524"/>
      <c r="P401" s="505"/>
      <c r="Q401" s="46"/>
      <c r="R401" s="50"/>
      <c r="S401" s="46"/>
      <c r="T401" s="50"/>
      <c r="U401" s="46">
        <v>90</v>
      </c>
      <c r="V401" s="50"/>
      <c r="W401" s="46"/>
      <c r="X401" s="50">
        <f>7+3</f>
        <v>10</v>
      </c>
      <c r="Y401" s="46"/>
      <c r="Z401" s="50"/>
      <c r="AA401" s="46"/>
      <c r="AB401" s="50">
        <f>40</f>
        <v>40</v>
      </c>
      <c r="AC401" s="696">
        <f t="shared" si="42"/>
        <v>90</v>
      </c>
      <c r="AD401" s="50">
        <f t="shared" si="43"/>
        <v>50</v>
      </c>
      <c r="AE401" s="469">
        <f t="shared" si="44"/>
        <v>40</v>
      </c>
      <c r="AF401" s="489"/>
    </row>
    <row r="402" spans="1:32">
      <c r="A402" s="533">
        <v>405</v>
      </c>
      <c r="B402" s="495" t="s">
        <v>1499</v>
      </c>
      <c r="C402" s="499" t="s">
        <v>1533</v>
      </c>
      <c r="D402" s="590">
        <v>0</v>
      </c>
      <c r="E402" s="524"/>
      <c r="F402" s="504"/>
      <c r="G402" s="524"/>
      <c r="H402" s="504"/>
      <c r="I402" s="524"/>
      <c r="J402" s="504"/>
      <c r="K402" s="524"/>
      <c r="L402" s="504"/>
      <c r="M402" s="524"/>
      <c r="N402" s="505"/>
      <c r="O402" s="524"/>
      <c r="P402" s="505"/>
      <c r="Q402" s="46"/>
      <c r="R402" s="50"/>
      <c r="S402" s="46"/>
      <c r="T402" s="50"/>
      <c r="U402" s="46">
        <v>2</v>
      </c>
      <c r="V402" s="50">
        <v>2</v>
      </c>
      <c r="W402" s="46"/>
      <c r="X402" s="50"/>
      <c r="Y402" s="46"/>
      <c r="Z402" s="50"/>
      <c r="AA402" s="46"/>
      <c r="AB402" s="50"/>
      <c r="AC402" s="696">
        <f t="shared" si="42"/>
        <v>2</v>
      </c>
      <c r="AD402" s="50">
        <f t="shared" si="43"/>
        <v>2</v>
      </c>
      <c r="AE402" s="469">
        <f t="shared" si="44"/>
        <v>0</v>
      </c>
      <c r="AF402" s="489"/>
    </row>
    <row r="403" spans="1:32">
      <c r="A403" s="534">
        <v>406</v>
      </c>
      <c r="B403" s="495" t="s">
        <v>1500</v>
      </c>
      <c r="C403" s="499" t="s">
        <v>1534</v>
      </c>
      <c r="D403" s="590">
        <v>0</v>
      </c>
      <c r="E403" s="524"/>
      <c r="F403" s="504"/>
      <c r="G403" s="524"/>
      <c r="H403" s="504"/>
      <c r="I403" s="524"/>
      <c r="J403" s="504"/>
      <c r="K403" s="524"/>
      <c r="L403" s="504"/>
      <c r="M403" s="524"/>
      <c r="N403" s="505"/>
      <c r="O403" s="524"/>
      <c r="P403" s="505"/>
      <c r="Q403" s="46"/>
      <c r="R403" s="50"/>
      <c r="S403" s="46"/>
      <c r="T403" s="50"/>
      <c r="U403" s="46">
        <v>4</v>
      </c>
      <c r="V403" s="50">
        <f>4</f>
        <v>4</v>
      </c>
      <c r="W403" s="46"/>
      <c r="X403" s="50"/>
      <c r="Y403" s="46"/>
      <c r="Z403" s="50"/>
      <c r="AA403" s="46"/>
      <c r="AB403" s="50"/>
      <c r="AC403" s="696">
        <f t="shared" si="42"/>
        <v>4</v>
      </c>
      <c r="AD403" s="50">
        <f t="shared" si="43"/>
        <v>4</v>
      </c>
      <c r="AE403" s="469">
        <f t="shared" si="44"/>
        <v>0</v>
      </c>
      <c r="AF403" s="489"/>
    </row>
    <row r="404" spans="1:32">
      <c r="A404" s="533">
        <v>407</v>
      </c>
      <c r="B404" s="495" t="s">
        <v>1501</v>
      </c>
      <c r="C404" s="499" t="s">
        <v>1535</v>
      </c>
      <c r="D404" s="590">
        <v>0</v>
      </c>
      <c r="E404" s="524"/>
      <c r="F404" s="504"/>
      <c r="G404" s="524"/>
      <c r="H404" s="504"/>
      <c r="I404" s="524"/>
      <c r="J404" s="504"/>
      <c r="K404" s="524"/>
      <c r="L404" s="504"/>
      <c r="M404" s="524"/>
      <c r="N404" s="505"/>
      <c r="O404" s="524"/>
      <c r="P404" s="505"/>
      <c r="Q404" s="46"/>
      <c r="R404" s="50"/>
      <c r="S404" s="46"/>
      <c r="T404" s="50"/>
      <c r="U404" s="46">
        <v>2</v>
      </c>
      <c r="V404" s="50">
        <f>2</f>
        <v>2</v>
      </c>
      <c r="W404" s="46"/>
      <c r="X404" s="50"/>
      <c r="Y404" s="46"/>
      <c r="Z404" s="50"/>
      <c r="AA404" s="46"/>
      <c r="AB404" s="50"/>
      <c r="AC404" s="696">
        <f t="shared" si="42"/>
        <v>2</v>
      </c>
      <c r="AD404" s="50">
        <f t="shared" si="43"/>
        <v>2</v>
      </c>
      <c r="AE404" s="469">
        <f t="shared" si="44"/>
        <v>0</v>
      </c>
      <c r="AF404" s="489"/>
    </row>
    <row r="405" spans="1:32">
      <c r="A405" s="534">
        <v>408</v>
      </c>
      <c r="B405" s="495" t="s">
        <v>1502</v>
      </c>
      <c r="C405" s="499" t="s">
        <v>1536</v>
      </c>
      <c r="D405" s="590">
        <v>0</v>
      </c>
      <c r="E405" s="524"/>
      <c r="F405" s="504"/>
      <c r="G405" s="524"/>
      <c r="H405" s="504"/>
      <c r="I405" s="524"/>
      <c r="J405" s="504"/>
      <c r="K405" s="524"/>
      <c r="L405" s="504"/>
      <c r="M405" s="524"/>
      <c r="N405" s="505"/>
      <c r="O405" s="524"/>
      <c r="P405" s="505"/>
      <c r="Q405" s="46"/>
      <c r="R405" s="50"/>
      <c r="S405" s="46"/>
      <c r="T405" s="50"/>
      <c r="U405" s="46">
        <v>14</v>
      </c>
      <c r="V405" s="50"/>
      <c r="W405" s="46"/>
      <c r="X405" s="50">
        <f>14</f>
        <v>14</v>
      </c>
      <c r="Y405" s="46"/>
      <c r="Z405" s="50"/>
      <c r="AA405" s="46"/>
      <c r="AB405" s="50"/>
      <c r="AC405" s="696">
        <f t="shared" si="42"/>
        <v>14</v>
      </c>
      <c r="AD405" s="50">
        <f t="shared" si="43"/>
        <v>14</v>
      </c>
      <c r="AE405" s="469">
        <f t="shared" si="44"/>
        <v>0</v>
      </c>
      <c r="AF405" s="489"/>
    </row>
    <row r="406" spans="1:32">
      <c r="A406" s="533">
        <v>409</v>
      </c>
      <c r="B406" s="495" t="s">
        <v>1503</v>
      </c>
      <c r="C406" s="499" t="s">
        <v>1537</v>
      </c>
      <c r="D406" s="590">
        <v>0</v>
      </c>
      <c r="E406" s="524"/>
      <c r="F406" s="504"/>
      <c r="G406" s="524"/>
      <c r="H406" s="504"/>
      <c r="I406" s="524"/>
      <c r="J406" s="504"/>
      <c r="K406" s="524"/>
      <c r="L406" s="504"/>
      <c r="M406" s="524"/>
      <c r="N406" s="505"/>
      <c r="O406" s="524"/>
      <c r="P406" s="505"/>
      <c r="Q406" s="46"/>
      <c r="R406" s="50"/>
      <c r="S406" s="46"/>
      <c r="T406" s="50"/>
      <c r="U406" s="46">
        <v>14</v>
      </c>
      <c r="V406" s="50"/>
      <c r="W406" s="46"/>
      <c r="X406" s="50">
        <f>14</f>
        <v>14</v>
      </c>
      <c r="Y406" s="46"/>
      <c r="Z406" s="50"/>
      <c r="AA406" s="46"/>
      <c r="AB406" s="50"/>
      <c r="AC406" s="696">
        <f t="shared" si="42"/>
        <v>14</v>
      </c>
      <c r="AD406" s="50">
        <f t="shared" si="43"/>
        <v>14</v>
      </c>
      <c r="AE406" s="469">
        <f t="shared" si="44"/>
        <v>0</v>
      </c>
      <c r="AF406" s="489"/>
    </row>
    <row r="407" spans="1:32">
      <c r="A407" s="534">
        <v>410</v>
      </c>
      <c r="B407" s="495" t="s">
        <v>1504</v>
      </c>
      <c r="C407" s="499" t="s">
        <v>1538</v>
      </c>
      <c r="D407" s="590">
        <v>0</v>
      </c>
      <c r="E407" s="524"/>
      <c r="F407" s="504"/>
      <c r="G407" s="524"/>
      <c r="H407" s="504"/>
      <c r="I407" s="524"/>
      <c r="J407" s="504"/>
      <c r="K407" s="524"/>
      <c r="L407" s="504"/>
      <c r="M407" s="524"/>
      <c r="N407" s="505"/>
      <c r="O407" s="524"/>
      <c r="P407" s="505"/>
      <c r="Q407" s="46"/>
      <c r="R407" s="50"/>
      <c r="S407" s="46"/>
      <c r="T407" s="50"/>
      <c r="U407" s="46">
        <v>14</v>
      </c>
      <c r="V407" s="50"/>
      <c r="W407" s="46">
        <v>2</v>
      </c>
      <c r="X407" s="50">
        <f>14</f>
        <v>14</v>
      </c>
      <c r="Y407" s="46"/>
      <c r="Z407" s="50"/>
      <c r="AA407" s="46">
        <v>5</v>
      </c>
      <c r="AB407" s="50"/>
      <c r="AC407" s="696">
        <f t="shared" si="42"/>
        <v>21</v>
      </c>
      <c r="AD407" s="50">
        <f t="shared" si="43"/>
        <v>14</v>
      </c>
      <c r="AE407" s="469">
        <f t="shared" si="44"/>
        <v>7</v>
      </c>
      <c r="AF407" s="489"/>
    </row>
    <row r="408" spans="1:32">
      <c r="A408" s="533">
        <v>411</v>
      </c>
      <c r="B408" s="495" t="s">
        <v>1505</v>
      </c>
      <c r="C408" s="499" t="s">
        <v>1539</v>
      </c>
      <c r="D408" s="590">
        <v>0</v>
      </c>
      <c r="E408" s="524"/>
      <c r="F408" s="504"/>
      <c r="G408" s="524"/>
      <c r="H408" s="504"/>
      <c r="I408" s="524"/>
      <c r="J408" s="504"/>
      <c r="K408" s="524"/>
      <c r="L408" s="504"/>
      <c r="M408" s="524"/>
      <c r="N408" s="505"/>
      <c r="O408" s="524"/>
      <c r="P408" s="505"/>
      <c r="Q408" s="46"/>
      <c r="R408" s="50"/>
      <c r="S408" s="46"/>
      <c r="T408" s="50"/>
      <c r="U408" s="46">
        <v>1</v>
      </c>
      <c r="V408" s="50"/>
      <c r="W408" s="46"/>
      <c r="X408" s="50">
        <v>1</v>
      </c>
      <c r="Y408" s="46"/>
      <c r="Z408" s="50"/>
      <c r="AA408" s="46"/>
      <c r="AB408" s="50"/>
      <c r="AC408" s="696">
        <f t="shared" si="42"/>
        <v>1</v>
      </c>
      <c r="AD408" s="50">
        <f t="shared" si="43"/>
        <v>1</v>
      </c>
      <c r="AE408" s="469">
        <f t="shared" si="44"/>
        <v>0</v>
      </c>
      <c r="AF408" s="489"/>
    </row>
    <row r="409" spans="1:32">
      <c r="A409" s="534">
        <v>412</v>
      </c>
      <c r="B409" s="495" t="s">
        <v>1506</v>
      </c>
      <c r="C409" s="499" t="s">
        <v>1540</v>
      </c>
      <c r="D409" s="590">
        <v>0</v>
      </c>
      <c r="E409" s="524"/>
      <c r="F409" s="504"/>
      <c r="G409" s="524"/>
      <c r="H409" s="504"/>
      <c r="I409" s="524"/>
      <c r="J409" s="504"/>
      <c r="K409" s="524"/>
      <c r="L409" s="504"/>
      <c r="M409" s="524"/>
      <c r="N409" s="505"/>
      <c r="O409" s="524"/>
      <c r="P409" s="505"/>
      <c r="Q409" s="46"/>
      <c r="R409" s="50"/>
      <c r="S409" s="46"/>
      <c r="T409" s="50"/>
      <c r="U409" s="46">
        <v>1</v>
      </c>
      <c r="V409" s="50"/>
      <c r="W409" s="46"/>
      <c r="X409" s="50">
        <v>1</v>
      </c>
      <c r="Y409" s="46"/>
      <c r="Z409" s="50"/>
      <c r="AA409" s="46"/>
      <c r="AB409" s="50"/>
      <c r="AC409" s="696">
        <f t="shared" si="42"/>
        <v>1</v>
      </c>
      <c r="AD409" s="50">
        <f t="shared" si="43"/>
        <v>1</v>
      </c>
      <c r="AE409" s="469">
        <f t="shared" si="44"/>
        <v>0</v>
      </c>
      <c r="AF409" s="489"/>
    </row>
    <row r="410" spans="1:32">
      <c r="A410" s="533">
        <v>413</v>
      </c>
      <c r="B410" s="495" t="s">
        <v>1507</v>
      </c>
      <c r="C410" s="499" t="s">
        <v>1541</v>
      </c>
      <c r="D410" s="590">
        <v>0</v>
      </c>
      <c r="E410" s="524"/>
      <c r="F410" s="504"/>
      <c r="G410" s="524"/>
      <c r="H410" s="504"/>
      <c r="I410" s="524"/>
      <c r="J410" s="504"/>
      <c r="K410" s="524"/>
      <c r="L410" s="504"/>
      <c r="M410" s="524"/>
      <c r="N410" s="505"/>
      <c r="O410" s="524"/>
      <c r="P410" s="505"/>
      <c r="Q410" s="46"/>
      <c r="R410" s="50"/>
      <c r="S410" s="46"/>
      <c r="T410" s="50"/>
      <c r="U410" s="46">
        <v>1</v>
      </c>
      <c r="V410" s="50"/>
      <c r="W410" s="46"/>
      <c r="X410" s="50">
        <v>1</v>
      </c>
      <c r="Y410" s="46"/>
      <c r="Z410" s="50"/>
      <c r="AA410" s="46"/>
      <c r="AB410" s="50"/>
      <c r="AC410" s="696">
        <f t="shared" si="42"/>
        <v>1</v>
      </c>
      <c r="AD410" s="50">
        <f t="shared" si="43"/>
        <v>1</v>
      </c>
      <c r="AE410" s="469">
        <f t="shared" si="44"/>
        <v>0</v>
      </c>
      <c r="AF410" s="489"/>
    </row>
    <row r="411" spans="1:32">
      <c r="A411" s="534">
        <v>414</v>
      </c>
      <c r="B411" s="495" t="s">
        <v>1508</v>
      </c>
      <c r="C411" s="499" t="s">
        <v>1542</v>
      </c>
      <c r="D411" s="590">
        <v>0</v>
      </c>
      <c r="E411" s="524"/>
      <c r="F411" s="504"/>
      <c r="G411" s="524"/>
      <c r="H411" s="504"/>
      <c r="I411" s="524"/>
      <c r="J411" s="504"/>
      <c r="K411" s="524"/>
      <c r="L411" s="504"/>
      <c r="M411" s="524"/>
      <c r="N411" s="505"/>
      <c r="O411" s="524"/>
      <c r="P411" s="505"/>
      <c r="Q411" s="46"/>
      <c r="R411" s="50"/>
      <c r="S411" s="46"/>
      <c r="T411" s="50"/>
      <c r="U411" s="46">
        <v>1</v>
      </c>
      <c r="V411" s="50"/>
      <c r="W411" s="46"/>
      <c r="X411" s="50">
        <v>1</v>
      </c>
      <c r="Y411" s="46"/>
      <c r="Z411" s="50"/>
      <c r="AA411" s="46"/>
      <c r="AB411" s="50"/>
      <c r="AC411" s="696">
        <f t="shared" si="42"/>
        <v>1</v>
      </c>
      <c r="AD411" s="50">
        <f t="shared" si="43"/>
        <v>1</v>
      </c>
      <c r="AE411" s="469">
        <f t="shared" si="44"/>
        <v>0</v>
      </c>
      <c r="AF411" s="489"/>
    </row>
    <row r="412" spans="1:32">
      <c r="A412" s="533">
        <v>415</v>
      </c>
      <c r="B412" s="495" t="s">
        <v>1509</v>
      </c>
      <c r="C412" s="499" t="s">
        <v>1543</v>
      </c>
      <c r="D412" s="590">
        <v>0</v>
      </c>
      <c r="E412" s="524"/>
      <c r="F412" s="504"/>
      <c r="G412" s="524"/>
      <c r="H412" s="504"/>
      <c r="I412" s="524"/>
      <c r="J412" s="504"/>
      <c r="K412" s="524"/>
      <c r="L412" s="504"/>
      <c r="M412" s="524"/>
      <c r="N412" s="505"/>
      <c r="O412" s="524"/>
      <c r="P412" s="505"/>
      <c r="Q412" s="46"/>
      <c r="R412" s="50"/>
      <c r="S412" s="46"/>
      <c r="T412" s="50"/>
      <c r="U412" s="46">
        <v>1</v>
      </c>
      <c r="V412" s="50"/>
      <c r="W412" s="46"/>
      <c r="X412" s="50">
        <v>1</v>
      </c>
      <c r="Y412" s="46"/>
      <c r="Z412" s="50"/>
      <c r="AA412" s="46"/>
      <c r="AB412" s="50"/>
      <c r="AC412" s="696">
        <f t="shared" si="42"/>
        <v>1</v>
      </c>
      <c r="AD412" s="50">
        <f t="shared" si="43"/>
        <v>1</v>
      </c>
      <c r="AE412" s="469">
        <f t="shared" si="44"/>
        <v>0</v>
      </c>
      <c r="AF412" s="489"/>
    </row>
    <row r="413" spans="1:32">
      <c r="A413" s="534">
        <v>416</v>
      </c>
      <c r="B413" s="495" t="s">
        <v>1510</v>
      </c>
      <c r="C413" s="499" t="s">
        <v>1544</v>
      </c>
      <c r="D413" s="590">
        <v>0</v>
      </c>
      <c r="E413" s="524"/>
      <c r="F413" s="504"/>
      <c r="G413" s="524"/>
      <c r="H413" s="504"/>
      <c r="I413" s="524"/>
      <c r="J413" s="504"/>
      <c r="K413" s="524"/>
      <c r="L413" s="504"/>
      <c r="M413" s="524"/>
      <c r="N413" s="505"/>
      <c r="O413" s="524"/>
      <c r="P413" s="505"/>
      <c r="Q413" s="46"/>
      <c r="R413" s="50"/>
      <c r="S413" s="46"/>
      <c r="T413" s="50"/>
      <c r="U413" s="46">
        <v>1</v>
      </c>
      <c r="V413" s="50"/>
      <c r="W413" s="46"/>
      <c r="X413" s="50">
        <v>1</v>
      </c>
      <c r="Y413" s="46"/>
      <c r="Z413" s="50"/>
      <c r="AA413" s="46"/>
      <c r="AB413" s="50"/>
      <c r="AC413" s="696">
        <f t="shared" si="42"/>
        <v>1</v>
      </c>
      <c r="AD413" s="50">
        <f t="shared" si="43"/>
        <v>1</v>
      </c>
      <c r="AE413" s="469">
        <f t="shared" si="44"/>
        <v>0</v>
      </c>
      <c r="AF413" s="489"/>
    </row>
    <row r="414" spans="1:32">
      <c r="A414" s="533">
        <v>417</v>
      </c>
      <c r="B414" s="495" t="s">
        <v>1511</v>
      </c>
      <c r="C414" s="499" t="s">
        <v>1545</v>
      </c>
      <c r="D414" s="590">
        <v>0</v>
      </c>
      <c r="E414" s="524"/>
      <c r="F414" s="504"/>
      <c r="G414" s="524"/>
      <c r="H414" s="504"/>
      <c r="I414" s="524"/>
      <c r="J414" s="504"/>
      <c r="K414" s="524"/>
      <c r="L414" s="504"/>
      <c r="M414" s="524"/>
      <c r="N414" s="505"/>
      <c r="O414" s="524"/>
      <c r="P414" s="505"/>
      <c r="Q414" s="46"/>
      <c r="R414" s="50"/>
      <c r="S414" s="46"/>
      <c r="T414" s="50"/>
      <c r="U414" s="46">
        <v>1</v>
      </c>
      <c r="V414" s="50"/>
      <c r="W414" s="46"/>
      <c r="X414" s="50">
        <v>1</v>
      </c>
      <c r="Y414" s="46"/>
      <c r="Z414" s="50"/>
      <c r="AA414" s="46"/>
      <c r="AB414" s="50"/>
      <c r="AC414" s="696">
        <f t="shared" si="42"/>
        <v>1</v>
      </c>
      <c r="AD414" s="50">
        <f t="shared" si="43"/>
        <v>1</v>
      </c>
      <c r="AE414" s="469">
        <f t="shared" si="44"/>
        <v>0</v>
      </c>
      <c r="AF414" s="489"/>
    </row>
    <row r="415" spans="1:32">
      <c r="A415" s="534">
        <v>418</v>
      </c>
      <c r="B415" s="495" t="s">
        <v>1512</v>
      </c>
      <c r="C415" s="499" t="s">
        <v>1546</v>
      </c>
      <c r="D415" s="590">
        <v>0</v>
      </c>
      <c r="E415" s="524"/>
      <c r="F415" s="504"/>
      <c r="G415" s="524"/>
      <c r="H415" s="504"/>
      <c r="I415" s="524"/>
      <c r="J415" s="504"/>
      <c r="K415" s="524"/>
      <c r="L415" s="504"/>
      <c r="M415" s="524"/>
      <c r="N415" s="505"/>
      <c r="O415" s="524"/>
      <c r="P415" s="505"/>
      <c r="Q415" s="46"/>
      <c r="R415" s="50"/>
      <c r="S415" s="46"/>
      <c r="T415" s="50"/>
      <c r="U415" s="46">
        <v>1</v>
      </c>
      <c r="V415" s="50"/>
      <c r="W415" s="46"/>
      <c r="X415" s="50">
        <v>1</v>
      </c>
      <c r="Y415" s="46"/>
      <c r="Z415" s="50"/>
      <c r="AA415" s="46"/>
      <c r="AB415" s="50"/>
      <c r="AC415" s="696">
        <f t="shared" si="42"/>
        <v>1</v>
      </c>
      <c r="AD415" s="50">
        <f t="shared" si="43"/>
        <v>1</v>
      </c>
      <c r="AE415" s="469">
        <f t="shared" si="44"/>
        <v>0</v>
      </c>
      <c r="AF415" s="489"/>
    </row>
    <row r="416" spans="1:32">
      <c r="A416" s="533">
        <v>419</v>
      </c>
      <c r="B416" s="495" t="s">
        <v>1513</v>
      </c>
      <c r="C416" s="499" t="s">
        <v>1547</v>
      </c>
      <c r="D416" s="590">
        <v>0</v>
      </c>
      <c r="E416" s="524"/>
      <c r="F416" s="504"/>
      <c r="G416" s="524"/>
      <c r="H416" s="504"/>
      <c r="I416" s="524"/>
      <c r="J416" s="504"/>
      <c r="K416" s="524"/>
      <c r="L416" s="504"/>
      <c r="M416" s="524"/>
      <c r="N416" s="505"/>
      <c r="O416" s="524"/>
      <c r="P416" s="505"/>
      <c r="Q416" s="46"/>
      <c r="R416" s="50"/>
      <c r="S416" s="46"/>
      <c r="T416" s="50"/>
      <c r="U416" s="46">
        <v>6</v>
      </c>
      <c r="V416" s="50"/>
      <c r="W416" s="46"/>
      <c r="X416" s="50">
        <v>6</v>
      </c>
      <c r="Y416" s="46"/>
      <c r="Z416" s="50"/>
      <c r="AA416" s="46"/>
      <c r="AB416" s="50"/>
      <c r="AC416" s="696">
        <f t="shared" si="42"/>
        <v>6</v>
      </c>
      <c r="AD416" s="50">
        <f t="shared" si="43"/>
        <v>6</v>
      </c>
      <c r="AE416" s="469">
        <f t="shared" si="44"/>
        <v>0</v>
      </c>
      <c r="AF416" s="489"/>
    </row>
    <row r="417" spans="1:32">
      <c r="A417" s="547">
        <v>420</v>
      </c>
      <c r="B417" s="495" t="s">
        <v>1569</v>
      </c>
      <c r="C417" s="499" t="s">
        <v>1570</v>
      </c>
      <c r="D417" s="590">
        <v>0</v>
      </c>
      <c r="E417" s="524"/>
      <c r="F417" s="504"/>
      <c r="G417" s="524"/>
      <c r="H417" s="504"/>
      <c r="I417" s="524"/>
      <c r="J417" s="504"/>
      <c r="K417" s="524"/>
      <c r="L417" s="504"/>
      <c r="M417" s="524"/>
      <c r="N417" s="505"/>
      <c r="O417" s="524"/>
      <c r="P417" s="505"/>
      <c r="Q417" s="46"/>
      <c r="R417" s="50"/>
      <c r="S417" s="46"/>
      <c r="T417" s="50"/>
      <c r="U417" s="46"/>
      <c r="V417" s="50"/>
      <c r="W417" s="46"/>
      <c r="X417" s="50"/>
      <c r="Y417" s="46"/>
      <c r="Z417" s="50"/>
      <c r="AA417" s="46"/>
      <c r="AB417" s="50"/>
      <c r="AC417" s="696">
        <f t="shared" si="42"/>
        <v>0</v>
      </c>
      <c r="AD417" s="50">
        <f t="shared" si="43"/>
        <v>0</v>
      </c>
      <c r="AE417" s="469">
        <f t="shared" si="44"/>
        <v>0</v>
      </c>
      <c r="AF417" s="489"/>
    </row>
    <row r="418" spans="1:32">
      <c r="A418" s="547">
        <v>421</v>
      </c>
      <c r="B418" s="495" t="s">
        <v>1588</v>
      </c>
      <c r="C418" s="331" t="s">
        <v>1589</v>
      </c>
      <c r="D418" s="590">
        <v>0</v>
      </c>
      <c r="E418" s="524"/>
      <c r="F418" s="504"/>
      <c r="G418" s="524"/>
      <c r="H418" s="504"/>
      <c r="I418" s="524"/>
      <c r="J418" s="504"/>
      <c r="K418" s="524"/>
      <c r="L418" s="504"/>
      <c r="M418" s="524"/>
      <c r="N418" s="505"/>
      <c r="O418" s="524"/>
      <c r="P418" s="505"/>
      <c r="Q418" s="46"/>
      <c r="R418" s="50"/>
      <c r="S418" s="46"/>
      <c r="T418" s="50"/>
      <c r="U418" s="46"/>
      <c r="V418" s="50"/>
      <c r="W418" s="46">
        <v>4</v>
      </c>
      <c r="X418" s="50">
        <v>2</v>
      </c>
      <c r="Y418" s="46"/>
      <c r="Z418" s="50">
        <f>2</f>
        <v>2</v>
      </c>
      <c r="AA418" s="46"/>
      <c r="AB418" s="50"/>
      <c r="AC418" s="696">
        <f t="shared" si="42"/>
        <v>4</v>
      </c>
      <c r="AD418" s="50">
        <f t="shared" si="43"/>
        <v>4</v>
      </c>
      <c r="AE418" s="469">
        <f t="shared" si="44"/>
        <v>0</v>
      </c>
      <c r="AF418" s="489"/>
    </row>
    <row r="419" spans="1:32">
      <c r="A419" s="547">
        <v>422</v>
      </c>
      <c r="B419" s="495" t="s">
        <v>1590</v>
      </c>
      <c r="C419" s="331" t="s">
        <v>1591</v>
      </c>
      <c r="D419" s="590">
        <v>0</v>
      </c>
      <c r="E419" s="524"/>
      <c r="F419" s="504"/>
      <c r="G419" s="524"/>
      <c r="H419" s="504"/>
      <c r="I419" s="524"/>
      <c r="J419" s="504"/>
      <c r="K419" s="524"/>
      <c r="L419" s="504"/>
      <c r="M419" s="524"/>
      <c r="N419" s="505"/>
      <c r="O419" s="524"/>
      <c r="P419" s="505"/>
      <c r="Q419" s="46"/>
      <c r="R419" s="50"/>
      <c r="S419" s="46"/>
      <c r="T419" s="50"/>
      <c r="U419" s="46"/>
      <c r="V419" s="50"/>
      <c r="W419" s="46">
        <v>10</v>
      </c>
      <c r="X419" s="50"/>
      <c r="Y419" s="46"/>
      <c r="Z419" s="50"/>
      <c r="AA419" s="46"/>
      <c r="AB419" s="50"/>
      <c r="AC419" s="696">
        <f t="shared" si="42"/>
        <v>10</v>
      </c>
      <c r="AD419" s="50">
        <f t="shared" si="43"/>
        <v>0</v>
      </c>
      <c r="AE419" s="469">
        <f t="shared" si="44"/>
        <v>10</v>
      </c>
      <c r="AF419" s="489"/>
    </row>
    <row r="420" spans="1:32">
      <c r="A420" s="547">
        <v>423</v>
      </c>
      <c r="B420" s="495" t="s">
        <v>1638</v>
      </c>
      <c r="C420" s="331" t="s">
        <v>1640</v>
      </c>
      <c r="D420" s="590">
        <v>0</v>
      </c>
      <c r="E420" s="524"/>
      <c r="F420" s="504"/>
      <c r="G420" s="524"/>
      <c r="H420" s="504"/>
      <c r="I420" s="524"/>
      <c r="J420" s="504"/>
      <c r="K420" s="524"/>
      <c r="L420" s="504"/>
      <c r="M420" s="524"/>
      <c r="N420" s="505"/>
      <c r="O420" s="524"/>
      <c r="P420" s="505"/>
      <c r="Q420" s="46"/>
      <c r="R420" s="50"/>
      <c r="S420" s="46"/>
      <c r="T420" s="50"/>
      <c r="U420" s="46"/>
      <c r="V420" s="50"/>
      <c r="W420" s="46">
        <v>2</v>
      </c>
      <c r="X420" s="50">
        <f>2</f>
        <v>2</v>
      </c>
      <c r="Y420" s="46"/>
      <c r="Z420" s="50"/>
      <c r="AA420" s="46"/>
      <c r="AB420" s="50"/>
      <c r="AC420" s="696">
        <f t="shared" ref="AC420:AC444" si="45">SUM(D420,E420,G420,I420,K420,M420,O420,Q420,S420,U420,W420,Y420,AA420)</f>
        <v>2</v>
      </c>
      <c r="AD420" s="50">
        <f t="shared" ref="AD420:AD444" si="46">SUM(F420,H420,J420,L420,N420,P420,R420,T420,V420,X420,Z420,AB420)</f>
        <v>2</v>
      </c>
      <c r="AE420" s="469">
        <f t="shared" ref="AE420:AE444" si="47">SUM(AC420-AD420)</f>
        <v>0</v>
      </c>
      <c r="AF420" s="489"/>
    </row>
    <row r="421" spans="1:32">
      <c r="A421" s="547">
        <v>424</v>
      </c>
      <c r="B421" s="495" t="s">
        <v>1639</v>
      </c>
      <c r="C421" s="331" t="s">
        <v>1641</v>
      </c>
      <c r="D421" s="590">
        <v>0</v>
      </c>
      <c r="E421" s="524"/>
      <c r="F421" s="504"/>
      <c r="G421" s="524"/>
      <c r="H421" s="504"/>
      <c r="I421" s="524"/>
      <c r="J421" s="504"/>
      <c r="K421" s="524"/>
      <c r="L421" s="504"/>
      <c r="M421" s="524"/>
      <c r="N421" s="505"/>
      <c r="O421" s="524"/>
      <c r="P421" s="505"/>
      <c r="Q421" s="46"/>
      <c r="R421" s="50"/>
      <c r="S421" s="46"/>
      <c r="T421" s="50"/>
      <c r="U421" s="46"/>
      <c r="V421" s="50"/>
      <c r="W421" s="46">
        <v>1</v>
      </c>
      <c r="X421" s="50"/>
      <c r="Y421" s="46"/>
      <c r="Z421" s="50">
        <v>1</v>
      </c>
      <c r="AA421" s="46"/>
      <c r="AB421" s="50"/>
      <c r="AC421" s="696">
        <f t="shared" si="45"/>
        <v>1</v>
      </c>
      <c r="AD421" s="50">
        <f t="shared" si="46"/>
        <v>1</v>
      </c>
      <c r="AE421" s="469">
        <f t="shared" si="47"/>
        <v>0</v>
      </c>
      <c r="AF421" s="489"/>
    </row>
    <row r="422" spans="1:32">
      <c r="A422" s="547">
        <v>425</v>
      </c>
      <c r="B422" s="495" t="s">
        <v>1672</v>
      </c>
      <c r="C422" s="331" t="s">
        <v>1673</v>
      </c>
      <c r="D422" s="590">
        <v>0</v>
      </c>
      <c r="E422" s="524"/>
      <c r="F422" s="504"/>
      <c r="G422" s="524"/>
      <c r="H422" s="504"/>
      <c r="I422" s="524"/>
      <c r="J422" s="504"/>
      <c r="K422" s="524"/>
      <c r="L422" s="504"/>
      <c r="M422" s="524"/>
      <c r="N422" s="505"/>
      <c r="O422" s="524"/>
      <c r="P422" s="505"/>
      <c r="Q422" s="46"/>
      <c r="R422" s="50"/>
      <c r="S422" s="46"/>
      <c r="T422" s="50"/>
      <c r="U422" s="46"/>
      <c r="V422" s="50"/>
      <c r="W422" s="46"/>
      <c r="X422" s="50"/>
      <c r="Y422" s="46">
        <v>1</v>
      </c>
      <c r="Z422" s="50">
        <v>1</v>
      </c>
      <c r="AA422" s="46"/>
      <c r="AB422" s="50"/>
      <c r="AC422" s="696">
        <f t="shared" si="45"/>
        <v>1</v>
      </c>
      <c r="AD422" s="50">
        <f t="shared" si="46"/>
        <v>1</v>
      </c>
      <c r="AE422" s="469">
        <f t="shared" si="47"/>
        <v>0</v>
      </c>
      <c r="AF422" s="489"/>
    </row>
    <row r="423" spans="1:32">
      <c r="A423" s="547">
        <v>426</v>
      </c>
      <c r="B423" s="495" t="s">
        <v>1681</v>
      </c>
      <c r="C423" s="331" t="s">
        <v>1682</v>
      </c>
      <c r="D423" s="590">
        <v>0</v>
      </c>
      <c r="E423" s="524"/>
      <c r="F423" s="504"/>
      <c r="G423" s="524"/>
      <c r="H423" s="504"/>
      <c r="I423" s="524"/>
      <c r="J423" s="504"/>
      <c r="K423" s="524"/>
      <c r="L423" s="504"/>
      <c r="M423" s="524"/>
      <c r="N423" s="505"/>
      <c r="O423" s="524"/>
      <c r="P423" s="505"/>
      <c r="Q423" s="46"/>
      <c r="R423" s="50"/>
      <c r="S423" s="46"/>
      <c r="T423" s="50"/>
      <c r="U423" s="46"/>
      <c r="V423" s="50"/>
      <c r="W423" s="46"/>
      <c r="X423" s="50"/>
      <c r="Y423" s="46">
        <v>1</v>
      </c>
      <c r="Z423" s="50">
        <v>1</v>
      </c>
      <c r="AA423" s="46"/>
      <c r="AB423" s="50"/>
      <c r="AC423" s="696">
        <f t="shared" si="45"/>
        <v>1</v>
      </c>
      <c r="AD423" s="50">
        <f t="shared" si="46"/>
        <v>1</v>
      </c>
      <c r="AE423" s="469">
        <f t="shared" si="47"/>
        <v>0</v>
      </c>
      <c r="AF423" s="489"/>
    </row>
    <row r="424" spans="1:32">
      <c r="A424" s="547">
        <v>427</v>
      </c>
      <c r="B424" s="495" t="s">
        <v>1786</v>
      </c>
      <c r="C424" s="331" t="s">
        <v>1725</v>
      </c>
      <c r="D424" s="590">
        <v>0</v>
      </c>
      <c r="E424" s="524"/>
      <c r="F424" s="504"/>
      <c r="G424" s="524"/>
      <c r="H424" s="504"/>
      <c r="I424" s="524"/>
      <c r="J424" s="504"/>
      <c r="K424" s="524"/>
      <c r="L424" s="504"/>
      <c r="M424" s="524"/>
      <c r="N424" s="505"/>
      <c r="O424" s="524"/>
      <c r="P424" s="505"/>
      <c r="Q424" s="46"/>
      <c r="R424" s="50"/>
      <c r="S424" s="46"/>
      <c r="T424" s="50"/>
      <c r="U424" s="46"/>
      <c r="V424" s="50"/>
      <c r="W424" s="46"/>
      <c r="X424" s="50"/>
      <c r="Y424" s="46">
        <v>1</v>
      </c>
      <c r="Z424" s="50">
        <v>1</v>
      </c>
      <c r="AA424" s="46"/>
      <c r="AB424" s="50"/>
      <c r="AC424" s="696">
        <f t="shared" si="45"/>
        <v>1</v>
      </c>
      <c r="AD424" s="50">
        <f t="shared" si="46"/>
        <v>1</v>
      </c>
      <c r="AE424" s="469">
        <f t="shared" si="47"/>
        <v>0</v>
      </c>
      <c r="AF424" s="489"/>
    </row>
    <row r="425" spans="1:32">
      <c r="A425" s="547">
        <v>428</v>
      </c>
      <c r="B425" s="495" t="s">
        <v>1726</v>
      </c>
      <c r="C425" s="331" t="s">
        <v>1727</v>
      </c>
      <c r="D425" s="590">
        <v>0</v>
      </c>
      <c r="E425" s="524"/>
      <c r="F425" s="504"/>
      <c r="G425" s="524"/>
      <c r="H425" s="504"/>
      <c r="I425" s="524"/>
      <c r="J425" s="504"/>
      <c r="K425" s="524"/>
      <c r="L425" s="504"/>
      <c r="M425" s="524"/>
      <c r="N425" s="505"/>
      <c r="O425" s="524"/>
      <c r="P425" s="505"/>
      <c r="Q425" s="46"/>
      <c r="R425" s="50"/>
      <c r="S425" s="46"/>
      <c r="T425" s="50"/>
      <c r="U425" s="46"/>
      <c r="V425" s="50"/>
      <c r="W425" s="46"/>
      <c r="X425" s="50"/>
      <c r="Y425" s="46">
        <v>1</v>
      </c>
      <c r="Z425" s="50">
        <v>1</v>
      </c>
      <c r="AA425" s="46"/>
      <c r="AB425" s="50"/>
      <c r="AC425" s="696">
        <f t="shared" si="45"/>
        <v>1</v>
      </c>
      <c r="AD425" s="50">
        <f t="shared" si="46"/>
        <v>1</v>
      </c>
      <c r="AE425" s="469">
        <f t="shared" si="47"/>
        <v>0</v>
      </c>
      <c r="AF425" s="489"/>
    </row>
    <row r="426" spans="1:32">
      <c r="A426" s="547">
        <v>429</v>
      </c>
      <c r="B426" s="495" t="s">
        <v>1728</v>
      </c>
      <c r="C426" s="331" t="s">
        <v>1729</v>
      </c>
      <c r="D426" s="590">
        <v>0</v>
      </c>
      <c r="E426" s="524"/>
      <c r="F426" s="504"/>
      <c r="G426" s="524"/>
      <c r="H426" s="504"/>
      <c r="I426" s="524"/>
      <c r="J426" s="504"/>
      <c r="K426" s="524"/>
      <c r="L426" s="504"/>
      <c r="M426" s="524"/>
      <c r="N426" s="505"/>
      <c r="O426" s="524"/>
      <c r="P426" s="505"/>
      <c r="Q426" s="46"/>
      <c r="R426" s="50"/>
      <c r="S426" s="46"/>
      <c r="T426" s="50"/>
      <c r="U426" s="46"/>
      <c r="V426" s="50"/>
      <c r="W426" s="46"/>
      <c r="X426" s="50"/>
      <c r="Y426" s="46">
        <v>1</v>
      </c>
      <c r="Z426" s="50">
        <v>1</v>
      </c>
      <c r="AA426" s="46"/>
      <c r="AB426" s="50"/>
      <c r="AC426" s="696">
        <f t="shared" si="45"/>
        <v>1</v>
      </c>
      <c r="AD426" s="50">
        <f t="shared" si="46"/>
        <v>1</v>
      </c>
      <c r="AE426" s="469">
        <f t="shared" si="47"/>
        <v>0</v>
      </c>
      <c r="AF426" s="489"/>
    </row>
    <row r="427" spans="1:32">
      <c r="A427" s="547">
        <v>430</v>
      </c>
      <c r="B427" s="495" t="s">
        <v>1730</v>
      </c>
      <c r="C427" s="331" t="s">
        <v>1731</v>
      </c>
      <c r="D427" s="590">
        <v>0</v>
      </c>
      <c r="E427" s="524"/>
      <c r="F427" s="504"/>
      <c r="G427" s="524"/>
      <c r="H427" s="504"/>
      <c r="I427" s="524"/>
      <c r="J427" s="504"/>
      <c r="K427" s="524"/>
      <c r="L427" s="504"/>
      <c r="M427" s="524"/>
      <c r="N427" s="505"/>
      <c r="O427" s="524"/>
      <c r="P427" s="505"/>
      <c r="Q427" s="46"/>
      <c r="R427" s="50"/>
      <c r="S427" s="46"/>
      <c r="T427" s="50"/>
      <c r="U427" s="46"/>
      <c r="V427" s="50"/>
      <c r="W427" s="46"/>
      <c r="X427" s="50"/>
      <c r="Y427" s="46">
        <v>1</v>
      </c>
      <c r="Z427" s="50">
        <v>1</v>
      </c>
      <c r="AA427" s="46"/>
      <c r="AB427" s="50"/>
      <c r="AC427" s="696">
        <f t="shared" si="45"/>
        <v>1</v>
      </c>
      <c r="AD427" s="50">
        <f t="shared" si="46"/>
        <v>1</v>
      </c>
      <c r="AE427" s="469">
        <f t="shared" si="47"/>
        <v>0</v>
      </c>
      <c r="AF427" s="489"/>
    </row>
    <row r="428" spans="1:32">
      <c r="A428" s="547">
        <v>431</v>
      </c>
      <c r="B428" s="495" t="s">
        <v>1732</v>
      </c>
      <c r="C428" s="331" t="s">
        <v>1733</v>
      </c>
      <c r="D428" s="590">
        <v>0</v>
      </c>
      <c r="E428" s="524"/>
      <c r="F428" s="504"/>
      <c r="G428" s="524"/>
      <c r="H428" s="504"/>
      <c r="I428" s="524"/>
      <c r="J428" s="504"/>
      <c r="K428" s="524"/>
      <c r="L428" s="504"/>
      <c r="M428" s="524"/>
      <c r="N428" s="505"/>
      <c r="O428" s="524"/>
      <c r="P428" s="505"/>
      <c r="Q428" s="46"/>
      <c r="R428" s="50"/>
      <c r="S428" s="46"/>
      <c r="T428" s="50"/>
      <c r="U428" s="46"/>
      <c r="V428" s="50"/>
      <c r="W428" s="46"/>
      <c r="X428" s="50"/>
      <c r="Y428" s="46">
        <v>1</v>
      </c>
      <c r="Z428" s="50">
        <v>1</v>
      </c>
      <c r="AA428" s="46"/>
      <c r="AB428" s="50"/>
      <c r="AC428" s="696">
        <f t="shared" si="45"/>
        <v>1</v>
      </c>
      <c r="AD428" s="50">
        <f t="shared" si="46"/>
        <v>1</v>
      </c>
      <c r="AE428" s="469">
        <f t="shared" si="47"/>
        <v>0</v>
      </c>
      <c r="AF428" s="489"/>
    </row>
    <row r="429" spans="1:32">
      <c r="A429" s="547">
        <v>432</v>
      </c>
      <c r="B429" s="495" t="s">
        <v>1734</v>
      </c>
      <c r="C429" s="331" t="s">
        <v>1735</v>
      </c>
      <c r="D429" s="590">
        <v>0</v>
      </c>
      <c r="E429" s="524"/>
      <c r="F429" s="504"/>
      <c r="G429" s="524"/>
      <c r="H429" s="504"/>
      <c r="I429" s="524"/>
      <c r="J429" s="504"/>
      <c r="K429" s="524"/>
      <c r="L429" s="504"/>
      <c r="M429" s="524"/>
      <c r="N429" s="505"/>
      <c r="O429" s="524"/>
      <c r="P429" s="505"/>
      <c r="Q429" s="46"/>
      <c r="R429" s="50"/>
      <c r="S429" s="46"/>
      <c r="T429" s="50"/>
      <c r="U429" s="46"/>
      <c r="V429" s="50"/>
      <c r="W429" s="46"/>
      <c r="X429" s="50"/>
      <c r="Y429" s="46">
        <v>1</v>
      </c>
      <c r="Z429" s="50">
        <v>1</v>
      </c>
      <c r="AA429" s="46"/>
      <c r="AB429" s="50"/>
      <c r="AC429" s="696">
        <f t="shared" si="45"/>
        <v>1</v>
      </c>
      <c r="AD429" s="50">
        <f t="shared" si="46"/>
        <v>1</v>
      </c>
      <c r="AE429" s="469">
        <f t="shared" si="47"/>
        <v>0</v>
      </c>
      <c r="AF429" s="489"/>
    </row>
    <row r="430" spans="1:32">
      <c r="A430" s="547">
        <v>433</v>
      </c>
      <c r="B430" s="495" t="s">
        <v>1736</v>
      </c>
      <c r="C430" s="331" t="s">
        <v>1737</v>
      </c>
      <c r="D430" s="590">
        <v>0</v>
      </c>
      <c r="E430" s="524"/>
      <c r="F430" s="504"/>
      <c r="G430" s="524"/>
      <c r="H430" s="504"/>
      <c r="I430" s="524"/>
      <c r="J430" s="504"/>
      <c r="K430" s="524"/>
      <c r="L430" s="504"/>
      <c r="M430" s="524"/>
      <c r="N430" s="505"/>
      <c r="O430" s="524"/>
      <c r="P430" s="505"/>
      <c r="Q430" s="46"/>
      <c r="R430" s="50"/>
      <c r="S430" s="46"/>
      <c r="T430" s="50"/>
      <c r="U430" s="46"/>
      <c r="V430" s="50"/>
      <c r="W430" s="46"/>
      <c r="X430" s="50"/>
      <c r="Y430" s="46">
        <v>1</v>
      </c>
      <c r="Z430" s="50">
        <v>1</v>
      </c>
      <c r="AA430" s="46"/>
      <c r="AB430" s="50"/>
      <c r="AC430" s="696">
        <f t="shared" si="45"/>
        <v>1</v>
      </c>
      <c r="AD430" s="50">
        <f t="shared" si="46"/>
        <v>1</v>
      </c>
      <c r="AE430" s="469">
        <f t="shared" si="47"/>
        <v>0</v>
      </c>
      <c r="AF430" s="489"/>
    </row>
    <row r="431" spans="1:32">
      <c r="A431" s="547">
        <v>434</v>
      </c>
      <c r="B431" s="495" t="s">
        <v>1787</v>
      </c>
      <c r="C431" s="331" t="s">
        <v>1738</v>
      </c>
      <c r="D431" s="590">
        <v>0</v>
      </c>
      <c r="E431" s="524"/>
      <c r="F431" s="504"/>
      <c r="G431" s="524"/>
      <c r="H431" s="504"/>
      <c r="I431" s="524"/>
      <c r="J431" s="504"/>
      <c r="K431" s="524"/>
      <c r="L431" s="504"/>
      <c r="M431" s="524"/>
      <c r="N431" s="505"/>
      <c r="O431" s="524"/>
      <c r="P431" s="505"/>
      <c r="Q431" s="46"/>
      <c r="R431" s="50"/>
      <c r="S431" s="46"/>
      <c r="T431" s="50"/>
      <c r="U431" s="46"/>
      <c r="V431" s="50"/>
      <c r="W431" s="46"/>
      <c r="X431" s="50"/>
      <c r="Y431" s="46">
        <v>1</v>
      </c>
      <c r="Z431" s="50">
        <v>1</v>
      </c>
      <c r="AA431" s="46"/>
      <c r="AB431" s="50"/>
      <c r="AC431" s="696">
        <f t="shared" si="45"/>
        <v>1</v>
      </c>
      <c r="AD431" s="50">
        <f t="shared" si="46"/>
        <v>1</v>
      </c>
      <c r="AE431" s="469">
        <f t="shared" si="47"/>
        <v>0</v>
      </c>
      <c r="AF431" s="489"/>
    </row>
    <row r="432" spans="1:32">
      <c r="A432" s="547">
        <v>435</v>
      </c>
      <c r="B432" s="495" t="s">
        <v>1739</v>
      </c>
      <c r="C432" s="331" t="s">
        <v>1740</v>
      </c>
      <c r="D432" s="590">
        <v>0</v>
      </c>
      <c r="E432" s="524"/>
      <c r="F432" s="504"/>
      <c r="G432" s="524"/>
      <c r="H432" s="504"/>
      <c r="I432" s="524"/>
      <c r="J432" s="504"/>
      <c r="K432" s="524"/>
      <c r="L432" s="504"/>
      <c r="M432" s="524"/>
      <c r="N432" s="505"/>
      <c r="O432" s="524"/>
      <c r="P432" s="505"/>
      <c r="Q432" s="46"/>
      <c r="R432" s="50"/>
      <c r="S432" s="46"/>
      <c r="T432" s="50"/>
      <c r="U432" s="46"/>
      <c r="V432" s="50"/>
      <c r="W432" s="46"/>
      <c r="X432" s="50"/>
      <c r="Y432" s="46">
        <v>1</v>
      </c>
      <c r="Z432" s="50">
        <v>1</v>
      </c>
      <c r="AA432" s="46"/>
      <c r="AB432" s="50"/>
      <c r="AC432" s="696">
        <f t="shared" si="45"/>
        <v>1</v>
      </c>
      <c r="AD432" s="50">
        <f t="shared" si="46"/>
        <v>1</v>
      </c>
      <c r="AE432" s="469">
        <f t="shared" si="47"/>
        <v>0</v>
      </c>
      <c r="AF432" s="489"/>
    </row>
    <row r="433" spans="1:32">
      <c r="A433" s="547">
        <v>436</v>
      </c>
      <c r="B433" s="495" t="s">
        <v>1730</v>
      </c>
      <c r="C433" s="331" t="s">
        <v>1731</v>
      </c>
      <c r="D433" s="590">
        <v>0</v>
      </c>
      <c r="E433" s="524"/>
      <c r="F433" s="504"/>
      <c r="G433" s="524"/>
      <c r="H433" s="504"/>
      <c r="I433" s="524"/>
      <c r="J433" s="504"/>
      <c r="K433" s="524"/>
      <c r="L433" s="504"/>
      <c r="M433" s="524"/>
      <c r="N433" s="505"/>
      <c r="O433" s="524"/>
      <c r="P433" s="505"/>
      <c r="Q433" s="46"/>
      <c r="R433" s="50"/>
      <c r="S433" s="46"/>
      <c r="T433" s="50"/>
      <c r="U433" s="46"/>
      <c r="V433" s="50"/>
      <c r="W433" s="46"/>
      <c r="X433" s="50"/>
      <c r="Y433" s="46">
        <v>1</v>
      </c>
      <c r="Z433" s="50">
        <v>1</v>
      </c>
      <c r="AA433" s="46"/>
      <c r="AB433" s="50"/>
      <c r="AC433" s="696">
        <f t="shared" si="45"/>
        <v>1</v>
      </c>
      <c r="AD433" s="50">
        <f t="shared" si="46"/>
        <v>1</v>
      </c>
      <c r="AE433" s="469">
        <f t="shared" si="47"/>
        <v>0</v>
      </c>
      <c r="AF433" s="489"/>
    </row>
    <row r="434" spans="1:32">
      <c r="A434" s="547">
        <v>437</v>
      </c>
      <c r="B434" s="495" t="s">
        <v>1741</v>
      </c>
      <c r="C434" s="331" t="s">
        <v>1742</v>
      </c>
      <c r="D434" s="590">
        <v>0</v>
      </c>
      <c r="E434" s="524"/>
      <c r="F434" s="504"/>
      <c r="G434" s="524"/>
      <c r="H434" s="504"/>
      <c r="I434" s="524"/>
      <c r="J434" s="504"/>
      <c r="K434" s="524"/>
      <c r="L434" s="504"/>
      <c r="M434" s="524"/>
      <c r="N434" s="505"/>
      <c r="O434" s="524"/>
      <c r="P434" s="505"/>
      <c r="Q434" s="46"/>
      <c r="R434" s="50"/>
      <c r="S434" s="46"/>
      <c r="T434" s="50"/>
      <c r="U434" s="46"/>
      <c r="V434" s="50"/>
      <c r="W434" s="46"/>
      <c r="X434" s="50"/>
      <c r="Y434" s="46">
        <v>1</v>
      </c>
      <c r="Z434" s="50">
        <v>1</v>
      </c>
      <c r="AA434" s="46"/>
      <c r="AB434" s="50"/>
      <c r="AC434" s="696">
        <f t="shared" si="45"/>
        <v>1</v>
      </c>
      <c r="AD434" s="50">
        <f t="shared" si="46"/>
        <v>1</v>
      </c>
      <c r="AE434" s="469">
        <f t="shared" si="47"/>
        <v>0</v>
      </c>
      <c r="AF434" s="489"/>
    </row>
    <row r="435" spans="1:32">
      <c r="A435" s="547">
        <v>438</v>
      </c>
      <c r="B435" s="495" t="s">
        <v>1743</v>
      </c>
      <c r="C435" s="331" t="s">
        <v>1744</v>
      </c>
      <c r="D435" s="590">
        <v>0</v>
      </c>
      <c r="E435" s="524"/>
      <c r="F435" s="504"/>
      <c r="G435" s="524"/>
      <c r="H435" s="504"/>
      <c r="I435" s="524"/>
      <c r="J435" s="504"/>
      <c r="K435" s="524"/>
      <c r="L435" s="504"/>
      <c r="M435" s="524"/>
      <c r="N435" s="505"/>
      <c r="O435" s="524"/>
      <c r="P435" s="505"/>
      <c r="Q435" s="46"/>
      <c r="R435" s="50"/>
      <c r="S435" s="46"/>
      <c r="T435" s="50"/>
      <c r="U435" s="46"/>
      <c r="V435" s="50"/>
      <c r="W435" s="46"/>
      <c r="X435" s="50"/>
      <c r="Y435" s="46">
        <v>1</v>
      </c>
      <c r="Z435" s="50">
        <v>1</v>
      </c>
      <c r="AA435" s="46"/>
      <c r="AB435" s="50"/>
      <c r="AC435" s="696">
        <f t="shared" si="45"/>
        <v>1</v>
      </c>
      <c r="AD435" s="50">
        <f t="shared" si="46"/>
        <v>1</v>
      </c>
      <c r="AE435" s="469">
        <f t="shared" si="47"/>
        <v>0</v>
      </c>
      <c r="AF435" s="489"/>
    </row>
    <row r="436" spans="1:32">
      <c r="A436" s="547">
        <v>439</v>
      </c>
      <c r="B436" s="495" t="s">
        <v>1773</v>
      </c>
      <c r="C436" s="331" t="s">
        <v>1774</v>
      </c>
      <c r="D436" s="590">
        <v>0</v>
      </c>
      <c r="E436" s="524"/>
      <c r="F436" s="504"/>
      <c r="G436" s="524"/>
      <c r="H436" s="504"/>
      <c r="I436" s="524"/>
      <c r="J436" s="504"/>
      <c r="K436" s="524"/>
      <c r="L436" s="504"/>
      <c r="M436" s="524"/>
      <c r="N436" s="505"/>
      <c r="O436" s="524"/>
      <c r="P436" s="505"/>
      <c r="Q436" s="46"/>
      <c r="R436" s="50"/>
      <c r="S436" s="46"/>
      <c r="T436" s="50"/>
      <c r="U436" s="46"/>
      <c r="V436" s="50"/>
      <c r="W436" s="46"/>
      <c r="X436" s="50"/>
      <c r="Y436" s="46">
        <v>2</v>
      </c>
      <c r="Z436" s="50">
        <v>2</v>
      </c>
      <c r="AA436" s="46"/>
      <c r="AB436" s="50"/>
      <c r="AC436" s="696">
        <f t="shared" si="45"/>
        <v>2</v>
      </c>
      <c r="AD436" s="50">
        <f t="shared" si="46"/>
        <v>2</v>
      </c>
      <c r="AE436" s="469">
        <f t="shared" si="47"/>
        <v>0</v>
      </c>
      <c r="AF436" s="489"/>
    </row>
    <row r="437" spans="1:32">
      <c r="A437" s="547">
        <v>440</v>
      </c>
      <c r="B437" s="495" t="s">
        <v>1828</v>
      </c>
      <c r="C437" s="331" t="s">
        <v>1828</v>
      </c>
      <c r="D437" s="590">
        <v>0</v>
      </c>
      <c r="E437" s="524"/>
      <c r="F437" s="504"/>
      <c r="G437" s="524"/>
      <c r="H437" s="504"/>
      <c r="I437" s="524"/>
      <c r="J437" s="504"/>
      <c r="K437" s="524"/>
      <c r="L437" s="504"/>
      <c r="M437" s="524"/>
      <c r="N437" s="505"/>
      <c r="O437" s="524"/>
      <c r="P437" s="505"/>
      <c r="Q437" s="46"/>
      <c r="R437" s="50"/>
      <c r="S437" s="46"/>
      <c r="T437" s="50"/>
      <c r="U437" s="46"/>
      <c r="V437" s="50"/>
      <c r="W437" s="46"/>
      <c r="X437" s="50"/>
      <c r="Y437" s="46">
        <v>4</v>
      </c>
      <c r="Z437" s="50">
        <v>4</v>
      </c>
      <c r="AA437" s="46"/>
      <c r="AB437" s="50"/>
      <c r="AC437" s="696">
        <f t="shared" si="45"/>
        <v>4</v>
      </c>
      <c r="AD437" s="50">
        <f t="shared" si="46"/>
        <v>4</v>
      </c>
      <c r="AE437" s="469">
        <f t="shared" si="47"/>
        <v>0</v>
      </c>
      <c r="AF437" s="489"/>
    </row>
    <row r="438" spans="1:32">
      <c r="A438" s="547">
        <v>441</v>
      </c>
      <c r="B438" s="495" t="s">
        <v>1829</v>
      </c>
      <c r="C438" s="331" t="s">
        <v>1829</v>
      </c>
      <c r="D438" s="590">
        <v>0</v>
      </c>
      <c r="E438" s="524"/>
      <c r="F438" s="504"/>
      <c r="G438" s="524"/>
      <c r="H438" s="504"/>
      <c r="I438" s="524"/>
      <c r="J438" s="504"/>
      <c r="K438" s="524"/>
      <c r="L438" s="504"/>
      <c r="M438" s="524"/>
      <c r="N438" s="505"/>
      <c r="O438" s="524"/>
      <c r="P438" s="505"/>
      <c r="Q438" s="46"/>
      <c r="R438" s="50"/>
      <c r="S438" s="46"/>
      <c r="T438" s="50"/>
      <c r="U438" s="46"/>
      <c r="V438" s="50"/>
      <c r="W438" s="46"/>
      <c r="X438" s="50"/>
      <c r="Y438" s="46">
        <v>4</v>
      </c>
      <c r="Z438" s="50">
        <v>4</v>
      </c>
      <c r="AA438" s="46"/>
      <c r="AB438" s="50"/>
      <c r="AC438" s="696">
        <f t="shared" si="45"/>
        <v>4</v>
      </c>
      <c r="AD438" s="50">
        <f t="shared" si="46"/>
        <v>4</v>
      </c>
      <c r="AE438" s="469">
        <f t="shared" si="47"/>
        <v>0</v>
      </c>
      <c r="AF438" s="489"/>
    </row>
    <row r="439" spans="1:32">
      <c r="A439" s="547">
        <v>442</v>
      </c>
      <c r="B439" s="495" t="s">
        <v>1830</v>
      </c>
      <c r="C439" s="331" t="s">
        <v>1830</v>
      </c>
      <c r="D439" s="590">
        <v>0</v>
      </c>
      <c r="E439" s="524"/>
      <c r="F439" s="504"/>
      <c r="G439" s="524"/>
      <c r="H439" s="504"/>
      <c r="I439" s="524"/>
      <c r="J439" s="504"/>
      <c r="K439" s="524"/>
      <c r="L439" s="504"/>
      <c r="M439" s="524"/>
      <c r="N439" s="505"/>
      <c r="O439" s="524"/>
      <c r="P439" s="505"/>
      <c r="Q439" s="46"/>
      <c r="R439" s="50"/>
      <c r="S439" s="46"/>
      <c r="T439" s="50"/>
      <c r="U439" s="46"/>
      <c r="V439" s="50"/>
      <c r="W439" s="46"/>
      <c r="X439" s="50"/>
      <c r="Y439" s="46">
        <v>5</v>
      </c>
      <c r="Z439" s="50">
        <v>5</v>
      </c>
      <c r="AA439" s="46"/>
      <c r="AB439" s="50"/>
      <c r="AC439" s="696">
        <f t="shared" si="45"/>
        <v>5</v>
      </c>
      <c r="AD439" s="50">
        <f t="shared" si="46"/>
        <v>5</v>
      </c>
      <c r="AE439" s="469">
        <f t="shared" si="47"/>
        <v>0</v>
      </c>
      <c r="AF439" s="489"/>
    </row>
    <row r="440" spans="1:32">
      <c r="A440" s="547">
        <v>443</v>
      </c>
      <c r="B440" s="495" t="s">
        <v>1831</v>
      </c>
      <c r="C440" s="331" t="s">
        <v>1831</v>
      </c>
      <c r="D440" s="590">
        <v>0</v>
      </c>
      <c r="E440" s="524"/>
      <c r="F440" s="504"/>
      <c r="G440" s="524"/>
      <c r="H440" s="504"/>
      <c r="I440" s="524"/>
      <c r="J440" s="504"/>
      <c r="K440" s="524"/>
      <c r="L440" s="504"/>
      <c r="M440" s="524"/>
      <c r="N440" s="505"/>
      <c r="O440" s="524"/>
      <c r="P440" s="505"/>
      <c r="Q440" s="46"/>
      <c r="R440" s="50"/>
      <c r="S440" s="46"/>
      <c r="T440" s="50"/>
      <c r="U440" s="46"/>
      <c r="V440" s="50"/>
      <c r="W440" s="46"/>
      <c r="X440" s="50"/>
      <c r="Y440" s="46">
        <v>5</v>
      </c>
      <c r="Z440" s="50">
        <v>5</v>
      </c>
      <c r="AA440" s="46"/>
      <c r="AB440" s="50"/>
      <c r="AC440" s="696">
        <f t="shared" si="45"/>
        <v>5</v>
      </c>
      <c r="AD440" s="50">
        <f t="shared" si="46"/>
        <v>5</v>
      </c>
      <c r="AE440" s="469">
        <f t="shared" si="47"/>
        <v>0</v>
      </c>
      <c r="AF440" s="489"/>
    </row>
    <row r="441" spans="1:32">
      <c r="A441" s="547">
        <v>444</v>
      </c>
      <c r="B441" s="495" t="s">
        <v>1832</v>
      </c>
      <c r="C441" s="331" t="s">
        <v>1832</v>
      </c>
      <c r="D441" s="590">
        <v>0</v>
      </c>
      <c r="E441" s="524"/>
      <c r="F441" s="504"/>
      <c r="G441" s="524"/>
      <c r="H441" s="504"/>
      <c r="I441" s="524"/>
      <c r="J441" s="504"/>
      <c r="K441" s="524"/>
      <c r="L441" s="504"/>
      <c r="M441" s="524"/>
      <c r="N441" s="505"/>
      <c r="O441" s="524"/>
      <c r="P441" s="505"/>
      <c r="Q441" s="46"/>
      <c r="R441" s="50"/>
      <c r="S441" s="46"/>
      <c r="T441" s="50"/>
      <c r="U441" s="46"/>
      <c r="V441" s="50"/>
      <c r="W441" s="46"/>
      <c r="X441" s="50"/>
      <c r="Y441" s="46">
        <v>5</v>
      </c>
      <c r="Z441" s="50">
        <v>5</v>
      </c>
      <c r="AA441" s="46"/>
      <c r="AB441" s="50"/>
      <c r="AC441" s="696">
        <f t="shared" si="45"/>
        <v>5</v>
      </c>
      <c r="AD441" s="50">
        <f t="shared" si="46"/>
        <v>5</v>
      </c>
      <c r="AE441" s="469">
        <f t="shared" si="47"/>
        <v>0</v>
      </c>
      <c r="AF441" s="489"/>
    </row>
    <row r="442" spans="1:32">
      <c r="A442" s="547">
        <v>445</v>
      </c>
      <c r="B442" s="495" t="s">
        <v>1833</v>
      </c>
      <c r="C442" s="331" t="s">
        <v>1833</v>
      </c>
      <c r="D442" s="590">
        <v>0</v>
      </c>
      <c r="E442" s="524"/>
      <c r="F442" s="504"/>
      <c r="G442" s="524"/>
      <c r="H442" s="504"/>
      <c r="I442" s="524"/>
      <c r="J442" s="504"/>
      <c r="K442" s="524"/>
      <c r="L442" s="504"/>
      <c r="M442" s="524"/>
      <c r="N442" s="505"/>
      <c r="O442" s="524"/>
      <c r="P442" s="505"/>
      <c r="Q442" s="46"/>
      <c r="R442" s="50"/>
      <c r="S442" s="46"/>
      <c r="T442" s="50"/>
      <c r="U442" s="46"/>
      <c r="V442" s="50"/>
      <c r="W442" s="46"/>
      <c r="X442" s="50"/>
      <c r="Y442" s="46">
        <v>5</v>
      </c>
      <c r="Z442" s="50">
        <v>5</v>
      </c>
      <c r="AA442" s="46"/>
      <c r="AB442" s="50"/>
      <c r="AC442" s="696">
        <f t="shared" si="45"/>
        <v>5</v>
      </c>
      <c r="AD442" s="50">
        <f t="shared" si="46"/>
        <v>5</v>
      </c>
      <c r="AE442" s="469">
        <f t="shared" si="47"/>
        <v>0</v>
      </c>
      <c r="AF442" s="489"/>
    </row>
    <row r="443" spans="1:32">
      <c r="A443" s="547">
        <v>446</v>
      </c>
      <c r="B443" s="495" t="s">
        <v>1834</v>
      </c>
      <c r="C443" s="331" t="s">
        <v>1834</v>
      </c>
      <c r="D443" s="590">
        <v>0</v>
      </c>
      <c r="E443" s="524"/>
      <c r="F443" s="504"/>
      <c r="G443" s="524"/>
      <c r="H443" s="504"/>
      <c r="I443" s="524"/>
      <c r="J443" s="504"/>
      <c r="K443" s="524"/>
      <c r="L443" s="504"/>
      <c r="M443" s="524"/>
      <c r="N443" s="505"/>
      <c r="O443" s="524"/>
      <c r="P443" s="505"/>
      <c r="Q443" s="46"/>
      <c r="R443" s="50"/>
      <c r="S443" s="46"/>
      <c r="T443" s="50"/>
      <c r="U443" s="46"/>
      <c r="V443" s="50"/>
      <c r="W443" s="46"/>
      <c r="X443" s="50"/>
      <c r="Y443" s="46">
        <v>5</v>
      </c>
      <c r="Z443" s="50">
        <v>5</v>
      </c>
      <c r="AA443" s="46"/>
      <c r="AB443" s="50"/>
      <c r="AC443" s="696">
        <f t="shared" si="45"/>
        <v>5</v>
      </c>
      <c r="AD443" s="50">
        <f t="shared" si="46"/>
        <v>5</v>
      </c>
      <c r="AE443" s="469">
        <f t="shared" si="47"/>
        <v>0</v>
      </c>
      <c r="AF443" s="489"/>
    </row>
    <row r="444" spans="1:32">
      <c r="A444" s="547">
        <v>447</v>
      </c>
      <c r="B444" s="495" t="s">
        <v>1835</v>
      </c>
      <c r="C444" s="331" t="s">
        <v>1835</v>
      </c>
      <c r="D444" s="590">
        <v>0</v>
      </c>
      <c r="E444" s="524"/>
      <c r="F444" s="504"/>
      <c r="G444" s="524"/>
      <c r="H444" s="504"/>
      <c r="I444" s="524"/>
      <c r="J444" s="504"/>
      <c r="K444" s="524"/>
      <c r="L444" s="504"/>
      <c r="M444" s="524"/>
      <c r="N444" s="505"/>
      <c r="O444" s="524"/>
      <c r="P444" s="505"/>
      <c r="Q444" s="46"/>
      <c r="R444" s="50"/>
      <c r="S444" s="46"/>
      <c r="T444" s="50"/>
      <c r="U444" s="46"/>
      <c r="V444" s="50"/>
      <c r="W444" s="46"/>
      <c r="X444" s="50"/>
      <c r="Y444" s="46">
        <v>5</v>
      </c>
      <c r="Z444" s="50">
        <v>5</v>
      </c>
      <c r="AA444" s="46"/>
      <c r="AB444" s="50"/>
      <c r="AC444" s="696">
        <f t="shared" si="45"/>
        <v>5</v>
      </c>
      <c r="AD444" s="50">
        <f t="shared" si="46"/>
        <v>5</v>
      </c>
      <c r="AE444" s="469">
        <f t="shared" si="47"/>
        <v>0</v>
      </c>
      <c r="AF444" s="489"/>
    </row>
    <row r="445" spans="1:32">
      <c r="A445" s="547">
        <v>448</v>
      </c>
      <c r="B445" s="495" t="s">
        <v>1859</v>
      </c>
      <c r="C445" s="331" t="s">
        <v>1860</v>
      </c>
      <c r="D445" s="590">
        <v>0</v>
      </c>
      <c r="E445" s="524"/>
      <c r="F445" s="504"/>
      <c r="G445" s="524"/>
      <c r="H445" s="504"/>
      <c r="I445" s="524"/>
      <c r="J445" s="504"/>
      <c r="K445" s="524"/>
      <c r="L445" s="504"/>
      <c r="M445" s="524"/>
      <c r="N445" s="505"/>
      <c r="O445" s="524"/>
      <c r="P445" s="505"/>
      <c r="Q445" s="46"/>
      <c r="R445" s="50"/>
      <c r="S445" s="46"/>
      <c r="T445" s="50"/>
      <c r="U445" s="46"/>
      <c r="V445" s="50"/>
      <c r="W445" s="46"/>
      <c r="X445" s="50"/>
      <c r="Y445" s="46"/>
      <c r="Z445" s="50"/>
      <c r="AA445" s="46">
        <v>1</v>
      </c>
      <c r="AB445" s="50">
        <v>1</v>
      </c>
      <c r="AC445" s="696">
        <f t="shared" ref="AC445:AC453" si="48">SUM(D445,E445,G445,I445,K445,M445,O445,Q445,S445,U445,W445,Y445,AA445)</f>
        <v>1</v>
      </c>
      <c r="AD445" s="50">
        <f t="shared" ref="AD445:AD453" si="49">SUM(F445,H445,J445,L445,N445,P445,R445,T445,V445,X445,Z445,AB445)</f>
        <v>1</v>
      </c>
      <c r="AE445" s="469">
        <f t="shared" ref="AE445:AE453" si="50">SUM(AC445-AD445)</f>
        <v>0</v>
      </c>
      <c r="AF445" s="489"/>
    </row>
    <row r="446" spans="1:32">
      <c r="A446" s="547">
        <v>449</v>
      </c>
      <c r="B446" s="495" t="s">
        <v>1861</v>
      </c>
      <c r="C446" s="331" t="s">
        <v>1862</v>
      </c>
      <c r="D446" s="590">
        <v>0</v>
      </c>
      <c r="E446" s="524"/>
      <c r="F446" s="504"/>
      <c r="G446" s="524"/>
      <c r="H446" s="504"/>
      <c r="I446" s="524"/>
      <c r="J446" s="504"/>
      <c r="K446" s="524"/>
      <c r="L446" s="504"/>
      <c r="M446" s="524"/>
      <c r="N446" s="505"/>
      <c r="O446" s="524"/>
      <c r="P446" s="505"/>
      <c r="Q446" s="46"/>
      <c r="R446" s="50"/>
      <c r="S446" s="46"/>
      <c r="T446" s="50"/>
      <c r="U446" s="46"/>
      <c r="V446" s="50"/>
      <c r="W446" s="46"/>
      <c r="X446" s="50"/>
      <c r="Y446" s="46"/>
      <c r="Z446" s="50"/>
      <c r="AA446" s="46">
        <v>6</v>
      </c>
      <c r="AB446" s="50">
        <v>6</v>
      </c>
      <c r="AC446" s="696">
        <f t="shared" si="48"/>
        <v>6</v>
      </c>
      <c r="AD446" s="50">
        <f t="shared" si="49"/>
        <v>6</v>
      </c>
      <c r="AE446" s="469">
        <f t="shared" si="50"/>
        <v>0</v>
      </c>
      <c r="AF446" s="489"/>
    </row>
    <row r="447" spans="1:32">
      <c r="A447" s="547">
        <v>450</v>
      </c>
      <c r="B447" s="495" t="s">
        <v>1863</v>
      </c>
      <c r="C447" s="331" t="s">
        <v>1864</v>
      </c>
      <c r="D447" s="590">
        <v>0</v>
      </c>
      <c r="E447" s="524"/>
      <c r="F447" s="504"/>
      <c r="G447" s="524"/>
      <c r="H447" s="504"/>
      <c r="I447" s="524"/>
      <c r="J447" s="504"/>
      <c r="K447" s="524"/>
      <c r="L447" s="504"/>
      <c r="M447" s="524"/>
      <c r="N447" s="505"/>
      <c r="O447" s="524"/>
      <c r="P447" s="505"/>
      <c r="Q447" s="46"/>
      <c r="R447" s="50"/>
      <c r="S447" s="46"/>
      <c r="T447" s="50"/>
      <c r="U447" s="46"/>
      <c r="V447" s="50"/>
      <c r="W447" s="46"/>
      <c r="X447" s="50"/>
      <c r="Y447" s="46"/>
      <c r="Z447" s="50"/>
      <c r="AA447" s="46">
        <v>12</v>
      </c>
      <c r="AB447" s="50">
        <v>12</v>
      </c>
      <c r="AC447" s="696">
        <f t="shared" si="48"/>
        <v>12</v>
      </c>
      <c r="AD447" s="50">
        <f t="shared" si="49"/>
        <v>12</v>
      </c>
      <c r="AE447" s="469">
        <f t="shared" si="50"/>
        <v>0</v>
      </c>
      <c r="AF447" s="489"/>
    </row>
    <row r="448" spans="1:32">
      <c r="A448" s="547">
        <v>451</v>
      </c>
      <c r="B448" s="495" t="s">
        <v>1865</v>
      </c>
      <c r="C448" s="331" t="s">
        <v>1866</v>
      </c>
      <c r="D448" s="590">
        <v>0</v>
      </c>
      <c r="E448" s="524"/>
      <c r="F448" s="504"/>
      <c r="G448" s="524"/>
      <c r="H448" s="504"/>
      <c r="I448" s="524"/>
      <c r="J448" s="504"/>
      <c r="K448" s="524"/>
      <c r="L448" s="504"/>
      <c r="M448" s="524"/>
      <c r="N448" s="505"/>
      <c r="O448" s="524"/>
      <c r="P448" s="505"/>
      <c r="Q448" s="46"/>
      <c r="R448" s="50"/>
      <c r="S448" s="46"/>
      <c r="T448" s="50"/>
      <c r="U448" s="46"/>
      <c r="V448" s="50"/>
      <c r="W448" s="46"/>
      <c r="X448" s="50"/>
      <c r="Y448" s="46"/>
      <c r="Z448" s="50"/>
      <c r="AA448" s="46">
        <v>48</v>
      </c>
      <c r="AB448" s="50">
        <v>48</v>
      </c>
      <c r="AC448" s="696">
        <f t="shared" si="48"/>
        <v>48</v>
      </c>
      <c r="AD448" s="50">
        <f t="shared" si="49"/>
        <v>48</v>
      </c>
      <c r="AE448" s="469">
        <f t="shared" si="50"/>
        <v>0</v>
      </c>
      <c r="AF448" s="489"/>
    </row>
    <row r="449" spans="1:32">
      <c r="A449" s="547">
        <v>452</v>
      </c>
      <c r="B449" s="495" t="s">
        <v>1872</v>
      </c>
      <c r="C449" s="331" t="s">
        <v>1871</v>
      </c>
      <c r="D449" s="590">
        <v>0</v>
      </c>
      <c r="E449" s="524"/>
      <c r="F449" s="504"/>
      <c r="G449" s="524"/>
      <c r="H449" s="504"/>
      <c r="I449" s="524"/>
      <c r="J449" s="504"/>
      <c r="K449" s="524"/>
      <c r="L449" s="504"/>
      <c r="M449" s="524"/>
      <c r="N449" s="505"/>
      <c r="O449" s="524"/>
      <c r="P449" s="505"/>
      <c r="Q449" s="46"/>
      <c r="R449" s="50"/>
      <c r="S449" s="46"/>
      <c r="T449" s="50"/>
      <c r="U449" s="46"/>
      <c r="V449" s="50"/>
      <c r="W449" s="46"/>
      <c r="X449" s="50"/>
      <c r="Y449" s="46"/>
      <c r="Z449" s="50"/>
      <c r="AA449" s="46">
        <v>40</v>
      </c>
      <c r="AB449" s="50">
        <v>40</v>
      </c>
      <c r="AC449" s="696">
        <f t="shared" si="48"/>
        <v>40</v>
      </c>
      <c r="AD449" s="50">
        <f t="shared" si="49"/>
        <v>40</v>
      </c>
      <c r="AE449" s="469">
        <f t="shared" si="50"/>
        <v>0</v>
      </c>
      <c r="AF449" s="489"/>
    </row>
    <row r="450" spans="1:32">
      <c r="A450" s="547">
        <v>453</v>
      </c>
      <c r="B450" s="495" t="s">
        <v>1904</v>
      </c>
      <c r="C450" s="331" t="s">
        <v>1905</v>
      </c>
      <c r="D450" s="590">
        <v>0</v>
      </c>
      <c r="E450" s="524"/>
      <c r="F450" s="504"/>
      <c r="G450" s="524"/>
      <c r="H450" s="504"/>
      <c r="I450" s="524"/>
      <c r="J450" s="504"/>
      <c r="K450" s="524"/>
      <c r="L450" s="504"/>
      <c r="M450" s="524"/>
      <c r="N450" s="505"/>
      <c r="O450" s="524"/>
      <c r="P450" s="505"/>
      <c r="Q450" s="46"/>
      <c r="R450" s="50"/>
      <c r="S450" s="46"/>
      <c r="T450" s="50"/>
      <c r="U450" s="46"/>
      <c r="V450" s="50"/>
      <c r="W450" s="46"/>
      <c r="X450" s="50"/>
      <c r="Y450" s="46"/>
      <c r="Z450" s="50"/>
      <c r="AA450" s="46">
        <v>50</v>
      </c>
      <c r="AB450" s="50"/>
      <c r="AC450" s="696">
        <f t="shared" si="48"/>
        <v>50</v>
      </c>
      <c r="AD450" s="50">
        <f t="shared" si="49"/>
        <v>0</v>
      </c>
      <c r="AE450" s="469">
        <f t="shared" si="50"/>
        <v>50</v>
      </c>
      <c r="AF450" s="489"/>
    </row>
    <row r="451" spans="1:32">
      <c r="A451" s="547">
        <v>454</v>
      </c>
      <c r="B451" s="495" t="s">
        <v>1906</v>
      </c>
      <c r="C451" s="331" t="s">
        <v>1907</v>
      </c>
      <c r="D451" s="590">
        <v>0</v>
      </c>
      <c r="E451" s="524"/>
      <c r="F451" s="504"/>
      <c r="G451" s="524"/>
      <c r="H451" s="504"/>
      <c r="I451" s="524"/>
      <c r="J451" s="504"/>
      <c r="K451" s="524"/>
      <c r="L451" s="504"/>
      <c r="M451" s="524"/>
      <c r="N451" s="505"/>
      <c r="O451" s="524"/>
      <c r="P451" s="505"/>
      <c r="Q451" s="46"/>
      <c r="R451" s="50"/>
      <c r="S451" s="46"/>
      <c r="T451" s="50"/>
      <c r="U451" s="46"/>
      <c r="V451" s="50"/>
      <c r="W451" s="46"/>
      <c r="X451" s="50"/>
      <c r="Y451" s="46"/>
      <c r="Z451" s="50"/>
      <c r="AA451" s="46">
        <v>10</v>
      </c>
      <c r="AB451" s="50"/>
      <c r="AC451" s="696">
        <f t="shared" si="48"/>
        <v>10</v>
      </c>
      <c r="AD451" s="50">
        <f t="shared" si="49"/>
        <v>0</v>
      </c>
      <c r="AE451" s="469">
        <f t="shared" si="50"/>
        <v>10</v>
      </c>
      <c r="AF451" s="489"/>
    </row>
    <row r="452" spans="1:32">
      <c r="A452" s="547">
        <v>455</v>
      </c>
      <c r="B452" s="495" t="s">
        <v>1896</v>
      </c>
      <c r="C452" s="331" t="s">
        <v>1908</v>
      </c>
      <c r="D452" s="590">
        <v>0</v>
      </c>
      <c r="E452" s="524"/>
      <c r="F452" s="504"/>
      <c r="G452" s="524"/>
      <c r="H452" s="504"/>
      <c r="I452" s="524"/>
      <c r="J452" s="504"/>
      <c r="K452" s="524"/>
      <c r="L452" s="504"/>
      <c r="M452" s="524"/>
      <c r="N452" s="505"/>
      <c r="O452" s="524"/>
      <c r="P452" s="505"/>
      <c r="Q452" s="46"/>
      <c r="R452" s="50"/>
      <c r="S452" s="46"/>
      <c r="T452" s="50"/>
      <c r="U452" s="46"/>
      <c r="V452" s="50"/>
      <c r="W452" s="46"/>
      <c r="X452" s="50"/>
      <c r="Y452" s="46"/>
      <c r="Z452" s="50"/>
      <c r="AA452" s="46">
        <v>10</v>
      </c>
      <c r="AB452" s="50">
        <v>10</v>
      </c>
      <c r="AC452" s="696">
        <f t="shared" si="48"/>
        <v>10</v>
      </c>
      <c r="AD452" s="50">
        <f t="shared" si="49"/>
        <v>10</v>
      </c>
      <c r="AE452" s="469">
        <f t="shared" si="50"/>
        <v>0</v>
      </c>
      <c r="AF452" s="489"/>
    </row>
    <row r="453" spans="1:32">
      <c r="A453" s="547">
        <v>456</v>
      </c>
      <c r="B453" s="495" t="s">
        <v>1897</v>
      </c>
      <c r="C453" s="331" t="s">
        <v>1909</v>
      </c>
      <c r="D453" s="590">
        <v>0</v>
      </c>
      <c r="E453" s="524"/>
      <c r="F453" s="504"/>
      <c r="G453" s="524"/>
      <c r="H453" s="504"/>
      <c r="I453" s="524"/>
      <c r="J453" s="504"/>
      <c r="K453" s="524"/>
      <c r="L453" s="504"/>
      <c r="M453" s="524"/>
      <c r="N453" s="505"/>
      <c r="O453" s="524"/>
      <c r="P453" s="505"/>
      <c r="Q453" s="46"/>
      <c r="R453" s="50"/>
      <c r="S453" s="46"/>
      <c r="T453" s="50"/>
      <c r="U453" s="46"/>
      <c r="V453" s="50"/>
      <c r="W453" s="46"/>
      <c r="X453" s="50"/>
      <c r="Y453" s="46"/>
      <c r="Z453" s="50"/>
      <c r="AA453" s="46">
        <v>30</v>
      </c>
      <c r="AB453" s="50">
        <v>30</v>
      </c>
      <c r="AC453" s="696">
        <f t="shared" si="48"/>
        <v>30</v>
      </c>
      <c r="AD453" s="50">
        <f t="shared" si="49"/>
        <v>30</v>
      </c>
      <c r="AE453" s="469">
        <f t="shared" si="50"/>
        <v>0</v>
      </c>
      <c r="AF453" s="489"/>
    </row>
    <row r="454" spans="1:32">
      <c r="A454" s="547"/>
      <c r="B454" s="495"/>
      <c r="C454" s="331"/>
      <c r="D454" s="590"/>
      <c r="E454" s="524"/>
      <c r="F454" s="504"/>
      <c r="G454" s="524"/>
      <c r="H454" s="504"/>
      <c r="I454" s="524"/>
      <c r="J454" s="504"/>
      <c r="K454" s="524"/>
      <c r="L454" s="504"/>
      <c r="M454" s="524"/>
      <c r="N454" s="505"/>
      <c r="O454" s="524"/>
      <c r="P454" s="505"/>
      <c r="Q454" s="46"/>
      <c r="R454" s="50"/>
      <c r="S454" s="46"/>
      <c r="T454" s="50"/>
      <c r="U454" s="46"/>
      <c r="V454" s="50"/>
      <c r="W454" s="46"/>
      <c r="X454" s="50"/>
      <c r="Y454" s="46"/>
      <c r="Z454" s="50"/>
      <c r="AA454" s="46"/>
      <c r="AB454" s="50"/>
      <c r="AC454" s="696"/>
      <c r="AD454" s="50"/>
      <c r="AE454" s="637"/>
      <c r="AF454" s="489"/>
    </row>
    <row r="455" spans="1:32">
      <c r="A455" s="547"/>
      <c r="B455" s="495"/>
      <c r="C455" s="331"/>
      <c r="D455" s="590"/>
      <c r="E455" s="524"/>
      <c r="F455" s="504"/>
      <c r="G455" s="524"/>
      <c r="H455" s="504"/>
      <c r="I455" s="524"/>
      <c r="J455" s="504"/>
      <c r="K455" s="524"/>
      <c r="L455" s="504"/>
      <c r="M455" s="524"/>
      <c r="N455" s="505"/>
      <c r="O455" s="524"/>
      <c r="P455" s="505"/>
      <c r="Q455" s="46"/>
      <c r="R455" s="50"/>
      <c r="S455" s="46"/>
      <c r="T455" s="50"/>
      <c r="U455" s="46"/>
      <c r="V455" s="50"/>
      <c r="W455" s="46"/>
      <c r="X455" s="50"/>
      <c r="Y455" s="46"/>
      <c r="Z455" s="50"/>
      <c r="AA455" s="46"/>
      <c r="AB455" s="50"/>
      <c r="AC455" s="696"/>
      <c r="AD455" s="50"/>
      <c r="AE455" s="637"/>
      <c r="AF455" s="489"/>
    </row>
    <row r="456" spans="1:32">
      <c r="A456" s="547"/>
      <c r="B456" s="495"/>
      <c r="C456" s="331"/>
      <c r="D456" s="590"/>
      <c r="E456" s="524"/>
      <c r="F456" s="504"/>
      <c r="G456" s="524"/>
      <c r="H456" s="504"/>
      <c r="I456" s="524"/>
      <c r="J456" s="504"/>
      <c r="K456" s="524"/>
      <c r="L456" s="504"/>
      <c r="M456" s="524"/>
      <c r="N456" s="505"/>
      <c r="O456" s="524"/>
      <c r="P456" s="505"/>
      <c r="Q456" s="46"/>
      <c r="R456" s="50"/>
      <c r="S456" s="46"/>
      <c r="T456" s="50"/>
      <c r="U456" s="46"/>
      <c r="V456" s="50"/>
      <c r="W456" s="46"/>
      <c r="X456" s="50"/>
      <c r="Y456" s="46"/>
      <c r="Z456" s="50"/>
      <c r="AA456" s="46"/>
      <c r="AB456" s="50"/>
      <c r="AC456" s="696"/>
      <c r="AD456" s="50"/>
      <c r="AE456" s="637"/>
      <c r="AF456" s="489"/>
    </row>
    <row r="457" spans="1:32">
      <c r="A457" s="547"/>
      <c r="B457" s="495"/>
      <c r="C457" s="331"/>
      <c r="D457" s="590"/>
      <c r="E457" s="524"/>
      <c r="F457" s="504"/>
      <c r="G457" s="524"/>
      <c r="H457" s="504"/>
      <c r="I457" s="524"/>
      <c r="J457" s="504"/>
      <c r="K457" s="524"/>
      <c r="L457" s="504"/>
      <c r="M457" s="524"/>
      <c r="N457" s="505"/>
      <c r="O457" s="524"/>
      <c r="P457" s="505"/>
      <c r="Q457" s="46"/>
      <c r="R457" s="50"/>
      <c r="S457" s="46"/>
      <c r="T457" s="50"/>
      <c r="U457" s="46"/>
      <c r="V457" s="50"/>
      <c r="W457" s="46"/>
      <c r="X457" s="50"/>
      <c r="Y457" s="46"/>
      <c r="Z457" s="50"/>
      <c r="AA457" s="46"/>
      <c r="AB457" s="50"/>
      <c r="AC457" s="696"/>
      <c r="AD457" s="50"/>
      <c r="AE457" s="637"/>
      <c r="AF457" s="489"/>
    </row>
    <row r="458" spans="1:32">
      <c r="A458" s="547"/>
      <c r="B458" s="495"/>
      <c r="C458" s="331"/>
      <c r="D458" s="590"/>
      <c r="E458" s="524"/>
      <c r="F458" s="504"/>
      <c r="G458" s="524"/>
      <c r="H458" s="504"/>
      <c r="I458" s="524"/>
      <c r="J458" s="504"/>
      <c r="K458" s="524"/>
      <c r="L458" s="504"/>
      <c r="M458" s="524"/>
      <c r="N458" s="505"/>
      <c r="O458" s="524"/>
      <c r="P458" s="505"/>
      <c r="Q458" s="46"/>
      <c r="R458" s="50"/>
      <c r="S458" s="46"/>
      <c r="T458" s="50"/>
      <c r="U458" s="46"/>
      <c r="V458" s="50"/>
      <c r="W458" s="46"/>
      <c r="X458" s="50"/>
      <c r="Y458" s="46"/>
      <c r="Z458" s="50"/>
      <c r="AA458" s="46"/>
      <c r="AB458" s="50"/>
      <c r="AC458" s="696"/>
      <c r="AD458" s="50"/>
      <c r="AE458" s="637"/>
      <c r="AF458" s="489"/>
    </row>
    <row r="459" spans="1:32">
      <c r="A459" s="541"/>
      <c r="B459" s="495"/>
      <c r="C459" s="499"/>
      <c r="D459" s="590"/>
      <c r="E459" s="524"/>
      <c r="F459" s="504"/>
      <c r="G459" s="524"/>
      <c r="H459" s="504"/>
      <c r="I459" s="524"/>
      <c r="J459" s="504"/>
      <c r="K459" s="524"/>
      <c r="L459" s="504"/>
      <c r="M459" s="524"/>
      <c r="N459" s="505"/>
      <c r="O459" s="524"/>
      <c r="P459" s="505"/>
      <c r="Q459" s="46"/>
      <c r="R459" s="50"/>
      <c r="S459" s="46"/>
      <c r="T459" s="50"/>
      <c r="U459" s="46"/>
      <c r="V459" s="50"/>
      <c r="W459" s="46"/>
      <c r="X459" s="50"/>
      <c r="Y459" s="46"/>
      <c r="Z459" s="50"/>
      <c r="AA459" s="46"/>
      <c r="AB459" s="50"/>
      <c r="AC459" s="696"/>
      <c r="AD459" s="50"/>
      <c r="AE459" s="637"/>
      <c r="AF459" s="489"/>
    </row>
    <row r="460" spans="1:32">
      <c r="A460" s="542"/>
      <c r="B460" s="544"/>
      <c r="C460" s="543"/>
      <c r="D460" s="595"/>
      <c r="E460" s="524"/>
      <c r="F460" s="504"/>
      <c r="G460" s="524"/>
      <c r="H460" s="504"/>
      <c r="I460" s="524"/>
      <c r="J460" s="504"/>
      <c r="K460" s="524"/>
      <c r="L460" s="504"/>
      <c r="M460" s="545"/>
      <c r="N460" s="512"/>
      <c r="O460" s="545"/>
      <c r="P460" s="512"/>
      <c r="Q460" s="47"/>
      <c r="R460" s="51"/>
      <c r="S460" s="47"/>
      <c r="T460" s="51"/>
      <c r="U460" s="47"/>
      <c r="V460" s="51"/>
      <c r="W460" s="47"/>
      <c r="X460" s="51"/>
      <c r="Y460" s="47"/>
      <c r="Z460" s="51"/>
      <c r="AA460" s="47"/>
      <c r="AB460" s="51"/>
      <c r="AC460" s="122"/>
      <c r="AD460" s="51"/>
      <c r="AE460" s="638"/>
      <c r="AF460" s="489"/>
    </row>
    <row r="461" spans="1:32" ht="15" thickBot="1">
      <c r="A461" s="691">
        <f>SUBTOTAL(3,A2:A290)</f>
        <v>289</v>
      </c>
      <c r="B461" s="691" t="s">
        <v>2177</v>
      </c>
      <c r="C461" s="646"/>
      <c r="D461" s="691">
        <f>SUBTOTAL(9,D2:D459)</f>
        <v>13268</v>
      </c>
      <c r="E461" s="644">
        <f t="shared" ref="E461:L461" si="51">SUBTOTAL(9,E2:E275)</f>
        <v>942</v>
      </c>
      <c r="F461" s="465">
        <f t="shared" si="51"/>
        <v>742</v>
      </c>
      <c r="G461" s="465">
        <f t="shared" si="51"/>
        <v>1066</v>
      </c>
      <c r="H461" s="465">
        <f t="shared" si="51"/>
        <v>1339</v>
      </c>
      <c r="I461" s="465">
        <f t="shared" si="51"/>
        <v>565</v>
      </c>
      <c r="J461" s="465">
        <f t="shared" si="51"/>
        <v>550</v>
      </c>
      <c r="K461" s="465">
        <f t="shared" si="51"/>
        <v>1042</v>
      </c>
      <c r="L461" s="465">
        <f t="shared" si="51"/>
        <v>250</v>
      </c>
      <c r="M461" s="531">
        <f t="shared" ref="M461:U461" si="52">SUBTOTAL(9,M2:M459)</f>
        <v>206</v>
      </c>
      <c r="N461" s="531">
        <f t="shared" si="52"/>
        <v>1192</v>
      </c>
      <c r="O461" s="531">
        <f t="shared" si="52"/>
        <v>313</v>
      </c>
      <c r="P461" s="531">
        <f t="shared" si="52"/>
        <v>263</v>
      </c>
      <c r="Q461" s="531">
        <f t="shared" si="52"/>
        <v>2038</v>
      </c>
      <c r="R461" s="643">
        <f t="shared" si="52"/>
        <v>777</v>
      </c>
      <c r="S461" s="645">
        <f t="shared" si="52"/>
        <v>336</v>
      </c>
      <c r="T461" s="645">
        <f t="shared" si="52"/>
        <v>406</v>
      </c>
      <c r="U461" s="645">
        <f t="shared" si="52"/>
        <v>413</v>
      </c>
      <c r="V461" s="647"/>
      <c r="W461" s="645">
        <f>SUBTOTAL(9,W2:W459)</f>
        <v>351</v>
      </c>
      <c r="X461" s="645">
        <f>SUBTOTAL(9,X2:X459)</f>
        <v>1089</v>
      </c>
      <c r="Y461" s="691">
        <f>SUBTOTAL(9,Y2:Y459)</f>
        <v>63</v>
      </c>
      <c r="Z461" s="712">
        <f>SUBTOTAL(9,Z2:Z459)</f>
        <v>401</v>
      </c>
      <c r="AA461" s="691">
        <f>SUBTOTAL(9,AA2:AA459)</f>
        <v>696</v>
      </c>
      <c r="AB461" s="699">
        <v>288</v>
      </c>
      <c r="AC461" s="691">
        <f>SUBTOTAL(9,AC2:AC459)</f>
        <v>21299</v>
      </c>
      <c r="AD461" s="712">
        <f>SUBTOTAL(9,AD2:AD459)</f>
        <v>8237</v>
      </c>
      <c r="AE461" s="691">
        <f>SUBTOTAL(9,AE2:AE460)</f>
        <v>13062</v>
      </c>
      <c r="AF461" s="489"/>
    </row>
    <row r="462" spans="1:32">
      <c r="F462" s="522"/>
      <c r="H462" s="522"/>
      <c r="J462" s="522"/>
      <c r="L462" s="522"/>
      <c r="AF462" s="489"/>
    </row>
    <row r="466" spans="1:32">
      <c r="N466" s="520">
        <f>1</f>
        <v>1</v>
      </c>
      <c r="AF466" s="489"/>
    </row>
    <row r="467" spans="1:32" ht="14.1" customHeight="1">
      <c r="A467" s="489"/>
      <c r="AF467" s="489"/>
    </row>
    <row r="468" spans="1:32">
      <c r="A468" s="489"/>
      <c r="AF468" s="489"/>
    </row>
    <row r="469" spans="1:32">
      <c r="A469" s="489"/>
      <c r="AF469" s="489"/>
    </row>
  </sheetData>
  <conditionalFormatting sqref="C461:C1048576">
    <cfRule type="duplicateValues" dxfId="18" priority="17"/>
  </conditionalFormatting>
  <conditionalFormatting sqref="C110">
    <cfRule type="duplicateValues" dxfId="17" priority="16"/>
  </conditionalFormatting>
  <conditionalFormatting sqref="B100">
    <cfRule type="duplicateValues" priority="3"/>
  </conditionalFormatting>
  <conditionalFormatting sqref="B99">
    <cfRule type="duplicateValues" priority="4"/>
  </conditionalFormatting>
  <conditionalFormatting sqref="B101">
    <cfRule type="duplicateValues" priority="5"/>
  </conditionalFormatting>
  <conditionalFormatting sqref="B102">
    <cfRule type="duplicateValues" priority="6"/>
  </conditionalFormatting>
  <conditionalFormatting sqref="B103">
    <cfRule type="duplicateValues" dxfId="16" priority="7"/>
  </conditionalFormatting>
  <conditionalFormatting sqref="B103">
    <cfRule type="duplicateValues" priority="8"/>
  </conditionalFormatting>
  <conditionalFormatting sqref="B104:B106">
    <cfRule type="duplicateValues" priority="9"/>
  </conditionalFormatting>
  <conditionalFormatting sqref="B110">
    <cfRule type="duplicateValues" dxfId="15" priority="10"/>
  </conditionalFormatting>
  <conditionalFormatting sqref="B111:B114">
    <cfRule type="duplicateValues" priority="11"/>
  </conditionalFormatting>
  <conditionalFormatting sqref="B107">
    <cfRule type="duplicateValues" priority="12"/>
  </conditionalFormatting>
  <conditionalFormatting sqref="B146:B147">
    <cfRule type="duplicateValues" priority="13"/>
  </conditionalFormatting>
  <conditionalFormatting sqref="B175:B207">
    <cfRule type="duplicateValues" priority="14"/>
  </conditionalFormatting>
  <conditionalFormatting sqref="B214">
    <cfRule type="duplicateValues" priority="2"/>
  </conditionalFormatting>
  <conditionalFormatting sqref="B275">
    <cfRule type="duplicateValues" priority="1"/>
  </conditionalFormatting>
  <conditionalFormatting sqref="B208:B213 B148:B174 B115:B145 B215:B274 B276:B460">
    <cfRule type="duplicateValues" priority="239"/>
  </conditionalFormatting>
  <pageMargins left="0.70866141732283505" right="0.70866141732283505" top="0.99003149599999996" bottom="0.74803149606299202" header="0.31496062992126" footer="0.31496062992126"/>
  <pageSetup paperSize="9" scale="31" fitToHeight="0" orientation="portrait" r:id="rId1"/>
  <headerFooter>
    <oddHeader>&amp;L&amp;G</oddHeader>
  </headerFooter>
  <ignoredErrors>
    <ignoredError sqref="G207 L25 V124 Z27" formula="1"/>
  </ignoredErrors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0"/>
  <sheetViews>
    <sheetView topLeftCell="A84" workbookViewId="0">
      <selection activeCell="B110" sqref="B110"/>
    </sheetView>
  </sheetViews>
  <sheetFormatPr defaultRowHeight="14.4"/>
  <cols>
    <col min="2" max="2" width="19.44140625" bestFit="1" customWidth="1"/>
    <col min="3" max="3" width="53.6640625" customWidth="1"/>
  </cols>
  <sheetData>
    <row r="1" spans="1:31" ht="29.4" thickBot="1">
      <c r="A1" s="850" t="s">
        <v>0</v>
      </c>
      <c r="B1" s="851" t="s">
        <v>2</v>
      </c>
      <c r="C1" s="760" t="s">
        <v>1</v>
      </c>
      <c r="D1" s="852" t="s">
        <v>278</v>
      </c>
      <c r="E1" s="899" t="s">
        <v>2015</v>
      </c>
      <c r="F1" s="900" t="s">
        <v>2016</v>
      </c>
      <c r="G1" s="899" t="s">
        <v>2017</v>
      </c>
      <c r="H1" s="900" t="s">
        <v>2018</v>
      </c>
      <c r="I1" s="899" t="s">
        <v>2019</v>
      </c>
      <c r="J1" s="901" t="s">
        <v>2020</v>
      </c>
      <c r="K1" s="902" t="s">
        <v>2021</v>
      </c>
      <c r="L1" s="903" t="s">
        <v>2022</v>
      </c>
      <c r="M1" s="904" t="s">
        <v>2023</v>
      </c>
      <c r="N1" s="905" t="s">
        <v>2024</v>
      </c>
      <c r="O1" s="906" t="s">
        <v>2025</v>
      </c>
      <c r="P1" s="905" t="s">
        <v>2026</v>
      </c>
      <c r="Q1" s="906" t="s">
        <v>2027</v>
      </c>
      <c r="R1" s="907" t="s">
        <v>2028</v>
      </c>
      <c r="S1" s="906" t="s">
        <v>2029</v>
      </c>
      <c r="T1" s="908" t="s">
        <v>2030</v>
      </c>
      <c r="U1" s="909" t="s">
        <v>2031</v>
      </c>
      <c r="V1" s="910" t="s">
        <v>2032</v>
      </c>
      <c r="W1" s="909" t="s">
        <v>2033</v>
      </c>
      <c r="X1" s="910" t="s">
        <v>2034</v>
      </c>
      <c r="Y1" s="909" t="s">
        <v>2035</v>
      </c>
      <c r="Z1" s="910" t="s">
        <v>2036</v>
      </c>
      <c r="AA1" s="909" t="s">
        <v>2037</v>
      </c>
      <c r="AB1" s="911" t="s">
        <v>2038</v>
      </c>
      <c r="AC1" s="912" t="s">
        <v>21</v>
      </c>
      <c r="AD1" s="913" t="s">
        <v>22</v>
      </c>
      <c r="AE1" s="914" t="s">
        <v>23</v>
      </c>
    </row>
    <row r="2" spans="1:31">
      <c r="A2" s="804">
        <v>1</v>
      </c>
      <c r="B2" s="805" t="s">
        <v>939</v>
      </c>
      <c r="C2" s="767" t="s">
        <v>940</v>
      </c>
      <c r="D2" s="853">
        <v>7412</v>
      </c>
      <c r="E2" s="782"/>
      <c r="F2" s="781">
        <v>16</v>
      </c>
      <c r="G2" s="782"/>
      <c r="H2" s="781">
        <v>48</v>
      </c>
      <c r="I2" s="782"/>
      <c r="J2" s="800">
        <v>16</v>
      </c>
      <c r="K2" s="807"/>
      <c r="L2" s="808">
        <v>16</v>
      </c>
      <c r="M2" s="831"/>
      <c r="N2" s="840">
        <v>48</v>
      </c>
      <c r="O2" s="831"/>
      <c r="P2" s="840"/>
      <c r="Q2" s="831"/>
      <c r="R2" s="840">
        <v>32</v>
      </c>
      <c r="S2" s="831"/>
      <c r="T2" s="840">
        <v>8</v>
      </c>
      <c r="U2" s="782"/>
      <c r="V2" s="783">
        <v>24</v>
      </c>
      <c r="W2" s="782"/>
      <c r="X2" s="783">
        <v>455</v>
      </c>
      <c r="Y2" s="782"/>
      <c r="Z2" s="783">
        <v>660</v>
      </c>
      <c r="AA2" s="782"/>
      <c r="AB2" s="786">
        <v>65</v>
      </c>
      <c r="AC2" s="857">
        <v>7412</v>
      </c>
      <c r="AD2" s="858">
        <v>1388</v>
      </c>
      <c r="AE2" s="888">
        <v>6024</v>
      </c>
    </row>
    <row r="3" spans="1:31">
      <c r="A3" s="804">
        <v>2</v>
      </c>
      <c r="B3" s="805" t="s">
        <v>224</v>
      </c>
      <c r="C3" s="767" t="s">
        <v>941</v>
      </c>
      <c r="D3" s="853">
        <v>2663</v>
      </c>
      <c r="E3" s="782"/>
      <c r="F3" s="781"/>
      <c r="G3" s="782"/>
      <c r="H3" s="781">
        <v>12</v>
      </c>
      <c r="I3" s="782"/>
      <c r="J3" s="789"/>
      <c r="K3" s="782"/>
      <c r="L3" s="781"/>
      <c r="M3" s="831"/>
      <c r="N3" s="840">
        <v>4</v>
      </c>
      <c r="O3" s="831"/>
      <c r="P3" s="840"/>
      <c r="Q3" s="831"/>
      <c r="R3" s="840"/>
      <c r="S3" s="831"/>
      <c r="T3" s="840">
        <v>4</v>
      </c>
      <c r="U3" s="782"/>
      <c r="V3" s="783">
        <v>30</v>
      </c>
      <c r="W3" s="782"/>
      <c r="X3" s="783">
        <v>12</v>
      </c>
      <c r="Y3" s="782"/>
      <c r="Z3" s="783">
        <v>944</v>
      </c>
      <c r="AA3" s="782"/>
      <c r="AB3" s="786">
        <v>820</v>
      </c>
      <c r="AC3" s="857">
        <v>2663</v>
      </c>
      <c r="AD3" s="858">
        <v>1826</v>
      </c>
      <c r="AE3" s="888">
        <v>837</v>
      </c>
    </row>
    <row r="4" spans="1:31">
      <c r="A4" s="804">
        <v>3</v>
      </c>
      <c r="B4" s="805" t="s">
        <v>225</v>
      </c>
      <c r="C4" s="767" t="s">
        <v>942</v>
      </c>
      <c r="D4" s="853">
        <v>140</v>
      </c>
      <c r="E4" s="782"/>
      <c r="F4" s="781"/>
      <c r="G4" s="782"/>
      <c r="H4" s="788"/>
      <c r="I4" s="782"/>
      <c r="J4" s="789"/>
      <c r="K4" s="782"/>
      <c r="L4" s="781"/>
      <c r="M4" s="831"/>
      <c r="N4" s="840"/>
      <c r="O4" s="831"/>
      <c r="P4" s="840"/>
      <c r="Q4" s="831"/>
      <c r="R4" s="840"/>
      <c r="S4" s="831"/>
      <c r="T4" s="840"/>
      <c r="U4" s="782"/>
      <c r="V4" s="787"/>
      <c r="W4" s="782"/>
      <c r="X4" s="783">
        <v>20</v>
      </c>
      <c r="Y4" s="782"/>
      <c r="Z4" s="783"/>
      <c r="AA4" s="782"/>
      <c r="AB4" s="786"/>
      <c r="AC4" s="857">
        <v>140</v>
      </c>
      <c r="AD4" s="858">
        <v>20</v>
      </c>
      <c r="AE4" s="888">
        <v>120</v>
      </c>
    </row>
    <row r="5" spans="1:31">
      <c r="A5" s="804">
        <v>4</v>
      </c>
      <c r="B5" s="805" t="s">
        <v>230</v>
      </c>
      <c r="C5" s="767" t="s">
        <v>943</v>
      </c>
      <c r="D5" s="853">
        <v>192</v>
      </c>
      <c r="E5" s="782"/>
      <c r="F5" s="781"/>
      <c r="G5" s="782"/>
      <c r="H5" s="788"/>
      <c r="I5" s="782"/>
      <c r="J5" s="789"/>
      <c r="K5" s="782"/>
      <c r="L5" s="781">
        <v>2</v>
      </c>
      <c r="M5" s="831">
        <v>60</v>
      </c>
      <c r="N5" s="840">
        <v>60</v>
      </c>
      <c r="O5" s="831"/>
      <c r="P5" s="840"/>
      <c r="Q5" s="831"/>
      <c r="R5" s="840"/>
      <c r="S5" s="831"/>
      <c r="T5" s="840"/>
      <c r="U5" s="782"/>
      <c r="V5" s="787"/>
      <c r="W5" s="782"/>
      <c r="X5" s="783"/>
      <c r="Y5" s="782"/>
      <c r="Z5" s="783"/>
      <c r="AA5" s="782"/>
      <c r="AB5" s="786"/>
      <c r="AC5" s="857">
        <v>252</v>
      </c>
      <c r="AD5" s="858">
        <v>62</v>
      </c>
      <c r="AE5" s="888">
        <v>190</v>
      </c>
    </row>
    <row r="6" spans="1:31">
      <c r="A6" s="809">
        <v>5</v>
      </c>
      <c r="B6" s="810" t="s">
        <v>226</v>
      </c>
      <c r="C6" s="769" t="s">
        <v>944</v>
      </c>
      <c r="D6" s="854">
        <v>186</v>
      </c>
      <c r="E6" s="791"/>
      <c r="F6" s="792">
        <v>4</v>
      </c>
      <c r="G6" s="791"/>
      <c r="H6" s="792">
        <v>8</v>
      </c>
      <c r="I6" s="791"/>
      <c r="J6" s="811">
        <v>12</v>
      </c>
      <c r="K6" s="782"/>
      <c r="L6" s="781">
        <v>8</v>
      </c>
      <c r="M6" s="831"/>
      <c r="N6" s="840"/>
      <c r="O6" s="831"/>
      <c r="P6" s="840">
        <v>4</v>
      </c>
      <c r="Q6" s="831"/>
      <c r="R6" s="840"/>
      <c r="S6" s="831"/>
      <c r="T6" s="840">
        <v>4</v>
      </c>
      <c r="U6" s="782"/>
      <c r="V6" s="787">
        <v>2</v>
      </c>
      <c r="W6" s="782"/>
      <c r="X6" s="783">
        <v>24</v>
      </c>
      <c r="Y6" s="782"/>
      <c r="Z6" s="783">
        <v>4</v>
      </c>
      <c r="AA6" s="782"/>
      <c r="AB6" s="786"/>
      <c r="AC6" s="859">
        <v>186</v>
      </c>
      <c r="AD6" s="860">
        <v>70</v>
      </c>
      <c r="AE6" s="889">
        <v>116</v>
      </c>
    </row>
    <row r="7" spans="1:31">
      <c r="A7" s="812">
        <v>6</v>
      </c>
      <c r="B7" s="813" t="s">
        <v>29</v>
      </c>
      <c r="C7" s="766" t="s">
        <v>28</v>
      </c>
      <c r="D7" s="855">
        <v>223</v>
      </c>
      <c r="E7" s="814"/>
      <c r="F7" s="815">
        <v>6</v>
      </c>
      <c r="G7" s="814"/>
      <c r="H7" s="815">
        <v>40</v>
      </c>
      <c r="I7" s="814"/>
      <c r="J7" s="816">
        <v>5</v>
      </c>
      <c r="K7" s="782">
        <v>16</v>
      </c>
      <c r="L7" s="781">
        <v>4</v>
      </c>
      <c r="M7" s="831"/>
      <c r="N7" s="840">
        <v>81</v>
      </c>
      <c r="O7" s="831"/>
      <c r="P7" s="840">
        <v>30</v>
      </c>
      <c r="Q7" s="831">
        <v>100</v>
      </c>
      <c r="R7" s="840">
        <v>38</v>
      </c>
      <c r="S7" s="831"/>
      <c r="T7" s="840">
        <v>13</v>
      </c>
      <c r="U7" s="782"/>
      <c r="V7" s="787">
        <v>30</v>
      </c>
      <c r="W7" s="782"/>
      <c r="X7" s="783">
        <v>5</v>
      </c>
      <c r="Y7" s="782"/>
      <c r="Z7" s="783">
        <v>12</v>
      </c>
      <c r="AA7" s="782"/>
      <c r="AB7" s="786">
        <v>34</v>
      </c>
      <c r="AC7" s="861">
        <v>339</v>
      </c>
      <c r="AD7" s="862">
        <v>298</v>
      </c>
      <c r="AE7" s="890">
        <v>41</v>
      </c>
    </row>
    <row r="8" spans="1:31">
      <c r="A8" s="817">
        <v>7</v>
      </c>
      <c r="B8" s="818" t="s">
        <v>30</v>
      </c>
      <c r="C8" s="775" t="s">
        <v>28</v>
      </c>
      <c r="D8" s="856">
        <v>39</v>
      </c>
      <c r="E8" s="819"/>
      <c r="F8" s="820"/>
      <c r="G8" s="819"/>
      <c r="H8" s="821"/>
      <c r="I8" s="819"/>
      <c r="J8" s="822">
        <v>1</v>
      </c>
      <c r="K8" s="782"/>
      <c r="L8" s="781"/>
      <c r="M8" s="831"/>
      <c r="N8" s="840">
        <v>1</v>
      </c>
      <c r="O8" s="831"/>
      <c r="P8" s="840">
        <v>3</v>
      </c>
      <c r="Q8" s="831"/>
      <c r="R8" s="840">
        <v>4</v>
      </c>
      <c r="S8" s="831"/>
      <c r="T8" s="840">
        <v>30</v>
      </c>
      <c r="U8" s="782"/>
      <c r="V8" s="787"/>
      <c r="W8" s="782"/>
      <c r="X8" s="783"/>
      <c r="Y8" s="782">
        <v>150</v>
      </c>
      <c r="Z8" s="783">
        <v>71</v>
      </c>
      <c r="AA8" s="782"/>
      <c r="AB8" s="786">
        <v>22</v>
      </c>
      <c r="AC8" s="863">
        <v>189</v>
      </c>
      <c r="AD8" s="864">
        <v>132</v>
      </c>
      <c r="AE8" s="891">
        <v>57</v>
      </c>
    </row>
    <row r="9" spans="1:31">
      <c r="A9" s="817">
        <v>9</v>
      </c>
      <c r="B9" s="810" t="s">
        <v>33</v>
      </c>
      <c r="C9" s="769" t="s">
        <v>32</v>
      </c>
      <c r="D9" s="854">
        <v>26</v>
      </c>
      <c r="E9" s="791"/>
      <c r="F9" s="792"/>
      <c r="G9" s="791"/>
      <c r="H9" s="793"/>
      <c r="I9" s="791"/>
      <c r="J9" s="794"/>
      <c r="K9" s="782"/>
      <c r="L9" s="781"/>
      <c r="M9" s="831"/>
      <c r="N9" s="840">
        <v>4</v>
      </c>
      <c r="O9" s="831"/>
      <c r="P9" s="840"/>
      <c r="Q9" s="831"/>
      <c r="R9" s="840"/>
      <c r="S9" s="831"/>
      <c r="T9" s="840"/>
      <c r="U9" s="782"/>
      <c r="V9" s="787">
        <v>10</v>
      </c>
      <c r="W9" s="782"/>
      <c r="X9" s="783"/>
      <c r="Y9" s="782"/>
      <c r="Z9" s="783">
        <v>12</v>
      </c>
      <c r="AA9" s="782">
        <v>50</v>
      </c>
      <c r="AB9" s="786">
        <v>20</v>
      </c>
      <c r="AC9" s="859">
        <v>76</v>
      </c>
      <c r="AD9" s="860">
        <v>46</v>
      </c>
      <c r="AE9" s="889">
        <v>30</v>
      </c>
    </row>
    <row r="10" spans="1:31">
      <c r="A10" s="812">
        <v>10</v>
      </c>
      <c r="B10" s="813" t="s">
        <v>35</v>
      </c>
      <c r="C10" s="765" t="s">
        <v>34</v>
      </c>
      <c r="D10" s="855">
        <v>77</v>
      </c>
      <c r="E10" s="814">
        <v>76</v>
      </c>
      <c r="F10" s="815">
        <v>4</v>
      </c>
      <c r="G10" s="814"/>
      <c r="H10" s="815">
        <v>56</v>
      </c>
      <c r="I10" s="814"/>
      <c r="J10" s="816">
        <v>8</v>
      </c>
      <c r="K10" s="782"/>
      <c r="L10" s="781">
        <v>36</v>
      </c>
      <c r="M10" s="831"/>
      <c r="N10" s="840">
        <v>9</v>
      </c>
      <c r="O10" s="831"/>
      <c r="P10" s="840">
        <v>22</v>
      </c>
      <c r="Q10" s="831"/>
      <c r="R10" s="840">
        <v>19</v>
      </c>
      <c r="S10" s="831">
        <v>6</v>
      </c>
      <c r="T10" s="840">
        <v>1</v>
      </c>
      <c r="U10" s="782">
        <v>30</v>
      </c>
      <c r="V10" s="787">
        <v>20</v>
      </c>
      <c r="W10" s="782">
        <v>10</v>
      </c>
      <c r="X10" s="783">
        <v>11</v>
      </c>
      <c r="Y10" s="782">
        <v>51</v>
      </c>
      <c r="Z10" s="783">
        <v>40</v>
      </c>
      <c r="AA10" s="782">
        <v>30</v>
      </c>
      <c r="AB10" s="786">
        <v>46</v>
      </c>
      <c r="AC10" s="861">
        <v>280</v>
      </c>
      <c r="AD10" s="862">
        <v>272</v>
      </c>
      <c r="AE10" s="897">
        <v>8</v>
      </c>
    </row>
    <row r="11" spans="1:31">
      <c r="A11" s="817">
        <v>11</v>
      </c>
      <c r="B11" s="818" t="s">
        <v>37</v>
      </c>
      <c r="C11" s="772" t="s">
        <v>36</v>
      </c>
      <c r="D11" s="856">
        <v>30</v>
      </c>
      <c r="E11" s="819"/>
      <c r="F11" s="820"/>
      <c r="G11" s="819"/>
      <c r="H11" s="821"/>
      <c r="I11" s="819"/>
      <c r="J11" s="822">
        <v>5</v>
      </c>
      <c r="K11" s="782"/>
      <c r="L11" s="781"/>
      <c r="M11" s="831"/>
      <c r="N11" s="840"/>
      <c r="O11" s="831"/>
      <c r="P11" s="840">
        <v>2</v>
      </c>
      <c r="Q11" s="831"/>
      <c r="R11" s="840">
        <v>1</v>
      </c>
      <c r="S11" s="831"/>
      <c r="T11" s="840"/>
      <c r="U11" s="782"/>
      <c r="V11" s="787">
        <v>2</v>
      </c>
      <c r="W11" s="782"/>
      <c r="X11" s="783">
        <v>4</v>
      </c>
      <c r="Y11" s="782"/>
      <c r="Z11" s="783">
        <v>2</v>
      </c>
      <c r="AA11" s="782"/>
      <c r="AB11" s="786">
        <v>2</v>
      </c>
      <c r="AC11" s="863">
        <v>30</v>
      </c>
      <c r="AD11" s="864">
        <v>18</v>
      </c>
      <c r="AE11" s="891">
        <v>12</v>
      </c>
    </row>
    <row r="12" spans="1:31">
      <c r="A12" s="812">
        <v>12</v>
      </c>
      <c r="B12" s="805" t="s">
        <v>39</v>
      </c>
      <c r="C12" s="767" t="s">
        <v>2039</v>
      </c>
      <c r="D12" s="853">
        <v>8</v>
      </c>
      <c r="E12" s="782"/>
      <c r="F12" s="781"/>
      <c r="G12" s="782"/>
      <c r="H12" s="788"/>
      <c r="I12" s="782"/>
      <c r="J12" s="789"/>
      <c r="K12" s="782"/>
      <c r="L12" s="781"/>
      <c r="M12" s="831"/>
      <c r="N12" s="840">
        <v>6</v>
      </c>
      <c r="O12" s="831"/>
      <c r="P12" s="840"/>
      <c r="Q12" s="831">
        <v>15</v>
      </c>
      <c r="R12" s="840">
        <v>1</v>
      </c>
      <c r="S12" s="831"/>
      <c r="T12" s="840"/>
      <c r="U12" s="782"/>
      <c r="V12" s="787">
        <v>4</v>
      </c>
      <c r="W12" s="782"/>
      <c r="X12" s="783">
        <v>5</v>
      </c>
      <c r="Y12" s="782">
        <v>15</v>
      </c>
      <c r="Z12" s="783">
        <v>1</v>
      </c>
      <c r="AA12" s="782"/>
      <c r="AB12" s="786">
        <v>10</v>
      </c>
      <c r="AC12" s="857">
        <v>38</v>
      </c>
      <c r="AD12" s="858">
        <v>27</v>
      </c>
      <c r="AE12" s="888">
        <v>11</v>
      </c>
    </row>
    <row r="13" spans="1:31">
      <c r="A13" s="812">
        <v>16</v>
      </c>
      <c r="B13" s="805" t="s">
        <v>47</v>
      </c>
      <c r="C13" s="806" t="s">
        <v>46</v>
      </c>
      <c r="D13" s="853">
        <v>17</v>
      </c>
      <c r="E13" s="782"/>
      <c r="F13" s="781"/>
      <c r="G13" s="782"/>
      <c r="H13" s="788"/>
      <c r="I13" s="782"/>
      <c r="J13" s="789"/>
      <c r="K13" s="782"/>
      <c r="L13" s="781">
        <v>17</v>
      </c>
      <c r="M13" s="831"/>
      <c r="N13" s="840"/>
      <c r="O13" s="831"/>
      <c r="P13" s="840"/>
      <c r="Q13" s="831">
        <v>30</v>
      </c>
      <c r="R13" s="840">
        <v>9</v>
      </c>
      <c r="S13" s="831"/>
      <c r="T13" s="840">
        <v>3</v>
      </c>
      <c r="U13" s="782"/>
      <c r="V13" s="787">
        <v>18</v>
      </c>
      <c r="W13" s="782"/>
      <c r="X13" s="783"/>
      <c r="Y13" s="782">
        <v>40</v>
      </c>
      <c r="Z13" s="783">
        <v>17</v>
      </c>
      <c r="AA13" s="782">
        <v>10</v>
      </c>
      <c r="AB13" s="786">
        <v>6</v>
      </c>
      <c r="AC13" s="857">
        <v>97</v>
      </c>
      <c r="AD13" s="858">
        <v>70</v>
      </c>
      <c r="AE13" s="888">
        <v>27</v>
      </c>
    </row>
    <row r="14" spans="1:31">
      <c r="A14" s="817">
        <v>17</v>
      </c>
      <c r="B14" s="805" t="s">
        <v>49</v>
      </c>
      <c r="C14" s="767" t="s">
        <v>48</v>
      </c>
      <c r="D14" s="853">
        <v>3</v>
      </c>
      <c r="E14" s="782"/>
      <c r="F14" s="781">
        <v>2</v>
      </c>
      <c r="G14" s="782">
        <v>35</v>
      </c>
      <c r="H14" s="781">
        <v>12</v>
      </c>
      <c r="I14" s="782"/>
      <c r="J14" s="800">
        <v>7</v>
      </c>
      <c r="K14" s="782">
        <v>45</v>
      </c>
      <c r="L14" s="781">
        <v>12</v>
      </c>
      <c r="M14" s="831"/>
      <c r="N14" s="840">
        <v>5</v>
      </c>
      <c r="O14" s="831"/>
      <c r="P14" s="840">
        <v>5</v>
      </c>
      <c r="Q14" s="831"/>
      <c r="R14" s="840">
        <v>8</v>
      </c>
      <c r="S14" s="831">
        <v>30</v>
      </c>
      <c r="T14" s="840">
        <v>5</v>
      </c>
      <c r="U14" s="782"/>
      <c r="V14" s="787">
        <v>6</v>
      </c>
      <c r="W14" s="782"/>
      <c r="X14" s="783">
        <v>4</v>
      </c>
      <c r="Y14" s="782">
        <v>1</v>
      </c>
      <c r="Z14" s="783">
        <v>27</v>
      </c>
      <c r="AA14" s="782"/>
      <c r="AB14" s="786">
        <v>13</v>
      </c>
      <c r="AC14" s="857">
        <v>114</v>
      </c>
      <c r="AD14" s="858">
        <v>106</v>
      </c>
      <c r="AE14" s="898">
        <v>8</v>
      </c>
    </row>
    <row r="15" spans="1:31">
      <c r="A15" s="817">
        <v>19</v>
      </c>
      <c r="B15" s="805" t="s">
        <v>52</v>
      </c>
      <c r="C15" s="761" t="s">
        <v>50</v>
      </c>
      <c r="D15" s="853">
        <v>26</v>
      </c>
      <c r="E15" s="782"/>
      <c r="F15" s="781"/>
      <c r="G15" s="782"/>
      <c r="H15" s="788"/>
      <c r="I15" s="782"/>
      <c r="J15" s="789"/>
      <c r="K15" s="782"/>
      <c r="L15" s="781"/>
      <c r="M15" s="831"/>
      <c r="N15" s="865">
        <v>5</v>
      </c>
      <c r="O15" s="831"/>
      <c r="P15" s="840">
        <v>1</v>
      </c>
      <c r="Q15" s="831"/>
      <c r="R15" s="840"/>
      <c r="S15" s="831"/>
      <c r="T15" s="840">
        <v>20</v>
      </c>
      <c r="U15" s="782"/>
      <c r="V15" s="787"/>
      <c r="W15" s="782"/>
      <c r="X15" s="783"/>
      <c r="Y15" s="782">
        <v>60</v>
      </c>
      <c r="Z15" s="783">
        <v>45</v>
      </c>
      <c r="AA15" s="782"/>
      <c r="AB15" s="786"/>
      <c r="AC15" s="857">
        <v>86</v>
      </c>
      <c r="AD15" s="858">
        <v>71</v>
      </c>
      <c r="AE15" s="888">
        <v>15</v>
      </c>
    </row>
    <row r="16" spans="1:31">
      <c r="A16" s="812">
        <v>20</v>
      </c>
      <c r="B16" s="805" t="s">
        <v>54</v>
      </c>
      <c r="C16" s="767" t="s">
        <v>368</v>
      </c>
      <c r="D16" s="853">
        <v>21</v>
      </c>
      <c r="E16" s="782"/>
      <c r="F16" s="781"/>
      <c r="G16" s="782"/>
      <c r="H16" s="788"/>
      <c r="I16" s="782"/>
      <c r="J16" s="789"/>
      <c r="K16" s="782"/>
      <c r="L16" s="781"/>
      <c r="M16" s="831"/>
      <c r="N16" s="840">
        <v>1</v>
      </c>
      <c r="O16" s="831"/>
      <c r="P16" s="840"/>
      <c r="Q16" s="831"/>
      <c r="R16" s="840"/>
      <c r="S16" s="831"/>
      <c r="T16" s="840"/>
      <c r="U16" s="782"/>
      <c r="V16" s="787"/>
      <c r="W16" s="782"/>
      <c r="X16" s="783">
        <v>12</v>
      </c>
      <c r="Y16" s="782"/>
      <c r="Z16" s="783">
        <v>2</v>
      </c>
      <c r="AA16" s="782"/>
      <c r="AB16" s="786"/>
      <c r="AC16" s="857">
        <v>21</v>
      </c>
      <c r="AD16" s="858">
        <v>15</v>
      </c>
      <c r="AE16" s="888">
        <v>6</v>
      </c>
    </row>
    <row r="17" spans="1:31">
      <c r="A17" s="817">
        <v>21</v>
      </c>
      <c r="B17" s="805" t="s">
        <v>56</v>
      </c>
      <c r="C17" s="770" t="s">
        <v>55</v>
      </c>
      <c r="D17" s="773">
        <v>25</v>
      </c>
      <c r="E17" s="782"/>
      <c r="F17" s="781"/>
      <c r="G17" s="782"/>
      <c r="H17" s="781">
        <v>2</v>
      </c>
      <c r="I17" s="782"/>
      <c r="J17" s="789"/>
      <c r="K17" s="782"/>
      <c r="L17" s="781">
        <v>5</v>
      </c>
      <c r="M17" s="831"/>
      <c r="N17" s="840"/>
      <c r="O17" s="831"/>
      <c r="P17" s="840"/>
      <c r="Q17" s="831"/>
      <c r="R17" s="840"/>
      <c r="S17" s="831"/>
      <c r="T17" s="840"/>
      <c r="U17" s="782"/>
      <c r="V17" s="787"/>
      <c r="W17" s="782"/>
      <c r="X17" s="783">
        <v>10</v>
      </c>
      <c r="Y17" s="782"/>
      <c r="Z17" s="783">
        <v>1</v>
      </c>
      <c r="AA17" s="782"/>
      <c r="AB17" s="786">
        <v>4</v>
      </c>
      <c r="AC17" s="857">
        <v>25</v>
      </c>
      <c r="AD17" s="858">
        <v>22</v>
      </c>
      <c r="AE17" s="888">
        <v>3</v>
      </c>
    </row>
    <row r="18" spans="1:31">
      <c r="A18" s="812">
        <v>22</v>
      </c>
      <c r="B18" s="805" t="s">
        <v>58</v>
      </c>
      <c r="C18" s="761" t="s">
        <v>57</v>
      </c>
      <c r="D18" s="773">
        <v>20</v>
      </c>
      <c r="E18" s="782"/>
      <c r="F18" s="781"/>
      <c r="G18" s="782"/>
      <c r="H18" s="788"/>
      <c r="I18" s="782"/>
      <c r="J18" s="789"/>
      <c r="K18" s="782"/>
      <c r="L18" s="781"/>
      <c r="M18" s="831"/>
      <c r="N18" s="840"/>
      <c r="O18" s="831"/>
      <c r="P18" s="840"/>
      <c r="Q18" s="831"/>
      <c r="R18" s="840"/>
      <c r="S18" s="831"/>
      <c r="T18" s="840"/>
      <c r="U18" s="782"/>
      <c r="V18" s="787"/>
      <c r="W18" s="782"/>
      <c r="X18" s="783"/>
      <c r="Y18" s="782"/>
      <c r="Z18" s="783"/>
      <c r="AA18" s="782"/>
      <c r="AB18" s="786">
        <v>3</v>
      </c>
      <c r="AC18" s="857">
        <v>20</v>
      </c>
      <c r="AD18" s="858">
        <v>3</v>
      </c>
      <c r="AE18" s="888">
        <v>17</v>
      </c>
    </row>
    <row r="19" spans="1:31">
      <c r="A19" s="817">
        <v>23</v>
      </c>
      <c r="B19" s="805" t="s">
        <v>60</v>
      </c>
      <c r="C19" s="761" t="s">
        <v>59</v>
      </c>
      <c r="D19" s="853">
        <v>95</v>
      </c>
      <c r="E19" s="782"/>
      <c r="F19" s="781">
        <v>35</v>
      </c>
      <c r="G19" s="782">
        <v>30</v>
      </c>
      <c r="H19" s="788"/>
      <c r="I19" s="782"/>
      <c r="J19" s="800">
        <v>70</v>
      </c>
      <c r="K19" s="782"/>
      <c r="L19" s="781">
        <v>20</v>
      </c>
      <c r="M19" s="831"/>
      <c r="N19" s="840"/>
      <c r="O19" s="831"/>
      <c r="P19" s="840"/>
      <c r="Q19" s="831">
        <v>60</v>
      </c>
      <c r="R19" s="840">
        <v>60</v>
      </c>
      <c r="S19" s="831">
        <v>40</v>
      </c>
      <c r="T19" s="840">
        <v>3</v>
      </c>
      <c r="U19" s="782">
        <v>50</v>
      </c>
      <c r="V19" s="783"/>
      <c r="W19" s="782">
        <v>20</v>
      </c>
      <c r="X19" s="783">
        <v>3</v>
      </c>
      <c r="Y19" s="782"/>
      <c r="Z19" s="783">
        <v>20</v>
      </c>
      <c r="AA19" s="782"/>
      <c r="AB19" s="786">
        <v>15</v>
      </c>
      <c r="AC19" s="857">
        <v>295</v>
      </c>
      <c r="AD19" s="858">
        <v>226</v>
      </c>
      <c r="AE19" s="888">
        <v>69</v>
      </c>
    </row>
    <row r="20" spans="1:31">
      <c r="A20" s="812">
        <v>24</v>
      </c>
      <c r="B20" s="805" t="s">
        <v>62</v>
      </c>
      <c r="C20" s="767" t="s">
        <v>61</v>
      </c>
      <c r="D20" s="773">
        <v>87</v>
      </c>
      <c r="E20" s="782"/>
      <c r="F20" s="781">
        <v>20</v>
      </c>
      <c r="G20" s="782">
        <v>20</v>
      </c>
      <c r="H20" s="781">
        <v>10</v>
      </c>
      <c r="I20" s="782"/>
      <c r="J20" s="800">
        <v>15</v>
      </c>
      <c r="K20" s="782"/>
      <c r="L20" s="781"/>
      <c r="M20" s="831"/>
      <c r="N20" s="840">
        <v>30</v>
      </c>
      <c r="O20" s="831"/>
      <c r="P20" s="840">
        <v>20</v>
      </c>
      <c r="Q20" s="831">
        <v>30</v>
      </c>
      <c r="R20" s="840">
        <v>8</v>
      </c>
      <c r="S20" s="831"/>
      <c r="T20" s="840"/>
      <c r="U20" s="782"/>
      <c r="V20" s="783">
        <v>30</v>
      </c>
      <c r="W20" s="782">
        <v>30</v>
      </c>
      <c r="X20" s="783"/>
      <c r="Y20" s="782"/>
      <c r="Z20" s="783">
        <v>10</v>
      </c>
      <c r="AA20" s="782">
        <v>50</v>
      </c>
      <c r="AB20" s="786"/>
      <c r="AC20" s="857">
        <v>217</v>
      </c>
      <c r="AD20" s="858">
        <v>143</v>
      </c>
      <c r="AE20" s="888">
        <v>74</v>
      </c>
    </row>
    <row r="21" spans="1:31">
      <c r="A21" s="817">
        <v>25</v>
      </c>
      <c r="B21" s="805" t="s">
        <v>64</v>
      </c>
      <c r="C21" s="761" t="s">
        <v>63</v>
      </c>
      <c r="D21" s="853">
        <v>0</v>
      </c>
      <c r="E21" s="782"/>
      <c r="F21" s="788"/>
      <c r="G21" s="782">
        <v>30</v>
      </c>
      <c r="H21" s="788"/>
      <c r="I21" s="782"/>
      <c r="J21" s="789"/>
      <c r="K21" s="782"/>
      <c r="L21" s="781">
        <v>2</v>
      </c>
      <c r="M21" s="831"/>
      <c r="N21" s="840">
        <v>2</v>
      </c>
      <c r="O21" s="831"/>
      <c r="P21" s="840"/>
      <c r="Q21" s="831"/>
      <c r="R21" s="840"/>
      <c r="S21" s="831"/>
      <c r="T21" s="840"/>
      <c r="U21" s="782"/>
      <c r="V21" s="783"/>
      <c r="W21" s="782"/>
      <c r="X21" s="783"/>
      <c r="Y21" s="782"/>
      <c r="Z21" s="783"/>
      <c r="AA21" s="782">
        <v>10</v>
      </c>
      <c r="AB21" s="786">
        <v>2</v>
      </c>
      <c r="AC21" s="857">
        <v>40</v>
      </c>
      <c r="AD21" s="858">
        <v>6</v>
      </c>
      <c r="AE21" s="888">
        <v>34</v>
      </c>
    </row>
    <row r="22" spans="1:31">
      <c r="A22" s="812">
        <v>26</v>
      </c>
      <c r="B22" s="805" t="s">
        <v>66</v>
      </c>
      <c r="C22" s="761" t="s">
        <v>65</v>
      </c>
      <c r="D22" s="773">
        <v>2</v>
      </c>
      <c r="E22" s="782"/>
      <c r="F22" s="781">
        <v>2</v>
      </c>
      <c r="G22" s="782"/>
      <c r="H22" s="788"/>
      <c r="I22" s="782"/>
      <c r="J22" s="789"/>
      <c r="K22" s="782">
        <v>20</v>
      </c>
      <c r="L22" s="781"/>
      <c r="M22" s="831"/>
      <c r="N22" s="840">
        <v>2</v>
      </c>
      <c r="O22" s="831"/>
      <c r="P22" s="840"/>
      <c r="Q22" s="831"/>
      <c r="R22" s="840"/>
      <c r="S22" s="831"/>
      <c r="T22" s="840"/>
      <c r="U22" s="782"/>
      <c r="V22" s="783"/>
      <c r="W22" s="782"/>
      <c r="X22" s="783"/>
      <c r="Y22" s="782"/>
      <c r="Z22" s="783"/>
      <c r="AA22" s="782"/>
      <c r="AB22" s="786">
        <v>8</v>
      </c>
      <c r="AC22" s="857">
        <v>22</v>
      </c>
      <c r="AD22" s="858">
        <v>12</v>
      </c>
      <c r="AE22" s="888">
        <v>10</v>
      </c>
    </row>
    <row r="23" spans="1:31">
      <c r="A23" s="817">
        <v>27</v>
      </c>
      <c r="B23" s="805" t="s">
        <v>68</v>
      </c>
      <c r="C23" s="761" t="s">
        <v>67</v>
      </c>
      <c r="D23" s="773">
        <v>19</v>
      </c>
      <c r="E23" s="782"/>
      <c r="F23" s="781"/>
      <c r="G23" s="782"/>
      <c r="H23" s="781">
        <v>2</v>
      </c>
      <c r="I23" s="782"/>
      <c r="J23" s="800">
        <v>2</v>
      </c>
      <c r="K23" s="782"/>
      <c r="L23" s="781"/>
      <c r="M23" s="831"/>
      <c r="N23" s="840"/>
      <c r="O23" s="831"/>
      <c r="P23" s="840"/>
      <c r="Q23" s="831"/>
      <c r="R23" s="840"/>
      <c r="S23" s="831"/>
      <c r="T23" s="840"/>
      <c r="U23" s="782"/>
      <c r="V23" s="783"/>
      <c r="W23" s="782"/>
      <c r="X23" s="783"/>
      <c r="Y23" s="782"/>
      <c r="Z23" s="783"/>
      <c r="AA23" s="782"/>
      <c r="AB23" s="786"/>
      <c r="AC23" s="857">
        <v>19</v>
      </c>
      <c r="AD23" s="858">
        <v>4</v>
      </c>
      <c r="AE23" s="888">
        <v>15</v>
      </c>
    </row>
    <row r="24" spans="1:31">
      <c r="A24" s="812">
        <v>28</v>
      </c>
      <c r="B24" s="805" t="s">
        <v>70</v>
      </c>
      <c r="C24" s="761" t="s">
        <v>69</v>
      </c>
      <c r="D24" s="853">
        <v>0</v>
      </c>
      <c r="E24" s="782"/>
      <c r="F24" s="781"/>
      <c r="G24" s="782">
        <v>50</v>
      </c>
      <c r="H24" s="781">
        <v>4</v>
      </c>
      <c r="I24" s="782"/>
      <c r="J24" s="800">
        <v>1</v>
      </c>
      <c r="K24" s="782"/>
      <c r="L24" s="781">
        <v>1</v>
      </c>
      <c r="M24" s="831"/>
      <c r="N24" s="840">
        <v>10</v>
      </c>
      <c r="O24" s="831"/>
      <c r="P24" s="840">
        <v>3</v>
      </c>
      <c r="Q24" s="831"/>
      <c r="R24" s="840">
        <v>1</v>
      </c>
      <c r="S24" s="831">
        <v>1</v>
      </c>
      <c r="T24" s="840">
        <v>5</v>
      </c>
      <c r="U24" s="782"/>
      <c r="V24" s="783">
        <v>2</v>
      </c>
      <c r="W24" s="782">
        <v>60</v>
      </c>
      <c r="X24" s="783">
        <v>2</v>
      </c>
      <c r="Y24" s="782"/>
      <c r="Z24" s="783">
        <v>1</v>
      </c>
      <c r="AA24" s="782"/>
      <c r="AB24" s="786">
        <v>3</v>
      </c>
      <c r="AC24" s="857">
        <v>111</v>
      </c>
      <c r="AD24" s="858">
        <v>33</v>
      </c>
      <c r="AE24" s="888">
        <v>78</v>
      </c>
    </row>
    <row r="25" spans="1:31">
      <c r="A25" s="817">
        <v>29</v>
      </c>
      <c r="B25" s="805" t="s">
        <v>71</v>
      </c>
      <c r="C25" s="767" t="s">
        <v>65</v>
      </c>
      <c r="D25" s="773">
        <v>46</v>
      </c>
      <c r="E25" s="782"/>
      <c r="F25" s="781"/>
      <c r="G25" s="782"/>
      <c r="H25" s="788"/>
      <c r="I25" s="782"/>
      <c r="J25" s="789"/>
      <c r="K25" s="782">
        <v>40</v>
      </c>
      <c r="L25" s="781"/>
      <c r="M25" s="831"/>
      <c r="N25" s="840">
        <v>6</v>
      </c>
      <c r="O25" s="831"/>
      <c r="P25" s="840">
        <v>2</v>
      </c>
      <c r="Q25" s="831"/>
      <c r="R25" s="840">
        <v>4</v>
      </c>
      <c r="S25" s="831"/>
      <c r="T25" s="840">
        <v>48</v>
      </c>
      <c r="U25" s="782"/>
      <c r="V25" s="783">
        <v>4</v>
      </c>
      <c r="W25" s="782">
        <v>59</v>
      </c>
      <c r="X25" s="790">
        <v>27</v>
      </c>
      <c r="Y25" s="782">
        <v>39</v>
      </c>
      <c r="Z25" s="783">
        <v>4</v>
      </c>
      <c r="AA25" s="782"/>
      <c r="AB25" s="786"/>
      <c r="AC25" s="857">
        <v>184</v>
      </c>
      <c r="AD25" s="858">
        <v>95</v>
      </c>
      <c r="AE25" s="888">
        <v>89</v>
      </c>
    </row>
    <row r="26" spans="1:31">
      <c r="A26" s="812">
        <v>30</v>
      </c>
      <c r="B26" s="805" t="s">
        <v>73</v>
      </c>
      <c r="C26" s="767" t="s">
        <v>72</v>
      </c>
      <c r="D26" s="853">
        <v>3</v>
      </c>
      <c r="E26" s="782"/>
      <c r="F26" s="781">
        <v>2</v>
      </c>
      <c r="G26" s="782">
        <v>7</v>
      </c>
      <c r="H26" s="781">
        <v>1</v>
      </c>
      <c r="I26" s="782"/>
      <c r="J26" s="789"/>
      <c r="K26" s="782"/>
      <c r="L26" s="781">
        <v>2</v>
      </c>
      <c r="M26" s="831"/>
      <c r="N26" s="840"/>
      <c r="O26" s="831"/>
      <c r="P26" s="840"/>
      <c r="Q26" s="831"/>
      <c r="R26" s="840"/>
      <c r="S26" s="831"/>
      <c r="T26" s="840"/>
      <c r="U26" s="782"/>
      <c r="V26" s="783"/>
      <c r="W26" s="782"/>
      <c r="X26" s="783"/>
      <c r="Y26" s="782"/>
      <c r="Z26" s="783"/>
      <c r="AA26" s="782"/>
      <c r="AB26" s="786"/>
      <c r="AC26" s="857">
        <v>10</v>
      </c>
      <c r="AD26" s="858">
        <v>5</v>
      </c>
      <c r="AE26" s="888">
        <v>5</v>
      </c>
    </row>
    <row r="27" spans="1:31">
      <c r="A27" s="812">
        <v>32</v>
      </c>
      <c r="B27" s="805" t="s">
        <v>77</v>
      </c>
      <c r="C27" s="761" t="s">
        <v>76</v>
      </c>
      <c r="D27" s="853">
        <v>117</v>
      </c>
      <c r="E27" s="782">
        <v>39</v>
      </c>
      <c r="F27" s="781">
        <v>1</v>
      </c>
      <c r="G27" s="782"/>
      <c r="H27" s="781">
        <v>16</v>
      </c>
      <c r="I27" s="782"/>
      <c r="J27" s="800">
        <v>1</v>
      </c>
      <c r="K27" s="782"/>
      <c r="L27" s="781"/>
      <c r="M27" s="831"/>
      <c r="N27" s="840">
        <v>5</v>
      </c>
      <c r="O27" s="831"/>
      <c r="P27" s="840">
        <v>16</v>
      </c>
      <c r="Q27" s="831"/>
      <c r="R27" s="840">
        <v>28</v>
      </c>
      <c r="S27" s="831"/>
      <c r="T27" s="840">
        <v>15</v>
      </c>
      <c r="U27" s="782">
        <v>23</v>
      </c>
      <c r="V27" s="783">
        <v>4</v>
      </c>
      <c r="W27" s="782"/>
      <c r="X27" s="783">
        <v>12</v>
      </c>
      <c r="Y27" s="782"/>
      <c r="Z27" s="783">
        <v>1</v>
      </c>
      <c r="AA27" s="782"/>
      <c r="AB27" s="786">
        <v>3</v>
      </c>
      <c r="AC27" s="857">
        <v>179</v>
      </c>
      <c r="AD27" s="858">
        <v>102</v>
      </c>
      <c r="AE27" s="888">
        <v>77</v>
      </c>
    </row>
    <row r="28" spans="1:31">
      <c r="A28" s="817">
        <v>33</v>
      </c>
      <c r="B28" s="805" t="s">
        <v>78</v>
      </c>
      <c r="C28" s="761" t="s">
        <v>76</v>
      </c>
      <c r="D28" s="853">
        <v>35</v>
      </c>
      <c r="E28" s="782"/>
      <c r="F28" s="781"/>
      <c r="G28" s="782"/>
      <c r="H28" s="788"/>
      <c r="I28" s="782"/>
      <c r="J28" s="789"/>
      <c r="K28" s="782"/>
      <c r="L28" s="781">
        <v>9</v>
      </c>
      <c r="M28" s="831"/>
      <c r="N28" s="840"/>
      <c r="O28" s="831"/>
      <c r="P28" s="840"/>
      <c r="Q28" s="831"/>
      <c r="R28" s="840">
        <v>12</v>
      </c>
      <c r="S28" s="831"/>
      <c r="T28" s="840">
        <v>3</v>
      </c>
      <c r="U28" s="782"/>
      <c r="V28" s="783"/>
      <c r="W28" s="782"/>
      <c r="X28" s="783"/>
      <c r="Y28" s="782"/>
      <c r="Z28" s="783">
        <v>1</v>
      </c>
      <c r="AA28" s="782">
        <v>10</v>
      </c>
      <c r="AB28" s="786"/>
      <c r="AC28" s="857">
        <v>45</v>
      </c>
      <c r="AD28" s="858">
        <v>25</v>
      </c>
      <c r="AE28" s="888">
        <v>20</v>
      </c>
    </row>
    <row r="29" spans="1:31">
      <c r="A29" s="812">
        <v>34</v>
      </c>
      <c r="B29" s="805" t="s">
        <v>80</v>
      </c>
      <c r="C29" s="767" t="s">
        <v>79</v>
      </c>
      <c r="D29" s="853">
        <v>92</v>
      </c>
      <c r="E29" s="782"/>
      <c r="F29" s="781">
        <v>20</v>
      </c>
      <c r="G29" s="782"/>
      <c r="H29" s="788"/>
      <c r="I29" s="782"/>
      <c r="J29" s="800">
        <v>4</v>
      </c>
      <c r="K29" s="782"/>
      <c r="L29" s="781"/>
      <c r="M29" s="831"/>
      <c r="N29" s="840">
        <v>11</v>
      </c>
      <c r="O29" s="831"/>
      <c r="P29" s="840">
        <v>2</v>
      </c>
      <c r="Q29" s="831"/>
      <c r="R29" s="840">
        <v>3</v>
      </c>
      <c r="S29" s="831"/>
      <c r="T29" s="840"/>
      <c r="U29" s="782"/>
      <c r="V29" s="783">
        <v>1</v>
      </c>
      <c r="W29" s="782"/>
      <c r="X29" s="783"/>
      <c r="Y29" s="782"/>
      <c r="Z29" s="783">
        <v>4</v>
      </c>
      <c r="AA29" s="782"/>
      <c r="AB29" s="786">
        <v>7</v>
      </c>
      <c r="AC29" s="857">
        <v>92</v>
      </c>
      <c r="AD29" s="858">
        <v>52</v>
      </c>
      <c r="AE29" s="888">
        <v>40</v>
      </c>
    </row>
    <row r="30" spans="1:31">
      <c r="A30" s="817">
        <v>35</v>
      </c>
      <c r="B30" s="805" t="s">
        <v>82</v>
      </c>
      <c r="C30" s="761" t="s">
        <v>81</v>
      </c>
      <c r="D30" s="853">
        <v>13</v>
      </c>
      <c r="E30" s="782"/>
      <c r="F30" s="781">
        <v>2</v>
      </c>
      <c r="G30" s="782"/>
      <c r="H30" s="788"/>
      <c r="I30" s="782"/>
      <c r="J30" s="800">
        <v>5</v>
      </c>
      <c r="K30" s="782">
        <v>30</v>
      </c>
      <c r="L30" s="781"/>
      <c r="M30" s="831"/>
      <c r="N30" s="840">
        <v>1</v>
      </c>
      <c r="O30" s="831"/>
      <c r="P30" s="840"/>
      <c r="Q30" s="831"/>
      <c r="R30" s="840"/>
      <c r="S30" s="831"/>
      <c r="T30" s="840"/>
      <c r="U30" s="782"/>
      <c r="V30" s="783"/>
      <c r="W30" s="782"/>
      <c r="X30" s="783">
        <v>35</v>
      </c>
      <c r="Y30" s="782"/>
      <c r="Z30" s="783"/>
      <c r="AA30" s="782">
        <v>160</v>
      </c>
      <c r="AB30" s="786">
        <v>119</v>
      </c>
      <c r="AC30" s="857">
        <v>203</v>
      </c>
      <c r="AD30" s="858">
        <v>162</v>
      </c>
      <c r="AE30" s="888">
        <v>41</v>
      </c>
    </row>
    <row r="31" spans="1:31">
      <c r="A31" s="812">
        <v>36</v>
      </c>
      <c r="B31" s="805" t="s">
        <v>84</v>
      </c>
      <c r="C31" s="761" t="s">
        <v>83</v>
      </c>
      <c r="D31" s="853">
        <v>3</v>
      </c>
      <c r="E31" s="782"/>
      <c r="F31" s="781"/>
      <c r="G31" s="782"/>
      <c r="H31" s="788"/>
      <c r="I31" s="782"/>
      <c r="J31" s="789"/>
      <c r="K31" s="782"/>
      <c r="L31" s="781"/>
      <c r="M31" s="831"/>
      <c r="N31" s="840"/>
      <c r="O31" s="831"/>
      <c r="P31" s="840"/>
      <c r="Q31" s="831"/>
      <c r="R31" s="840"/>
      <c r="S31" s="831"/>
      <c r="T31" s="840"/>
      <c r="U31" s="782"/>
      <c r="V31" s="783">
        <v>1</v>
      </c>
      <c r="W31" s="782"/>
      <c r="X31" s="783"/>
      <c r="Y31" s="782"/>
      <c r="Z31" s="783"/>
      <c r="AA31" s="782"/>
      <c r="AB31" s="786">
        <v>1</v>
      </c>
      <c r="AC31" s="857">
        <v>3</v>
      </c>
      <c r="AD31" s="858">
        <v>2</v>
      </c>
      <c r="AE31" s="888">
        <v>1</v>
      </c>
    </row>
    <row r="32" spans="1:31">
      <c r="A32" s="817">
        <v>37</v>
      </c>
      <c r="B32" s="805" t="s">
        <v>86</v>
      </c>
      <c r="C32" s="761" t="s">
        <v>85</v>
      </c>
      <c r="D32" s="853">
        <v>13</v>
      </c>
      <c r="E32" s="782">
        <v>2</v>
      </c>
      <c r="F32" s="781"/>
      <c r="G32" s="782"/>
      <c r="H32" s="781">
        <v>1</v>
      </c>
      <c r="I32" s="782"/>
      <c r="J32" s="789"/>
      <c r="K32" s="782"/>
      <c r="L32" s="781"/>
      <c r="M32" s="831"/>
      <c r="N32" s="840"/>
      <c r="O32" s="831"/>
      <c r="P32" s="840">
        <v>1</v>
      </c>
      <c r="Q32" s="831"/>
      <c r="R32" s="840">
        <v>13</v>
      </c>
      <c r="S32" s="831"/>
      <c r="T32" s="840"/>
      <c r="U32" s="782">
        <v>10</v>
      </c>
      <c r="V32" s="783">
        <v>6</v>
      </c>
      <c r="W32" s="782"/>
      <c r="X32" s="783">
        <v>2</v>
      </c>
      <c r="Y32" s="782">
        <v>10</v>
      </c>
      <c r="Z32" s="783">
        <v>2</v>
      </c>
      <c r="AA32" s="782">
        <v>20</v>
      </c>
      <c r="AB32" s="786">
        <v>18</v>
      </c>
      <c r="AC32" s="857">
        <v>55</v>
      </c>
      <c r="AD32" s="858">
        <v>43</v>
      </c>
      <c r="AE32" s="888">
        <v>12</v>
      </c>
    </row>
    <row r="33" spans="1:31">
      <c r="A33" s="817">
        <v>39</v>
      </c>
      <c r="B33" s="823" t="s">
        <v>90</v>
      </c>
      <c r="C33" s="848" t="s">
        <v>89</v>
      </c>
      <c r="D33" s="866">
        <v>219</v>
      </c>
      <c r="E33" s="824"/>
      <c r="F33" s="825"/>
      <c r="G33" s="824"/>
      <c r="H33" s="826"/>
      <c r="I33" s="824"/>
      <c r="J33" s="827">
        <v>18</v>
      </c>
      <c r="K33" s="798"/>
      <c r="L33" s="828">
        <v>6</v>
      </c>
      <c r="M33" s="831"/>
      <c r="N33" s="840"/>
      <c r="O33" s="831"/>
      <c r="P33" s="840"/>
      <c r="Q33" s="831"/>
      <c r="R33" s="840">
        <v>11</v>
      </c>
      <c r="S33" s="831"/>
      <c r="T33" s="840">
        <v>1</v>
      </c>
      <c r="U33" s="782"/>
      <c r="V33" s="783">
        <v>1</v>
      </c>
      <c r="W33" s="782"/>
      <c r="X33" s="783">
        <v>35</v>
      </c>
      <c r="Y33" s="782"/>
      <c r="Z33" s="783"/>
      <c r="AA33" s="782"/>
      <c r="AB33" s="786">
        <v>8</v>
      </c>
      <c r="AC33" s="867">
        <v>219</v>
      </c>
      <c r="AD33" s="868">
        <v>80</v>
      </c>
      <c r="AE33" s="892">
        <v>139</v>
      </c>
    </row>
    <row r="34" spans="1:31">
      <c r="A34" s="812">
        <v>40</v>
      </c>
      <c r="B34" s="818" t="s">
        <v>91</v>
      </c>
      <c r="C34" s="772" t="s">
        <v>50</v>
      </c>
      <c r="D34" s="856">
        <v>30</v>
      </c>
      <c r="E34" s="819">
        <v>10</v>
      </c>
      <c r="F34" s="820">
        <v>1</v>
      </c>
      <c r="G34" s="819"/>
      <c r="H34" s="821"/>
      <c r="I34" s="819"/>
      <c r="J34" s="829"/>
      <c r="K34" s="782"/>
      <c r="L34" s="781"/>
      <c r="M34" s="831"/>
      <c r="N34" s="840">
        <v>17</v>
      </c>
      <c r="O34" s="831"/>
      <c r="P34" s="840">
        <v>2</v>
      </c>
      <c r="Q34" s="831"/>
      <c r="R34" s="840"/>
      <c r="S34" s="831">
        <v>20</v>
      </c>
      <c r="T34" s="840">
        <v>19</v>
      </c>
      <c r="U34" s="782"/>
      <c r="V34" s="783">
        <v>17</v>
      </c>
      <c r="W34" s="782"/>
      <c r="X34" s="783"/>
      <c r="Y34" s="782">
        <v>50</v>
      </c>
      <c r="Z34" s="783">
        <v>3</v>
      </c>
      <c r="AA34" s="782">
        <v>12</v>
      </c>
      <c r="AB34" s="786">
        <v>3</v>
      </c>
      <c r="AC34" s="863">
        <v>122</v>
      </c>
      <c r="AD34" s="864">
        <v>62</v>
      </c>
      <c r="AE34" s="896">
        <v>60</v>
      </c>
    </row>
    <row r="35" spans="1:31">
      <c r="A35" s="812">
        <v>42</v>
      </c>
      <c r="B35" s="805" t="s">
        <v>95</v>
      </c>
      <c r="C35" s="761" t="s">
        <v>94</v>
      </c>
      <c r="D35" s="773">
        <v>16</v>
      </c>
      <c r="E35" s="782"/>
      <c r="F35" s="781"/>
      <c r="G35" s="782"/>
      <c r="H35" s="781">
        <v>1</v>
      </c>
      <c r="I35" s="782"/>
      <c r="J35" s="789"/>
      <c r="K35" s="782"/>
      <c r="L35" s="781">
        <v>2</v>
      </c>
      <c r="M35" s="831"/>
      <c r="N35" s="840"/>
      <c r="O35" s="831"/>
      <c r="P35" s="840"/>
      <c r="Q35" s="831"/>
      <c r="R35" s="840"/>
      <c r="S35" s="831"/>
      <c r="T35" s="840"/>
      <c r="U35" s="782"/>
      <c r="V35" s="783"/>
      <c r="W35" s="782"/>
      <c r="X35" s="783">
        <v>5</v>
      </c>
      <c r="Y35" s="782"/>
      <c r="Z35" s="783"/>
      <c r="AA35" s="782"/>
      <c r="AB35" s="786">
        <v>1</v>
      </c>
      <c r="AC35" s="857">
        <v>16</v>
      </c>
      <c r="AD35" s="858">
        <v>9</v>
      </c>
      <c r="AE35" s="888">
        <v>7</v>
      </c>
    </row>
    <row r="36" spans="1:31">
      <c r="A36" s="812">
        <v>66</v>
      </c>
      <c r="B36" s="805" t="s">
        <v>146</v>
      </c>
      <c r="C36" s="849" t="s">
        <v>145</v>
      </c>
      <c r="D36" s="773">
        <v>10</v>
      </c>
      <c r="E36" s="782">
        <v>52</v>
      </c>
      <c r="F36" s="781"/>
      <c r="G36" s="782"/>
      <c r="H36" s="781">
        <v>26</v>
      </c>
      <c r="I36" s="782"/>
      <c r="J36" s="789"/>
      <c r="K36" s="782"/>
      <c r="L36" s="781"/>
      <c r="M36" s="831"/>
      <c r="N36" s="840"/>
      <c r="O36" s="831"/>
      <c r="P36" s="840">
        <v>11</v>
      </c>
      <c r="Q36" s="831"/>
      <c r="R36" s="840"/>
      <c r="S36" s="831"/>
      <c r="T36" s="840">
        <v>21</v>
      </c>
      <c r="U36" s="782"/>
      <c r="V36" s="783"/>
      <c r="W36" s="782"/>
      <c r="X36" s="783"/>
      <c r="Y36" s="782"/>
      <c r="Z36" s="783"/>
      <c r="AA36" s="782"/>
      <c r="AB36" s="786"/>
      <c r="AC36" s="857">
        <v>62</v>
      </c>
      <c r="AD36" s="858">
        <v>58</v>
      </c>
      <c r="AE36" s="888">
        <v>4</v>
      </c>
    </row>
    <row r="37" spans="1:31">
      <c r="A37" s="817">
        <v>85</v>
      </c>
      <c r="B37" s="805" t="s">
        <v>182</v>
      </c>
      <c r="C37" s="849" t="s">
        <v>181</v>
      </c>
      <c r="D37" s="773">
        <v>9</v>
      </c>
      <c r="E37" s="782"/>
      <c r="F37" s="781"/>
      <c r="G37" s="782"/>
      <c r="H37" s="788"/>
      <c r="I37" s="782"/>
      <c r="J37" s="789"/>
      <c r="K37" s="782"/>
      <c r="L37" s="781"/>
      <c r="M37" s="831"/>
      <c r="N37" s="840"/>
      <c r="O37" s="831"/>
      <c r="P37" s="840"/>
      <c r="Q37" s="831"/>
      <c r="R37" s="840">
        <v>2</v>
      </c>
      <c r="S37" s="831"/>
      <c r="T37" s="840">
        <v>1</v>
      </c>
      <c r="U37" s="782"/>
      <c r="V37" s="783"/>
      <c r="W37" s="782"/>
      <c r="X37" s="783"/>
      <c r="Y37" s="782"/>
      <c r="Z37" s="783"/>
      <c r="AA37" s="782"/>
      <c r="AB37" s="786"/>
      <c r="AC37" s="857">
        <v>9</v>
      </c>
      <c r="AD37" s="858">
        <v>3</v>
      </c>
      <c r="AE37" s="888">
        <v>6</v>
      </c>
    </row>
    <row r="38" spans="1:31">
      <c r="A38" s="812">
        <v>96</v>
      </c>
      <c r="B38" s="805" t="s">
        <v>205</v>
      </c>
      <c r="C38" s="849" t="s">
        <v>204</v>
      </c>
      <c r="D38" s="853">
        <v>3</v>
      </c>
      <c r="E38" s="782"/>
      <c r="F38" s="781"/>
      <c r="G38" s="782"/>
      <c r="H38" s="788"/>
      <c r="I38" s="782"/>
      <c r="J38" s="789"/>
      <c r="K38" s="782"/>
      <c r="L38" s="781"/>
      <c r="M38" s="831"/>
      <c r="N38" s="840"/>
      <c r="O38" s="831"/>
      <c r="P38" s="840"/>
      <c r="Q38" s="831"/>
      <c r="R38" s="840"/>
      <c r="S38" s="831"/>
      <c r="T38" s="840"/>
      <c r="U38" s="782"/>
      <c r="V38" s="783"/>
      <c r="W38" s="782"/>
      <c r="X38" s="783">
        <v>1</v>
      </c>
      <c r="Y38" s="782"/>
      <c r="Z38" s="783"/>
      <c r="AA38" s="782"/>
      <c r="AB38" s="786"/>
      <c r="AC38" s="857">
        <v>3</v>
      </c>
      <c r="AD38" s="858">
        <v>1</v>
      </c>
      <c r="AE38" s="893">
        <v>2</v>
      </c>
    </row>
    <row r="39" spans="1:31">
      <c r="A39" s="817">
        <v>103</v>
      </c>
      <c r="B39" s="830" t="s">
        <v>219</v>
      </c>
      <c r="C39" s="761" t="s">
        <v>218</v>
      </c>
      <c r="D39" s="773">
        <v>57</v>
      </c>
      <c r="E39" s="782"/>
      <c r="F39" s="781">
        <v>7</v>
      </c>
      <c r="G39" s="782"/>
      <c r="H39" s="781">
        <v>4</v>
      </c>
      <c r="I39" s="782"/>
      <c r="J39" s="800">
        <v>1</v>
      </c>
      <c r="K39" s="782"/>
      <c r="L39" s="781">
        <v>17</v>
      </c>
      <c r="M39" s="831">
        <v>40</v>
      </c>
      <c r="N39" s="840">
        <v>48</v>
      </c>
      <c r="O39" s="831"/>
      <c r="P39" s="840">
        <v>7</v>
      </c>
      <c r="Q39" s="831"/>
      <c r="R39" s="840">
        <v>3</v>
      </c>
      <c r="S39" s="831">
        <v>30</v>
      </c>
      <c r="T39" s="840">
        <v>2</v>
      </c>
      <c r="U39" s="782"/>
      <c r="V39" s="783">
        <v>8</v>
      </c>
      <c r="W39" s="782">
        <v>22</v>
      </c>
      <c r="X39" s="783">
        <v>6</v>
      </c>
      <c r="Y39" s="782"/>
      <c r="Z39" s="783">
        <v>26</v>
      </c>
      <c r="AA39" s="782">
        <v>20</v>
      </c>
      <c r="AB39" s="786">
        <v>5</v>
      </c>
      <c r="AC39" s="857">
        <v>169</v>
      </c>
      <c r="AD39" s="858">
        <v>134</v>
      </c>
      <c r="AE39" s="888">
        <v>35</v>
      </c>
    </row>
    <row r="40" spans="1:31">
      <c r="A40" s="812">
        <v>120</v>
      </c>
      <c r="B40" s="830" t="s">
        <v>246</v>
      </c>
      <c r="C40" s="764" t="s">
        <v>258</v>
      </c>
      <c r="D40" s="853">
        <v>0</v>
      </c>
      <c r="E40" s="782"/>
      <c r="F40" s="781"/>
      <c r="G40" s="782"/>
      <c r="H40" s="788"/>
      <c r="I40" s="831">
        <v>90</v>
      </c>
      <c r="J40" s="789"/>
      <c r="K40" s="782">
        <v>15</v>
      </c>
      <c r="L40" s="781">
        <v>4</v>
      </c>
      <c r="M40" s="831"/>
      <c r="N40" s="840">
        <v>17</v>
      </c>
      <c r="O40" s="831"/>
      <c r="P40" s="840">
        <v>8</v>
      </c>
      <c r="Q40" s="831"/>
      <c r="R40" s="840">
        <v>5</v>
      </c>
      <c r="S40" s="831">
        <v>2</v>
      </c>
      <c r="T40" s="840">
        <v>9</v>
      </c>
      <c r="U40" s="782"/>
      <c r="V40" s="783">
        <v>1</v>
      </c>
      <c r="W40" s="782"/>
      <c r="X40" s="783">
        <v>22</v>
      </c>
      <c r="Y40" s="782"/>
      <c r="Z40" s="783">
        <v>17</v>
      </c>
      <c r="AA40" s="782"/>
      <c r="AB40" s="786">
        <v>2</v>
      </c>
      <c r="AC40" s="857">
        <v>107</v>
      </c>
      <c r="AD40" s="858">
        <v>85</v>
      </c>
      <c r="AE40" s="888">
        <v>22</v>
      </c>
    </row>
    <row r="41" spans="1:31">
      <c r="A41" s="817">
        <v>121</v>
      </c>
      <c r="B41" s="832" t="s">
        <v>247</v>
      </c>
      <c r="C41" s="887" t="s">
        <v>259</v>
      </c>
      <c r="D41" s="854">
        <v>37</v>
      </c>
      <c r="E41" s="791">
        <v>10</v>
      </c>
      <c r="F41" s="792">
        <v>16</v>
      </c>
      <c r="G41" s="791"/>
      <c r="H41" s="792">
        <v>26</v>
      </c>
      <c r="I41" s="833">
        <v>11</v>
      </c>
      <c r="J41" s="811">
        <v>3</v>
      </c>
      <c r="K41" s="782"/>
      <c r="L41" s="781">
        <v>10</v>
      </c>
      <c r="M41" s="831">
        <v>12</v>
      </c>
      <c r="N41" s="840">
        <v>15</v>
      </c>
      <c r="O41" s="831"/>
      <c r="P41" s="840"/>
      <c r="Q41" s="831">
        <v>30</v>
      </c>
      <c r="R41" s="840">
        <v>3</v>
      </c>
      <c r="S41" s="831"/>
      <c r="T41" s="840">
        <v>13</v>
      </c>
      <c r="U41" s="782"/>
      <c r="V41" s="783">
        <v>11</v>
      </c>
      <c r="W41" s="782"/>
      <c r="X41" s="783"/>
      <c r="Y41" s="782">
        <v>46</v>
      </c>
      <c r="Z41" s="783">
        <v>27</v>
      </c>
      <c r="AA41" s="782"/>
      <c r="AB41" s="786">
        <v>18</v>
      </c>
      <c r="AC41" s="859">
        <v>146</v>
      </c>
      <c r="AD41" s="860">
        <v>142</v>
      </c>
      <c r="AE41" s="889">
        <v>4</v>
      </c>
    </row>
    <row r="42" spans="1:31">
      <c r="A42" s="812">
        <v>122</v>
      </c>
      <c r="B42" s="834" t="s">
        <v>248</v>
      </c>
      <c r="C42" s="847" t="s">
        <v>260</v>
      </c>
      <c r="D42" s="774">
        <v>0</v>
      </c>
      <c r="E42" s="814">
        <v>76</v>
      </c>
      <c r="F42" s="815"/>
      <c r="G42" s="814"/>
      <c r="H42" s="815">
        <v>30</v>
      </c>
      <c r="I42" s="814"/>
      <c r="J42" s="816">
        <v>17</v>
      </c>
      <c r="K42" s="782">
        <v>46</v>
      </c>
      <c r="L42" s="781">
        <v>2</v>
      </c>
      <c r="M42" s="782">
        <v>6</v>
      </c>
      <c r="N42" s="783">
        <v>78</v>
      </c>
      <c r="O42" s="782"/>
      <c r="P42" s="783">
        <v>1</v>
      </c>
      <c r="Q42" s="782"/>
      <c r="R42" s="783"/>
      <c r="S42" s="782">
        <v>72</v>
      </c>
      <c r="T42" s="783">
        <v>71</v>
      </c>
      <c r="U42" s="782">
        <v>60</v>
      </c>
      <c r="V42" s="783">
        <v>27</v>
      </c>
      <c r="W42" s="782"/>
      <c r="X42" s="783">
        <v>7</v>
      </c>
      <c r="Y42" s="782">
        <v>10</v>
      </c>
      <c r="Z42" s="783">
        <v>8</v>
      </c>
      <c r="AA42" s="782"/>
      <c r="AB42" s="786"/>
      <c r="AC42" s="778">
        <v>270</v>
      </c>
      <c r="AD42" s="779">
        <v>241</v>
      </c>
      <c r="AE42" s="890">
        <v>29</v>
      </c>
    </row>
    <row r="43" spans="1:31">
      <c r="A43" s="817">
        <v>123</v>
      </c>
      <c r="B43" s="834" t="s">
        <v>249</v>
      </c>
      <c r="C43" s="847" t="s">
        <v>261</v>
      </c>
      <c r="D43" s="855">
        <v>180</v>
      </c>
      <c r="E43" s="814">
        <v>11</v>
      </c>
      <c r="F43" s="815">
        <v>10</v>
      </c>
      <c r="G43" s="814"/>
      <c r="H43" s="835">
        <v>16</v>
      </c>
      <c r="I43" s="836"/>
      <c r="J43" s="816">
        <v>8</v>
      </c>
      <c r="K43" s="782"/>
      <c r="L43" s="781">
        <v>5</v>
      </c>
      <c r="M43" s="831"/>
      <c r="N43" s="840">
        <v>94</v>
      </c>
      <c r="O43" s="831"/>
      <c r="P43" s="840">
        <v>15</v>
      </c>
      <c r="Q43" s="831">
        <v>100</v>
      </c>
      <c r="R43" s="840">
        <v>6</v>
      </c>
      <c r="S43" s="782">
        <v>14</v>
      </c>
      <c r="T43" s="840">
        <v>24</v>
      </c>
      <c r="U43" s="782"/>
      <c r="V43" s="783">
        <v>4</v>
      </c>
      <c r="W43" s="782"/>
      <c r="X43" s="783">
        <v>5</v>
      </c>
      <c r="Y43" s="782"/>
      <c r="Z43" s="783">
        <v>32</v>
      </c>
      <c r="AA43" s="782"/>
      <c r="AB43" s="786">
        <v>4</v>
      </c>
      <c r="AC43" s="861">
        <v>305</v>
      </c>
      <c r="AD43" s="862">
        <v>223</v>
      </c>
      <c r="AE43" s="780">
        <v>82</v>
      </c>
    </row>
    <row r="44" spans="1:31">
      <c r="A44" s="817">
        <v>127</v>
      </c>
      <c r="B44" s="830" t="s">
        <v>281</v>
      </c>
      <c r="C44" s="764" t="s">
        <v>280</v>
      </c>
      <c r="D44" s="853">
        <v>13</v>
      </c>
      <c r="E44" s="782"/>
      <c r="F44" s="781"/>
      <c r="G44" s="782"/>
      <c r="H44" s="781">
        <v>1</v>
      </c>
      <c r="I44" s="782"/>
      <c r="J44" s="789"/>
      <c r="K44" s="782"/>
      <c r="L44" s="781">
        <v>2</v>
      </c>
      <c r="M44" s="831"/>
      <c r="N44" s="840">
        <v>6</v>
      </c>
      <c r="O44" s="831"/>
      <c r="P44" s="840"/>
      <c r="Q44" s="831"/>
      <c r="R44" s="840"/>
      <c r="S44" s="831"/>
      <c r="T44" s="840"/>
      <c r="U44" s="782"/>
      <c r="V44" s="783"/>
      <c r="W44" s="782"/>
      <c r="X44" s="783"/>
      <c r="Y44" s="782"/>
      <c r="Z44" s="783"/>
      <c r="AA44" s="782"/>
      <c r="AB44" s="786">
        <v>1</v>
      </c>
      <c r="AC44" s="857">
        <v>13</v>
      </c>
      <c r="AD44" s="858">
        <v>10</v>
      </c>
      <c r="AE44" s="888">
        <v>3</v>
      </c>
    </row>
    <row r="45" spans="1:31">
      <c r="A45" s="817">
        <v>171</v>
      </c>
      <c r="B45" s="830" t="s">
        <v>382</v>
      </c>
      <c r="C45" s="762" t="s">
        <v>383</v>
      </c>
      <c r="D45" s="853">
        <v>3</v>
      </c>
      <c r="E45" s="782"/>
      <c r="F45" s="781"/>
      <c r="G45" s="782"/>
      <c r="H45" s="788"/>
      <c r="I45" s="782"/>
      <c r="J45" s="789"/>
      <c r="K45" s="782"/>
      <c r="L45" s="781"/>
      <c r="M45" s="870"/>
      <c r="N45" s="840"/>
      <c r="O45" s="831"/>
      <c r="P45" s="840"/>
      <c r="Q45" s="831"/>
      <c r="R45" s="840"/>
      <c r="S45" s="831"/>
      <c r="T45" s="840"/>
      <c r="U45" s="782"/>
      <c r="V45" s="783"/>
      <c r="W45" s="782"/>
      <c r="X45" s="783"/>
      <c r="Y45" s="782"/>
      <c r="Z45" s="783"/>
      <c r="AA45" s="782"/>
      <c r="AB45" s="799"/>
      <c r="AC45" s="857">
        <v>3</v>
      </c>
      <c r="AD45" s="858">
        <v>0</v>
      </c>
      <c r="AE45" s="888">
        <v>3</v>
      </c>
    </row>
    <row r="46" spans="1:31">
      <c r="A46" s="812">
        <v>174</v>
      </c>
      <c r="B46" s="838" t="s">
        <v>729</v>
      </c>
      <c r="C46" s="763" t="s">
        <v>391</v>
      </c>
      <c r="D46" s="853">
        <v>0</v>
      </c>
      <c r="E46" s="782"/>
      <c r="F46" s="781"/>
      <c r="G46" s="782"/>
      <c r="H46" s="788"/>
      <c r="I46" s="782"/>
      <c r="J46" s="789"/>
      <c r="K46" s="782"/>
      <c r="L46" s="781"/>
      <c r="M46" s="870"/>
      <c r="N46" s="840"/>
      <c r="O46" s="831"/>
      <c r="P46" s="840"/>
      <c r="Q46" s="831">
        <v>20</v>
      </c>
      <c r="R46" s="840">
        <v>2</v>
      </c>
      <c r="S46" s="831">
        <v>4</v>
      </c>
      <c r="T46" s="840"/>
      <c r="U46" s="782"/>
      <c r="V46" s="783"/>
      <c r="W46" s="782"/>
      <c r="X46" s="783"/>
      <c r="Y46" s="782"/>
      <c r="Z46" s="783"/>
      <c r="AA46" s="782"/>
      <c r="AB46" s="799"/>
      <c r="AC46" s="857">
        <v>24</v>
      </c>
      <c r="AD46" s="858">
        <v>2</v>
      </c>
      <c r="AE46" s="894">
        <v>22</v>
      </c>
    </row>
    <row r="47" spans="1:31">
      <c r="A47" s="817">
        <v>177</v>
      </c>
      <c r="B47" s="838" t="s">
        <v>448</v>
      </c>
      <c r="C47" s="761" t="s">
        <v>449</v>
      </c>
      <c r="D47" s="773">
        <v>13</v>
      </c>
      <c r="E47" s="782">
        <v>3</v>
      </c>
      <c r="F47" s="781">
        <v>2</v>
      </c>
      <c r="G47" s="782"/>
      <c r="H47" s="788"/>
      <c r="I47" s="782"/>
      <c r="J47" s="789"/>
      <c r="K47" s="782"/>
      <c r="L47" s="781">
        <v>1</v>
      </c>
      <c r="M47" s="831"/>
      <c r="N47" s="840"/>
      <c r="O47" s="831"/>
      <c r="P47" s="840">
        <v>1</v>
      </c>
      <c r="Q47" s="831"/>
      <c r="R47" s="840"/>
      <c r="S47" s="831"/>
      <c r="T47" s="840"/>
      <c r="U47" s="782"/>
      <c r="V47" s="783"/>
      <c r="W47" s="782"/>
      <c r="X47" s="783"/>
      <c r="Y47" s="782"/>
      <c r="Z47" s="783"/>
      <c r="AA47" s="782"/>
      <c r="AB47" s="786">
        <v>1</v>
      </c>
      <c r="AC47" s="857">
        <v>16</v>
      </c>
      <c r="AD47" s="858">
        <v>5</v>
      </c>
      <c r="AE47" s="888">
        <v>11</v>
      </c>
    </row>
    <row r="48" spans="1:31">
      <c r="A48" s="817">
        <v>193</v>
      </c>
      <c r="B48" s="838" t="s">
        <v>550</v>
      </c>
      <c r="C48" s="763" t="s">
        <v>551</v>
      </c>
      <c r="D48" s="853">
        <v>3</v>
      </c>
      <c r="E48" s="782"/>
      <c r="F48" s="781"/>
      <c r="G48" s="782"/>
      <c r="H48" s="788"/>
      <c r="I48" s="782"/>
      <c r="J48" s="789"/>
      <c r="K48" s="782"/>
      <c r="L48" s="781"/>
      <c r="M48" s="831"/>
      <c r="N48" s="840"/>
      <c r="O48" s="831"/>
      <c r="P48" s="840"/>
      <c r="Q48" s="831"/>
      <c r="R48" s="840"/>
      <c r="S48" s="831"/>
      <c r="T48" s="840"/>
      <c r="U48" s="782"/>
      <c r="V48" s="783"/>
      <c r="W48" s="782"/>
      <c r="X48" s="783"/>
      <c r="Y48" s="782"/>
      <c r="Z48" s="783">
        <v>1</v>
      </c>
      <c r="AA48" s="782"/>
      <c r="AB48" s="786"/>
      <c r="AC48" s="857">
        <v>3</v>
      </c>
      <c r="AD48" s="858">
        <v>1</v>
      </c>
      <c r="AE48" s="893">
        <v>2</v>
      </c>
    </row>
    <row r="49" spans="1:31">
      <c r="A49" s="817">
        <v>195</v>
      </c>
      <c r="B49" s="838" t="s">
        <v>605</v>
      </c>
      <c r="C49" s="763" t="s">
        <v>2040</v>
      </c>
      <c r="D49" s="853">
        <v>9</v>
      </c>
      <c r="E49" s="782"/>
      <c r="F49" s="781"/>
      <c r="G49" s="782"/>
      <c r="H49" s="781">
        <v>8</v>
      </c>
      <c r="I49" s="782"/>
      <c r="J49" s="789"/>
      <c r="K49" s="782"/>
      <c r="L49" s="781"/>
      <c r="M49" s="831"/>
      <c r="N49" s="840"/>
      <c r="O49" s="831"/>
      <c r="P49" s="840"/>
      <c r="Q49" s="831">
        <v>10</v>
      </c>
      <c r="R49" s="840"/>
      <c r="S49" s="831"/>
      <c r="T49" s="840"/>
      <c r="U49" s="782"/>
      <c r="V49" s="783">
        <v>4</v>
      </c>
      <c r="W49" s="782"/>
      <c r="X49" s="783"/>
      <c r="Y49" s="782"/>
      <c r="Z49" s="783">
        <v>4</v>
      </c>
      <c r="AA49" s="782"/>
      <c r="AB49" s="786"/>
      <c r="AC49" s="857">
        <v>19</v>
      </c>
      <c r="AD49" s="858">
        <v>16</v>
      </c>
      <c r="AE49" s="888">
        <v>3</v>
      </c>
    </row>
    <row r="50" spans="1:31">
      <c r="A50" s="812">
        <v>196</v>
      </c>
      <c r="B50" s="838" t="s">
        <v>2041</v>
      </c>
      <c r="C50" s="839" t="s">
        <v>659</v>
      </c>
      <c r="D50" s="773">
        <v>0</v>
      </c>
      <c r="E50" s="782"/>
      <c r="F50" s="781"/>
      <c r="G50" s="782"/>
      <c r="H50" s="788"/>
      <c r="I50" s="782"/>
      <c r="J50" s="789"/>
      <c r="K50" s="782"/>
      <c r="L50" s="781"/>
      <c r="M50" s="782"/>
      <c r="N50" s="783"/>
      <c r="O50" s="782"/>
      <c r="P50" s="783"/>
      <c r="Q50" s="782"/>
      <c r="R50" s="783"/>
      <c r="S50" s="782"/>
      <c r="T50" s="783"/>
      <c r="U50" s="782"/>
      <c r="V50" s="783"/>
      <c r="W50" s="782"/>
      <c r="X50" s="783"/>
      <c r="Y50" s="782">
        <v>8</v>
      </c>
      <c r="Z50" s="783"/>
      <c r="AA50" s="782">
        <v>8</v>
      </c>
      <c r="AB50" s="786"/>
      <c r="AC50" s="776">
        <v>16</v>
      </c>
      <c r="AD50" s="777">
        <v>0</v>
      </c>
      <c r="AE50" s="894">
        <v>16</v>
      </c>
    </row>
    <row r="51" spans="1:31">
      <c r="A51" s="812">
        <v>206</v>
      </c>
      <c r="B51" s="838" t="s">
        <v>674</v>
      </c>
      <c r="C51" s="763" t="s">
        <v>675</v>
      </c>
      <c r="D51" s="853">
        <v>2</v>
      </c>
      <c r="E51" s="782"/>
      <c r="F51" s="781"/>
      <c r="G51" s="782"/>
      <c r="H51" s="788"/>
      <c r="I51" s="782"/>
      <c r="J51" s="789"/>
      <c r="K51" s="782"/>
      <c r="L51" s="781"/>
      <c r="M51" s="831"/>
      <c r="N51" s="840"/>
      <c r="O51" s="831"/>
      <c r="P51" s="840"/>
      <c r="Q51" s="831"/>
      <c r="R51" s="840"/>
      <c r="S51" s="831"/>
      <c r="T51" s="840"/>
      <c r="U51" s="782"/>
      <c r="V51" s="783"/>
      <c r="W51" s="782"/>
      <c r="X51" s="783"/>
      <c r="Y51" s="782"/>
      <c r="Z51" s="783"/>
      <c r="AA51" s="782"/>
      <c r="AB51" s="786"/>
      <c r="AC51" s="857">
        <v>2</v>
      </c>
      <c r="AD51" s="858">
        <v>0</v>
      </c>
      <c r="AE51" s="888">
        <v>2</v>
      </c>
    </row>
    <row r="52" spans="1:31">
      <c r="A52" s="817">
        <v>209</v>
      </c>
      <c r="B52" s="830" t="s">
        <v>680</v>
      </c>
      <c r="C52" s="763" t="s">
        <v>681</v>
      </c>
      <c r="D52" s="773">
        <v>0</v>
      </c>
      <c r="E52" s="782"/>
      <c r="F52" s="781"/>
      <c r="G52" s="782"/>
      <c r="H52" s="788"/>
      <c r="I52" s="782"/>
      <c r="J52" s="789"/>
      <c r="K52" s="782"/>
      <c r="L52" s="781"/>
      <c r="M52" s="782"/>
      <c r="N52" s="783"/>
      <c r="O52" s="782"/>
      <c r="P52" s="783"/>
      <c r="Q52" s="782"/>
      <c r="R52" s="783"/>
      <c r="S52" s="782">
        <v>10</v>
      </c>
      <c r="T52" s="783"/>
      <c r="U52" s="782"/>
      <c r="V52" s="783">
        <v>4</v>
      </c>
      <c r="W52" s="782"/>
      <c r="X52" s="783"/>
      <c r="Y52" s="782"/>
      <c r="Z52" s="783"/>
      <c r="AA52" s="782">
        <v>10</v>
      </c>
      <c r="AB52" s="786"/>
      <c r="AC52" s="776">
        <v>20</v>
      </c>
      <c r="AD52" s="777">
        <v>4</v>
      </c>
      <c r="AE52" s="894">
        <v>16</v>
      </c>
    </row>
    <row r="53" spans="1:31">
      <c r="A53" s="817">
        <v>219</v>
      </c>
      <c r="B53" s="830" t="s">
        <v>700</v>
      </c>
      <c r="C53" s="762" t="s">
        <v>702</v>
      </c>
      <c r="D53" s="773">
        <v>7</v>
      </c>
      <c r="E53" s="782"/>
      <c r="F53" s="781"/>
      <c r="G53" s="782"/>
      <c r="H53" s="788"/>
      <c r="I53" s="782"/>
      <c r="J53" s="789"/>
      <c r="K53" s="782"/>
      <c r="L53" s="781"/>
      <c r="M53" s="831"/>
      <c r="N53" s="840"/>
      <c r="O53" s="831"/>
      <c r="P53" s="840"/>
      <c r="Q53" s="831"/>
      <c r="R53" s="840"/>
      <c r="S53" s="831"/>
      <c r="T53" s="840"/>
      <c r="U53" s="782"/>
      <c r="V53" s="783"/>
      <c r="W53" s="782"/>
      <c r="X53" s="783"/>
      <c r="Y53" s="782"/>
      <c r="Z53" s="783"/>
      <c r="AA53" s="782"/>
      <c r="AB53" s="786"/>
      <c r="AC53" s="857">
        <v>7</v>
      </c>
      <c r="AD53" s="858">
        <v>0</v>
      </c>
      <c r="AE53" s="888">
        <v>7</v>
      </c>
    </row>
    <row r="54" spans="1:31">
      <c r="A54" s="812">
        <v>228</v>
      </c>
      <c r="B54" s="830" t="s">
        <v>718</v>
      </c>
      <c r="C54" s="763" t="s">
        <v>719</v>
      </c>
      <c r="D54" s="853">
        <v>15</v>
      </c>
      <c r="E54" s="782"/>
      <c r="F54" s="781"/>
      <c r="G54" s="782"/>
      <c r="H54" s="788"/>
      <c r="I54" s="782"/>
      <c r="J54" s="789"/>
      <c r="K54" s="782"/>
      <c r="L54" s="781"/>
      <c r="M54" s="831"/>
      <c r="N54" s="840"/>
      <c r="O54" s="831"/>
      <c r="P54" s="840">
        <v>3</v>
      </c>
      <c r="Q54" s="831"/>
      <c r="R54" s="840"/>
      <c r="S54" s="831"/>
      <c r="T54" s="840"/>
      <c r="U54" s="782"/>
      <c r="V54" s="783">
        <v>2</v>
      </c>
      <c r="W54" s="782"/>
      <c r="X54" s="783">
        <v>2</v>
      </c>
      <c r="Y54" s="782"/>
      <c r="Z54" s="783"/>
      <c r="AA54" s="782"/>
      <c r="AB54" s="786"/>
      <c r="AC54" s="857">
        <v>15</v>
      </c>
      <c r="AD54" s="858">
        <v>7</v>
      </c>
      <c r="AE54" s="888">
        <v>8</v>
      </c>
    </row>
    <row r="55" spans="1:31">
      <c r="A55" s="817">
        <v>239</v>
      </c>
      <c r="B55" s="830" t="s">
        <v>821</v>
      </c>
      <c r="C55" s="763" t="s">
        <v>822</v>
      </c>
      <c r="D55" s="853">
        <v>7</v>
      </c>
      <c r="E55" s="782">
        <v>20</v>
      </c>
      <c r="F55" s="781"/>
      <c r="G55" s="782"/>
      <c r="H55" s="788"/>
      <c r="I55" s="782"/>
      <c r="J55" s="800">
        <v>4</v>
      </c>
      <c r="K55" s="782">
        <v>2</v>
      </c>
      <c r="L55" s="781">
        <v>3</v>
      </c>
      <c r="M55" s="831"/>
      <c r="N55" s="840"/>
      <c r="O55" s="831"/>
      <c r="P55" s="840"/>
      <c r="Q55" s="831"/>
      <c r="R55" s="840"/>
      <c r="S55" s="831"/>
      <c r="T55" s="840"/>
      <c r="U55" s="782"/>
      <c r="V55" s="783"/>
      <c r="W55" s="782"/>
      <c r="X55" s="783"/>
      <c r="Y55" s="782"/>
      <c r="Z55" s="783">
        <v>3</v>
      </c>
      <c r="AA55" s="782"/>
      <c r="AB55" s="786">
        <v>1</v>
      </c>
      <c r="AC55" s="857">
        <v>29</v>
      </c>
      <c r="AD55" s="858">
        <v>11</v>
      </c>
      <c r="AE55" s="888">
        <v>18</v>
      </c>
    </row>
    <row r="56" spans="1:31">
      <c r="A56" s="817">
        <v>249</v>
      </c>
      <c r="B56" s="830" t="s">
        <v>891</v>
      </c>
      <c r="C56" s="763" t="s">
        <v>898</v>
      </c>
      <c r="D56" s="853">
        <v>10</v>
      </c>
      <c r="E56" s="782"/>
      <c r="F56" s="781"/>
      <c r="G56" s="782"/>
      <c r="H56" s="788"/>
      <c r="I56" s="782"/>
      <c r="J56" s="789"/>
      <c r="K56" s="782"/>
      <c r="L56" s="781"/>
      <c r="M56" s="831"/>
      <c r="N56" s="840">
        <v>1</v>
      </c>
      <c r="O56" s="831"/>
      <c r="P56" s="840"/>
      <c r="Q56" s="831"/>
      <c r="R56" s="840"/>
      <c r="S56" s="831"/>
      <c r="T56" s="840">
        <v>1</v>
      </c>
      <c r="U56" s="782"/>
      <c r="V56" s="783"/>
      <c r="W56" s="782"/>
      <c r="X56" s="783"/>
      <c r="Y56" s="782"/>
      <c r="Z56" s="783">
        <v>1</v>
      </c>
      <c r="AA56" s="782"/>
      <c r="AB56" s="786"/>
      <c r="AC56" s="857">
        <v>10</v>
      </c>
      <c r="AD56" s="858">
        <v>3</v>
      </c>
      <c r="AE56" s="888">
        <v>7</v>
      </c>
    </row>
    <row r="57" spans="1:31">
      <c r="A57" s="812">
        <v>256</v>
      </c>
      <c r="B57" s="830" t="s">
        <v>2042</v>
      </c>
      <c r="C57" s="763" t="s">
        <v>905</v>
      </c>
      <c r="D57" s="773">
        <v>48</v>
      </c>
      <c r="E57" s="782"/>
      <c r="F57" s="781">
        <v>3</v>
      </c>
      <c r="G57" s="782"/>
      <c r="H57" s="781">
        <v>45</v>
      </c>
      <c r="I57" s="782"/>
      <c r="J57" s="789"/>
      <c r="K57" s="782">
        <v>108</v>
      </c>
      <c r="L57" s="781">
        <v>50</v>
      </c>
      <c r="M57" s="831"/>
      <c r="N57" s="840"/>
      <c r="O57" s="831"/>
      <c r="P57" s="840"/>
      <c r="Q57" s="831">
        <v>12</v>
      </c>
      <c r="R57" s="840"/>
      <c r="S57" s="831"/>
      <c r="T57" s="840"/>
      <c r="U57" s="782"/>
      <c r="V57" s="783"/>
      <c r="W57" s="782"/>
      <c r="X57" s="783">
        <v>9</v>
      </c>
      <c r="Y57" s="782"/>
      <c r="Z57" s="783">
        <v>1</v>
      </c>
      <c r="AA57" s="782"/>
      <c r="AB57" s="786">
        <v>2</v>
      </c>
      <c r="AC57" s="857">
        <v>168</v>
      </c>
      <c r="AD57" s="858">
        <v>110</v>
      </c>
      <c r="AE57" s="888">
        <v>58</v>
      </c>
    </row>
    <row r="58" spans="1:31">
      <c r="A58" s="812">
        <v>266</v>
      </c>
      <c r="B58" s="830" t="s">
        <v>1014</v>
      </c>
      <c r="C58" s="763" t="s">
        <v>1018</v>
      </c>
      <c r="D58" s="853">
        <v>4</v>
      </c>
      <c r="E58" s="782"/>
      <c r="F58" s="781"/>
      <c r="G58" s="782"/>
      <c r="H58" s="788"/>
      <c r="I58" s="782"/>
      <c r="J58" s="789"/>
      <c r="K58" s="782"/>
      <c r="L58" s="781"/>
      <c r="M58" s="831"/>
      <c r="N58" s="840"/>
      <c r="O58" s="831"/>
      <c r="P58" s="840"/>
      <c r="Q58" s="831"/>
      <c r="R58" s="840"/>
      <c r="S58" s="831"/>
      <c r="T58" s="840"/>
      <c r="U58" s="782"/>
      <c r="V58" s="783">
        <v>1</v>
      </c>
      <c r="W58" s="782"/>
      <c r="X58" s="783"/>
      <c r="Y58" s="782"/>
      <c r="Z58" s="783"/>
      <c r="AA58" s="782"/>
      <c r="AB58" s="786"/>
      <c r="AC58" s="857">
        <v>4</v>
      </c>
      <c r="AD58" s="858">
        <v>1</v>
      </c>
      <c r="AE58" s="888">
        <v>3</v>
      </c>
    </row>
    <row r="59" spans="1:31">
      <c r="A59" s="817">
        <v>269</v>
      </c>
      <c r="B59" s="830" t="s">
        <v>1022</v>
      </c>
      <c r="C59" s="763" t="s">
        <v>1028</v>
      </c>
      <c r="D59" s="853">
        <v>0</v>
      </c>
      <c r="E59" s="782"/>
      <c r="F59" s="781"/>
      <c r="G59" s="782"/>
      <c r="H59" s="788"/>
      <c r="I59" s="782"/>
      <c r="J59" s="789"/>
      <c r="K59" s="782">
        <v>42</v>
      </c>
      <c r="L59" s="781">
        <v>1</v>
      </c>
      <c r="M59" s="831">
        <v>17</v>
      </c>
      <c r="N59" s="840">
        <v>44</v>
      </c>
      <c r="O59" s="831"/>
      <c r="P59" s="840"/>
      <c r="Q59" s="831">
        <v>51</v>
      </c>
      <c r="R59" s="840">
        <v>4</v>
      </c>
      <c r="S59" s="831"/>
      <c r="T59" s="840"/>
      <c r="U59" s="782"/>
      <c r="V59" s="783">
        <v>4</v>
      </c>
      <c r="W59" s="782"/>
      <c r="X59" s="783">
        <v>5</v>
      </c>
      <c r="Y59" s="782"/>
      <c r="Z59" s="783">
        <v>1</v>
      </c>
      <c r="AA59" s="782">
        <v>30</v>
      </c>
      <c r="AB59" s="786">
        <v>7</v>
      </c>
      <c r="AC59" s="857">
        <v>140</v>
      </c>
      <c r="AD59" s="858">
        <v>66</v>
      </c>
      <c r="AE59" s="888">
        <v>74</v>
      </c>
    </row>
    <row r="60" spans="1:31">
      <c r="A60" s="812">
        <v>272</v>
      </c>
      <c r="B60" s="830" t="s">
        <v>1025</v>
      </c>
      <c r="C60" s="837" t="s">
        <v>1031</v>
      </c>
      <c r="D60" s="773">
        <v>0</v>
      </c>
      <c r="E60" s="782"/>
      <c r="F60" s="781"/>
      <c r="G60" s="782"/>
      <c r="H60" s="788"/>
      <c r="I60" s="782"/>
      <c r="J60" s="789"/>
      <c r="K60" s="782"/>
      <c r="L60" s="781"/>
      <c r="M60" s="782"/>
      <c r="N60" s="783"/>
      <c r="O60" s="782"/>
      <c r="P60" s="783"/>
      <c r="Q60" s="782"/>
      <c r="R60" s="783"/>
      <c r="S60" s="782"/>
      <c r="T60" s="783"/>
      <c r="U60" s="782"/>
      <c r="V60" s="783"/>
      <c r="W60" s="782"/>
      <c r="X60" s="783"/>
      <c r="Y60" s="782">
        <v>2</v>
      </c>
      <c r="Z60" s="783">
        <v>1</v>
      </c>
      <c r="AA60" s="782"/>
      <c r="AB60" s="786"/>
      <c r="AC60" s="776">
        <v>2</v>
      </c>
      <c r="AD60" s="777">
        <v>1</v>
      </c>
      <c r="AE60" s="894">
        <v>1</v>
      </c>
    </row>
    <row r="61" spans="1:31">
      <c r="A61" s="817">
        <v>273</v>
      </c>
      <c r="B61" s="830" t="s">
        <v>1026</v>
      </c>
      <c r="C61" s="762" t="s">
        <v>1032</v>
      </c>
      <c r="D61" s="773">
        <v>52</v>
      </c>
      <c r="E61" s="782"/>
      <c r="F61" s="781">
        <v>2</v>
      </c>
      <c r="G61" s="782"/>
      <c r="H61" s="788"/>
      <c r="I61" s="782"/>
      <c r="J61" s="789"/>
      <c r="K61" s="782"/>
      <c r="L61" s="781"/>
      <c r="M61" s="831"/>
      <c r="N61" s="840"/>
      <c r="O61" s="831"/>
      <c r="P61" s="840"/>
      <c r="Q61" s="831"/>
      <c r="R61" s="840">
        <v>12</v>
      </c>
      <c r="S61" s="831"/>
      <c r="T61" s="840"/>
      <c r="U61" s="782"/>
      <c r="V61" s="783"/>
      <c r="W61" s="782"/>
      <c r="X61" s="783">
        <v>3</v>
      </c>
      <c r="Y61" s="782"/>
      <c r="Z61" s="783"/>
      <c r="AA61" s="782"/>
      <c r="AB61" s="786"/>
      <c r="AC61" s="857">
        <v>52</v>
      </c>
      <c r="AD61" s="858">
        <v>17</v>
      </c>
      <c r="AE61" s="888">
        <v>35</v>
      </c>
    </row>
    <row r="62" spans="1:31">
      <c r="A62" s="817">
        <v>277</v>
      </c>
      <c r="B62" s="830" t="s">
        <v>1100</v>
      </c>
      <c r="C62" s="768" t="s">
        <v>1102</v>
      </c>
      <c r="D62" s="853">
        <v>3</v>
      </c>
      <c r="E62" s="782"/>
      <c r="F62" s="781"/>
      <c r="G62" s="782"/>
      <c r="H62" s="788"/>
      <c r="I62" s="782"/>
      <c r="J62" s="789"/>
      <c r="K62" s="782"/>
      <c r="L62" s="781">
        <v>1</v>
      </c>
      <c r="M62" s="831"/>
      <c r="N62" s="840"/>
      <c r="O62" s="831"/>
      <c r="P62" s="840"/>
      <c r="Q62" s="831"/>
      <c r="R62" s="840"/>
      <c r="S62" s="831"/>
      <c r="T62" s="840"/>
      <c r="U62" s="782"/>
      <c r="V62" s="783"/>
      <c r="W62" s="782"/>
      <c r="X62" s="783"/>
      <c r="Y62" s="782"/>
      <c r="Z62" s="783"/>
      <c r="AA62" s="782"/>
      <c r="AB62" s="786"/>
      <c r="AC62" s="857">
        <v>3</v>
      </c>
      <c r="AD62" s="858">
        <v>1</v>
      </c>
      <c r="AE62" s="888">
        <v>2</v>
      </c>
    </row>
    <row r="63" spans="1:31">
      <c r="A63" s="812">
        <v>296</v>
      </c>
      <c r="B63" s="841" t="s">
        <v>2043</v>
      </c>
      <c r="C63" s="763" t="s">
        <v>2044</v>
      </c>
      <c r="D63" s="853">
        <v>20</v>
      </c>
      <c r="E63" s="782"/>
      <c r="F63" s="781"/>
      <c r="G63" s="782"/>
      <c r="H63" s="788"/>
      <c r="I63" s="782"/>
      <c r="J63" s="789"/>
      <c r="K63" s="782"/>
      <c r="L63" s="781"/>
      <c r="M63" s="831"/>
      <c r="N63" s="840"/>
      <c r="O63" s="831"/>
      <c r="P63" s="840"/>
      <c r="Q63" s="831">
        <v>200</v>
      </c>
      <c r="R63" s="840">
        <v>44</v>
      </c>
      <c r="S63" s="831"/>
      <c r="T63" s="840"/>
      <c r="U63" s="782"/>
      <c r="V63" s="783">
        <v>31</v>
      </c>
      <c r="W63" s="782"/>
      <c r="X63" s="783"/>
      <c r="Y63" s="782"/>
      <c r="Z63" s="783">
        <v>138</v>
      </c>
      <c r="AA63" s="782"/>
      <c r="AB63" s="786"/>
      <c r="AC63" s="857">
        <v>220</v>
      </c>
      <c r="AD63" s="858">
        <v>213</v>
      </c>
      <c r="AE63" s="888">
        <v>7</v>
      </c>
    </row>
    <row r="64" spans="1:31">
      <c r="A64" s="812">
        <v>298</v>
      </c>
      <c r="B64" s="830" t="s">
        <v>1167</v>
      </c>
      <c r="C64" s="762" t="s">
        <v>1168</v>
      </c>
      <c r="D64" s="853">
        <v>5</v>
      </c>
      <c r="E64" s="782"/>
      <c r="F64" s="781"/>
      <c r="G64" s="782"/>
      <c r="H64" s="788"/>
      <c r="I64" s="782"/>
      <c r="J64" s="789"/>
      <c r="K64" s="782"/>
      <c r="L64" s="781"/>
      <c r="M64" s="831"/>
      <c r="N64" s="840"/>
      <c r="O64" s="831"/>
      <c r="P64" s="840">
        <v>2</v>
      </c>
      <c r="Q64" s="831"/>
      <c r="R64" s="840">
        <v>2</v>
      </c>
      <c r="S64" s="831"/>
      <c r="T64" s="840"/>
      <c r="U64" s="782"/>
      <c r="V64" s="783"/>
      <c r="W64" s="782">
        <v>20</v>
      </c>
      <c r="X64" s="783"/>
      <c r="Y64" s="782"/>
      <c r="Z64" s="783">
        <v>15</v>
      </c>
      <c r="AA64" s="782">
        <v>5</v>
      </c>
      <c r="AB64" s="786">
        <v>3</v>
      </c>
      <c r="AC64" s="857">
        <v>30</v>
      </c>
      <c r="AD64" s="858">
        <v>22</v>
      </c>
      <c r="AE64" s="888">
        <v>8</v>
      </c>
    </row>
    <row r="65" spans="1:31">
      <c r="A65" s="817">
        <v>299</v>
      </c>
      <c r="B65" s="830" t="s">
        <v>1169</v>
      </c>
      <c r="C65" s="762" t="s">
        <v>1170</v>
      </c>
      <c r="D65" s="853">
        <v>10</v>
      </c>
      <c r="E65" s="782"/>
      <c r="F65" s="781"/>
      <c r="G65" s="782"/>
      <c r="H65" s="788"/>
      <c r="I65" s="782"/>
      <c r="J65" s="789"/>
      <c r="K65" s="782"/>
      <c r="L65" s="781"/>
      <c r="M65" s="831"/>
      <c r="N65" s="840"/>
      <c r="O65" s="831"/>
      <c r="P65" s="840"/>
      <c r="Q65" s="831"/>
      <c r="R65" s="840">
        <v>2</v>
      </c>
      <c r="S65" s="831"/>
      <c r="T65" s="840"/>
      <c r="U65" s="782"/>
      <c r="V65" s="783"/>
      <c r="W65" s="782"/>
      <c r="X65" s="783"/>
      <c r="Y65" s="782"/>
      <c r="Z65" s="783"/>
      <c r="AA65" s="782"/>
      <c r="AB65" s="786"/>
      <c r="AC65" s="857">
        <v>10</v>
      </c>
      <c r="AD65" s="858">
        <v>2</v>
      </c>
      <c r="AE65" s="888">
        <v>8</v>
      </c>
    </row>
    <row r="66" spans="1:31">
      <c r="A66" s="812">
        <v>300</v>
      </c>
      <c r="B66" s="830" t="s">
        <v>1171</v>
      </c>
      <c r="C66" s="762" t="s">
        <v>1172</v>
      </c>
      <c r="D66" s="853">
        <v>5</v>
      </c>
      <c r="E66" s="782"/>
      <c r="F66" s="781"/>
      <c r="G66" s="782"/>
      <c r="H66" s="788"/>
      <c r="I66" s="782"/>
      <c r="J66" s="789"/>
      <c r="K66" s="782"/>
      <c r="L66" s="781"/>
      <c r="M66" s="831"/>
      <c r="N66" s="840"/>
      <c r="O66" s="831"/>
      <c r="P66" s="840"/>
      <c r="Q66" s="831"/>
      <c r="R66" s="840">
        <v>1</v>
      </c>
      <c r="S66" s="831"/>
      <c r="T66" s="840"/>
      <c r="U66" s="782"/>
      <c r="V66" s="783"/>
      <c r="W66" s="782"/>
      <c r="X66" s="783"/>
      <c r="Y66" s="782"/>
      <c r="Z66" s="783"/>
      <c r="AA66" s="782"/>
      <c r="AB66" s="786"/>
      <c r="AC66" s="857">
        <v>5</v>
      </c>
      <c r="AD66" s="858">
        <v>1</v>
      </c>
      <c r="AE66" s="888">
        <v>4</v>
      </c>
    </row>
    <row r="67" spans="1:31">
      <c r="A67" s="817">
        <v>303</v>
      </c>
      <c r="B67" s="830" t="s">
        <v>1180</v>
      </c>
      <c r="C67" s="762" t="s">
        <v>1182</v>
      </c>
      <c r="D67" s="853">
        <v>26</v>
      </c>
      <c r="E67" s="782"/>
      <c r="F67" s="781"/>
      <c r="G67" s="782"/>
      <c r="H67" s="781">
        <v>1</v>
      </c>
      <c r="I67" s="782">
        <v>20</v>
      </c>
      <c r="J67" s="800">
        <v>6</v>
      </c>
      <c r="K67" s="782"/>
      <c r="L67" s="781">
        <v>1</v>
      </c>
      <c r="M67" s="831"/>
      <c r="N67" s="840">
        <v>38</v>
      </c>
      <c r="O67" s="831"/>
      <c r="P67" s="840"/>
      <c r="Q67" s="831">
        <v>50</v>
      </c>
      <c r="R67" s="840">
        <v>13</v>
      </c>
      <c r="S67" s="831"/>
      <c r="T67" s="840">
        <v>3</v>
      </c>
      <c r="U67" s="782"/>
      <c r="V67" s="783">
        <v>15</v>
      </c>
      <c r="W67" s="782">
        <v>20</v>
      </c>
      <c r="X67" s="783">
        <v>5</v>
      </c>
      <c r="Y67" s="782"/>
      <c r="Z67" s="783">
        <v>1</v>
      </c>
      <c r="AA67" s="782">
        <v>30</v>
      </c>
      <c r="AB67" s="786">
        <v>6</v>
      </c>
      <c r="AC67" s="857">
        <v>146</v>
      </c>
      <c r="AD67" s="858">
        <v>89</v>
      </c>
      <c r="AE67" s="888">
        <v>57</v>
      </c>
    </row>
    <row r="68" spans="1:31">
      <c r="A68" s="812">
        <v>304</v>
      </c>
      <c r="B68" s="830" t="s">
        <v>1183</v>
      </c>
      <c r="C68" s="762" t="s">
        <v>1186</v>
      </c>
      <c r="D68" s="773">
        <v>120</v>
      </c>
      <c r="E68" s="782"/>
      <c r="F68" s="781">
        <v>1</v>
      </c>
      <c r="G68" s="782"/>
      <c r="H68" s="788"/>
      <c r="I68" s="782"/>
      <c r="J68" s="800">
        <v>4</v>
      </c>
      <c r="K68" s="782"/>
      <c r="L68" s="781">
        <v>3</v>
      </c>
      <c r="M68" s="831"/>
      <c r="N68" s="840"/>
      <c r="O68" s="831"/>
      <c r="P68" s="840"/>
      <c r="Q68" s="831"/>
      <c r="R68" s="840">
        <v>6</v>
      </c>
      <c r="S68" s="831"/>
      <c r="T68" s="840">
        <v>4</v>
      </c>
      <c r="U68" s="782"/>
      <c r="V68" s="783">
        <v>10</v>
      </c>
      <c r="W68" s="782"/>
      <c r="X68" s="783"/>
      <c r="Y68" s="782">
        <v>1</v>
      </c>
      <c r="Z68" s="783">
        <v>1</v>
      </c>
      <c r="AA68" s="782"/>
      <c r="AB68" s="786">
        <v>9</v>
      </c>
      <c r="AC68" s="857">
        <v>121</v>
      </c>
      <c r="AD68" s="858">
        <v>38</v>
      </c>
      <c r="AE68" s="888">
        <v>83</v>
      </c>
    </row>
    <row r="69" spans="1:31">
      <c r="A69" s="812">
        <v>306</v>
      </c>
      <c r="B69" s="830" t="s">
        <v>1185</v>
      </c>
      <c r="C69" s="762" t="s">
        <v>1188</v>
      </c>
      <c r="D69" s="853">
        <v>20</v>
      </c>
      <c r="E69" s="782"/>
      <c r="F69" s="781"/>
      <c r="G69" s="782"/>
      <c r="H69" s="788"/>
      <c r="I69" s="782"/>
      <c r="J69" s="789"/>
      <c r="K69" s="782"/>
      <c r="L69" s="781"/>
      <c r="M69" s="831"/>
      <c r="N69" s="840"/>
      <c r="O69" s="831"/>
      <c r="P69" s="840"/>
      <c r="Q69" s="831"/>
      <c r="R69" s="840"/>
      <c r="S69" s="831"/>
      <c r="T69" s="840"/>
      <c r="U69" s="782"/>
      <c r="V69" s="783"/>
      <c r="W69" s="782"/>
      <c r="X69" s="783"/>
      <c r="Y69" s="782"/>
      <c r="Z69" s="783"/>
      <c r="AA69" s="782"/>
      <c r="AB69" s="786"/>
      <c r="AC69" s="857">
        <v>20</v>
      </c>
      <c r="AD69" s="858">
        <v>0</v>
      </c>
      <c r="AE69" s="888">
        <v>20</v>
      </c>
    </row>
    <row r="70" spans="1:31">
      <c r="A70" s="817">
        <v>335</v>
      </c>
      <c r="B70" s="830" t="s">
        <v>1237</v>
      </c>
      <c r="C70" s="837" t="s">
        <v>1275</v>
      </c>
      <c r="D70" s="773">
        <v>0</v>
      </c>
      <c r="E70" s="782"/>
      <c r="F70" s="781"/>
      <c r="G70" s="782"/>
      <c r="H70" s="788"/>
      <c r="I70" s="782">
        <v>8</v>
      </c>
      <c r="J70" s="800">
        <v>8</v>
      </c>
      <c r="K70" s="782"/>
      <c r="L70" s="781"/>
      <c r="M70" s="782"/>
      <c r="N70" s="783"/>
      <c r="O70" s="782"/>
      <c r="P70" s="783"/>
      <c r="Q70" s="782"/>
      <c r="R70" s="783"/>
      <c r="S70" s="782"/>
      <c r="T70" s="783"/>
      <c r="U70" s="782">
        <v>1</v>
      </c>
      <c r="V70" s="783">
        <v>1</v>
      </c>
      <c r="W70" s="782"/>
      <c r="X70" s="783"/>
      <c r="Y70" s="782"/>
      <c r="Z70" s="783"/>
      <c r="AA70" s="782">
        <v>2</v>
      </c>
      <c r="AB70" s="786"/>
      <c r="AC70" s="776">
        <v>11</v>
      </c>
      <c r="AD70" s="777">
        <v>9</v>
      </c>
      <c r="AE70" s="869">
        <v>2</v>
      </c>
    </row>
    <row r="71" spans="1:31">
      <c r="A71" s="812">
        <v>360</v>
      </c>
      <c r="B71" s="830" t="s">
        <v>136</v>
      </c>
      <c r="C71" s="837" t="s">
        <v>1380</v>
      </c>
      <c r="D71" s="773">
        <v>0</v>
      </c>
      <c r="E71" s="782"/>
      <c r="F71" s="781"/>
      <c r="G71" s="782"/>
      <c r="H71" s="788"/>
      <c r="I71" s="782"/>
      <c r="J71" s="789"/>
      <c r="K71" s="782"/>
      <c r="L71" s="781"/>
      <c r="M71" s="782"/>
      <c r="N71" s="783"/>
      <c r="O71" s="782"/>
      <c r="P71" s="783"/>
      <c r="Q71" s="782"/>
      <c r="R71" s="783"/>
      <c r="S71" s="782"/>
      <c r="T71" s="783"/>
      <c r="U71" s="782">
        <v>5</v>
      </c>
      <c r="V71" s="783">
        <v>5</v>
      </c>
      <c r="W71" s="782">
        <v>1</v>
      </c>
      <c r="X71" s="783"/>
      <c r="Y71" s="782">
        <v>1</v>
      </c>
      <c r="Z71" s="783">
        <v>1</v>
      </c>
      <c r="AA71" s="782"/>
      <c r="AB71" s="786"/>
      <c r="AC71" s="776">
        <v>7</v>
      </c>
      <c r="AD71" s="777">
        <v>6</v>
      </c>
      <c r="AE71" s="869">
        <v>1</v>
      </c>
    </row>
    <row r="72" spans="1:31">
      <c r="A72" s="812">
        <v>368</v>
      </c>
      <c r="B72" s="830" t="s">
        <v>142</v>
      </c>
      <c r="C72" s="837" t="s">
        <v>1388</v>
      </c>
      <c r="D72" s="773">
        <v>0</v>
      </c>
      <c r="E72" s="782"/>
      <c r="F72" s="781"/>
      <c r="G72" s="782"/>
      <c r="H72" s="788"/>
      <c r="I72" s="782"/>
      <c r="J72" s="789"/>
      <c r="K72" s="782"/>
      <c r="L72" s="781"/>
      <c r="M72" s="782"/>
      <c r="N72" s="783"/>
      <c r="O72" s="782"/>
      <c r="P72" s="783"/>
      <c r="Q72" s="782"/>
      <c r="R72" s="783"/>
      <c r="S72" s="782"/>
      <c r="T72" s="783"/>
      <c r="U72" s="782"/>
      <c r="V72" s="783"/>
      <c r="W72" s="782"/>
      <c r="X72" s="783"/>
      <c r="Y72" s="782">
        <v>3</v>
      </c>
      <c r="Z72" s="783"/>
      <c r="AA72" s="782"/>
      <c r="AB72" s="786"/>
      <c r="AC72" s="776">
        <v>3</v>
      </c>
      <c r="AD72" s="777">
        <v>0</v>
      </c>
      <c r="AE72" s="869">
        <v>3</v>
      </c>
    </row>
    <row r="73" spans="1:31">
      <c r="A73" s="817">
        <v>369</v>
      </c>
      <c r="B73" s="830" t="s">
        <v>1374</v>
      </c>
      <c r="C73" s="837" t="s">
        <v>1389</v>
      </c>
      <c r="D73" s="773">
        <v>0</v>
      </c>
      <c r="E73" s="782"/>
      <c r="F73" s="781"/>
      <c r="G73" s="782"/>
      <c r="H73" s="788"/>
      <c r="I73" s="782"/>
      <c r="J73" s="789"/>
      <c r="K73" s="782"/>
      <c r="L73" s="781"/>
      <c r="M73" s="782"/>
      <c r="N73" s="783"/>
      <c r="O73" s="782"/>
      <c r="P73" s="783"/>
      <c r="Q73" s="782"/>
      <c r="R73" s="783"/>
      <c r="S73" s="782"/>
      <c r="T73" s="783"/>
      <c r="U73" s="782"/>
      <c r="V73" s="783"/>
      <c r="W73" s="782">
        <v>1</v>
      </c>
      <c r="X73" s="783"/>
      <c r="Y73" s="782">
        <v>4</v>
      </c>
      <c r="Z73" s="783">
        <v>1</v>
      </c>
      <c r="AA73" s="782"/>
      <c r="AB73" s="786"/>
      <c r="AC73" s="776">
        <v>5</v>
      </c>
      <c r="AD73" s="777">
        <v>1</v>
      </c>
      <c r="AE73" s="869">
        <v>4</v>
      </c>
    </row>
    <row r="74" spans="1:31">
      <c r="A74" s="812">
        <v>374</v>
      </c>
      <c r="B74" s="830" t="s">
        <v>1478</v>
      </c>
      <c r="C74" s="762" t="s">
        <v>1394</v>
      </c>
      <c r="D74" s="853">
        <v>33</v>
      </c>
      <c r="E74" s="782"/>
      <c r="F74" s="781"/>
      <c r="G74" s="782"/>
      <c r="H74" s="788"/>
      <c r="I74" s="782"/>
      <c r="J74" s="789"/>
      <c r="K74" s="782"/>
      <c r="L74" s="781"/>
      <c r="M74" s="831"/>
      <c r="N74" s="840"/>
      <c r="O74" s="831"/>
      <c r="P74" s="840"/>
      <c r="Q74" s="831"/>
      <c r="R74" s="840"/>
      <c r="S74" s="831"/>
      <c r="T74" s="840"/>
      <c r="U74" s="782"/>
      <c r="V74" s="783">
        <v>6</v>
      </c>
      <c r="W74" s="782"/>
      <c r="X74" s="783"/>
      <c r="Y74" s="782"/>
      <c r="Z74" s="783"/>
      <c r="AA74" s="782"/>
      <c r="AB74" s="786"/>
      <c r="AC74" s="857">
        <v>33</v>
      </c>
      <c r="AD74" s="858">
        <v>6</v>
      </c>
      <c r="AE74" s="888">
        <v>27</v>
      </c>
    </row>
    <row r="75" spans="1:31">
      <c r="A75" s="817">
        <v>401</v>
      </c>
      <c r="B75" s="830" t="s">
        <v>1504</v>
      </c>
      <c r="C75" s="762" t="s">
        <v>1538</v>
      </c>
      <c r="D75" s="853">
        <v>7</v>
      </c>
      <c r="E75" s="782"/>
      <c r="F75" s="781"/>
      <c r="G75" s="782"/>
      <c r="H75" s="788"/>
      <c r="I75" s="782"/>
      <c r="J75" s="789"/>
      <c r="K75" s="782"/>
      <c r="L75" s="781"/>
      <c r="M75" s="831"/>
      <c r="N75" s="840"/>
      <c r="O75" s="831"/>
      <c r="P75" s="840"/>
      <c r="Q75" s="831"/>
      <c r="R75" s="840"/>
      <c r="S75" s="831"/>
      <c r="T75" s="840"/>
      <c r="U75" s="782"/>
      <c r="V75" s="783"/>
      <c r="W75" s="782"/>
      <c r="X75" s="783"/>
      <c r="Y75" s="782"/>
      <c r="Z75" s="783"/>
      <c r="AA75" s="782"/>
      <c r="AB75" s="786"/>
      <c r="AC75" s="857">
        <v>7</v>
      </c>
      <c r="AD75" s="858">
        <v>0</v>
      </c>
      <c r="AE75" s="888">
        <v>7</v>
      </c>
    </row>
    <row r="76" spans="1:31">
      <c r="A76" s="812">
        <v>412</v>
      </c>
      <c r="B76" s="830" t="s">
        <v>1588</v>
      </c>
      <c r="C76" s="763" t="s">
        <v>1589</v>
      </c>
      <c r="D76" s="853">
        <v>0</v>
      </c>
      <c r="E76" s="782"/>
      <c r="F76" s="781"/>
      <c r="G76" s="782">
        <v>10</v>
      </c>
      <c r="H76" s="788"/>
      <c r="I76" s="782"/>
      <c r="J76" s="800">
        <v>5</v>
      </c>
      <c r="K76" s="831"/>
      <c r="L76" s="781"/>
      <c r="M76" s="831"/>
      <c r="N76" s="840"/>
      <c r="O76" s="831"/>
      <c r="P76" s="840"/>
      <c r="Q76" s="831"/>
      <c r="R76" s="840"/>
      <c r="S76" s="831"/>
      <c r="T76" s="840">
        <v>4</v>
      </c>
      <c r="U76" s="782"/>
      <c r="V76" s="783"/>
      <c r="W76" s="782"/>
      <c r="X76" s="783"/>
      <c r="Y76" s="782"/>
      <c r="Z76" s="783"/>
      <c r="AA76" s="782">
        <v>40</v>
      </c>
      <c r="AB76" s="786">
        <v>23</v>
      </c>
      <c r="AC76" s="857">
        <v>50</v>
      </c>
      <c r="AD76" s="858">
        <v>32</v>
      </c>
      <c r="AE76" s="888">
        <v>18</v>
      </c>
    </row>
    <row r="77" spans="1:31">
      <c r="A77" s="817">
        <v>413</v>
      </c>
      <c r="B77" s="830" t="s">
        <v>1590</v>
      </c>
      <c r="C77" s="763" t="s">
        <v>1591</v>
      </c>
      <c r="D77" s="853">
        <v>10</v>
      </c>
      <c r="E77" s="782"/>
      <c r="F77" s="781">
        <v>1</v>
      </c>
      <c r="G77" s="782"/>
      <c r="H77" s="788"/>
      <c r="I77" s="782"/>
      <c r="J77" s="789"/>
      <c r="K77" s="782"/>
      <c r="L77" s="781">
        <v>1</v>
      </c>
      <c r="M77" s="831"/>
      <c r="N77" s="840"/>
      <c r="O77" s="831"/>
      <c r="P77" s="840"/>
      <c r="Q77" s="831">
        <v>10</v>
      </c>
      <c r="R77" s="840"/>
      <c r="S77" s="831"/>
      <c r="T77" s="840"/>
      <c r="U77" s="782"/>
      <c r="V77" s="783"/>
      <c r="W77" s="782"/>
      <c r="X77" s="783"/>
      <c r="Y77" s="782"/>
      <c r="Z77" s="783"/>
      <c r="AA77" s="782"/>
      <c r="AB77" s="786"/>
      <c r="AC77" s="857">
        <v>20</v>
      </c>
      <c r="AD77" s="858">
        <v>2</v>
      </c>
      <c r="AE77" s="888">
        <v>18</v>
      </c>
    </row>
    <row r="78" spans="1:31">
      <c r="A78" s="817">
        <v>445</v>
      </c>
      <c r="B78" s="830" t="s">
        <v>1906</v>
      </c>
      <c r="C78" s="763" t="s">
        <v>1907</v>
      </c>
      <c r="D78" s="853">
        <v>10</v>
      </c>
      <c r="E78" s="782"/>
      <c r="F78" s="781"/>
      <c r="G78" s="782"/>
      <c r="H78" s="781">
        <v>1</v>
      </c>
      <c r="I78" s="782"/>
      <c r="J78" s="800">
        <v>8</v>
      </c>
      <c r="K78" s="782"/>
      <c r="L78" s="781"/>
      <c r="M78" s="831">
        <v>40</v>
      </c>
      <c r="N78" s="840"/>
      <c r="O78" s="831"/>
      <c r="P78" s="840">
        <v>10</v>
      </c>
      <c r="Q78" s="831"/>
      <c r="R78" s="840">
        <v>7</v>
      </c>
      <c r="S78" s="831"/>
      <c r="T78" s="840">
        <v>3</v>
      </c>
      <c r="U78" s="782"/>
      <c r="V78" s="783"/>
      <c r="W78" s="782"/>
      <c r="X78" s="783"/>
      <c r="Y78" s="782"/>
      <c r="Z78" s="783">
        <v>2</v>
      </c>
      <c r="AA78" s="782"/>
      <c r="AB78" s="786">
        <v>1</v>
      </c>
      <c r="AC78" s="857">
        <v>50</v>
      </c>
      <c r="AD78" s="858">
        <v>32</v>
      </c>
      <c r="AE78" s="888">
        <v>18</v>
      </c>
    </row>
    <row r="79" spans="1:31">
      <c r="A79" s="817">
        <v>451</v>
      </c>
      <c r="B79" s="830" t="s">
        <v>2045</v>
      </c>
      <c r="C79" s="763" t="s">
        <v>2046</v>
      </c>
      <c r="D79" s="853">
        <v>0</v>
      </c>
      <c r="E79" s="782"/>
      <c r="F79" s="781"/>
      <c r="G79" s="782">
        <v>2</v>
      </c>
      <c r="H79" s="788"/>
      <c r="I79" s="782"/>
      <c r="J79" s="789"/>
      <c r="K79" s="782"/>
      <c r="L79" s="781"/>
      <c r="M79" s="831"/>
      <c r="N79" s="840">
        <v>1</v>
      </c>
      <c r="O79" s="831"/>
      <c r="P79" s="840"/>
      <c r="Q79" s="831"/>
      <c r="R79" s="840"/>
      <c r="S79" s="831"/>
      <c r="T79" s="840"/>
      <c r="U79" s="782"/>
      <c r="V79" s="783"/>
      <c r="W79" s="782"/>
      <c r="X79" s="783"/>
      <c r="Y79" s="782"/>
      <c r="Z79" s="783"/>
      <c r="AA79" s="782"/>
      <c r="AB79" s="786"/>
      <c r="AC79" s="857">
        <v>2</v>
      </c>
      <c r="AD79" s="858">
        <v>1</v>
      </c>
      <c r="AE79" s="888">
        <v>1</v>
      </c>
    </row>
    <row r="80" spans="1:31">
      <c r="A80" s="817">
        <v>453</v>
      </c>
      <c r="B80" s="830" t="s">
        <v>2047</v>
      </c>
      <c r="C80" s="839" t="s">
        <v>2048</v>
      </c>
      <c r="D80" s="773">
        <v>0</v>
      </c>
      <c r="E80" s="782"/>
      <c r="F80" s="781"/>
      <c r="G80" s="782"/>
      <c r="H80" s="788"/>
      <c r="I80" s="782">
        <v>10</v>
      </c>
      <c r="J80" s="800">
        <v>10</v>
      </c>
      <c r="K80" s="782"/>
      <c r="L80" s="781"/>
      <c r="M80" s="782"/>
      <c r="N80" s="783"/>
      <c r="O80" s="782"/>
      <c r="P80" s="783"/>
      <c r="Q80" s="782"/>
      <c r="R80" s="783"/>
      <c r="S80" s="782"/>
      <c r="T80" s="783"/>
      <c r="U80" s="782"/>
      <c r="V80" s="783"/>
      <c r="W80" s="782"/>
      <c r="X80" s="783"/>
      <c r="Y80" s="782"/>
      <c r="Z80" s="783"/>
      <c r="AA80" s="782">
        <v>10</v>
      </c>
      <c r="AB80" s="786"/>
      <c r="AC80" s="776">
        <v>20</v>
      </c>
      <c r="AD80" s="777">
        <v>10</v>
      </c>
      <c r="AE80" s="869">
        <v>10</v>
      </c>
    </row>
    <row r="81" spans="1:31">
      <c r="A81" s="812">
        <v>454</v>
      </c>
      <c r="B81" s="830" t="s">
        <v>2049</v>
      </c>
      <c r="C81" s="763" t="s">
        <v>2050</v>
      </c>
      <c r="D81" s="773">
        <v>0</v>
      </c>
      <c r="E81" s="782"/>
      <c r="F81" s="781"/>
      <c r="G81" s="782"/>
      <c r="H81" s="788"/>
      <c r="I81" s="782">
        <v>8</v>
      </c>
      <c r="J81" s="800">
        <v>8</v>
      </c>
      <c r="K81" s="782"/>
      <c r="L81" s="781"/>
      <c r="M81" s="782"/>
      <c r="N81" s="783"/>
      <c r="O81" s="782"/>
      <c r="P81" s="783"/>
      <c r="Q81" s="782"/>
      <c r="R81" s="783"/>
      <c r="S81" s="782"/>
      <c r="T81" s="783"/>
      <c r="U81" s="782"/>
      <c r="V81" s="783"/>
      <c r="W81" s="782">
        <v>5</v>
      </c>
      <c r="X81" s="783"/>
      <c r="Y81" s="782"/>
      <c r="Z81" s="783"/>
      <c r="AA81" s="782"/>
      <c r="AB81" s="786"/>
      <c r="AC81" s="776">
        <v>13</v>
      </c>
      <c r="AD81" s="777">
        <v>8</v>
      </c>
      <c r="AE81" s="869">
        <v>5</v>
      </c>
    </row>
    <row r="82" spans="1:31">
      <c r="A82" s="817">
        <v>455</v>
      </c>
      <c r="B82" s="830" t="s">
        <v>2051</v>
      </c>
      <c r="C82" s="763" t="s">
        <v>2052</v>
      </c>
      <c r="D82" s="853">
        <v>0</v>
      </c>
      <c r="E82" s="782"/>
      <c r="F82" s="781"/>
      <c r="G82" s="782"/>
      <c r="H82" s="788"/>
      <c r="I82" s="782">
        <v>10</v>
      </c>
      <c r="J82" s="789"/>
      <c r="K82" s="782"/>
      <c r="L82" s="781"/>
      <c r="M82" s="831"/>
      <c r="N82" s="840"/>
      <c r="O82" s="831"/>
      <c r="P82" s="840"/>
      <c r="Q82" s="831"/>
      <c r="R82" s="840"/>
      <c r="S82" s="831"/>
      <c r="T82" s="840"/>
      <c r="U82" s="782"/>
      <c r="V82" s="783"/>
      <c r="W82" s="782"/>
      <c r="X82" s="783"/>
      <c r="Y82" s="782"/>
      <c r="Z82" s="783">
        <v>1</v>
      </c>
      <c r="AA82" s="782"/>
      <c r="AB82" s="786">
        <v>2</v>
      </c>
      <c r="AC82" s="857">
        <v>10</v>
      </c>
      <c r="AD82" s="858">
        <v>3</v>
      </c>
      <c r="AE82" s="888">
        <v>7</v>
      </c>
    </row>
    <row r="83" spans="1:31">
      <c r="A83" s="812">
        <v>456</v>
      </c>
      <c r="B83" s="838" t="s">
        <v>2053</v>
      </c>
      <c r="C83" s="762" t="s">
        <v>2054</v>
      </c>
      <c r="D83" s="853">
        <v>0</v>
      </c>
      <c r="E83" s="782"/>
      <c r="F83" s="781"/>
      <c r="G83" s="782"/>
      <c r="H83" s="788"/>
      <c r="I83" s="782">
        <v>10</v>
      </c>
      <c r="J83" s="789"/>
      <c r="K83" s="782"/>
      <c r="L83" s="781"/>
      <c r="M83" s="831"/>
      <c r="N83" s="840"/>
      <c r="O83" s="831"/>
      <c r="P83" s="840"/>
      <c r="Q83" s="831"/>
      <c r="R83" s="840"/>
      <c r="S83" s="831"/>
      <c r="T83" s="840"/>
      <c r="U83" s="782"/>
      <c r="V83" s="783">
        <v>4</v>
      </c>
      <c r="W83" s="782"/>
      <c r="X83" s="783">
        <v>4</v>
      </c>
      <c r="Y83" s="782"/>
      <c r="Z83" s="783">
        <v>1</v>
      </c>
      <c r="AA83" s="782"/>
      <c r="AB83" s="786"/>
      <c r="AC83" s="857">
        <v>10</v>
      </c>
      <c r="AD83" s="858">
        <v>9</v>
      </c>
      <c r="AE83" s="888">
        <v>1</v>
      </c>
    </row>
    <row r="84" spans="1:31">
      <c r="A84" s="817">
        <v>461</v>
      </c>
      <c r="B84" s="841" t="s">
        <v>2055</v>
      </c>
      <c r="C84" s="771" t="s">
        <v>2056</v>
      </c>
      <c r="D84" s="871">
        <v>0</v>
      </c>
      <c r="E84" s="801"/>
      <c r="F84" s="843"/>
      <c r="G84" s="801"/>
      <c r="H84" s="844"/>
      <c r="I84" s="801"/>
      <c r="J84" s="845"/>
      <c r="K84" s="801">
        <v>10</v>
      </c>
      <c r="L84" s="843"/>
      <c r="M84" s="831"/>
      <c r="N84" s="840">
        <v>1</v>
      </c>
      <c r="O84" s="831"/>
      <c r="P84" s="840"/>
      <c r="Q84" s="831"/>
      <c r="R84" s="840"/>
      <c r="S84" s="831"/>
      <c r="T84" s="840">
        <v>3</v>
      </c>
      <c r="U84" s="782"/>
      <c r="V84" s="783"/>
      <c r="W84" s="782"/>
      <c r="X84" s="783"/>
      <c r="Y84" s="782"/>
      <c r="Z84" s="783"/>
      <c r="AA84" s="782"/>
      <c r="AB84" s="786">
        <v>1</v>
      </c>
      <c r="AC84" s="857">
        <v>10</v>
      </c>
      <c r="AD84" s="858">
        <v>5</v>
      </c>
      <c r="AE84" s="888">
        <v>5</v>
      </c>
    </row>
    <row r="85" spans="1:31">
      <c r="A85" s="812">
        <v>462</v>
      </c>
      <c r="B85" s="841" t="s">
        <v>2057</v>
      </c>
      <c r="C85" s="771" t="s">
        <v>2058</v>
      </c>
      <c r="D85" s="871">
        <v>0</v>
      </c>
      <c r="E85" s="801"/>
      <c r="F85" s="843"/>
      <c r="G85" s="801"/>
      <c r="H85" s="844"/>
      <c r="I85" s="801"/>
      <c r="J85" s="845"/>
      <c r="K85" s="801">
        <v>20</v>
      </c>
      <c r="L85" s="843"/>
      <c r="M85" s="831"/>
      <c r="N85" s="840">
        <v>2</v>
      </c>
      <c r="O85" s="831"/>
      <c r="P85" s="840"/>
      <c r="Q85" s="831"/>
      <c r="R85" s="840"/>
      <c r="S85" s="831"/>
      <c r="T85" s="840">
        <v>5</v>
      </c>
      <c r="U85" s="782"/>
      <c r="V85" s="783"/>
      <c r="W85" s="782"/>
      <c r="X85" s="783">
        <v>3</v>
      </c>
      <c r="Y85" s="782"/>
      <c r="Z85" s="783"/>
      <c r="AA85" s="782"/>
      <c r="AB85" s="786"/>
      <c r="AC85" s="857">
        <v>20</v>
      </c>
      <c r="AD85" s="858">
        <v>10</v>
      </c>
      <c r="AE85" s="888">
        <v>10</v>
      </c>
    </row>
    <row r="86" spans="1:31">
      <c r="A86" s="817">
        <v>463</v>
      </c>
      <c r="B86" s="841" t="s">
        <v>2059</v>
      </c>
      <c r="C86" s="842" t="s">
        <v>2060</v>
      </c>
      <c r="D86" s="784">
        <v>0</v>
      </c>
      <c r="E86" s="801"/>
      <c r="F86" s="843"/>
      <c r="G86" s="801"/>
      <c r="H86" s="844"/>
      <c r="I86" s="801"/>
      <c r="J86" s="845"/>
      <c r="K86" s="801">
        <v>2</v>
      </c>
      <c r="L86" s="843">
        <v>1</v>
      </c>
      <c r="M86" s="782"/>
      <c r="N86" s="783">
        <v>1</v>
      </c>
      <c r="O86" s="782"/>
      <c r="P86" s="783"/>
      <c r="Q86" s="782"/>
      <c r="R86" s="783"/>
      <c r="S86" s="782"/>
      <c r="T86" s="783"/>
      <c r="U86" s="782"/>
      <c r="V86" s="783"/>
      <c r="W86" s="782">
        <v>2</v>
      </c>
      <c r="X86" s="783"/>
      <c r="Y86" s="782"/>
      <c r="Z86" s="783"/>
      <c r="AA86" s="782"/>
      <c r="AB86" s="786">
        <v>1</v>
      </c>
      <c r="AC86" s="776">
        <v>4</v>
      </c>
      <c r="AD86" s="777">
        <v>3</v>
      </c>
      <c r="AE86" s="888">
        <v>1</v>
      </c>
    </row>
    <row r="87" spans="1:31">
      <c r="A87" s="812">
        <v>464</v>
      </c>
      <c r="B87" s="841" t="s">
        <v>2061</v>
      </c>
      <c r="C87" s="771" t="s">
        <v>2062</v>
      </c>
      <c r="D87" s="871">
        <v>0</v>
      </c>
      <c r="E87" s="801"/>
      <c r="F87" s="843"/>
      <c r="G87" s="801"/>
      <c r="H87" s="844"/>
      <c r="I87" s="801"/>
      <c r="J87" s="845"/>
      <c r="K87" s="801">
        <v>361</v>
      </c>
      <c r="L87" s="843">
        <v>142</v>
      </c>
      <c r="M87" s="831"/>
      <c r="N87" s="840"/>
      <c r="O87" s="831"/>
      <c r="P87" s="840">
        <v>77</v>
      </c>
      <c r="Q87" s="831"/>
      <c r="R87" s="840"/>
      <c r="S87" s="831"/>
      <c r="T87" s="840">
        <v>142</v>
      </c>
      <c r="U87" s="782"/>
      <c r="V87" s="783"/>
      <c r="W87" s="782"/>
      <c r="X87" s="783"/>
      <c r="Y87" s="782">
        <v>30</v>
      </c>
      <c r="Z87" s="783"/>
      <c r="AA87" s="782"/>
      <c r="AB87" s="786"/>
      <c r="AC87" s="857">
        <v>391</v>
      </c>
      <c r="AD87" s="858">
        <v>361</v>
      </c>
      <c r="AE87" s="888">
        <v>30</v>
      </c>
    </row>
    <row r="88" spans="1:31">
      <c r="A88" s="812">
        <v>466</v>
      </c>
      <c r="B88" s="841" t="s">
        <v>2063</v>
      </c>
      <c r="C88" s="771" t="s">
        <v>2064</v>
      </c>
      <c r="D88" s="871">
        <v>0</v>
      </c>
      <c r="E88" s="801"/>
      <c r="F88" s="843"/>
      <c r="G88" s="801"/>
      <c r="H88" s="844"/>
      <c r="I88" s="801"/>
      <c r="J88" s="845"/>
      <c r="K88" s="801">
        <v>20</v>
      </c>
      <c r="L88" s="843"/>
      <c r="M88" s="831"/>
      <c r="N88" s="840"/>
      <c r="O88" s="831"/>
      <c r="P88" s="840"/>
      <c r="Q88" s="831"/>
      <c r="R88" s="840"/>
      <c r="S88" s="831"/>
      <c r="T88" s="840"/>
      <c r="U88" s="782"/>
      <c r="V88" s="783"/>
      <c r="W88" s="782"/>
      <c r="X88" s="783">
        <v>3</v>
      </c>
      <c r="Y88" s="782"/>
      <c r="Z88" s="783"/>
      <c r="AA88" s="782"/>
      <c r="AB88" s="786"/>
      <c r="AC88" s="872">
        <v>20</v>
      </c>
      <c r="AD88" s="858">
        <v>3</v>
      </c>
      <c r="AE88" s="888">
        <v>17</v>
      </c>
    </row>
    <row r="89" spans="1:31">
      <c r="A89" s="817">
        <v>485</v>
      </c>
      <c r="B89" s="841" t="s">
        <v>1922</v>
      </c>
      <c r="C89" s="771" t="s">
        <v>2065</v>
      </c>
      <c r="D89" s="871">
        <v>0</v>
      </c>
      <c r="E89" s="801"/>
      <c r="F89" s="843"/>
      <c r="G89" s="801"/>
      <c r="H89" s="844"/>
      <c r="I89" s="801"/>
      <c r="J89" s="845"/>
      <c r="K89" s="801"/>
      <c r="L89" s="843"/>
      <c r="M89" s="831"/>
      <c r="N89" s="840"/>
      <c r="O89" s="831"/>
      <c r="P89" s="840"/>
      <c r="Q89" s="831">
        <v>10</v>
      </c>
      <c r="R89" s="840"/>
      <c r="S89" s="831"/>
      <c r="T89" s="840"/>
      <c r="U89" s="782"/>
      <c r="V89" s="783"/>
      <c r="W89" s="782"/>
      <c r="X89" s="783"/>
      <c r="Y89" s="782"/>
      <c r="Z89" s="783"/>
      <c r="AA89" s="782"/>
      <c r="AB89" s="799"/>
      <c r="AC89" s="857">
        <v>10</v>
      </c>
      <c r="AD89" s="858">
        <v>0</v>
      </c>
      <c r="AE89" s="873">
        <v>10</v>
      </c>
    </row>
    <row r="90" spans="1:31">
      <c r="A90" s="812">
        <v>486</v>
      </c>
      <c r="B90" s="841" t="s">
        <v>2066</v>
      </c>
      <c r="C90" s="771" t="s">
        <v>2067</v>
      </c>
      <c r="D90" s="871">
        <v>0</v>
      </c>
      <c r="E90" s="801"/>
      <c r="F90" s="843"/>
      <c r="G90" s="801"/>
      <c r="H90" s="844"/>
      <c r="I90" s="801"/>
      <c r="J90" s="845"/>
      <c r="K90" s="801"/>
      <c r="L90" s="843"/>
      <c r="M90" s="831"/>
      <c r="N90" s="840"/>
      <c r="O90" s="831"/>
      <c r="P90" s="840"/>
      <c r="Q90" s="831">
        <v>180</v>
      </c>
      <c r="R90" s="840">
        <v>45</v>
      </c>
      <c r="S90" s="831"/>
      <c r="T90" s="840"/>
      <c r="U90" s="782"/>
      <c r="V90" s="783"/>
      <c r="W90" s="782"/>
      <c r="X90" s="783"/>
      <c r="Y90" s="782"/>
      <c r="Z90" s="783"/>
      <c r="AA90" s="782"/>
      <c r="AB90" s="799">
        <v>80</v>
      </c>
      <c r="AC90" s="857">
        <v>180</v>
      </c>
      <c r="AD90" s="858">
        <v>125</v>
      </c>
      <c r="AE90" s="873">
        <v>55</v>
      </c>
    </row>
    <row r="91" spans="1:31">
      <c r="A91" s="817">
        <v>487</v>
      </c>
      <c r="B91" s="841" t="s">
        <v>2068</v>
      </c>
      <c r="C91" s="771" t="s">
        <v>2069</v>
      </c>
      <c r="D91" s="871">
        <v>0</v>
      </c>
      <c r="E91" s="801"/>
      <c r="F91" s="843"/>
      <c r="G91" s="801"/>
      <c r="H91" s="844"/>
      <c r="I91" s="801"/>
      <c r="J91" s="845"/>
      <c r="K91" s="801"/>
      <c r="L91" s="781"/>
      <c r="M91" s="831"/>
      <c r="N91" s="840"/>
      <c r="O91" s="831"/>
      <c r="P91" s="840"/>
      <c r="Q91" s="831">
        <v>200</v>
      </c>
      <c r="R91" s="840">
        <v>65</v>
      </c>
      <c r="S91" s="831"/>
      <c r="T91" s="840"/>
      <c r="U91" s="782"/>
      <c r="V91" s="783">
        <v>132</v>
      </c>
      <c r="W91" s="782"/>
      <c r="X91" s="783"/>
      <c r="Y91" s="782"/>
      <c r="Z91" s="783"/>
      <c r="AA91" s="782"/>
      <c r="AB91" s="786"/>
      <c r="AC91" s="857">
        <v>200</v>
      </c>
      <c r="AD91" s="858">
        <v>197</v>
      </c>
      <c r="AE91" s="873">
        <v>3</v>
      </c>
    </row>
    <row r="92" spans="1:31">
      <c r="A92" s="812">
        <v>488</v>
      </c>
      <c r="B92" s="841" t="s">
        <v>2070</v>
      </c>
      <c r="C92" s="771" t="s">
        <v>2071</v>
      </c>
      <c r="D92" s="871">
        <v>0</v>
      </c>
      <c r="E92" s="801"/>
      <c r="F92" s="843"/>
      <c r="G92" s="801"/>
      <c r="H92" s="844"/>
      <c r="I92" s="801"/>
      <c r="J92" s="845"/>
      <c r="K92" s="801"/>
      <c r="L92" s="843"/>
      <c r="M92" s="831"/>
      <c r="N92" s="840"/>
      <c r="O92" s="831"/>
      <c r="P92" s="840"/>
      <c r="Q92" s="831">
        <v>10</v>
      </c>
      <c r="R92" s="840"/>
      <c r="S92" s="831"/>
      <c r="T92" s="840"/>
      <c r="U92" s="782"/>
      <c r="V92" s="783"/>
      <c r="W92" s="782">
        <v>9</v>
      </c>
      <c r="X92" s="783">
        <v>9</v>
      </c>
      <c r="Y92" s="782"/>
      <c r="Z92" s="783"/>
      <c r="AA92" s="782"/>
      <c r="AB92" s="786">
        <v>1</v>
      </c>
      <c r="AC92" s="872">
        <v>19</v>
      </c>
      <c r="AD92" s="858">
        <v>10</v>
      </c>
      <c r="AE92" s="873">
        <v>9</v>
      </c>
    </row>
    <row r="93" spans="1:31">
      <c r="A93" s="812">
        <v>490</v>
      </c>
      <c r="B93" s="841" t="s">
        <v>2072</v>
      </c>
      <c r="C93" s="771" t="s">
        <v>2073</v>
      </c>
      <c r="D93" s="871">
        <v>0</v>
      </c>
      <c r="E93" s="801"/>
      <c r="F93" s="843"/>
      <c r="G93" s="801"/>
      <c r="H93" s="844"/>
      <c r="I93" s="801"/>
      <c r="J93" s="845"/>
      <c r="K93" s="801"/>
      <c r="L93" s="843"/>
      <c r="M93" s="831"/>
      <c r="N93" s="840"/>
      <c r="O93" s="831"/>
      <c r="P93" s="840"/>
      <c r="Q93" s="831"/>
      <c r="R93" s="840"/>
      <c r="S93" s="831">
        <v>10</v>
      </c>
      <c r="T93" s="840"/>
      <c r="U93" s="782"/>
      <c r="V93" s="783">
        <v>2</v>
      </c>
      <c r="W93" s="782"/>
      <c r="X93" s="783"/>
      <c r="Y93" s="782"/>
      <c r="Z93" s="783"/>
      <c r="AA93" s="782"/>
      <c r="AB93" s="786"/>
      <c r="AC93" s="872">
        <v>10</v>
      </c>
      <c r="AD93" s="858">
        <v>2</v>
      </c>
      <c r="AE93" s="873">
        <v>8</v>
      </c>
    </row>
    <row r="94" spans="1:31">
      <c r="A94" s="812">
        <v>492</v>
      </c>
      <c r="B94" s="841" t="s">
        <v>2074</v>
      </c>
      <c r="C94" s="771" t="s">
        <v>2075</v>
      </c>
      <c r="D94" s="871">
        <v>0</v>
      </c>
      <c r="E94" s="801"/>
      <c r="F94" s="843"/>
      <c r="G94" s="801"/>
      <c r="H94" s="844"/>
      <c r="I94" s="801"/>
      <c r="J94" s="845"/>
      <c r="K94" s="801"/>
      <c r="L94" s="843"/>
      <c r="M94" s="831"/>
      <c r="N94" s="840"/>
      <c r="O94" s="831"/>
      <c r="P94" s="840"/>
      <c r="Q94" s="831"/>
      <c r="R94" s="840"/>
      <c r="S94" s="831"/>
      <c r="T94" s="840"/>
      <c r="U94" s="782">
        <v>1</v>
      </c>
      <c r="V94" s="783"/>
      <c r="W94" s="782"/>
      <c r="X94" s="783"/>
      <c r="Y94" s="782"/>
      <c r="Z94" s="783"/>
      <c r="AA94" s="782"/>
      <c r="AB94" s="786"/>
      <c r="AC94" s="872">
        <v>1</v>
      </c>
      <c r="AD94" s="858">
        <v>0</v>
      </c>
      <c r="AE94" s="873">
        <v>1</v>
      </c>
    </row>
    <row r="95" spans="1:31">
      <c r="A95" s="817">
        <v>493</v>
      </c>
      <c r="B95" s="841" t="s">
        <v>2076</v>
      </c>
      <c r="C95" s="771" t="s">
        <v>2077</v>
      </c>
      <c r="D95" s="871">
        <v>0</v>
      </c>
      <c r="E95" s="801"/>
      <c r="F95" s="843"/>
      <c r="G95" s="801"/>
      <c r="H95" s="844"/>
      <c r="I95" s="801"/>
      <c r="J95" s="845"/>
      <c r="K95" s="801"/>
      <c r="L95" s="843"/>
      <c r="M95" s="831"/>
      <c r="N95" s="840"/>
      <c r="O95" s="831"/>
      <c r="P95" s="840"/>
      <c r="Q95" s="831"/>
      <c r="R95" s="840"/>
      <c r="S95" s="831"/>
      <c r="T95" s="840"/>
      <c r="U95" s="782">
        <v>8</v>
      </c>
      <c r="V95" s="783">
        <v>8</v>
      </c>
      <c r="W95" s="782">
        <v>7</v>
      </c>
      <c r="X95" s="783">
        <v>7</v>
      </c>
      <c r="Y95" s="782"/>
      <c r="Z95" s="783"/>
      <c r="AA95" s="782">
        <v>16</v>
      </c>
      <c r="AB95" s="786"/>
      <c r="AC95" s="872">
        <v>31</v>
      </c>
      <c r="AD95" s="858">
        <v>15</v>
      </c>
      <c r="AE95" s="873">
        <v>16</v>
      </c>
    </row>
    <row r="96" spans="1:31">
      <c r="A96" s="812">
        <v>494</v>
      </c>
      <c r="B96" s="841" t="s">
        <v>2078</v>
      </c>
      <c r="C96" s="771" t="s">
        <v>2079</v>
      </c>
      <c r="D96" s="871">
        <v>0</v>
      </c>
      <c r="E96" s="801"/>
      <c r="F96" s="843"/>
      <c r="G96" s="801"/>
      <c r="H96" s="844"/>
      <c r="I96" s="801"/>
      <c r="J96" s="845"/>
      <c r="K96" s="801"/>
      <c r="L96" s="843"/>
      <c r="M96" s="831"/>
      <c r="N96" s="840"/>
      <c r="O96" s="831"/>
      <c r="P96" s="840"/>
      <c r="Q96" s="831"/>
      <c r="R96" s="840"/>
      <c r="S96" s="831"/>
      <c r="T96" s="840"/>
      <c r="U96" s="782">
        <v>300</v>
      </c>
      <c r="V96" s="783"/>
      <c r="W96" s="782"/>
      <c r="X96" s="783">
        <v>250</v>
      </c>
      <c r="Y96" s="782"/>
      <c r="Z96" s="783"/>
      <c r="AA96" s="782"/>
      <c r="AB96" s="786"/>
      <c r="AC96" s="872">
        <v>300</v>
      </c>
      <c r="AD96" s="858">
        <v>250</v>
      </c>
      <c r="AE96" s="873">
        <v>50</v>
      </c>
    </row>
    <row r="97" spans="1:31">
      <c r="A97" s="817">
        <v>505</v>
      </c>
      <c r="B97" s="841" t="s">
        <v>2080</v>
      </c>
      <c r="C97" s="771" t="s">
        <v>2081</v>
      </c>
      <c r="D97" s="871">
        <v>0</v>
      </c>
      <c r="E97" s="801"/>
      <c r="F97" s="843"/>
      <c r="G97" s="801"/>
      <c r="H97" s="844"/>
      <c r="I97" s="801"/>
      <c r="J97" s="845"/>
      <c r="K97" s="801"/>
      <c r="L97" s="843"/>
      <c r="M97" s="831"/>
      <c r="N97" s="840"/>
      <c r="O97" s="831"/>
      <c r="P97" s="840"/>
      <c r="Q97" s="831"/>
      <c r="R97" s="840"/>
      <c r="S97" s="831"/>
      <c r="T97" s="840"/>
      <c r="U97" s="782"/>
      <c r="V97" s="783"/>
      <c r="W97" s="782"/>
      <c r="X97" s="783"/>
      <c r="Y97" s="782">
        <v>3</v>
      </c>
      <c r="Z97" s="783">
        <v>2</v>
      </c>
      <c r="AA97" s="782"/>
      <c r="AB97" s="786"/>
      <c r="AC97" s="872">
        <v>3</v>
      </c>
      <c r="AD97" s="858">
        <v>2</v>
      </c>
      <c r="AE97" s="873">
        <v>1</v>
      </c>
    </row>
    <row r="98" spans="1:31">
      <c r="A98" s="812">
        <v>506</v>
      </c>
      <c r="B98" s="841" t="s">
        <v>2082</v>
      </c>
      <c r="C98" s="771" t="s">
        <v>2083</v>
      </c>
      <c r="D98" s="871">
        <v>0</v>
      </c>
      <c r="E98" s="801"/>
      <c r="F98" s="843"/>
      <c r="G98" s="801"/>
      <c r="H98" s="844"/>
      <c r="I98" s="801"/>
      <c r="J98" s="845"/>
      <c r="K98" s="801"/>
      <c r="L98" s="843"/>
      <c r="M98" s="831"/>
      <c r="N98" s="840"/>
      <c r="O98" s="831"/>
      <c r="P98" s="840"/>
      <c r="Q98" s="831"/>
      <c r="R98" s="840"/>
      <c r="S98" s="831"/>
      <c r="T98" s="840"/>
      <c r="U98" s="782"/>
      <c r="V98" s="783"/>
      <c r="W98" s="782"/>
      <c r="X98" s="783"/>
      <c r="Y98" s="782">
        <v>2</v>
      </c>
      <c r="Z98" s="783"/>
      <c r="AA98" s="782"/>
      <c r="AB98" s="786"/>
      <c r="AC98" s="872">
        <v>2</v>
      </c>
      <c r="AD98" s="858">
        <v>0</v>
      </c>
      <c r="AE98" s="873">
        <v>2</v>
      </c>
    </row>
    <row r="99" spans="1:31">
      <c r="A99" s="846">
        <v>510</v>
      </c>
      <c r="B99" s="841" t="s">
        <v>1241</v>
      </c>
      <c r="C99" s="771" t="s">
        <v>2084</v>
      </c>
      <c r="D99" s="871">
        <v>0</v>
      </c>
      <c r="E99" s="801"/>
      <c r="F99" s="843"/>
      <c r="G99" s="801"/>
      <c r="H99" s="844"/>
      <c r="I99" s="801"/>
      <c r="J99" s="845"/>
      <c r="K99" s="801"/>
      <c r="L99" s="843"/>
      <c r="M99" s="831"/>
      <c r="N99" s="840"/>
      <c r="O99" s="831"/>
      <c r="P99" s="840"/>
      <c r="Q99" s="831"/>
      <c r="R99" s="840"/>
      <c r="S99" s="831"/>
      <c r="T99" s="840"/>
      <c r="U99" s="782"/>
      <c r="V99" s="783"/>
      <c r="W99" s="782"/>
      <c r="X99" s="783"/>
      <c r="Y99" s="782"/>
      <c r="Z99" s="783"/>
      <c r="AA99" s="782">
        <v>4</v>
      </c>
      <c r="AB99" s="786"/>
      <c r="AC99" s="872">
        <v>4</v>
      </c>
      <c r="AD99" s="858">
        <v>0</v>
      </c>
      <c r="AE99" s="895">
        <v>4</v>
      </c>
    </row>
    <row r="100" spans="1:31">
      <c r="A100" s="846">
        <v>511</v>
      </c>
      <c r="B100" s="841" t="s">
        <v>2085</v>
      </c>
      <c r="C100" s="771" t="s">
        <v>2086</v>
      </c>
      <c r="D100" s="871">
        <v>0</v>
      </c>
      <c r="E100" s="801"/>
      <c r="F100" s="843"/>
      <c r="G100" s="801"/>
      <c r="H100" s="844"/>
      <c r="I100" s="801"/>
      <c r="J100" s="845"/>
      <c r="K100" s="801"/>
      <c r="L100" s="843"/>
      <c r="M100" s="831"/>
      <c r="N100" s="840"/>
      <c r="O100" s="831"/>
      <c r="P100" s="840"/>
      <c r="Q100" s="831"/>
      <c r="R100" s="840"/>
      <c r="S100" s="831"/>
      <c r="T100" s="840"/>
      <c r="U100" s="782"/>
      <c r="V100" s="783"/>
      <c r="W100" s="782"/>
      <c r="X100" s="783"/>
      <c r="Y100" s="782"/>
      <c r="Z100" s="783"/>
      <c r="AA100" s="782">
        <v>20</v>
      </c>
      <c r="AB100" s="786"/>
      <c r="AC100" s="872">
        <v>20</v>
      </c>
      <c r="AD100" s="858">
        <v>0</v>
      </c>
      <c r="AE100" s="895">
        <v>20</v>
      </c>
    </row>
    <row r="101" spans="1:31">
      <c r="A101" s="846">
        <v>512</v>
      </c>
      <c r="B101" s="841" t="s">
        <v>2087</v>
      </c>
      <c r="C101" s="771" t="s">
        <v>2088</v>
      </c>
      <c r="D101" s="871">
        <v>0</v>
      </c>
      <c r="E101" s="801"/>
      <c r="F101" s="843"/>
      <c r="G101" s="801"/>
      <c r="H101" s="844"/>
      <c r="I101" s="801"/>
      <c r="J101" s="845"/>
      <c r="K101" s="801"/>
      <c r="L101" s="843"/>
      <c r="M101" s="831"/>
      <c r="N101" s="840"/>
      <c r="O101" s="831"/>
      <c r="P101" s="840"/>
      <c r="Q101" s="831"/>
      <c r="R101" s="840"/>
      <c r="S101" s="831"/>
      <c r="T101" s="840"/>
      <c r="U101" s="782"/>
      <c r="V101" s="783"/>
      <c r="W101" s="782"/>
      <c r="X101" s="783"/>
      <c r="Y101" s="782"/>
      <c r="Z101" s="783"/>
      <c r="AA101" s="782">
        <v>6</v>
      </c>
      <c r="AB101" s="786"/>
      <c r="AC101" s="872">
        <v>6</v>
      </c>
      <c r="AD101" s="858">
        <v>0</v>
      </c>
      <c r="AE101" s="895">
        <v>6</v>
      </c>
    </row>
    <row r="102" spans="1:31">
      <c r="A102" s="846">
        <v>513</v>
      </c>
      <c r="B102" s="841" t="s">
        <v>2089</v>
      </c>
      <c r="C102" s="771" t="s">
        <v>2090</v>
      </c>
      <c r="D102" s="871">
        <v>0</v>
      </c>
      <c r="E102" s="801"/>
      <c r="F102" s="843"/>
      <c r="G102" s="801"/>
      <c r="H102" s="844"/>
      <c r="I102" s="801"/>
      <c r="J102" s="845"/>
      <c r="K102" s="801"/>
      <c r="L102" s="843"/>
      <c r="M102" s="831"/>
      <c r="N102" s="840"/>
      <c r="O102" s="831"/>
      <c r="P102" s="840"/>
      <c r="Q102" s="831"/>
      <c r="R102" s="840"/>
      <c r="S102" s="831"/>
      <c r="T102" s="840"/>
      <c r="U102" s="782"/>
      <c r="V102" s="783"/>
      <c r="W102" s="782"/>
      <c r="X102" s="783"/>
      <c r="Y102" s="782"/>
      <c r="Z102" s="783"/>
      <c r="AA102" s="782">
        <v>2</v>
      </c>
      <c r="AB102" s="786">
        <v>1</v>
      </c>
      <c r="AC102" s="872">
        <v>2</v>
      </c>
      <c r="AD102" s="858">
        <v>1</v>
      </c>
      <c r="AE102" s="895">
        <v>1</v>
      </c>
    </row>
    <row r="103" spans="1:31">
      <c r="A103" s="846">
        <v>514</v>
      </c>
      <c r="B103" s="841" t="s">
        <v>2091</v>
      </c>
      <c r="C103" s="771" t="s">
        <v>2092</v>
      </c>
      <c r="D103" s="871">
        <v>0</v>
      </c>
      <c r="E103" s="801"/>
      <c r="F103" s="843"/>
      <c r="G103" s="801"/>
      <c r="H103" s="844"/>
      <c r="I103" s="801"/>
      <c r="J103" s="845"/>
      <c r="K103" s="801"/>
      <c r="L103" s="843"/>
      <c r="M103" s="831"/>
      <c r="N103" s="840"/>
      <c r="O103" s="831"/>
      <c r="P103" s="840"/>
      <c r="Q103" s="831"/>
      <c r="R103" s="840"/>
      <c r="S103" s="831"/>
      <c r="T103" s="840"/>
      <c r="U103" s="782"/>
      <c r="V103" s="783"/>
      <c r="W103" s="782"/>
      <c r="X103" s="783"/>
      <c r="Y103" s="782"/>
      <c r="Z103" s="783"/>
      <c r="AA103" s="782">
        <v>3</v>
      </c>
      <c r="AB103" s="786"/>
      <c r="AC103" s="872">
        <v>3</v>
      </c>
      <c r="AD103" s="858">
        <v>0</v>
      </c>
      <c r="AE103" s="895">
        <v>3</v>
      </c>
    </row>
    <row r="104" spans="1:31">
      <c r="A104" s="846">
        <v>515</v>
      </c>
      <c r="B104" s="841" t="s">
        <v>2093</v>
      </c>
      <c r="C104" s="771" t="s">
        <v>2094</v>
      </c>
      <c r="D104" s="871">
        <v>0</v>
      </c>
      <c r="E104" s="801"/>
      <c r="F104" s="843"/>
      <c r="G104" s="801"/>
      <c r="H104" s="844"/>
      <c r="I104" s="801"/>
      <c r="J104" s="845"/>
      <c r="K104" s="801"/>
      <c r="L104" s="843"/>
      <c r="M104" s="831"/>
      <c r="N104" s="840"/>
      <c r="O104" s="831"/>
      <c r="P104" s="840"/>
      <c r="Q104" s="831"/>
      <c r="R104" s="840"/>
      <c r="S104" s="831"/>
      <c r="T104" s="840"/>
      <c r="U104" s="782"/>
      <c r="V104" s="783"/>
      <c r="W104" s="782"/>
      <c r="X104" s="783"/>
      <c r="Y104" s="782"/>
      <c r="Z104" s="783"/>
      <c r="AA104" s="782">
        <v>3</v>
      </c>
      <c r="AB104" s="786"/>
      <c r="AC104" s="872">
        <v>3</v>
      </c>
      <c r="AD104" s="858">
        <v>0</v>
      </c>
      <c r="AE104" s="895">
        <v>3</v>
      </c>
    </row>
    <row r="105" spans="1:31">
      <c r="A105" s="846">
        <v>517</v>
      </c>
      <c r="B105" s="841" t="s">
        <v>2095</v>
      </c>
      <c r="C105" s="771" t="s">
        <v>34</v>
      </c>
      <c r="D105" s="871">
        <v>0</v>
      </c>
      <c r="E105" s="801"/>
      <c r="F105" s="843"/>
      <c r="G105" s="801"/>
      <c r="H105" s="844"/>
      <c r="I105" s="801"/>
      <c r="J105" s="845"/>
      <c r="K105" s="801"/>
      <c r="L105" s="843"/>
      <c r="M105" s="831"/>
      <c r="N105" s="840"/>
      <c r="O105" s="831"/>
      <c r="P105" s="840"/>
      <c r="Q105" s="831"/>
      <c r="R105" s="840"/>
      <c r="S105" s="831"/>
      <c r="T105" s="840"/>
      <c r="U105" s="782"/>
      <c r="V105" s="783"/>
      <c r="W105" s="782"/>
      <c r="X105" s="783"/>
      <c r="Y105" s="782"/>
      <c r="Z105" s="783"/>
      <c r="AA105" s="782">
        <v>3</v>
      </c>
      <c r="AB105" s="786"/>
      <c r="AC105" s="872">
        <v>3</v>
      </c>
      <c r="AD105" s="858">
        <v>0</v>
      </c>
      <c r="AE105" s="895">
        <v>3</v>
      </c>
    </row>
    <row r="106" spans="1:31">
      <c r="A106" s="846"/>
      <c r="B106" s="841"/>
      <c r="C106" s="771"/>
      <c r="D106" s="871"/>
      <c r="E106" s="801"/>
      <c r="F106" s="843"/>
      <c r="G106" s="801"/>
      <c r="H106" s="844"/>
      <c r="I106" s="801"/>
      <c r="J106" s="845"/>
      <c r="K106" s="801"/>
      <c r="L106" s="843"/>
      <c r="M106" s="831"/>
      <c r="N106" s="840"/>
      <c r="O106" s="831"/>
      <c r="P106" s="840"/>
      <c r="Q106" s="831"/>
      <c r="R106" s="840"/>
      <c r="S106" s="831"/>
      <c r="T106" s="840"/>
      <c r="U106" s="782"/>
      <c r="V106" s="783"/>
      <c r="W106" s="782"/>
      <c r="X106" s="783"/>
      <c r="Y106" s="782"/>
      <c r="Z106" s="783"/>
      <c r="AA106" s="782"/>
      <c r="AB106" s="786"/>
      <c r="AC106" s="872"/>
      <c r="AD106" s="858"/>
      <c r="AE106" s="785"/>
    </row>
    <row r="107" spans="1:31">
      <c r="A107" s="846"/>
      <c r="B107" s="841"/>
      <c r="C107" s="771"/>
      <c r="D107" s="871"/>
      <c r="E107" s="801"/>
      <c r="F107" s="843"/>
      <c r="G107" s="801"/>
      <c r="H107" s="844"/>
      <c r="I107" s="801"/>
      <c r="J107" s="845"/>
      <c r="K107" s="801"/>
      <c r="L107" s="843"/>
      <c r="M107" s="831"/>
      <c r="N107" s="840"/>
      <c r="O107" s="831"/>
      <c r="P107" s="840"/>
      <c r="Q107" s="831"/>
      <c r="R107" s="840"/>
      <c r="S107" s="831"/>
      <c r="T107" s="840"/>
      <c r="U107" s="782"/>
      <c r="V107" s="783"/>
      <c r="W107" s="782"/>
      <c r="X107" s="783"/>
      <c r="Y107" s="782"/>
      <c r="Z107" s="783"/>
      <c r="AA107" s="782"/>
      <c r="AB107" s="786"/>
      <c r="AC107" s="872"/>
      <c r="AD107" s="879"/>
      <c r="AE107" s="785"/>
    </row>
    <row r="108" spans="1:31">
      <c r="A108" s="846"/>
      <c r="B108" s="841"/>
      <c r="C108" s="771"/>
      <c r="D108" s="871"/>
      <c r="E108" s="801"/>
      <c r="F108" s="843"/>
      <c r="G108" s="801"/>
      <c r="H108" s="844"/>
      <c r="I108" s="801"/>
      <c r="J108" s="845"/>
      <c r="K108" s="801"/>
      <c r="L108" s="843"/>
      <c r="M108" s="831"/>
      <c r="N108" s="840"/>
      <c r="O108" s="831"/>
      <c r="P108" s="840"/>
      <c r="Q108" s="831"/>
      <c r="R108" s="840"/>
      <c r="S108" s="831"/>
      <c r="T108" s="840"/>
      <c r="U108" s="782"/>
      <c r="V108" s="783"/>
      <c r="W108" s="782"/>
      <c r="X108" s="783"/>
      <c r="Y108" s="782"/>
      <c r="Z108" s="783"/>
      <c r="AA108" s="782"/>
      <c r="AB108" s="786"/>
      <c r="AC108" s="872"/>
      <c r="AD108" s="879"/>
      <c r="AE108" s="880"/>
    </row>
    <row r="109" spans="1:31">
      <c r="A109" s="846"/>
      <c r="B109" s="841"/>
      <c r="C109" s="771"/>
      <c r="D109" s="871"/>
      <c r="E109" s="801"/>
      <c r="F109" s="843"/>
      <c r="G109" s="801"/>
      <c r="H109" s="844"/>
      <c r="I109" s="801"/>
      <c r="J109" s="845"/>
      <c r="K109" s="801"/>
      <c r="L109" s="843"/>
      <c r="M109" s="874"/>
      <c r="N109" s="875"/>
      <c r="O109" s="874"/>
      <c r="P109" s="875"/>
      <c r="Q109" s="874"/>
      <c r="R109" s="875"/>
      <c r="S109" s="874"/>
      <c r="T109" s="875"/>
      <c r="U109" s="795"/>
      <c r="V109" s="796"/>
      <c r="W109" s="795"/>
      <c r="X109" s="796"/>
      <c r="Y109" s="795"/>
      <c r="Z109" s="796"/>
      <c r="AA109" s="795"/>
      <c r="AB109" s="797"/>
      <c r="AC109" s="881"/>
      <c r="AD109" s="882"/>
      <c r="AE109" s="883"/>
    </row>
    <row r="110" spans="1:31">
      <c r="A110" s="884">
        <v>61</v>
      </c>
      <c r="B110" s="802" t="s">
        <v>2177</v>
      </c>
      <c r="C110" s="885"/>
      <c r="D110" s="802">
        <v>12649</v>
      </c>
      <c r="E110" s="802">
        <v>299</v>
      </c>
      <c r="F110" s="802">
        <v>157</v>
      </c>
      <c r="G110" s="802">
        <v>184</v>
      </c>
      <c r="H110" s="802">
        <v>371</v>
      </c>
      <c r="I110" s="802">
        <v>167</v>
      </c>
      <c r="J110" s="802">
        <v>252</v>
      </c>
      <c r="K110" s="802">
        <v>777</v>
      </c>
      <c r="L110" s="802">
        <v>386</v>
      </c>
      <c r="M110" s="876">
        <v>175</v>
      </c>
      <c r="N110" s="877">
        <v>650</v>
      </c>
      <c r="O110" s="877">
        <v>0</v>
      </c>
      <c r="P110" s="877">
        <v>171</v>
      </c>
      <c r="Q110" s="877">
        <v>718</v>
      </c>
      <c r="R110" s="878">
        <v>364</v>
      </c>
      <c r="S110" s="803">
        <v>229</v>
      </c>
      <c r="T110" s="803">
        <v>338</v>
      </c>
      <c r="U110" s="803">
        <v>179</v>
      </c>
      <c r="V110" s="803">
        <v>350</v>
      </c>
      <c r="W110" s="803">
        <v>248</v>
      </c>
      <c r="X110" s="803">
        <v>1024</v>
      </c>
      <c r="Y110" s="803">
        <v>491</v>
      </c>
      <c r="Z110" s="803">
        <v>2169</v>
      </c>
      <c r="AA110" s="803">
        <v>507</v>
      </c>
      <c r="AB110" s="803">
        <v>1318</v>
      </c>
      <c r="AC110" s="884">
        <v>17452</v>
      </c>
      <c r="AD110" s="802">
        <v>8117</v>
      </c>
      <c r="AE110" s="886">
        <v>9335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1"/>
  <sheetViews>
    <sheetView topLeftCell="I1" workbookViewId="0">
      <selection activeCell="AB2" sqref="AB2"/>
    </sheetView>
  </sheetViews>
  <sheetFormatPr defaultRowHeight="14.4"/>
  <cols>
    <col min="2" max="2" width="19.44140625" bestFit="1" customWidth="1"/>
    <col min="3" max="3" width="58.77734375" customWidth="1"/>
    <col min="5" max="5" width="16.109375" customWidth="1"/>
  </cols>
  <sheetData>
    <row r="1" spans="1:31" ht="37.200000000000003" customHeight="1" thickBot="1">
      <c r="A1" s="1013" t="s">
        <v>0</v>
      </c>
      <c r="B1" s="1014" t="s">
        <v>2</v>
      </c>
      <c r="C1" s="1015" t="s">
        <v>1</v>
      </c>
      <c r="D1" s="1016" t="s">
        <v>278</v>
      </c>
      <c r="E1" s="1064" t="s">
        <v>2096</v>
      </c>
      <c r="F1" s="1048" t="s">
        <v>2097</v>
      </c>
      <c r="G1" s="1047" t="s">
        <v>2098</v>
      </c>
      <c r="H1" s="1048" t="s">
        <v>2099</v>
      </c>
      <c r="I1" s="1047" t="s">
        <v>2100</v>
      </c>
      <c r="J1" s="1049" t="s">
        <v>2101</v>
      </c>
      <c r="K1" s="1050" t="s">
        <v>2102</v>
      </c>
      <c r="L1" s="1051" t="s">
        <v>2103</v>
      </c>
      <c r="M1" s="1052" t="s">
        <v>2104</v>
      </c>
      <c r="N1" s="1053" t="s">
        <v>2157</v>
      </c>
      <c r="O1" s="1054" t="s">
        <v>2105</v>
      </c>
      <c r="P1" s="1053" t="s">
        <v>2106</v>
      </c>
      <c r="Q1" s="1054" t="s">
        <v>2107</v>
      </c>
      <c r="R1" s="1055" t="s">
        <v>2108</v>
      </c>
      <c r="S1" s="1054" t="s">
        <v>2109</v>
      </c>
      <c r="T1" s="1056" t="s">
        <v>2110</v>
      </c>
      <c r="U1" s="1054" t="s">
        <v>2111</v>
      </c>
      <c r="V1" s="1056" t="s">
        <v>2158</v>
      </c>
      <c r="W1" s="1054" t="s">
        <v>2112</v>
      </c>
      <c r="X1" s="1056" t="s">
        <v>2113</v>
      </c>
      <c r="Y1" s="1054" t="s">
        <v>2114</v>
      </c>
      <c r="Z1" s="1056" t="s">
        <v>2115</v>
      </c>
      <c r="AA1" s="1054" t="s">
        <v>2116</v>
      </c>
      <c r="AB1" s="1057" t="s">
        <v>2178</v>
      </c>
      <c r="AC1" s="1058" t="s">
        <v>21</v>
      </c>
      <c r="AD1" s="1059" t="s">
        <v>22</v>
      </c>
      <c r="AE1" s="1060" t="s">
        <v>23</v>
      </c>
    </row>
    <row r="2" spans="1:31">
      <c r="A2" s="967">
        <v>1</v>
      </c>
      <c r="B2" s="968" t="s">
        <v>939</v>
      </c>
      <c r="C2" s="922" t="s">
        <v>940</v>
      </c>
      <c r="D2" s="929">
        <v>6024</v>
      </c>
      <c r="E2" s="940"/>
      <c r="F2" s="939">
        <v>10</v>
      </c>
      <c r="G2" s="940"/>
      <c r="H2" s="939"/>
      <c r="I2" s="940"/>
      <c r="J2" s="962"/>
      <c r="K2" s="970"/>
      <c r="L2" s="971"/>
      <c r="M2" s="940"/>
      <c r="N2" s="941"/>
      <c r="O2" s="940"/>
      <c r="P2" s="941"/>
      <c r="Q2" s="940"/>
      <c r="R2" s="941"/>
      <c r="S2" s="940"/>
      <c r="T2" s="941"/>
      <c r="U2" s="940"/>
      <c r="V2" s="941"/>
      <c r="W2" s="940"/>
      <c r="X2" s="941"/>
      <c r="Y2" s="940"/>
      <c r="Z2" s="941"/>
      <c r="AA2" s="940"/>
      <c r="AB2" s="946"/>
      <c r="AC2" s="1017">
        <v>6024</v>
      </c>
      <c r="AD2" s="1018">
        <v>10</v>
      </c>
      <c r="AE2" s="935">
        <v>6014</v>
      </c>
    </row>
    <row r="3" spans="1:31">
      <c r="A3" s="967">
        <v>2</v>
      </c>
      <c r="B3" s="968" t="s">
        <v>224</v>
      </c>
      <c r="C3" s="922" t="s">
        <v>941</v>
      </c>
      <c r="D3" s="929">
        <v>837</v>
      </c>
      <c r="E3" s="940"/>
      <c r="F3" s="939">
        <v>320</v>
      </c>
      <c r="G3" s="940"/>
      <c r="H3" s="939">
        <v>8</v>
      </c>
      <c r="I3" s="940"/>
      <c r="J3" s="950">
        <v>36</v>
      </c>
      <c r="K3" s="940"/>
      <c r="L3" s="939"/>
      <c r="M3" s="940"/>
      <c r="N3" s="941"/>
      <c r="O3" s="940"/>
      <c r="P3" s="941"/>
      <c r="Q3" s="940"/>
      <c r="R3" s="941"/>
      <c r="S3" s="940"/>
      <c r="T3" s="941"/>
      <c r="U3" s="940"/>
      <c r="V3" s="941"/>
      <c r="W3" s="940"/>
      <c r="X3" s="941"/>
      <c r="Y3" s="940"/>
      <c r="Z3" s="941"/>
      <c r="AA3" s="940"/>
      <c r="AB3" s="946"/>
      <c r="AC3" s="1017">
        <v>837</v>
      </c>
      <c r="AD3" s="1018">
        <v>364</v>
      </c>
      <c r="AE3" s="935">
        <v>473</v>
      </c>
    </row>
    <row r="4" spans="1:31">
      <c r="A4" s="967">
        <v>3</v>
      </c>
      <c r="B4" s="968" t="s">
        <v>225</v>
      </c>
      <c r="C4" s="922" t="s">
        <v>942</v>
      </c>
      <c r="D4" s="929">
        <v>120</v>
      </c>
      <c r="E4" s="940"/>
      <c r="F4" s="939"/>
      <c r="G4" s="940"/>
      <c r="H4" s="949"/>
      <c r="I4" s="940"/>
      <c r="J4" s="950"/>
      <c r="K4" s="940"/>
      <c r="L4" s="939"/>
      <c r="M4" s="940"/>
      <c r="N4" s="941"/>
      <c r="O4" s="940"/>
      <c r="P4" s="941"/>
      <c r="Q4" s="940"/>
      <c r="R4" s="941"/>
      <c r="S4" s="940"/>
      <c r="T4" s="941"/>
      <c r="U4" s="940"/>
      <c r="V4" s="947"/>
      <c r="W4" s="940"/>
      <c r="X4" s="941"/>
      <c r="Y4" s="940"/>
      <c r="Z4" s="941"/>
      <c r="AA4" s="940"/>
      <c r="AB4" s="946"/>
      <c r="AC4" s="1017">
        <v>120</v>
      </c>
      <c r="AD4" s="1018">
        <v>0</v>
      </c>
      <c r="AE4" s="935">
        <v>120</v>
      </c>
    </row>
    <row r="5" spans="1:31">
      <c r="A5" s="967">
        <v>4</v>
      </c>
      <c r="B5" s="968" t="s">
        <v>230</v>
      </c>
      <c r="C5" s="922" t="s">
        <v>943</v>
      </c>
      <c r="D5" s="929">
        <v>190</v>
      </c>
      <c r="E5" s="940"/>
      <c r="F5" s="939">
        <v>6</v>
      </c>
      <c r="G5" s="940"/>
      <c r="H5" s="949">
        <v>2</v>
      </c>
      <c r="I5" s="940"/>
      <c r="J5" s="950">
        <v>2</v>
      </c>
      <c r="K5" s="940"/>
      <c r="L5" s="939"/>
      <c r="M5" s="940"/>
      <c r="N5" s="941"/>
      <c r="O5" s="940"/>
      <c r="P5" s="941"/>
      <c r="Q5" s="940"/>
      <c r="R5" s="941"/>
      <c r="S5" s="940"/>
      <c r="T5" s="941"/>
      <c r="U5" s="940"/>
      <c r="V5" s="947"/>
      <c r="W5" s="940"/>
      <c r="X5" s="941"/>
      <c r="Y5" s="940"/>
      <c r="Z5" s="941"/>
      <c r="AA5" s="940"/>
      <c r="AB5" s="946"/>
      <c r="AC5" s="1017">
        <v>190</v>
      </c>
      <c r="AD5" s="1018">
        <v>10</v>
      </c>
      <c r="AE5" s="935">
        <v>180</v>
      </c>
    </row>
    <row r="6" spans="1:31">
      <c r="A6" s="972">
        <v>5</v>
      </c>
      <c r="B6" s="973" t="s">
        <v>226</v>
      </c>
      <c r="C6" s="924" t="s">
        <v>944</v>
      </c>
      <c r="D6" s="930">
        <v>116</v>
      </c>
      <c r="E6" s="953"/>
      <c r="F6" s="954">
        <v>2</v>
      </c>
      <c r="G6" s="953"/>
      <c r="H6" s="954"/>
      <c r="I6" s="953"/>
      <c r="J6" s="974"/>
      <c r="K6" s="940"/>
      <c r="L6" s="939"/>
      <c r="M6" s="940"/>
      <c r="N6" s="941"/>
      <c r="O6" s="940"/>
      <c r="P6" s="941"/>
      <c r="Q6" s="940"/>
      <c r="R6" s="941"/>
      <c r="S6" s="940"/>
      <c r="T6" s="941"/>
      <c r="U6" s="940"/>
      <c r="V6" s="947"/>
      <c r="W6" s="940"/>
      <c r="X6" s="941"/>
      <c r="Y6" s="940"/>
      <c r="Z6" s="941"/>
      <c r="AA6" s="940"/>
      <c r="AB6" s="946"/>
      <c r="AC6" s="1019">
        <v>116</v>
      </c>
      <c r="AD6" s="1020">
        <v>2</v>
      </c>
      <c r="AE6" s="1033">
        <v>114</v>
      </c>
    </row>
    <row r="7" spans="1:31">
      <c r="A7" s="975">
        <v>6</v>
      </c>
      <c r="B7" s="976" t="s">
        <v>29</v>
      </c>
      <c r="C7" s="921" t="s">
        <v>28</v>
      </c>
      <c r="D7" s="931">
        <v>41</v>
      </c>
      <c r="E7" s="977">
        <v>60</v>
      </c>
      <c r="F7" s="978">
        <v>5</v>
      </c>
      <c r="G7" s="977"/>
      <c r="H7" s="978">
        <v>37</v>
      </c>
      <c r="I7" s="977"/>
      <c r="J7" s="979">
        <v>38</v>
      </c>
      <c r="K7" s="940">
        <v>40</v>
      </c>
      <c r="L7" s="939">
        <v>7</v>
      </c>
      <c r="M7" s="940"/>
      <c r="N7" s="941"/>
      <c r="O7" s="940"/>
      <c r="P7" s="941"/>
      <c r="Q7" s="940"/>
      <c r="R7" s="941"/>
      <c r="S7" s="940"/>
      <c r="T7" s="941"/>
      <c r="U7" s="940"/>
      <c r="V7" s="947"/>
      <c r="W7" s="940"/>
      <c r="X7" s="941"/>
      <c r="Y7" s="940"/>
      <c r="Z7" s="941"/>
      <c r="AA7" s="940"/>
      <c r="AB7" s="946"/>
      <c r="AC7" s="1021">
        <v>141</v>
      </c>
      <c r="AD7" s="1022">
        <v>87</v>
      </c>
      <c r="AE7" s="938">
        <v>54</v>
      </c>
    </row>
    <row r="8" spans="1:31">
      <c r="A8" s="980">
        <v>7</v>
      </c>
      <c r="B8" s="981" t="s">
        <v>30</v>
      </c>
      <c r="C8" s="932" t="s">
        <v>28</v>
      </c>
      <c r="D8" s="1039">
        <v>57</v>
      </c>
      <c r="E8" s="982"/>
      <c r="F8" s="983">
        <v>1</v>
      </c>
      <c r="G8" s="982"/>
      <c r="H8" s="984">
        <v>10</v>
      </c>
      <c r="I8" s="982"/>
      <c r="J8" s="985">
        <v>8</v>
      </c>
      <c r="K8" s="940"/>
      <c r="L8" s="939">
        <v>1</v>
      </c>
      <c r="M8" s="940"/>
      <c r="N8" s="941"/>
      <c r="O8" s="940"/>
      <c r="P8" s="941"/>
      <c r="Q8" s="940"/>
      <c r="R8" s="941"/>
      <c r="S8" s="940"/>
      <c r="T8" s="941"/>
      <c r="U8" s="940"/>
      <c r="V8" s="947"/>
      <c r="W8" s="940"/>
      <c r="X8" s="941"/>
      <c r="Y8" s="940"/>
      <c r="Z8" s="941"/>
      <c r="AA8" s="940"/>
      <c r="AB8" s="946"/>
      <c r="AC8" s="1023">
        <v>57</v>
      </c>
      <c r="AD8" s="1024">
        <v>20</v>
      </c>
      <c r="AE8" s="1034">
        <v>37</v>
      </c>
    </row>
    <row r="9" spans="1:31">
      <c r="A9" s="980">
        <v>9</v>
      </c>
      <c r="B9" s="973" t="s">
        <v>33</v>
      </c>
      <c r="C9" s="924" t="s">
        <v>32</v>
      </c>
      <c r="D9" s="930">
        <v>30</v>
      </c>
      <c r="E9" s="953"/>
      <c r="F9" s="954"/>
      <c r="G9" s="953"/>
      <c r="H9" s="955">
        <v>2</v>
      </c>
      <c r="I9" s="953"/>
      <c r="J9" s="956">
        <v>10</v>
      </c>
      <c r="K9" s="940">
        <v>50</v>
      </c>
      <c r="L9" s="939"/>
      <c r="M9" s="940"/>
      <c r="N9" s="941"/>
      <c r="O9" s="940"/>
      <c r="P9" s="941"/>
      <c r="Q9" s="940"/>
      <c r="R9" s="941"/>
      <c r="S9" s="940"/>
      <c r="T9" s="941"/>
      <c r="U9" s="940"/>
      <c r="V9" s="947"/>
      <c r="W9" s="940"/>
      <c r="X9" s="941"/>
      <c r="Y9" s="940"/>
      <c r="Z9" s="941"/>
      <c r="AA9" s="940"/>
      <c r="AB9" s="946"/>
      <c r="AC9" s="1019">
        <v>80</v>
      </c>
      <c r="AD9" s="1020">
        <v>12</v>
      </c>
      <c r="AE9" s="1033">
        <v>68</v>
      </c>
    </row>
    <row r="10" spans="1:31">
      <c r="A10" s="975">
        <v>10</v>
      </c>
      <c r="B10" s="976" t="s">
        <v>35</v>
      </c>
      <c r="C10" s="920" t="s">
        <v>34</v>
      </c>
      <c r="D10" s="931">
        <v>8</v>
      </c>
      <c r="E10" s="977"/>
      <c r="F10" s="978"/>
      <c r="G10" s="977">
        <v>60</v>
      </c>
      <c r="H10" s="978"/>
      <c r="I10" s="977"/>
      <c r="J10" s="979"/>
      <c r="K10" s="940">
        <v>100</v>
      </c>
      <c r="L10" s="939">
        <v>2</v>
      </c>
      <c r="M10" s="940"/>
      <c r="N10" s="941"/>
      <c r="O10" s="940"/>
      <c r="P10" s="941"/>
      <c r="Q10" s="940"/>
      <c r="R10" s="941"/>
      <c r="S10" s="940"/>
      <c r="T10" s="941"/>
      <c r="U10" s="940"/>
      <c r="V10" s="947"/>
      <c r="W10" s="940"/>
      <c r="X10" s="941"/>
      <c r="Y10" s="940"/>
      <c r="Z10" s="941"/>
      <c r="AA10" s="940"/>
      <c r="AB10" s="946"/>
      <c r="AC10" s="1021">
        <v>168</v>
      </c>
      <c r="AD10" s="1022">
        <v>2</v>
      </c>
      <c r="AE10" s="938">
        <v>166</v>
      </c>
    </row>
    <row r="11" spans="1:31">
      <c r="A11" s="980">
        <v>11</v>
      </c>
      <c r="B11" s="981" t="s">
        <v>37</v>
      </c>
      <c r="C11" s="928" t="s">
        <v>36</v>
      </c>
      <c r="D11" s="1039">
        <v>12</v>
      </c>
      <c r="E11" s="982">
        <v>125</v>
      </c>
      <c r="F11" s="983">
        <v>110</v>
      </c>
      <c r="G11" s="982"/>
      <c r="H11" s="984"/>
      <c r="I11" s="982"/>
      <c r="J11" s="985">
        <v>2</v>
      </c>
      <c r="K11" s="940"/>
      <c r="L11" s="939"/>
      <c r="M11" s="940"/>
      <c r="N11" s="941"/>
      <c r="O11" s="940"/>
      <c r="P11" s="941"/>
      <c r="Q11" s="940"/>
      <c r="R11" s="941"/>
      <c r="S11" s="940"/>
      <c r="T11" s="941"/>
      <c r="U11" s="940"/>
      <c r="V11" s="947"/>
      <c r="W11" s="940"/>
      <c r="X11" s="941"/>
      <c r="Y11" s="940"/>
      <c r="Z11" s="941"/>
      <c r="AA11" s="940"/>
      <c r="AB11" s="946"/>
      <c r="AC11" s="1023">
        <v>137</v>
      </c>
      <c r="AD11" s="1024">
        <v>112</v>
      </c>
      <c r="AE11" s="1034">
        <v>25</v>
      </c>
    </row>
    <row r="12" spans="1:31">
      <c r="A12" s="975">
        <v>12</v>
      </c>
      <c r="B12" s="968" t="s">
        <v>39</v>
      </c>
      <c r="C12" s="922" t="s">
        <v>2039</v>
      </c>
      <c r="D12" s="929">
        <v>11</v>
      </c>
      <c r="E12" s="940"/>
      <c r="F12" s="939">
        <v>6</v>
      </c>
      <c r="G12" s="940"/>
      <c r="H12" s="949">
        <v>2</v>
      </c>
      <c r="I12" s="940"/>
      <c r="J12" s="950">
        <v>2</v>
      </c>
      <c r="K12" s="940">
        <v>20</v>
      </c>
      <c r="L12" s="939">
        <v>3</v>
      </c>
      <c r="M12" s="940"/>
      <c r="N12" s="941"/>
      <c r="O12" s="940"/>
      <c r="P12" s="941"/>
      <c r="Q12" s="940"/>
      <c r="R12" s="941"/>
      <c r="S12" s="940"/>
      <c r="T12" s="941"/>
      <c r="U12" s="940"/>
      <c r="V12" s="947"/>
      <c r="W12" s="940"/>
      <c r="X12" s="941"/>
      <c r="Y12" s="940"/>
      <c r="Z12" s="941"/>
      <c r="AA12" s="940"/>
      <c r="AB12" s="946"/>
      <c r="AC12" s="1017">
        <v>31</v>
      </c>
      <c r="AD12" s="1018">
        <v>13</v>
      </c>
      <c r="AE12" s="935">
        <v>18</v>
      </c>
    </row>
    <row r="13" spans="1:31">
      <c r="A13" s="980">
        <v>13</v>
      </c>
      <c r="B13" s="968" t="s">
        <v>41</v>
      </c>
      <c r="C13" s="916" t="s">
        <v>40</v>
      </c>
      <c r="D13" s="929">
        <v>0</v>
      </c>
      <c r="E13" s="940">
        <v>5</v>
      </c>
      <c r="F13" s="939">
        <v>2</v>
      </c>
      <c r="G13" s="940"/>
      <c r="H13" s="949">
        <v>3</v>
      </c>
      <c r="I13" s="940">
        <v>5</v>
      </c>
      <c r="J13" s="962"/>
      <c r="K13" s="940"/>
      <c r="L13" s="939"/>
      <c r="M13" s="940"/>
      <c r="N13" s="941"/>
      <c r="O13" s="940"/>
      <c r="P13" s="941"/>
      <c r="Q13" s="940"/>
      <c r="R13" s="941"/>
      <c r="S13" s="940"/>
      <c r="T13" s="941"/>
      <c r="U13" s="940"/>
      <c r="V13" s="947"/>
      <c r="W13" s="940"/>
      <c r="X13" s="941"/>
      <c r="Y13" s="940"/>
      <c r="Z13" s="941"/>
      <c r="AA13" s="940"/>
      <c r="AB13" s="946"/>
      <c r="AC13" s="1017">
        <v>10</v>
      </c>
      <c r="AD13" s="1018">
        <v>5</v>
      </c>
      <c r="AE13" s="935">
        <v>5</v>
      </c>
    </row>
    <row r="14" spans="1:31">
      <c r="A14" s="975">
        <v>16</v>
      </c>
      <c r="B14" s="968" t="s">
        <v>47</v>
      </c>
      <c r="C14" s="969" t="s">
        <v>46</v>
      </c>
      <c r="D14" s="929">
        <v>27</v>
      </c>
      <c r="E14" s="940"/>
      <c r="F14" s="939">
        <v>5</v>
      </c>
      <c r="G14" s="940"/>
      <c r="H14" s="949"/>
      <c r="I14" s="940"/>
      <c r="J14" s="950"/>
      <c r="K14" s="940"/>
      <c r="L14" s="939">
        <v>1</v>
      </c>
      <c r="M14" s="940"/>
      <c r="N14" s="941"/>
      <c r="O14" s="940"/>
      <c r="P14" s="941"/>
      <c r="Q14" s="940"/>
      <c r="R14" s="941"/>
      <c r="S14" s="940"/>
      <c r="T14" s="941"/>
      <c r="U14" s="940"/>
      <c r="V14" s="947"/>
      <c r="W14" s="940"/>
      <c r="X14" s="941"/>
      <c r="Y14" s="940"/>
      <c r="Z14" s="941"/>
      <c r="AA14" s="940"/>
      <c r="AB14" s="946"/>
      <c r="AC14" s="1017">
        <v>27</v>
      </c>
      <c r="AD14" s="1018">
        <v>6</v>
      </c>
      <c r="AE14" s="935">
        <v>21</v>
      </c>
    </row>
    <row r="15" spans="1:31">
      <c r="A15" s="980">
        <v>17</v>
      </c>
      <c r="B15" s="968" t="s">
        <v>49</v>
      </c>
      <c r="C15" s="922" t="s">
        <v>48</v>
      </c>
      <c r="D15" s="929">
        <v>8</v>
      </c>
      <c r="E15" s="940">
        <v>20</v>
      </c>
      <c r="F15" s="939">
        <v>5</v>
      </c>
      <c r="G15" s="940">
        <v>10</v>
      </c>
      <c r="H15" s="939">
        <v>7</v>
      </c>
      <c r="I15" s="940"/>
      <c r="J15" s="962">
        <v>25</v>
      </c>
      <c r="K15" s="940">
        <v>55</v>
      </c>
      <c r="L15" s="939">
        <v>5</v>
      </c>
      <c r="M15" s="940"/>
      <c r="N15" s="941"/>
      <c r="O15" s="940"/>
      <c r="P15" s="941"/>
      <c r="Q15" s="940"/>
      <c r="R15" s="941"/>
      <c r="S15" s="940"/>
      <c r="T15" s="941"/>
      <c r="U15" s="940"/>
      <c r="V15" s="947"/>
      <c r="W15" s="940"/>
      <c r="X15" s="941"/>
      <c r="Y15" s="940"/>
      <c r="Z15" s="941"/>
      <c r="AA15" s="940"/>
      <c r="AB15" s="946"/>
      <c r="AC15" s="1017">
        <v>93</v>
      </c>
      <c r="AD15" s="1018">
        <v>42</v>
      </c>
      <c r="AE15" s="935">
        <v>51</v>
      </c>
    </row>
    <row r="16" spans="1:31">
      <c r="A16" s="975">
        <v>18</v>
      </c>
      <c r="B16" s="968" t="s">
        <v>51</v>
      </c>
      <c r="C16" s="916" t="s">
        <v>50</v>
      </c>
      <c r="D16" s="929">
        <v>0</v>
      </c>
      <c r="E16" s="940"/>
      <c r="F16" s="939"/>
      <c r="G16" s="940"/>
      <c r="H16" s="949"/>
      <c r="I16" s="940">
        <v>12</v>
      </c>
      <c r="J16" s="962">
        <v>9</v>
      </c>
      <c r="K16" s="940"/>
      <c r="L16" s="939"/>
      <c r="M16" s="940"/>
      <c r="N16" s="941"/>
      <c r="O16" s="940"/>
      <c r="P16" s="941"/>
      <c r="Q16" s="940"/>
      <c r="R16" s="941"/>
      <c r="S16" s="940"/>
      <c r="T16" s="941"/>
      <c r="U16" s="940"/>
      <c r="V16" s="947"/>
      <c r="W16" s="940"/>
      <c r="X16" s="941"/>
      <c r="Y16" s="940"/>
      <c r="Z16" s="941"/>
      <c r="AA16" s="940"/>
      <c r="AB16" s="946"/>
      <c r="AC16" s="1017">
        <v>12</v>
      </c>
      <c r="AD16" s="1018">
        <v>9</v>
      </c>
      <c r="AE16" s="935">
        <v>3</v>
      </c>
    </row>
    <row r="17" spans="1:31">
      <c r="A17" s="980">
        <v>19</v>
      </c>
      <c r="B17" s="968" t="s">
        <v>52</v>
      </c>
      <c r="C17" s="916" t="s">
        <v>50</v>
      </c>
      <c r="D17" s="929">
        <v>15</v>
      </c>
      <c r="E17" s="940">
        <v>20</v>
      </c>
      <c r="F17" s="939"/>
      <c r="G17" s="940"/>
      <c r="H17" s="949">
        <v>5</v>
      </c>
      <c r="I17" s="940"/>
      <c r="J17" s="950"/>
      <c r="K17" s="940">
        <v>20</v>
      </c>
      <c r="L17" s="939">
        <v>3</v>
      </c>
      <c r="M17" s="940"/>
      <c r="N17" s="1043"/>
      <c r="O17" s="940"/>
      <c r="P17" s="941"/>
      <c r="Q17" s="940"/>
      <c r="R17" s="941"/>
      <c r="S17" s="940"/>
      <c r="T17" s="941"/>
      <c r="U17" s="940"/>
      <c r="V17" s="947"/>
      <c r="W17" s="940"/>
      <c r="X17" s="941"/>
      <c r="Y17" s="940"/>
      <c r="Z17" s="941"/>
      <c r="AA17" s="940"/>
      <c r="AB17" s="946"/>
      <c r="AC17" s="1017">
        <v>55</v>
      </c>
      <c r="AD17" s="1018">
        <v>8</v>
      </c>
      <c r="AE17" s="935">
        <v>47</v>
      </c>
    </row>
    <row r="18" spans="1:31">
      <c r="A18" s="975">
        <v>20</v>
      </c>
      <c r="B18" s="968" t="s">
        <v>54</v>
      </c>
      <c r="C18" s="922" t="s">
        <v>368</v>
      </c>
      <c r="D18" s="929">
        <v>6</v>
      </c>
      <c r="E18" s="940">
        <v>20</v>
      </c>
      <c r="F18" s="939"/>
      <c r="G18" s="940"/>
      <c r="H18" s="949">
        <v>3</v>
      </c>
      <c r="I18" s="940"/>
      <c r="J18" s="950"/>
      <c r="K18" s="940"/>
      <c r="L18" s="939"/>
      <c r="M18" s="940"/>
      <c r="N18" s="941"/>
      <c r="O18" s="940"/>
      <c r="P18" s="941"/>
      <c r="Q18" s="940"/>
      <c r="R18" s="941"/>
      <c r="S18" s="940"/>
      <c r="T18" s="941"/>
      <c r="U18" s="940"/>
      <c r="V18" s="947"/>
      <c r="W18" s="940"/>
      <c r="X18" s="941"/>
      <c r="Y18" s="940"/>
      <c r="Z18" s="941"/>
      <c r="AA18" s="940"/>
      <c r="AB18" s="946"/>
      <c r="AC18" s="1017">
        <v>26</v>
      </c>
      <c r="AD18" s="1018">
        <v>3</v>
      </c>
      <c r="AE18" s="935">
        <v>23</v>
      </c>
    </row>
    <row r="19" spans="1:31">
      <c r="A19" s="980">
        <v>21</v>
      </c>
      <c r="B19" s="968" t="s">
        <v>56</v>
      </c>
      <c r="C19" s="925" t="s">
        <v>55</v>
      </c>
      <c r="D19" s="929">
        <v>3</v>
      </c>
      <c r="E19" s="940"/>
      <c r="F19" s="939"/>
      <c r="G19" s="940"/>
      <c r="H19" s="939">
        <v>2</v>
      </c>
      <c r="I19" s="940"/>
      <c r="J19" s="950">
        <v>1</v>
      </c>
      <c r="K19" s="940">
        <v>12</v>
      </c>
      <c r="L19" s="939">
        <v>1</v>
      </c>
      <c r="M19" s="940"/>
      <c r="N19" s="941"/>
      <c r="O19" s="940"/>
      <c r="P19" s="941"/>
      <c r="Q19" s="940"/>
      <c r="R19" s="941"/>
      <c r="S19" s="940"/>
      <c r="T19" s="941"/>
      <c r="U19" s="940"/>
      <c r="V19" s="947"/>
      <c r="W19" s="940"/>
      <c r="X19" s="941"/>
      <c r="Y19" s="940"/>
      <c r="Z19" s="941"/>
      <c r="AA19" s="940"/>
      <c r="AB19" s="946"/>
      <c r="AC19" s="1017">
        <v>15</v>
      </c>
      <c r="AD19" s="1018">
        <v>4</v>
      </c>
      <c r="AE19" s="935">
        <v>11</v>
      </c>
    </row>
    <row r="20" spans="1:31">
      <c r="A20" s="975">
        <v>22</v>
      </c>
      <c r="B20" s="968" t="s">
        <v>58</v>
      </c>
      <c r="C20" s="916" t="s">
        <v>57</v>
      </c>
      <c r="D20" s="929">
        <v>17</v>
      </c>
      <c r="E20" s="940"/>
      <c r="F20" s="939">
        <v>4</v>
      </c>
      <c r="G20" s="940"/>
      <c r="H20" s="949">
        <v>1</v>
      </c>
      <c r="I20" s="940"/>
      <c r="J20" s="950">
        <v>1</v>
      </c>
      <c r="K20" s="940"/>
      <c r="L20" s="939">
        <v>1</v>
      </c>
      <c r="M20" s="940"/>
      <c r="N20" s="941"/>
      <c r="O20" s="940"/>
      <c r="P20" s="941"/>
      <c r="Q20" s="940"/>
      <c r="R20" s="941"/>
      <c r="S20" s="940"/>
      <c r="T20" s="941"/>
      <c r="U20" s="940"/>
      <c r="V20" s="947"/>
      <c r="W20" s="940"/>
      <c r="X20" s="941"/>
      <c r="Y20" s="940"/>
      <c r="Z20" s="941"/>
      <c r="AA20" s="940"/>
      <c r="AB20" s="946"/>
      <c r="AC20" s="1017">
        <v>17</v>
      </c>
      <c r="AD20" s="1018">
        <v>7</v>
      </c>
      <c r="AE20" s="935">
        <v>10</v>
      </c>
    </row>
    <row r="21" spans="1:31">
      <c r="A21" s="980">
        <v>23</v>
      </c>
      <c r="B21" s="968" t="s">
        <v>60</v>
      </c>
      <c r="C21" s="916" t="s">
        <v>59</v>
      </c>
      <c r="D21" s="929">
        <v>69</v>
      </c>
      <c r="E21" s="940">
        <v>30</v>
      </c>
      <c r="F21" s="939"/>
      <c r="G21" s="940"/>
      <c r="H21" s="949">
        <v>16</v>
      </c>
      <c r="I21" s="940">
        <v>5</v>
      </c>
      <c r="J21" s="962">
        <v>5</v>
      </c>
      <c r="K21" s="940">
        <v>60</v>
      </c>
      <c r="L21" s="939">
        <v>1</v>
      </c>
      <c r="M21" s="940"/>
      <c r="N21" s="941"/>
      <c r="O21" s="940"/>
      <c r="P21" s="941"/>
      <c r="Q21" s="940"/>
      <c r="R21" s="941"/>
      <c r="S21" s="940"/>
      <c r="T21" s="941"/>
      <c r="U21" s="940"/>
      <c r="V21" s="941"/>
      <c r="W21" s="940"/>
      <c r="X21" s="941"/>
      <c r="Y21" s="940"/>
      <c r="Z21" s="941"/>
      <c r="AA21" s="940"/>
      <c r="AB21" s="946"/>
      <c r="AC21" s="1017">
        <v>164</v>
      </c>
      <c r="AD21" s="1018">
        <v>22</v>
      </c>
      <c r="AE21" s="935">
        <v>142</v>
      </c>
    </row>
    <row r="22" spans="1:31">
      <c r="A22" s="975">
        <v>24</v>
      </c>
      <c r="B22" s="968" t="s">
        <v>62</v>
      </c>
      <c r="C22" s="922" t="s">
        <v>61</v>
      </c>
      <c r="D22" s="929">
        <v>74</v>
      </c>
      <c r="E22" s="940"/>
      <c r="F22" s="939"/>
      <c r="G22" s="940"/>
      <c r="H22" s="939"/>
      <c r="I22" s="940"/>
      <c r="J22" s="962">
        <v>1</v>
      </c>
      <c r="K22" s="940">
        <v>30</v>
      </c>
      <c r="L22" s="939"/>
      <c r="M22" s="940"/>
      <c r="N22" s="941"/>
      <c r="O22" s="940"/>
      <c r="P22" s="941"/>
      <c r="Q22" s="940"/>
      <c r="R22" s="941"/>
      <c r="S22" s="940"/>
      <c r="T22" s="941"/>
      <c r="U22" s="940"/>
      <c r="V22" s="941"/>
      <c r="W22" s="940"/>
      <c r="X22" s="941"/>
      <c r="Y22" s="940"/>
      <c r="Z22" s="941"/>
      <c r="AA22" s="940"/>
      <c r="AB22" s="946"/>
      <c r="AC22" s="1017">
        <v>104</v>
      </c>
      <c r="AD22" s="1018">
        <v>1</v>
      </c>
      <c r="AE22" s="935">
        <v>103</v>
      </c>
    </row>
    <row r="23" spans="1:31">
      <c r="A23" s="980">
        <v>25</v>
      </c>
      <c r="B23" s="968" t="s">
        <v>64</v>
      </c>
      <c r="C23" s="916" t="s">
        <v>63</v>
      </c>
      <c r="D23" s="929">
        <v>34</v>
      </c>
      <c r="E23" s="940"/>
      <c r="F23" s="949"/>
      <c r="G23" s="940"/>
      <c r="H23" s="949">
        <v>1</v>
      </c>
      <c r="I23" s="940"/>
      <c r="J23" s="950"/>
      <c r="K23" s="940"/>
      <c r="L23" s="939"/>
      <c r="M23" s="940"/>
      <c r="N23" s="941"/>
      <c r="O23" s="940"/>
      <c r="P23" s="941"/>
      <c r="Q23" s="940"/>
      <c r="R23" s="941"/>
      <c r="S23" s="940"/>
      <c r="T23" s="941"/>
      <c r="U23" s="940"/>
      <c r="V23" s="941"/>
      <c r="W23" s="940"/>
      <c r="X23" s="941"/>
      <c r="Y23" s="940"/>
      <c r="Z23" s="941"/>
      <c r="AA23" s="940"/>
      <c r="AB23" s="946"/>
      <c r="AC23" s="1017">
        <v>34</v>
      </c>
      <c r="AD23" s="1018">
        <v>1</v>
      </c>
      <c r="AE23" s="935">
        <v>33</v>
      </c>
    </row>
    <row r="24" spans="1:31">
      <c r="A24" s="975">
        <v>26</v>
      </c>
      <c r="B24" s="968" t="s">
        <v>66</v>
      </c>
      <c r="C24" s="916" t="s">
        <v>65</v>
      </c>
      <c r="D24" s="929">
        <v>10</v>
      </c>
      <c r="E24" s="940"/>
      <c r="F24" s="939"/>
      <c r="G24" s="940"/>
      <c r="H24" s="949"/>
      <c r="I24" s="940"/>
      <c r="J24" s="950"/>
      <c r="K24" s="940"/>
      <c r="L24" s="939"/>
      <c r="M24" s="940"/>
      <c r="N24" s="941"/>
      <c r="O24" s="940"/>
      <c r="P24" s="941"/>
      <c r="Q24" s="940"/>
      <c r="R24" s="941"/>
      <c r="S24" s="940"/>
      <c r="T24" s="941"/>
      <c r="U24" s="940"/>
      <c r="V24" s="941"/>
      <c r="W24" s="940"/>
      <c r="X24" s="941"/>
      <c r="Y24" s="940"/>
      <c r="Z24" s="941"/>
      <c r="AA24" s="940"/>
      <c r="AB24" s="946"/>
      <c r="AC24" s="1017">
        <v>10</v>
      </c>
      <c r="AD24" s="1018">
        <v>0</v>
      </c>
      <c r="AE24" s="935">
        <v>10</v>
      </c>
    </row>
    <row r="25" spans="1:31">
      <c r="A25" s="980">
        <v>27</v>
      </c>
      <c r="B25" s="968" t="s">
        <v>68</v>
      </c>
      <c r="C25" s="916" t="s">
        <v>67</v>
      </c>
      <c r="D25" s="929">
        <v>15</v>
      </c>
      <c r="E25" s="940"/>
      <c r="F25" s="939"/>
      <c r="G25" s="940"/>
      <c r="H25" s="939">
        <v>1</v>
      </c>
      <c r="I25" s="940"/>
      <c r="J25" s="962"/>
      <c r="K25" s="940"/>
      <c r="L25" s="939"/>
      <c r="M25" s="940"/>
      <c r="N25" s="941"/>
      <c r="O25" s="940"/>
      <c r="P25" s="941"/>
      <c r="Q25" s="940"/>
      <c r="R25" s="941"/>
      <c r="S25" s="940"/>
      <c r="T25" s="941"/>
      <c r="U25" s="940"/>
      <c r="V25" s="941"/>
      <c r="W25" s="940"/>
      <c r="X25" s="941"/>
      <c r="Y25" s="940"/>
      <c r="Z25" s="941"/>
      <c r="AA25" s="940"/>
      <c r="AB25" s="946"/>
      <c r="AC25" s="1017">
        <v>15</v>
      </c>
      <c r="AD25" s="1018">
        <v>1</v>
      </c>
      <c r="AE25" s="935">
        <v>14</v>
      </c>
    </row>
    <row r="26" spans="1:31">
      <c r="A26" s="975">
        <v>28</v>
      </c>
      <c r="B26" s="968" t="s">
        <v>70</v>
      </c>
      <c r="C26" s="916" t="s">
        <v>69</v>
      </c>
      <c r="D26" s="929">
        <v>78</v>
      </c>
      <c r="E26" s="940"/>
      <c r="F26" s="939">
        <v>2</v>
      </c>
      <c r="G26" s="940"/>
      <c r="H26" s="939">
        <v>6</v>
      </c>
      <c r="I26" s="940"/>
      <c r="J26" s="962">
        <v>1</v>
      </c>
      <c r="K26" s="940">
        <v>12</v>
      </c>
      <c r="L26" s="939">
        <v>3</v>
      </c>
      <c r="M26" s="940"/>
      <c r="N26" s="941"/>
      <c r="O26" s="940"/>
      <c r="P26" s="941"/>
      <c r="Q26" s="940"/>
      <c r="R26" s="941"/>
      <c r="S26" s="940"/>
      <c r="T26" s="941"/>
      <c r="U26" s="940"/>
      <c r="V26" s="941"/>
      <c r="W26" s="940"/>
      <c r="X26" s="941"/>
      <c r="Y26" s="940"/>
      <c r="Z26" s="941"/>
      <c r="AA26" s="940"/>
      <c r="AB26" s="946"/>
      <c r="AC26" s="1017">
        <v>90</v>
      </c>
      <c r="AD26" s="1018">
        <v>12</v>
      </c>
      <c r="AE26" s="935">
        <v>78</v>
      </c>
    </row>
    <row r="27" spans="1:31">
      <c r="A27" s="980">
        <v>29</v>
      </c>
      <c r="B27" s="968" t="s">
        <v>71</v>
      </c>
      <c r="C27" s="922" t="s">
        <v>65</v>
      </c>
      <c r="D27" s="929">
        <v>89</v>
      </c>
      <c r="E27" s="940">
        <v>40</v>
      </c>
      <c r="F27" s="939">
        <v>1</v>
      </c>
      <c r="G27" s="940"/>
      <c r="H27" s="949">
        <v>7</v>
      </c>
      <c r="I27" s="940"/>
      <c r="J27" s="950">
        <v>5</v>
      </c>
      <c r="K27" s="940">
        <v>80</v>
      </c>
      <c r="L27" s="939">
        <v>3</v>
      </c>
      <c r="M27" s="940"/>
      <c r="N27" s="941"/>
      <c r="O27" s="940"/>
      <c r="P27" s="941"/>
      <c r="Q27" s="940"/>
      <c r="R27" s="941"/>
      <c r="S27" s="940"/>
      <c r="T27" s="941"/>
      <c r="U27" s="940"/>
      <c r="V27" s="941"/>
      <c r="W27" s="940"/>
      <c r="X27" s="952"/>
      <c r="Y27" s="940"/>
      <c r="Z27" s="941"/>
      <c r="AA27" s="940"/>
      <c r="AB27" s="946"/>
      <c r="AC27" s="1017">
        <v>209</v>
      </c>
      <c r="AD27" s="1018">
        <v>16</v>
      </c>
      <c r="AE27" s="935">
        <v>193</v>
      </c>
    </row>
    <row r="28" spans="1:31">
      <c r="A28" s="975">
        <v>30</v>
      </c>
      <c r="B28" s="968" t="s">
        <v>73</v>
      </c>
      <c r="C28" s="922" t="s">
        <v>72</v>
      </c>
      <c r="D28" s="929">
        <v>5</v>
      </c>
      <c r="E28" s="940"/>
      <c r="F28" s="939">
        <v>1</v>
      </c>
      <c r="G28" s="940"/>
      <c r="H28" s="939"/>
      <c r="I28" s="940"/>
      <c r="J28" s="950"/>
      <c r="K28" s="940"/>
      <c r="L28" s="939"/>
      <c r="M28" s="940"/>
      <c r="N28" s="941"/>
      <c r="O28" s="940"/>
      <c r="P28" s="941"/>
      <c r="Q28" s="940"/>
      <c r="R28" s="941"/>
      <c r="S28" s="940"/>
      <c r="T28" s="941"/>
      <c r="U28" s="940"/>
      <c r="V28" s="941"/>
      <c r="W28" s="940"/>
      <c r="X28" s="941"/>
      <c r="Y28" s="940"/>
      <c r="Z28" s="941"/>
      <c r="AA28" s="940"/>
      <c r="AB28" s="946"/>
      <c r="AC28" s="1017">
        <v>5</v>
      </c>
      <c r="AD28" s="1018">
        <v>1</v>
      </c>
      <c r="AE28" s="935">
        <v>4</v>
      </c>
    </row>
    <row r="29" spans="1:31">
      <c r="A29" s="975">
        <v>32</v>
      </c>
      <c r="B29" s="968" t="s">
        <v>77</v>
      </c>
      <c r="C29" s="916" t="s">
        <v>76</v>
      </c>
      <c r="D29" s="929">
        <v>77</v>
      </c>
      <c r="E29" s="940"/>
      <c r="F29" s="939">
        <v>1</v>
      </c>
      <c r="G29" s="940"/>
      <c r="H29" s="939">
        <v>5</v>
      </c>
      <c r="I29" s="940"/>
      <c r="J29" s="962"/>
      <c r="K29" s="940"/>
      <c r="L29" s="939"/>
      <c r="M29" s="940"/>
      <c r="N29" s="941"/>
      <c r="O29" s="940"/>
      <c r="P29" s="941"/>
      <c r="Q29" s="940"/>
      <c r="R29" s="941"/>
      <c r="S29" s="940"/>
      <c r="T29" s="941"/>
      <c r="U29" s="940"/>
      <c r="V29" s="941"/>
      <c r="W29" s="940"/>
      <c r="X29" s="941"/>
      <c r="Y29" s="940"/>
      <c r="Z29" s="941"/>
      <c r="AA29" s="940"/>
      <c r="AB29" s="946"/>
      <c r="AC29" s="1017">
        <v>77</v>
      </c>
      <c r="AD29" s="1018">
        <v>6</v>
      </c>
      <c r="AE29" s="935">
        <v>71</v>
      </c>
    </row>
    <row r="30" spans="1:31">
      <c r="A30" s="980">
        <v>33</v>
      </c>
      <c r="B30" s="968" t="s">
        <v>78</v>
      </c>
      <c r="C30" s="916" t="s">
        <v>76</v>
      </c>
      <c r="D30" s="929">
        <v>20</v>
      </c>
      <c r="E30" s="940"/>
      <c r="F30" s="939"/>
      <c r="G30" s="940"/>
      <c r="H30" s="949">
        <v>1</v>
      </c>
      <c r="I30" s="940"/>
      <c r="J30" s="950"/>
      <c r="K30" s="940"/>
      <c r="L30" s="939"/>
      <c r="M30" s="940"/>
      <c r="N30" s="941"/>
      <c r="O30" s="940"/>
      <c r="P30" s="941"/>
      <c r="Q30" s="940"/>
      <c r="R30" s="941"/>
      <c r="S30" s="940"/>
      <c r="T30" s="941"/>
      <c r="U30" s="940"/>
      <c r="V30" s="941"/>
      <c r="W30" s="940"/>
      <c r="X30" s="941"/>
      <c r="Y30" s="940"/>
      <c r="Z30" s="941"/>
      <c r="AA30" s="940"/>
      <c r="AB30" s="946"/>
      <c r="AC30" s="1017">
        <v>20</v>
      </c>
      <c r="AD30" s="1018">
        <v>1</v>
      </c>
      <c r="AE30" s="935">
        <v>19</v>
      </c>
    </row>
    <row r="31" spans="1:31">
      <c r="A31" s="975">
        <v>34</v>
      </c>
      <c r="B31" s="968" t="s">
        <v>80</v>
      </c>
      <c r="C31" s="922" t="s">
        <v>79</v>
      </c>
      <c r="D31" s="929">
        <v>40</v>
      </c>
      <c r="E31" s="940">
        <v>1</v>
      </c>
      <c r="F31" s="939"/>
      <c r="G31" s="940"/>
      <c r="H31" s="949">
        <v>12</v>
      </c>
      <c r="I31" s="940"/>
      <c r="J31" s="962">
        <v>5</v>
      </c>
      <c r="K31" s="940"/>
      <c r="L31" s="939">
        <v>14</v>
      </c>
      <c r="M31" s="940"/>
      <c r="N31" s="941"/>
      <c r="O31" s="940"/>
      <c r="P31" s="941"/>
      <c r="Q31" s="940"/>
      <c r="R31" s="941"/>
      <c r="S31" s="940"/>
      <c r="T31" s="941"/>
      <c r="U31" s="940"/>
      <c r="V31" s="941"/>
      <c r="W31" s="940"/>
      <c r="X31" s="941"/>
      <c r="Y31" s="940"/>
      <c r="Z31" s="941"/>
      <c r="AA31" s="940"/>
      <c r="AB31" s="946"/>
      <c r="AC31" s="1017">
        <v>41</v>
      </c>
      <c r="AD31" s="1018">
        <v>31</v>
      </c>
      <c r="AE31" s="935">
        <v>10</v>
      </c>
    </row>
    <row r="32" spans="1:31">
      <c r="A32" s="980">
        <v>35</v>
      </c>
      <c r="B32" s="968" t="s">
        <v>82</v>
      </c>
      <c r="C32" s="916" t="s">
        <v>81</v>
      </c>
      <c r="D32" s="929">
        <v>41</v>
      </c>
      <c r="E32" s="940"/>
      <c r="F32" s="939"/>
      <c r="G32" s="940"/>
      <c r="H32" s="949"/>
      <c r="I32" s="940"/>
      <c r="J32" s="962">
        <v>1</v>
      </c>
      <c r="K32" s="940"/>
      <c r="L32" s="939"/>
      <c r="M32" s="940"/>
      <c r="N32" s="941"/>
      <c r="O32" s="940"/>
      <c r="P32" s="941"/>
      <c r="Q32" s="940"/>
      <c r="R32" s="941"/>
      <c r="S32" s="940"/>
      <c r="T32" s="941"/>
      <c r="U32" s="940"/>
      <c r="V32" s="941"/>
      <c r="W32" s="940"/>
      <c r="X32" s="941"/>
      <c r="Y32" s="940"/>
      <c r="Z32" s="941"/>
      <c r="AA32" s="940"/>
      <c r="AB32" s="946"/>
      <c r="AC32" s="1017">
        <v>41</v>
      </c>
      <c r="AD32" s="1018">
        <v>1</v>
      </c>
      <c r="AE32" s="935">
        <v>40</v>
      </c>
    </row>
    <row r="33" spans="1:31">
      <c r="A33" s="975">
        <v>36</v>
      </c>
      <c r="B33" s="968" t="s">
        <v>84</v>
      </c>
      <c r="C33" s="916" t="s">
        <v>83</v>
      </c>
      <c r="D33" s="929">
        <v>1</v>
      </c>
      <c r="E33" s="940"/>
      <c r="F33" s="939"/>
      <c r="G33" s="940"/>
      <c r="H33" s="949"/>
      <c r="I33" s="940"/>
      <c r="J33" s="950"/>
      <c r="K33" s="940"/>
      <c r="L33" s="939"/>
      <c r="M33" s="940"/>
      <c r="N33" s="941"/>
      <c r="O33" s="940"/>
      <c r="P33" s="941"/>
      <c r="Q33" s="940"/>
      <c r="R33" s="941"/>
      <c r="S33" s="940"/>
      <c r="T33" s="941"/>
      <c r="U33" s="940"/>
      <c r="V33" s="941"/>
      <c r="W33" s="940"/>
      <c r="X33" s="941"/>
      <c r="Y33" s="940"/>
      <c r="Z33" s="941"/>
      <c r="AA33" s="940"/>
      <c r="AB33" s="946"/>
      <c r="AC33" s="1017">
        <v>1</v>
      </c>
      <c r="AD33" s="1018">
        <v>0</v>
      </c>
      <c r="AE33" s="935">
        <v>1</v>
      </c>
    </row>
    <row r="34" spans="1:31">
      <c r="A34" s="980">
        <v>37</v>
      </c>
      <c r="B34" s="968" t="s">
        <v>86</v>
      </c>
      <c r="C34" s="916" t="s">
        <v>85</v>
      </c>
      <c r="D34" s="929">
        <v>12</v>
      </c>
      <c r="E34" s="940"/>
      <c r="F34" s="939">
        <v>1</v>
      </c>
      <c r="G34" s="940">
        <v>20</v>
      </c>
      <c r="H34" s="939">
        <v>7</v>
      </c>
      <c r="I34" s="940"/>
      <c r="J34" s="950">
        <v>13</v>
      </c>
      <c r="K34" s="940"/>
      <c r="L34" s="939"/>
      <c r="M34" s="940"/>
      <c r="N34" s="941"/>
      <c r="O34" s="940"/>
      <c r="P34" s="941"/>
      <c r="Q34" s="940"/>
      <c r="R34" s="941"/>
      <c r="S34" s="940"/>
      <c r="T34" s="941"/>
      <c r="U34" s="940"/>
      <c r="V34" s="941"/>
      <c r="W34" s="940"/>
      <c r="X34" s="941"/>
      <c r="Y34" s="940"/>
      <c r="Z34" s="941"/>
      <c r="AA34" s="940"/>
      <c r="AB34" s="946"/>
      <c r="AC34" s="1017">
        <v>32</v>
      </c>
      <c r="AD34" s="1018">
        <v>21</v>
      </c>
      <c r="AE34" s="935">
        <v>11</v>
      </c>
    </row>
    <row r="35" spans="1:31">
      <c r="A35" s="980">
        <v>39</v>
      </c>
      <c r="B35" s="986" t="s">
        <v>90</v>
      </c>
      <c r="C35" s="1011" t="s">
        <v>89</v>
      </c>
      <c r="D35" s="1040">
        <v>139</v>
      </c>
      <c r="E35" s="987"/>
      <c r="F35" s="988">
        <v>9</v>
      </c>
      <c r="G35" s="987"/>
      <c r="H35" s="989">
        <v>2</v>
      </c>
      <c r="I35" s="987"/>
      <c r="J35" s="990">
        <v>1</v>
      </c>
      <c r="K35" s="960"/>
      <c r="L35" s="991">
        <v>10</v>
      </c>
      <c r="M35" s="940"/>
      <c r="N35" s="941"/>
      <c r="O35" s="940"/>
      <c r="P35" s="941"/>
      <c r="Q35" s="940"/>
      <c r="R35" s="941"/>
      <c r="S35" s="940"/>
      <c r="T35" s="941"/>
      <c r="U35" s="940"/>
      <c r="V35" s="941"/>
      <c r="W35" s="940"/>
      <c r="X35" s="941"/>
      <c r="Y35" s="940"/>
      <c r="Z35" s="941"/>
      <c r="AA35" s="940"/>
      <c r="AB35" s="946"/>
      <c r="AC35" s="1025">
        <v>139</v>
      </c>
      <c r="AD35" s="1026">
        <v>22</v>
      </c>
      <c r="AE35" s="1041">
        <v>117</v>
      </c>
    </row>
    <row r="36" spans="1:31">
      <c r="A36" s="975">
        <v>40</v>
      </c>
      <c r="B36" s="981" t="s">
        <v>91</v>
      </c>
      <c r="C36" s="928" t="s">
        <v>50</v>
      </c>
      <c r="D36" s="1039">
        <v>60</v>
      </c>
      <c r="E36" s="982">
        <v>30</v>
      </c>
      <c r="F36" s="983"/>
      <c r="G36" s="982"/>
      <c r="H36" s="984">
        <v>25</v>
      </c>
      <c r="I36" s="982"/>
      <c r="J36" s="992">
        <v>2</v>
      </c>
      <c r="K36" s="940">
        <v>12</v>
      </c>
      <c r="L36" s="939">
        <v>6</v>
      </c>
      <c r="M36" s="940"/>
      <c r="N36" s="941"/>
      <c r="O36" s="940"/>
      <c r="P36" s="941"/>
      <c r="Q36" s="940"/>
      <c r="R36" s="941"/>
      <c r="S36" s="940"/>
      <c r="T36" s="941"/>
      <c r="U36" s="940"/>
      <c r="V36" s="941"/>
      <c r="W36" s="940"/>
      <c r="X36" s="941"/>
      <c r="Y36" s="940"/>
      <c r="Z36" s="941"/>
      <c r="AA36" s="940"/>
      <c r="AB36" s="946"/>
      <c r="AC36" s="1023">
        <v>102</v>
      </c>
      <c r="AD36" s="1024">
        <v>33</v>
      </c>
      <c r="AE36" s="1042">
        <v>69</v>
      </c>
    </row>
    <row r="37" spans="1:31">
      <c r="A37" s="980">
        <v>41</v>
      </c>
      <c r="B37" s="968" t="s">
        <v>93</v>
      </c>
      <c r="C37" s="925" t="s">
        <v>92</v>
      </c>
      <c r="D37" s="929">
        <v>0</v>
      </c>
      <c r="E37" s="940"/>
      <c r="F37" s="939"/>
      <c r="G37" s="940"/>
      <c r="H37" s="949"/>
      <c r="I37" s="940"/>
      <c r="J37" s="950"/>
      <c r="K37" s="940">
        <v>3</v>
      </c>
      <c r="L37" s="939"/>
      <c r="M37" s="940"/>
      <c r="N37" s="941"/>
      <c r="O37" s="940"/>
      <c r="P37" s="941"/>
      <c r="Q37" s="940"/>
      <c r="R37" s="941"/>
      <c r="S37" s="940"/>
      <c r="T37" s="941"/>
      <c r="U37" s="940"/>
      <c r="V37" s="941"/>
      <c r="W37" s="940"/>
      <c r="X37" s="941"/>
      <c r="Y37" s="940"/>
      <c r="Z37" s="941"/>
      <c r="AA37" s="940"/>
      <c r="AB37" s="946"/>
      <c r="AC37" s="1017">
        <v>3</v>
      </c>
      <c r="AD37" s="1018">
        <v>0</v>
      </c>
      <c r="AE37" s="935">
        <v>3</v>
      </c>
    </row>
    <row r="38" spans="1:31">
      <c r="A38" s="975">
        <v>42</v>
      </c>
      <c r="B38" s="968" t="s">
        <v>95</v>
      </c>
      <c r="C38" s="916" t="s">
        <v>94</v>
      </c>
      <c r="D38" s="929">
        <v>7</v>
      </c>
      <c r="E38" s="940"/>
      <c r="F38" s="939"/>
      <c r="G38" s="940"/>
      <c r="H38" s="939"/>
      <c r="I38" s="940"/>
      <c r="J38" s="950">
        <v>4</v>
      </c>
      <c r="K38" s="940"/>
      <c r="L38" s="939"/>
      <c r="M38" s="940"/>
      <c r="N38" s="941"/>
      <c r="O38" s="940"/>
      <c r="P38" s="941"/>
      <c r="Q38" s="940"/>
      <c r="R38" s="941"/>
      <c r="S38" s="940"/>
      <c r="T38" s="941"/>
      <c r="U38" s="940"/>
      <c r="V38" s="941"/>
      <c r="W38" s="940"/>
      <c r="X38" s="941"/>
      <c r="Y38" s="940"/>
      <c r="Z38" s="941"/>
      <c r="AA38" s="940"/>
      <c r="AB38" s="946"/>
      <c r="AC38" s="1017">
        <v>7</v>
      </c>
      <c r="AD38" s="1018">
        <v>4</v>
      </c>
      <c r="AE38" s="935">
        <v>3</v>
      </c>
    </row>
    <row r="39" spans="1:31">
      <c r="A39" s="980">
        <v>65</v>
      </c>
      <c r="B39" s="968" t="s">
        <v>146</v>
      </c>
      <c r="C39" s="1012" t="s">
        <v>145</v>
      </c>
      <c r="D39" s="929">
        <v>4</v>
      </c>
      <c r="E39" s="940"/>
      <c r="F39" s="939"/>
      <c r="G39" s="940"/>
      <c r="H39" s="939"/>
      <c r="I39" s="940">
        <v>6</v>
      </c>
      <c r="J39" s="950">
        <v>8</v>
      </c>
      <c r="K39" s="940">
        <v>5</v>
      </c>
      <c r="L39" s="939">
        <v>2</v>
      </c>
      <c r="M39" s="940"/>
      <c r="N39" s="941"/>
      <c r="O39" s="940"/>
      <c r="P39" s="941"/>
      <c r="Q39" s="940"/>
      <c r="R39" s="941"/>
      <c r="S39" s="940"/>
      <c r="T39" s="941"/>
      <c r="U39" s="940"/>
      <c r="V39" s="941"/>
      <c r="W39" s="940"/>
      <c r="X39" s="941"/>
      <c r="Y39" s="940"/>
      <c r="Z39" s="941"/>
      <c r="AA39" s="940"/>
      <c r="AB39" s="946"/>
      <c r="AC39" s="1017">
        <v>15</v>
      </c>
      <c r="AD39" s="1018">
        <v>10</v>
      </c>
      <c r="AE39" s="935">
        <v>5</v>
      </c>
    </row>
    <row r="40" spans="1:31">
      <c r="A40" s="975">
        <v>84</v>
      </c>
      <c r="B40" s="968" t="s">
        <v>182</v>
      </c>
      <c r="C40" s="1012" t="s">
        <v>181</v>
      </c>
      <c r="D40" s="929">
        <v>6</v>
      </c>
      <c r="E40" s="940"/>
      <c r="F40" s="939"/>
      <c r="G40" s="940"/>
      <c r="H40" s="949">
        <v>4</v>
      </c>
      <c r="I40" s="940"/>
      <c r="J40" s="950"/>
      <c r="K40" s="940"/>
      <c r="L40" s="939"/>
      <c r="M40" s="940"/>
      <c r="N40" s="941"/>
      <c r="O40" s="940"/>
      <c r="P40" s="941"/>
      <c r="Q40" s="940"/>
      <c r="R40" s="941"/>
      <c r="S40" s="940"/>
      <c r="T40" s="941"/>
      <c r="U40" s="940"/>
      <c r="V40" s="941"/>
      <c r="W40" s="940"/>
      <c r="X40" s="941"/>
      <c r="Y40" s="940"/>
      <c r="Z40" s="941"/>
      <c r="AA40" s="940"/>
      <c r="AB40" s="946"/>
      <c r="AC40" s="1017">
        <v>6</v>
      </c>
      <c r="AD40" s="1018">
        <v>4</v>
      </c>
      <c r="AE40" s="935">
        <v>2</v>
      </c>
    </row>
    <row r="41" spans="1:31">
      <c r="A41" s="980">
        <v>95</v>
      </c>
      <c r="B41" s="968" t="s">
        <v>205</v>
      </c>
      <c r="C41" s="1012" t="s">
        <v>204</v>
      </c>
      <c r="D41" s="929">
        <v>2</v>
      </c>
      <c r="E41" s="940"/>
      <c r="F41" s="939"/>
      <c r="G41" s="940"/>
      <c r="H41" s="949"/>
      <c r="I41" s="940"/>
      <c r="J41" s="950">
        <v>1</v>
      </c>
      <c r="K41" s="940"/>
      <c r="L41" s="939"/>
      <c r="M41" s="940"/>
      <c r="N41" s="941"/>
      <c r="O41" s="940"/>
      <c r="P41" s="941"/>
      <c r="Q41" s="940"/>
      <c r="R41" s="941"/>
      <c r="S41" s="940"/>
      <c r="T41" s="941"/>
      <c r="U41" s="940"/>
      <c r="V41" s="941"/>
      <c r="W41" s="940"/>
      <c r="X41" s="941"/>
      <c r="Y41" s="940"/>
      <c r="Z41" s="941"/>
      <c r="AA41" s="940"/>
      <c r="AB41" s="946"/>
      <c r="AC41" s="1017">
        <v>2</v>
      </c>
      <c r="AD41" s="1018">
        <v>1</v>
      </c>
      <c r="AE41" s="942">
        <v>1</v>
      </c>
    </row>
    <row r="42" spans="1:31">
      <c r="A42" s="975">
        <v>102</v>
      </c>
      <c r="B42" s="993" t="s">
        <v>219</v>
      </c>
      <c r="C42" s="916" t="s">
        <v>218</v>
      </c>
      <c r="D42" s="929">
        <v>35</v>
      </c>
      <c r="E42" s="940">
        <v>120</v>
      </c>
      <c r="F42" s="939">
        <v>5</v>
      </c>
      <c r="G42" s="940"/>
      <c r="H42" s="939"/>
      <c r="I42" s="940"/>
      <c r="J42" s="962">
        <v>3</v>
      </c>
      <c r="K42" s="940">
        <v>20</v>
      </c>
      <c r="L42" s="939">
        <v>6</v>
      </c>
      <c r="M42" s="940"/>
      <c r="N42" s="941"/>
      <c r="O42" s="940"/>
      <c r="P42" s="941"/>
      <c r="Q42" s="940"/>
      <c r="R42" s="941"/>
      <c r="S42" s="940"/>
      <c r="T42" s="941"/>
      <c r="U42" s="940"/>
      <c r="V42" s="941"/>
      <c r="W42" s="940"/>
      <c r="X42" s="941"/>
      <c r="Y42" s="940"/>
      <c r="Z42" s="941"/>
      <c r="AA42" s="940"/>
      <c r="AB42" s="946"/>
      <c r="AC42" s="1017">
        <v>175</v>
      </c>
      <c r="AD42" s="1018">
        <v>14</v>
      </c>
      <c r="AE42" s="935">
        <v>161</v>
      </c>
    </row>
    <row r="43" spans="1:31">
      <c r="A43" s="980">
        <v>119</v>
      </c>
      <c r="B43" s="993" t="s">
        <v>246</v>
      </c>
      <c r="C43" s="919" t="s">
        <v>258</v>
      </c>
      <c r="D43" s="929">
        <v>22</v>
      </c>
      <c r="E43" s="940"/>
      <c r="F43" s="939">
        <v>2</v>
      </c>
      <c r="G43" s="940">
        <v>24</v>
      </c>
      <c r="H43" s="949">
        <v>8</v>
      </c>
      <c r="I43" s="940">
        <v>1</v>
      </c>
      <c r="J43" s="950">
        <v>1</v>
      </c>
      <c r="K43" s="940"/>
      <c r="L43" s="939">
        <v>4</v>
      </c>
      <c r="M43" s="940"/>
      <c r="N43" s="941"/>
      <c r="O43" s="940"/>
      <c r="P43" s="941"/>
      <c r="Q43" s="940"/>
      <c r="R43" s="941"/>
      <c r="S43" s="940"/>
      <c r="T43" s="941"/>
      <c r="U43" s="940"/>
      <c r="V43" s="941"/>
      <c r="W43" s="940"/>
      <c r="X43" s="941"/>
      <c r="Y43" s="940"/>
      <c r="Z43" s="941"/>
      <c r="AA43" s="940"/>
      <c r="AB43" s="946"/>
      <c r="AC43" s="1017">
        <v>47</v>
      </c>
      <c r="AD43" s="1018">
        <v>15</v>
      </c>
      <c r="AE43" s="935">
        <v>32</v>
      </c>
    </row>
    <row r="44" spans="1:31">
      <c r="A44" s="975">
        <v>120</v>
      </c>
      <c r="B44" s="995" t="s">
        <v>247</v>
      </c>
      <c r="C44" s="1038" t="s">
        <v>259</v>
      </c>
      <c r="D44" s="930">
        <v>4</v>
      </c>
      <c r="E44" s="953">
        <v>10</v>
      </c>
      <c r="F44" s="954">
        <v>5</v>
      </c>
      <c r="G44" s="953">
        <v>26</v>
      </c>
      <c r="H44" s="954">
        <v>2</v>
      </c>
      <c r="I44" s="996"/>
      <c r="J44" s="974">
        <v>3</v>
      </c>
      <c r="K44" s="940"/>
      <c r="L44" s="939">
        <v>12</v>
      </c>
      <c r="M44" s="940"/>
      <c r="N44" s="941"/>
      <c r="O44" s="940"/>
      <c r="P44" s="941"/>
      <c r="Q44" s="940"/>
      <c r="R44" s="941"/>
      <c r="S44" s="940"/>
      <c r="T44" s="941"/>
      <c r="U44" s="940"/>
      <c r="V44" s="941"/>
      <c r="W44" s="940"/>
      <c r="X44" s="941"/>
      <c r="Y44" s="940"/>
      <c r="Z44" s="941"/>
      <c r="AA44" s="940"/>
      <c r="AB44" s="946"/>
      <c r="AC44" s="1019">
        <v>40</v>
      </c>
      <c r="AD44" s="1020">
        <v>22</v>
      </c>
      <c r="AE44" s="1033">
        <v>18</v>
      </c>
    </row>
    <row r="45" spans="1:31">
      <c r="A45" s="980">
        <v>121</v>
      </c>
      <c r="B45" s="997" t="s">
        <v>248</v>
      </c>
      <c r="C45" s="1010" t="s">
        <v>260</v>
      </c>
      <c r="D45" s="931">
        <v>29</v>
      </c>
      <c r="E45" s="977">
        <v>20</v>
      </c>
      <c r="F45" s="978"/>
      <c r="G45" s="977"/>
      <c r="H45" s="978">
        <v>10</v>
      </c>
      <c r="I45" s="977">
        <v>1</v>
      </c>
      <c r="J45" s="979"/>
      <c r="K45" s="940">
        <v>74</v>
      </c>
      <c r="L45" s="939">
        <v>8</v>
      </c>
      <c r="M45" s="940"/>
      <c r="N45" s="941"/>
      <c r="O45" s="940"/>
      <c r="P45" s="941"/>
      <c r="Q45" s="940"/>
      <c r="R45" s="941"/>
      <c r="S45" s="940"/>
      <c r="T45" s="941"/>
      <c r="U45" s="940"/>
      <c r="V45" s="941"/>
      <c r="W45" s="940"/>
      <c r="X45" s="941"/>
      <c r="Y45" s="940"/>
      <c r="Z45" s="941"/>
      <c r="AA45" s="940"/>
      <c r="AB45" s="946"/>
      <c r="AC45" s="936">
        <v>124</v>
      </c>
      <c r="AD45" s="937">
        <v>18</v>
      </c>
      <c r="AE45" s="938">
        <v>106</v>
      </c>
    </row>
    <row r="46" spans="1:31">
      <c r="A46" s="975">
        <v>122</v>
      </c>
      <c r="B46" s="997" t="s">
        <v>249</v>
      </c>
      <c r="C46" s="1010" t="s">
        <v>261</v>
      </c>
      <c r="D46" s="931">
        <v>82</v>
      </c>
      <c r="E46" s="977">
        <v>30</v>
      </c>
      <c r="F46" s="978">
        <v>12</v>
      </c>
      <c r="G46" s="977"/>
      <c r="H46" s="998">
        <v>18</v>
      </c>
      <c r="I46" s="999"/>
      <c r="J46" s="979">
        <v>3</v>
      </c>
      <c r="K46" s="940">
        <v>70</v>
      </c>
      <c r="L46" s="939">
        <v>12</v>
      </c>
      <c r="M46" s="940"/>
      <c r="N46" s="941"/>
      <c r="O46" s="940"/>
      <c r="P46" s="941"/>
      <c r="Q46" s="940"/>
      <c r="R46" s="941"/>
      <c r="S46" s="940"/>
      <c r="T46" s="941"/>
      <c r="U46" s="940"/>
      <c r="V46" s="941"/>
      <c r="W46" s="940"/>
      <c r="X46" s="941"/>
      <c r="Y46" s="940"/>
      <c r="Z46" s="941"/>
      <c r="AA46" s="940"/>
      <c r="AB46" s="946"/>
      <c r="AC46" s="1021">
        <v>182</v>
      </c>
      <c r="AD46" s="1022">
        <v>45</v>
      </c>
      <c r="AE46" s="938">
        <v>137</v>
      </c>
    </row>
    <row r="47" spans="1:31">
      <c r="A47" s="980">
        <v>123</v>
      </c>
      <c r="B47" s="1000" t="s">
        <v>250</v>
      </c>
      <c r="C47" s="926" t="s">
        <v>262</v>
      </c>
      <c r="D47" s="1039">
        <v>0</v>
      </c>
      <c r="E47" s="982"/>
      <c r="F47" s="983"/>
      <c r="G47" s="982">
        <v>26</v>
      </c>
      <c r="H47" s="983">
        <v>16</v>
      </c>
      <c r="I47" s="982">
        <v>27</v>
      </c>
      <c r="J47" s="992"/>
      <c r="K47" s="940"/>
      <c r="L47" s="939">
        <v>1</v>
      </c>
      <c r="M47" s="940"/>
      <c r="N47" s="941"/>
      <c r="O47" s="940"/>
      <c r="P47" s="941"/>
      <c r="Q47" s="940"/>
      <c r="R47" s="941"/>
      <c r="S47" s="940"/>
      <c r="T47" s="941"/>
      <c r="U47" s="940"/>
      <c r="V47" s="941"/>
      <c r="W47" s="940"/>
      <c r="X47" s="941"/>
      <c r="Y47" s="940"/>
      <c r="Z47" s="941"/>
      <c r="AA47" s="940"/>
      <c r="AB47" s="946"/>
      <c r="AC47" s="1023">
        <v>53</v>
      </c>
      <c r="AD47" s="1024">
        <v>17</v>
      </c>
      <c r="AE47" s="1034">
        <v>36</v>
      </c>
    </row>
    <row r="48" spans="1:31">
      <c r="A48" s="975">
        <v>126</v>
      </c>
      <c r="B48" s="993" t="s">
        <v>281</v>
      </c>
      <c r="C48" s="919" t="s">
        <v>280</v>
      </c>
      <c r="D48" s="929">
        <v>3</v>
      </c>
      <c r="E48" s="940"/>
      <c r="F48" s="939"/>
      <c r="G48" s="940">
        <v>1</v>
      </c>
      <c r="H48" s="939"/>
      <c r="I48" s="940"/>
      <c r="J48" s="950"/>
      <c r="K48" s="940"/>
      <c r="L48" s="939"/>
      <c r="M48" s="940"/>
      <c r="N48" s="941"/>
      <c r="O48" s="940"/>
      <c r="P48" s="941"/>
      <c r="Q48" s="940"/>
      <c r="R48" s="941"/>
      <c r="S48" s="940"/>
      <c r="T48" s="941"/>
      <c r="U48" s="940"/>
      <c r="V48" s="941"/>
      <c r="W48" s="940"/>
      <c r="X48" s="941"/>
      <c r="Y48" s="940"/>
      <c r="Z48" s="941"/>
      <c r="AA48" s="940"/>
      <c r="AB48" s="946"/>
      <c r="AC48" s="1017">
        <v>4</v>
      </c>
      <c r="AD48" s="1018">
        <v>0</v>
      </c>
      <c r="AE48" s="935">
        <v>4</v>
      </c>
    </row>
    <row r="49" spans="1:31">
      <c r="A49" s="980">
        <v>149</v>
      </c>
      <c r="B49" s="993" t="s">
        <v>321</v>
      </c>
      <c r="C49" s="919" t="s">
        <v>320</v>
      </c>
      <c r="D49" s="929">
        <v>0</v>
      </c>
      <c r="E49" s="940"/>
      <c r="F49" s="939"/>
      <c r="G49" s="940"/>
      <c r="H49" s="949"/>
      <c r="I49" s="940">
        <v>3</v>
      </c>
      <c r="J49" s="962">
        <v>1</v>
      </c>
      <c r="K49" s="940"/>
      <c r="L49" s="939"/>
      <c r="M49" s="943"/>
      <c r="N49" s="941"/>
      <c r="O49" s="940"/>
      <c r="P49" s="941"/>
      <c r="Q49" s="940"/>
      <c r="R49" s="941"/>
      <c r="S49" s="940"/>
      <c r="T49" s="941"/>
      <c r="U49" s="940"/>
      <c r="V49" s="941"/>
      <c r="W49" s="940"/>
      <c r="X49" s="941"/>
      <c r="Y49" s="940"/>
      <c r="Z49" s="941"/>
      <c r="AA49" s="940"/>
      <c r="AB49" s="961"/>
      <c r="AC49" s="1017">
        <v>3</v>
      </c>
      <c r="AD49" s="1018">
        <v>1</v>
      </c>
      <c r="AE49" s="942">
        <v>2</v>
      </c>
    </row>
    <row r="50" spans="1:31">
      <c r="A50" s="980">
        <v>169</v>
      </c>
      <c r="B50" s="993" t="s">
        <v>382</v>
      </c>
      <c r="C50" s="917" t="s">
        <v>383</v>
      </c>
      <c r="D50" s="929">
        <v>3</v>
      </c>
      <c r="E50" s="940"/>
      <c r="F50" s="939"/>
      <c r="G50" s="940"/>
      <c r="H50" s="949"/>
      <c r="I50" s="940"/>
      <c r="J50" s="950"/>
      <c r="K50" s="940"/>
      <c r="L50" s="939"/>
      <c r="M50" s="943"/>
      <c r="N50" s="941"/>
      <c r="O50" s="940"/>
      <c r="P50" s="941"/>
      <c r="Q50" s="940"/>
      <c r="R50" s="941"/>
      <c r="S50" s="940"/>
      <c r="T50" s="941"/>
      <c r="U50" s="940"/>
      <c r="V50" s="941"/>
      <c r="W50" s="940"/>
      <c r="X50" s="941"/>
      <c r="Y50" s="940"/>
      <c r="Z50" s="941"/>
      <c r="AA50" s="940"/>
      <c r="AB50" s="961"/>
      <c r="AC50" s="1017">
        <v>3</v>
      </c>
      <c r="AD50" s="1018">
        <v>0</v>
      </c>
      <c r="AE50" s="935">
        <v>3</v>
      </c>
    </row>
    <row r="51" spans="1:31">
      <c r="A51" s="980">
        <v>175</v>
      </c>
      <c r="B51" s="1002" t="s">
        <v>448</v>
      </c>
      <c r="C51" s="916" t="s">
        <v>449</v>
      </c>
      <c r="D51" s="929">
        <v>11</v>
      </c>
      <c r="E51" s="940"/>
      <c r="F51" s="939"/>
      <c r="G51" s="940">
        <v>1</v>
      </c>
      <c r="H51" s="949"/>
      <c r="I51" s="940"/>
      <c r="J51" s="950">
        <v>2</v>
      </c>
      <c r="K51" s="940"/>
      <c r="L51" s="939"/>
      <c r="M51" s="940"/>
      <c r="N51" s="941"/>
      <c r="O51" s="940"/>
      <c r="P51" s="941"/>
      <c r="Q51" s="940"/>
      <c r="R51" s="941"/>
      <c r="S51" s="940"/>
      <c r="T51" s="941"/>
      <c r="U51" s="940"/>
      <c r="V51" s="941"/>
      <c r="W51" s="940"/>
      <c r="X51" s="941"/>
      <c r="Y51" s="940"/>
      <c r="Z51" s="941"/>
      <c r="AA51" s="940"/>
      <c r="AB51" s="946"/>
      <c r="AC51" s="1017">
        <v>12</v>
      </c>
      <c r="AD51" s="1018">
        <v>2</v>
      </c>
      <c r="AE51" s="935">
        <v>10</v>
      </c>
    </row>
    <row r="52" spans="1:31">
      <c r="A52" s="980">
        <v>193</v>
      </c>
      <c r="B52" s="1002" t="s">
        <v>605</v>
      </c>
      <c r="C52" s="918" t="s">
        <v>2040</v>
      </c>
      <c r="D52" s="929">
        <v>3</v>
      </c>
      <c r="E52" s="940"/>
      <c r="F52" s="939">
        <v>1</v>
      </c>
      <c r="G52" s="940"/>
      <c r="H52" s="939"/>
      <c r="I52" s="940"/>
      <c r="J52" s="950">
        <v>2</v>
      </c>
      <c r="K52" s="940">
        <v>10</v>
      </c>
      <c r="L52" s="939">
        <v>2</v>
      </c>
      <c r="M52" s="940"/>
      <c r="N52" s="941"/>
      <c r="O52" s="940"/>
      <c r="P52" s="941"/>
      <c r="Q52" s="940"/>
      <c r="R52" s="941"/>
      <c r="S52" s="940"/>
      <c r="T52" s="941"/>
      <c r="U52" s="940"/>
      <c r="V52" s="941"/>
      <c r="W52" s="940"/>
      <c r="X52" s="941"/>
      <c r="Y52" s="940"/>
      <c r="Z52" s="941"/>
      <c r="AA52" s="940"/>
      <c r="AB52" s="946"/>
      <c r="AC52" s="1017">
        <v>13</v>
      </c>
      <c r="AD52" s="1018">
        <v>5</v>
      </c>
      <c r="AE52" s="935">
        <v>8</v>
      </c>
    </row>
    <row r="53" spans="1:31">
      <c r="A53" s="975">
        <v>194</v>
      </c>
      <c r="B53" s="1002" t="s">
        <v>2041</v>
      </c>
      <c r="C53" s="1003" t="s">
        <v>659</v>
      </c>
      <c r="D53" s="929">
        <v>16</v>
      </c>
      <c r="E53" s="940"/>
      <c r="F53" s="939"/>
      <c r="G53" s="940"/>
      <c r="H53" s="949"/>
      <c r="I53" s="940"/>
      <c r="J53" s="950"/>
      <c r="K53" s="940"/>
      <c r="L53" s="939"/>
      <c r="M53" s="940"/>
      <c r="N53" s="941"/>
      <c r="O53" s="940"/>
      <c r="P53" s="941"/>
      <c r="Q53" s="940"/>
      <c r="R53" s="941"/>
      <c r="S53" s="940"/>
      <c r="T53" s="941"/>
      <c r="U53" s="940"/>
      <c r="V53" s="941"/>
      <c r="W53" s="940"/>
      <c r="X53" s="941"/>
      <c r="Y53" s="940"/>
      <c r="Z53" s="941"/>
      <c r="AA53" s="940"/>
      <c r="AB53" s="946"/>
      <c r="AC53" s="933">
        <v>16</v>
      </c>
      <c r="AD53" s="934">
        <v>0</v>
      </c>
      <c r="AE53" s="951">
        <v>16</v>
      </c>
    </row>
    <row r="54" spans="1:31">
      <c r="A54" s="975">
        <v>198</v>
      </c>
      <c r="B54" s="1002" t="s">
        <v>389</v>
      </c>
      <c r="C54" s="1003" t="s">
        <v>2117</v>
      </c>
      <c r="D54" s="929">
        <v>0</v>
      </c>
      <c r="E54" s="940"/>
      <c r="F54" s="939"/>
      <c r="G54" s="940"/>
      <c r="H54" s="949"/>
      <c r="I54" s="940"/>
      <c r="J54" s="950"/>
      <c r="K54" s="940">
        <v>400</v>
      </c>
      <c r="L54" s="939">
        <v>80</v>
      </c>
      <c r="M54" s="940"/>
      <c r="N54" s="941"/>
      <c r="O54" s="940"/>
      <c r="P54" s="941"/>
      <c r="Q54" s="940"/>
      <c r="R54" s="941"/>
      <c r="S54" s="940"/>
      <c r="T54" s="941"/>
      <c r="U54" s="940"/>
      <c r="V54" s="941"/>
      <c r="W54" s="940"/>
      <c r="X54" s="941"/>
      <c r="Y54" s="940"/>
      <c r="Z54" s="941"/>
      <c r="AA54" s="940"/>
      <c r="AB54" s="946"/>
      <c r="AC54" s="933">
        <v>400</v>
      </c>
      <c r="AD54" s="934">
        <v>80</v>
      </c>
      <c r="AE54" s="951">
        <v>320</v>
      </c>
    </row>
    <row r="55" spans="1:31">
      <c r="A55" s="975">
        <v>200</v>
      </c>
      <c r="B55" s="1002" t="s">
        <v>738</v>
      </c>
      <c r="C55" s="1003" t="s">
        <v>320</v>
      </c>
      <c r="D55" s="929">
        <v>0</v>
      </c>
      <c r="E55" s="940">
        <v>6</v>
      </c>
      <c r="F55" s="939"/>
      <c r="G55" s="940"/>
      <c r="H55" s="949"/>
      <c r="I55" s="940"/>
      <c r="J55" s="950">
        <v>2</v>
      </c>
      <c r="K55" s="940"/>
      <c r="L55" s="939"/>
      <c r="M55" s="940"/>
      <c r="N55" s="941"/>
      <c r="O55" s="940"/>
      <c r="P55" s="941"/>
      <c r="Q55" s="940"/>
      <c r="R55" s="941"/>
      <c r="S55" s="940"/>
      <c r="T55" s="941"/>
      <c r="U55" s="940"/>
      <c r="V55" s="941"/>
      <c r="W55" s="940"/>
      <c r="X55" s="941"/>
      <c r="Y55" s="940"/>
      <c r="Z55" s="941"/>
      <c r="AA55" s="940"/>
      <c r="AB55" s="946"/>
      <c r="AC55" s="933">
        <v>6</v>
      </c>
      <c r="AD55" s="934">
        <v>2</v>
      </c>
      <c r="AE55" s="951">
        <v>4</v>
      </c>
    </row>
    <row r="56" spans="1:31">
      <c r="A56" s="980">
        <v>207</v>
      </c>
      <c r="B56" s="993" t="s">
        <v>680</v>
      </c>
      <c r="C56" s="918" t="s">
        <v>681</v>
      </c>
      <c r="D56" s="929">
        <v>16</v>
      </c>
      <c r="E56" s="940"/>
      <c r="F56" s="939"/>
      <c r="G56" s="940"/>
      <c r="H56" s="949"/>
      <c r="I56" s="940"/>
      <c r="J56" s="950"/>
      <c r="K56" s="940"/>
      <c r="L56" s="939"/>
      <c r="M56" s="940"/>
      <c r="N56" s="941"/>
      <c r="O56" s="940"/>
      <c r="P56" s="941"/>
      <c r="Q56" s="940"/>
      <c r="R56" s="941"/>
      <c r="S56" s="940"/>
      <c r="T56" s="941"/>
      <c r="U56" s="940"/>
      <c r="V56" s="941"/>
      <c r="W56" s="940"/>
      <c r="X56" s="941"/>
      <c r="Y56" s="940"/>
      <c r="Z56" s="941"/>
      <c r="AA56" s="940"/>
      <c r="AB56" s="946"/>
      <c r="AC56" s="933">
        <v>16</v>
      </c>
      <c r="AD56" s="934">
        <v>0</v>
      </c>
      <c r="AE56" s="951">
        <v>16</v>
      </c>
    </row>
    <row r="57" spans="1:31">
      <c r="A57" s="980">
        <v>217</v>
      </c>
      <c r="B57" s="993" t="s">
        <v>700</v>
      </c>
      <c r="C57" s="917" t="s">
        <v>702</v>
      </c>
      <c r="D57" s="929">
        <v>7</v>
      </c>
      <c r="E57" s="940"/>
      <c r="F57" s="939"/>
      <c r="G57" s="940"/>
      <c r="H57" s="949"/>
      <c r="I57" s="940"/>
      <c r="J57" s="950"/>
      <c r="K57" s="940"/>
      <c r="L57" s="939"/>
      <c r="M57" s="940"/>
      <c r="N57" s="941"/>
      <c r="O57" s="940"/>
      <c r="P57" s="941"/>
      <c r="Q57" s="940"/>
      <c r="R57" s="941"/>
      <c r="S57" s="940"/>
      <c r="T57" s="941"/>
      <c r="U57" s="940"/>
      <c r="V57" s="941"/>
      <c r="W57" s="940"/>
      <c r="X57" s="941"/>
      <c r="Y57" s="940"/>
      <c r="Z57" s="941"/>
      <c r="AA57" s="940"/>
      <c r="AB57" s="946"/>
      <c r="AC57" s="1017">
        <v>7</v>
      </c>
      <c r="AD57" s="1018">
        <v>0</v>
      </c>
      <c r="AE57" s="935">
        <v>7</v>
      </c>
    </row>
    <row r="58" spans="1:31">
      <c r="A58" s="975">
        <v>226</v>
      </c>
      <c r="B58" s="993" t="s">
        <v>718</v>
      </c>
      <c r="C58" s="918" t="s">
        <v>719</v>
      </c>
      <c r="D58" s="929">
        <v>8</v>
      </c>
      <c r="E58" s="940"/>
      <c r="F58" s="939"/>
      <c r="G58" s="940"/>
      <c r="H58" s="949"/>
      <c r="I58" s="940"/>
      <c r="J58" s="950">
        <v>1</v>
      </c>
      <c r="K58" s="940"/>
      <c r="L58" s="939"/>
      <c r="M58" s="940"/>
      <c r="N58" s="941"/>
      <c r="O58" s="940"/>
      <c r="P58" s="941"/>
      <c r="Q58" s="940"/>
      <c r="R58" s="941"/>
      <c r="S58" s="940"/>
      <c r="T58" s="941"/>
      <c r="U58" s="940"/>
      <c r="V58" s="941"/>
      <c r="W58" s="940"/>
      <c r="X58" s="941"/>
      <c r="Y58" s="940"/>
      <c r="Z58" s="941"/>
      <c r="AA58" s="940"/>
      <c r="AB58" s="946"/>
      <c r="AC58" s="1017">
        <v>8</v>
      </c>
      <c r="AD58" s="1018">
        <v>1</v>
      </c>
      <c r="AE58" s="935">
        <v>7</v>
      </c>
    </row>
    <row r="59" spans="1:31">
      <c r="A59" s="980">
        <v>237</v>
      </c>
      <c r="B59" s="993" t="s">
        <v>821</v>
      </c>
      <c r="C59" s="918" t="s">
        <v>822</v>
      </c>
      <c r="D59" s="929">
        <v>18</v>
      </c>
      <c r="E59" s="940"/>
      <c r="F59" s="939">
        <v>1</v>
      </c>
      <c r="G59" s="940"/>
      <c r="H59" s="949"/>
      <c r="I59" s="940">
        <v>1</v>
      </c>
      <c r="J59" s="962"/>
      <c r="K59" s="940"/>
      <c r="L59" s="939">
        <v>2</v>
      </c>
      <c r="M59" s="940"/>
      <c r="N59" s="941"/>
      <c r="O59" s="940"/>
      <c r="P59" s="941"/>
      <c r="Q59" s="940"/>
      <c r="R59" s="941"/>
      <c r="S59" s="940"/>
      <c r="T59" s="941"/>
      <c r="U59" s="940"/>
      <c r="V59" s="941"/>
      <c r="W59" s="940"/>
      <c r="X59" s="941"/>
      <c r="Y59" s="940"/>
      <c r="Z59" s="941"/>
      <c r="AA59" s="940"/>
      <c r="AB59" s="946"/>
      <c r="AC59" s="1017">
        <v>19</v>
      </c>
      <c r="AD59" s="1018">
        <v>3</v>
      </c>
      <c r="AE59" s="935">
        <v>16</v>
      </c>
    </row>
    <row r="60" spans="1:31">
      <c r="A60" s="980">
        <v>247</v>
      </c>
      <c r="B60" s="993" t="s">
        <v>891</v>
      </c>
      <c r="C60" s="918" t="s">
        <v>898</v>
      </c>
      <c r="D60" s="929">
        <v>7</v>
      </c>
      <c r="E60" s="940"/>
      <c r="F60" s="939"/>
      <c r="G60" s="940"/>
      <c r="H60" s="949"/>
      <c r="I60" s="940"/>
      <c r="J60" s="950"/>
      <c r="K60" s="940"/>
      <c r="L60" s="939"/>
      <c r="M60" s="940"/>
      <c r="N60" s="941"/>
      <c r="O60" s="940"/>
      <c r="P60" s="941"/>
      <c r="Q60" s="940"/>
      <c r="R60" s="941"/>
      <c r="S60" s="940"/>
      <c r="T60" s="941"/>
      <c r="U60" s="940"/>
      <c r="V60" s="941"/>
      <c r="W60" s="940"/>
      <c r="X60" s="941"/>
      <c r="Y60" s="940"/>
      <c r="Z60" s="941"/>
      <c r="AA60" s="940"/>
      <c r="AB60" s="946"/>
      <c r="AC60" s="1017">
        <v>7</v>
      </c>
      <c r="AD60" s="1018">
        <v>0</v>
      </c>
      <c r="AE60" s="935">
        <v>7</v>
      </c>
    </row>
    <row r="61" spans="1:31">
      <c r="A61" s="975">
        <v>248</v>
      </c>
      <c r="B61" s="993" t="s">
        <v>892</v>
      </c>
      <c r="C61" s="1003" t="s">
        <v>899</v>
      </c>
      <c r="D61" s="929">
        <v>0</v>
      </c>
      <c r="E61" s="940"/>
      <c r="F61" s="939"/>
      <c r="G61" s="940"/>
      <c r="H61" s="949"/>
      <c r="I61" s="940"/>
      <c r="J61" s="950"/>
      <c r="K61" s="940">
        <v>3</v>
      </c>
      <c r="L61" s="939">
        <v>3</v>
      </c>
      <c r="M61" s="940"/>
      <c r="N61" s="941"/>
      <c r="O61" s="940"/>
      <c r="P61" s="941"/>
      <c r="Q61" s="940"/>
      <c r="R61" s="941"/>
      <c r="S61" s="940"/>
      <c r="T61" s="941"/>
      <c r="U61" s="940"/>
      <c r="V61" s="941"/>
      <c r="W61" s="940"/>
      <c r="X61" s="941"/>
      <c r="Y61" s="940"/>
      <c r="Z61" s="941"/>
      <c r="AA61" s="940"/>
      <c r="AB61" s="946"/>
      <c r="AC61" s="933">
        <v>3</v>
      </c>
      <c r="AD61" s="934">
        <v>3</v>
      </c>
      <c r="AE61" s="951">
        <v>0</v>
      </c>
    </row>
    <row r="62" spans="1:31">
      <c r="A62" s="980">
        <v>253</v>
      </c>
      <c r="B62" s="993" t="s">
        <v>2118</v>
      </c>
      <c r="C62" s="1003" t="s">
        <v>904</v>
      </c>
      <c r="D62" s="929">
        <v>0</v>
      </c>
      <c r="E62" s="940"/>
      <c r="F62" s="939"/>
      <c r="G62" s="940"/>
      <c r="H62" s="949"/>
      <c r="I62" s="940">
        <v>20</v>
      </c>
      <c r="J62" s="950"/>
      <c r="K62" s="940"/>
      <c r="L62" s="939"/>
      <c r="M62" s="940"/>
      <c r="N62" s="941"/>
      <c r="O62" s="940"/>
      <c r="P62" s="941"/>
      <c r="Q62" s="940"/>
      <c r="R62" s="941"/>
      <c r="S62" s="940"/>
      <c r="T62" s="941"/>
      <c r="U62" s="940"/>
      <c r="V62" s="941"/>
      <c r="W62" s="940"/>
      <c r="X62" s="941"/>
      <c r="Y62" s="940"/>
      <c r="Z62" s="941"/>
      <c r="AA62" s="940"/>
      <c r="AB62" s="946"/>
      <c r="AC62" s="933">
        <v>20</v>
      </c>
      <c r="AD62" s="934">
        <v>0</v>
      </c>
      <c r="AE62" s="948">
        <v>20</v>
      </c>
    </row>
    <row r="63" spans="1:31">
      <c r="A63" s="975">
        <v>254</v>
      </c>
      <c r="B63" s="993" t="s">
        <v>2042</v>
      </c>
      <c r="C63" s="918" t="s">
        <v>905</v>
      </c>
      <c r="D63" s="929">
        <v>58</v>
      </c>
      <c r="E63" s="940"/>
      <c r="F63" s="939">
        <v>5</v>
      </c>
      <c r="G63" s="940"/>
      <c r="H63" s="939"/>
      <c r="I63" s="940"/>
      <c r="J63" s="950"/>
      <c r="K63" s="940"/>
      <c r="L63" s="939"/>
      <c r="M63" s="940"/>
      <c r="N63" s="941"/>
      <c r="O63" s="940"/>
      <c r="P63" s="941"/>
      <c r="Q63" s="940"/>
      <c r="R63" s="941"/>
      <c r="S63" s="940"/>
      <c r="T63" s="941"/>
      <c r="U63" s="940"/>
      <c r="V63" s="941"/>
      <c r="W63" s="940"/>
      <c r="X63" s="941"/>
      <c r="Y63" s="940"/>
      <c r="Z63" s="941"/>
      <c r="AA63" s="940"/>
      <c r="AB63" s="946"/>
      <c r="AC63" s="1017">
        <v>58</v>
      </c>
      <c r="AD63" s="1018">
        <v>5</v>
      </c>
      <c r="AE63" s="935">
        <v>53</v>
      </c>
    </row>
    <row r="64" spans="1:31">
      <c r="A64" s="975">
        <v>264</v>
      </c>
      <c r="B64" s="993" t="s">
        <v>1014</v>
      </c>
      <c r="C64" s="918" t="s">
        <v>1018</v>
      </c>
      <c r="D64" s="929">
        <v>3</v>
      </c>
      <c r="E64" s="940"/>
      <c r="F64" s="939"/>
      <c r="G64" s="940"/>
      <c r="H64" s="949"/>
      <c r="I64" s="940"/>
      <c r="J64" s="950"/>
      <c r="K64" s="940"/>
      <c r="L64" s="939"/>
      <c r="M64" s="940"/>
      <c r="N64" s="941"/>
      <c r="O64" s="940"/>
      <c r="P64" s="941"/>
      <c r="Q64" s="940"/>
      <c r="R64" s="941"/>
      <c r="S64" s="940"/>
      <c r="T64" s="941"/>
      <c r="U64" s="940"/>
      <c r="V64" s="941"/>
      <c r="W64" s="940"/>
      <c r="X64" s="941"/>
      <c r="Y64" s="940"/>
      <c r="Z64" s="941"/>
      <c r="AA64" s="940"/>
      <c r="AB64" s="946"/>
      <c r="AC64" s="1017">
        <v>3</v>
      </c>
      <c r="AD64" s="1018">
        <v>0</v>
      </c>
      <c r="AE64" s="935">
        <v>3</v>
      </c>
    </row>
    <row r="65" spans="1:31">
      <c r="A65" s="980">
        <v>267</v>
      </c>
      <c r="B65" s="993" t="s">
        <v>1022</v>
      </c>
      <c r="C65" s="918" t="s">
        <v>1028</v>
      </c>
      <c r="D65" s="929">
        <v>74</v>
      </c>
      <c r="E65" s="940"/>
      <c r="F65" s="939"/>
      <c r="G65" s="940"/>
      <c r="H65" s="949">
        <v>3</v>
      </c>
      <c r="I65" s="940"/>
      <c r="J65" s="950">
        <v>3</v>
      </c>
      <c r="K65" s="940">
        <v>30</v>
      </c>
      <c r="L65" s="939">
        <v>3</v>
      </c>
      <c r="M65" s="940"/>
      <c r="N65" s="941"/>
      <c r="O65" s="940"/>
      <c r="P65" s="941"/>
      <c r="Q65" s="940"/>
      <c r="R65" s="941"/>
      <c r="S65" s="940"/>
      <c r="T65" s="941"/>
      <c r="U65" s="940"/>
      <c r="V65" s="941"/>
      <c r="W65" s="940"/>
      <c r="X65" s="941"/>
      <c r="Y65" s="940"/>
      <c r="Z65" s="941"/>
      <c r="AA65" s="940"/>
      <c r="AB65" s="946"/>
      <c r="AC65" s="1017">
        <v>104</v>
      </c>
      <c r="AD65" s="1018">
        <v>9</v>
      </c>
      <c r="AE65" s="935">
        <v>95</v>
      </c>
    </row>
    <row r="66" spans="1:31">
      <c r="A66" s="975">
        <v>270</v>
      </c>
      <c r="B66" s="993" t="s">
        <v>1025</v>
      </c>
      <c r="C66" s="1001" t="s">
        <v>1031</v>
      </c>
      <c r="D66" s="929">
        <v>1</v>
      </c>
      <c r="E66" s="940"/>
      <c r="F66" s="939"/>
      <c r="G66" s="940"/>
      <c r="H66" s="949">
        <v>1</v>
      </c>
      <c r="I66" s="940">
        <v>10</v>
      </c>
      <c r="J66" s="950">
        <v>7</v>
      </c>
      <c r="K66" s="940"/>
      <c r="L66" s="939"/>
      <c r="M66" s="940"/>
      <c r="N66" s="941"/>
      <c r="O66" s="940"/>
      <c r="P66" s="941"/>
      <c r="Q66" s="940"/>
      <c r="R66" s="941"/>
      <c r="S66" s="940"/>
      <c r="T66" s="941"/>
      <c r="U66" s="940"/>
      <c r="V66" s="941"/>
      <c r="W66" s="940"/>
      <c r="X66" s="941"/>
      <c r="Y66" s="940"/>
      <c r="Z66" s="941"/>
      <c r="AA66" s="940"/>
      <c r="AB66" s="946"/>
      <c r="AC66" s="933">
        <v>11</v>
      </c>
      <c r="AD66" s="934">
        <v>8</v>
      </c>
      <c r="AE66" s="951">
        <v>3</v>
      </c>
    </row>
    <row r="67" spans="1:31">
      <c r="A67" s="980">
        <v>271</v>
      </c>
      <c r="B67" s="993" t="s">
        <v>1026</v>
      </c>
      <c r="C67" s="917" t="s">
        <v>1032</v>
      </c>
      <c r="D67" s="929">
        <v>35</v>
      </c>
      <c r="E67" s="940"/>
      <c r="F67" s="939"/>
      <c r="G67" s="940"/>
      <c r="H67" s="949"/>
      <c r="I67" s="940"/>
      <c r="J67" s="950"/>
      <c r="K67" s="940"/>
      <c r="L67" s="939"/>
      <c r="M67" s="940"/>
      <c r="N67" s="941"/>
      <c r="O67" s="940"/>
      <c r="P67" s="941"/>
      <c r="Q67" s="940"/>
      <c r="R67" s="941"/>
      <c r="S67" s="940"/>
      <c r="T67" s="941"/>
      <c r="U67" s="940"/>
      <c r="V67" s="941"/>
      <c r="W67" s="940"/>
      <c r="X67" s="941"/>
      <c r="Y67" s="940"/>
      <c r="Z67" s="941"/>
      <c r="AA67" s="940"/>
      <c r="AB67" s="946"/>
      <c r="AC67" s="1017">
        <v>35</v>
      </c>
      <c r="AD67" s="1018">
        <v>0</v>
      </c>
      <c r="AE67" s="935">
        <v>35</v>
      </c>
    </row>
    <row r="68" spans="1:31">
      <c r="A68" s="980">
        <v>275</v>
      </c>
      <c r="B68" s="993" t="s">
        <v>1100</v>
      </c>
      <c r="C68" s="923" t="s">
        <v>1102</v>
      </c>
      <c r="D68" s="929">
        <v>2</v>
      </c>
      <c r="E68" s="940"/>
      <c r="F68" s="939"/>
      <c r="G68" s="940"/>
      <c r="H68" s="949"/>
      <c r="I68" s="940"/>
      <c r="J68" s="950">
        <v>1</v>
      </c>
      <c r="K68" s="940"/>
      <c r="L68" s="939"/>
      <c r="M68" s="940"/>
      <c r="N68" s="941"/>
      <c r="O68" s="940"/>
      <c r="P68" s="941"/>
      <c r="Q68" s="940"/>
      <c r="R68" s="941"/>
      <c r="S68" s="940"/>
      <c r="T68" s="941"/>
      <c r="U68" s="940"/>
      <c r="V68" s="941"/>
      <c r="W68" s="940"/>
      <c r="X68" s="941"/>
      <c r="Y68" s="940"/>
      <c r="Z68" s="941"/>
      <c r="AA68" s="940"/>
      <c r="AB68" s="946"/>
      <c r="AC68" s="1017">
        <v>2</v>
      </c>
      <c r="AD68" s="1018">
        <v>1</v>
      </c>
      <c r="AE68" s="935">
        <v>1</v>
      </c>
    </row>
    <row r="69" spans="1:31">
      <c r="A69" s="975">
        <v>296</v>
      </c>
      <c r="B69" s="993" t="s">
        <v>1167</v>
      </c>
      <c r="C69" s="917" t="s">
        <v>1168</v>
      </c>
      <c r="D69" s="929">
        <v>8</v>
      </c>
      <c r="E69" s="940"/>
      <c r="F69" s="939"/>
      <c r="G69" s="940"/>
      <c r="H69" s="949">
        <v>2</v>
      </c>
      <c r="I69" s="940"/>
      <c r="J69" s="950"/>
      <c r="K69" s="940">
        <v>15</v>
      </c>
      <c r="L69" s="939">
        <v>3</v>
      </c>
      <c r="M69" s="940"/>
      <c r="N69" s="941"/>
      <c r="O69" s="940"/>
      <c r="P69" s="941"/>
      <c r="Q69" s="940"/>
      <c r="R69" s="941"/>
      <c r="S69" s="940"/>
      <c r="T69" s="941"/>
      <c r="U69" s="940"/>
      <c r="V69" s="941"/>
      <c r="W69" s="940"/>
      <c r="X69" s="941"/>
      <c r="Y69" s="940"/>
      <c r="Z69" s="941"/>
      <c r="AA69" s="940"/>
      <c r="AB69" s="946"/>
      <c r="AC69" s="1017">
        <v>23</v>
      </c>
      <c r="AD69" s="1018">
        <v>5</v>
      </c>
      <c r="AE69" s="935">
        <v>18</v>
      </c>
    </row>
    <row r="70" spans="1:31">
      <c r="A70" s="975">
        <v>298</v>
      </c>
      <c r="B70" s="993" t="s">
        <v>1171</v>
      </c>
      <c r="C70" s="917" t="s">
        <v>1172</v>
      </c>
      <c r="D70" s="929">
        <v>4</v>
      </c>
      <c r="E70" s="940"/>
      <c r="F70" s="939"/>
      <c r="G70" s="940"/>
      <c r="H70" s="949"/>
      <c r="I70" s="940"/>
      <c r="J70" s="950"/>
      <c r="K70" s="940"/>
      <c r="L70" s="939"/>
      <c r="M70" s="940"/>
      <c r="N70" s="941"/>
      <c r="O70" s="940"/>
      <c r="P70" s="941"/>
      <c r="Q70" s="940"/>
      <c r="R70" s="941"/>
      <c r="S70" s="940"/>
      <c r="T70" s="941"/>
      <c r="U70" s="940"/>
      <c r="V70" s="941"/>
      <c r="W70" s="940"/>
      <c r="X70" s="941"/>
      <c r="Y70" s="940"/>
      <c r="Z70" s="941"/>
      <c r="AA70" s="940"/>
      <c r="AB70" s="946"/>
      <c r="AC70" s="1017">
        <v>4</v>
      </c>
      <c r="AD70" s="1018">
        <v>0</v>
      </c>
      <c r="AE70" s="935">
        <v>4</v>
      </c>
    </row>
    <row r="71" spans="1:31">
      <c r="A71" s="980">
        <v>301</v>
      </c>
      <c r="B71" s="993" t="s">
        <v>1180</v>
      </c>
      <c r="C71" s="917" t="s">
        <v>1182</v>
      </c>
      <c r="D71" s="929">
        <v>57</v>
      </c>
      <c r="E71" s="940"/>
      <c r="F71" s="939"/>
      <c r="G71" s="940"/>
      <c r="H71" s="939">
        <v>1</v>
      </c>
      <c r="I71" s="940"/>
      <c r="J71" s="962">
        <v>1</v>
      </c>
      <c r="K71" s="940">
        <v>50</v>
      </c>
      <c r="L71" s="939">
        <v>7</v>
      </c>
      <c r="M71" s="940"/>
      <c r="N71" s="941"/>
      <c r="O71" s="940"/>
      <c r="P71" s="941"/>
      <c r="Q71" s="940"/>
      <c r="R71" s="941"/>
      <c r="S71" s="940"/>
      <c r="T71" s="941"/>
      <c r="U71" s="940"/>
      <c r="V71" s="941"/>
      <c r="W71" s="940"/>
      <c r="X71" s="941"/>
      <c r="Y71" s="940"/>
      <c r="Z71" s="941"/>
      <c r="AA71" s="940"/>
      <c r="AB71" s="946"/>
      <c r="AC71" s="1017">
        <v>107</v>
      </c>
      <c r="AD71" s="1018">
        <v>9</v>
      </c>
      <c r="AE71" s="935">
        <v>98</v>
      </c>
    </row>
    <row r="72" spans="1:31">
      <c r="A72" s="975">
        <v>302</v>
      </c>
      <c r="B72" s="993" t="s">
        <v>1183</v>
      </c>
      <c r="C72" s="917" t="s">
        <v>1186</v>
      </c>
      <c r="D72" s="929">
        <v>83</v>
      </c>
      <c r="E72" s="940"/>
      <c r="F72" s="939">
        <v>1</v>
      </c>
      <c r="G72" s="940"/>
      <c r="H72" s="949">
        <v>4</v>
      </c>
      <c r="I72" s="940"/>
      <c r="J72" s="962">
        <v>1</v>
      </c>
      <c r="K72" s="940"/>
      <c r="L72" s="939"/>
      <c r="M72" s="940"/>
      <c r="N72" s="941"/>
      <c r="O72" s="940"/>
      <c r="P72" s="941"/>
      <c r="Q72" s="940"/>
      <c r="R72" s="941"/>
      <c r="S72" s="940"/>
      <c r="T72" s="941"/>
      <c r="U72" s="940"/>
      <c r="V72" s="941"/>
      <c r="W72" s="940"/>
      <c r="X72" s="941"/>
      <c r="Y72" s="940"/>
      <c r="Z72" s="941"/>
      <c r="AA72" s="940"/>
      <c r="AB72" s="946"/>
      <c r="AC72" s="1017">
        <v>83</v>
      </c>
      <c r="AD72" s="1018">
        <v>6</v>
      </c>
      <c r="AE72" s="935">
        <v>77</v>
      </c>
    </row>
    <row r="73" spans="1:31">
      <c r="A73" s="980">
        <v>303</v>
      </c>
      <c r="B73" s="993" t="s">
        <v>1184</v>
      </c>
      <c r="C73" s="917" t="s">
        <v>1187</v>
      </c>
      <c r="D73" s="929">
        <v>0</v>
      </c>
      <c r="E73" s="940">
        <v>42</v>
      </c>
      <c r="F73" s="939">
        <v>42</v>
      </c>
      <c r="G73" s="940">
        <v>30</v>
      </c>
      <c r="H73" s="939"/>
      <c r="I73" s="994"/>
      <c r="J73" s="962">
        <v>4</v>
      </c>
      <c r="K73" s="940"/>
      <c r="L73" s="939">
        <v>4</v>
      </c>
      <c r="M73" s="940"/>
      <c r="N73" s="941"/>
      <c r="O73" s="940"/>
      <c r="P73" s="941"/>
      <c r="Q73" s="940"/>
      <c r="R73" s="941"/>
      <c r="S73" s="940"/>
      <c r="T73" s="941"/>
      <c r="U73" s="940"/>
      <c r="V73" s="941"/>
      <c r="W73" s="940"/>
      <c r="X73" s="941"/>
      <c r="Y73" s="940"/>
      <c r="Z73" s="941"/>
      <c r="AA73" s="940"/>
      <c r="AB73" s="946"/>
      <c r="AC73" s="933">
        <v>72</v>
      </c>
      <c r="AD73" s="934">
        <v>50</v>
      </c>
      <c r="AE73" s="935">
        <v>22</v>
      </c>
    </row>
    <row r="74" spans="1:31">
      <c r="A74" s="975">
        <v>304</v>
      </c>
      <c r="B74" s="993" t="s">
        <v>1185</v>
      </c>
      <c r="C74" s="917" t="s">
        <v>1188</v>
      </c>
      <c r="D74" s="929">
        <v>20</v>
      </c>
      <c r="E74" s="940"/>
      <c r="F74" s="939"/>
      <c r="G74" s="940"/>
      <c r="H74" s="949"/>
      <c r="I74" s="940"/>
      <c r="J74" s="950"/>
      <c r="K74" s="940"/>
      <c r="L74" s="939"/>
      <c r="M74" s="940"/>
      <c r="N74" s="941"/>
      <c r="O74" s="940"/>
      <c r="P74" s="941"/>
      <c r="Q74" s="940"/>
      <c r="R74" s="941"/>
      <c r="S74" s="940"/>
      <c r="T74" s="941"/>
      <c r="U74" s="940"/>
      <c r="V74" s="941"/>
      <c r="W74" s="940"/>
      <c r="X74" s="941"/>
      <c r="Y74" s="940"/>
      <c r="Z74" s="941"/>
      <c r="AA74" s="940"/>
      <c r="AB74" s="946"/>
      <c r="AC74" s="1017">
        <v>20</v>
      </c>
      <c r="AD74" s="1018">
        <v>0</v>
      </c>
      <c r="AE74" s="935">
        <v>20</v>
      </c>
    </row>
    <row r="75" spans="1:31">
      <c r="A75" s="980">
        <v>321</v>
      </c>
      <c r="B75" s="993" t="s">
        <v>1227</v>
      </c>
      <c r="C75" s="1001" t="s">
        <v>1263</v>
      </c>
      <c r="D75" s="929">
        <v>0</v>
      </c>
      <c r="E75" s="940"/>
      <c r="F75" s="939"/>
      <c r="G75" s="940">
        <v>1</v>
      </c>
      <c r="H75" s="949">
        <v>1</v>
      </c>
      <c r="I75" s="940">
        <v>12</v>
      </c>
      <c r="J75" s="950">
        <v>8</v>
      </c>
      <c r="K75" s="940"/>
      <c r="L75" s="939"/>
      <c r="M75" s="940"/>
      <c r="N75" s="941"/>
      <c r="O75" s="940"/>
      <c r="P75" s="941"/>
      <c r="Q75" s="940"/>
      <c r="R75" s="941"/>
      <c r="S75" s="940"/>
      <c r="T75" s="941"/>
      <c r="U75" s="940"/>
      <c r="V75" s="941"/>
      <c r="W75" s="940"/>
      <c r="X75" s="941"/>
      <c r="Y75" s="940"/>
      <c r="Z75" s="941"/>
      <c r="AA75" s="940"/>
      <c r="AB75" s="946"/>
      <c r="AC75" s="933">
        <v>13</v>
      </c>
      <c r="AD75" s="934">
        <v>9</v>
      </c>
      <c r="AE75" s="948">
        <v>4</v>
      </c>
    </row>
    <row r="76" spans="1:31">
      <c r="A76" s="975">
        <v>326</v>
      </c>
      <c r="B76" s="993" t="s">
        <v>1231</v>
      </c>
      <c r="C76" s="1001" t="s">
        <v>1268</v>
      </c>
      <c r="D76" s="929">
        <v>0</v>
      </c>
      <c r="E76" s="940">
        <v>2</v>
      </c>
      <c r="F76" s="939"/>
      <c r="G76" s="940"/>
      <c r="H76" s="949"/>
      <c r="I76" s="940"/>
      <c r="J76" s="962">
        <v>2</v>
      </c>
      <c r="K76" s="940">
        <v>5</v>
      </c>
      <c r="L76" s="939">
        <v>2</v>
      </c>
      <c r="M76" s="940"/>
      <c r="N76" s="941"/>
      <c r="O76" s="940"/>
      <c r="P76" s="941"/>
      <c r="Q76" s="940"/>
      <c r="R76" s="941"/>
      <c r="S76" s="940"/>
      <c r="T76" s="941"/>
      <c r="U76" s="940"/>
      <c r="V76" s="941"/>
      <c r="W76" s="940"/>
      <c r="X76" s="941"/>
      <c r="Y76" s="940"/>
      <c r="Z76" s="941"/>
      <c r="AA76" s="940"/>
      <c r="AB76" s="946"/>
      <c r="AC76" s="933">
        <v>7</v>
      </c>
      <c r="AD76" s="934">
        <v>4</v>
      </c>
      <c r="AE76" s="948">
        <v>3</v>
      </c>
    </row>
    <row r="77" spans="1:31">
      <c r="A77" s="980">
        <v>327</v>
      </c>
      <c r="B77" s="993" t="s">
        <v>1232</v>
      </c>
      <c r="C77" s="1001" t="s">
        <v>1269</v>
      </c>
      <c r="D77" s="929">
        <v>0</v>
      </c>
      <c r="E77" s="940">
        <v>2</v>
      </c>
      <c r="F77" s="939"/>
      <c r="G77" s="940"/>
      <c r="H77" s="949"/>
      <c r="I77" s="940"/>
      <c r="J77" s="962">
        <v>2</v>
      </c>
      <c r="K77" s="940">
        <v>5</v>
      </c>
      <c r="L77" s="939">
        <v>2</v>
      </c>
      <c r="M77" s="940"/>
      <c r="N77" s="941"/>
      <c r="O77" s="940"/>
      <c r="P77" s="941"/>
      <c r="Q77" s="940"/>
      <c r="R77" s="941"/>
      <c r="S77" s="940"/>
      <c r="T77" s="941"/>
      <c r="U77" s="940"/>
      <c r="V77" s="941"/>
      <c r="W77" s="940"/>
      <c r="X77" s="941"/>
      <c r="Y77" s="940"/>
      <c r="Z77" s="941"/>
      <c r="AA77" s="940"/>
      <c r="AB77" s="946"/>
      <c r="AC77" s="933">
        <v>7</v>
      </c>
      <c r="AD77" s="934">
        <v>4</v>
      </c>
      <c r="AE77" s="948">
        <v>3</v>
      </c>
    </row>
    <row r="78" spans="1:31">
      <c r="A78" s="975">
        <v>344</v>
      </c>
      <c r="B78" s="993" t="s">
        <v>1340</v>
      </c>
      <c r="C78" s="1001" t="s">
        <v>1339</v>
      </c>
      <c r="D78" s="929">
        <v>0</v>
      </c>
      <c r="E78" s="940">
        <v>10</v>
      </c>
      <c r="F78" s="939"/>
      <c r="G78" s="940"/>
      <c r="H78" s="949"/>
      <c r="I78" s="940"/>
      <c r="J78" s="950">
        <v>2</v>
      </c>
      <c r="K78" s="940"/>
      <c r="L78" s="939"/>
      <c r="M78" s="940"/>
      <c r="N78" s="941"/>
      <c r="O78" s="940"/>
      <c r="P78" s="941"/>
      <c r="Q78" s="940"/>
      <c r="R78" s="941"/>
      <c r="S78" s="940"/>
      <c r="T78" s="941"/>
      <c r="U78" s="940"/>
      <c r="V78" s="941"/>
      <c r="W78" s="940"/>
      <c r="X78" s="941"/>
      <c r="Y78" s="940"/>
      <c r="Z78" s="941"/>
      <c r="AA78" s="940"/>
      <c r="AB78" s="946"/>
      <c r="AC78" s="933">
        <v>10</v>
      </c>
      <c r="AD78" s="934">
        <v>2</v>
      </c>
      <c r="AE78" s="948">
        <v>8</v>
      </c>
    </row>
    <row r="79" spans="1:31">
      <c r="A79" s="975">
        <v>358</v>
      </c>
      <c r="B79" s="993" t="s">
        <v>136</v>
      </c>
      <c r="C79" s="1001" t="s">
        <v>1380</v>
      </c>
      <c r="D79" s="929">
        <v>1</v>
      </c>
      <c r="E79" s="940">
        <v>1</v>
      </c>
      <c r="F79" s="939"/>
      <c r="G79" s="940"/>
      <c r="H79" s="949"/>
      <c r="I79" s="940"/>
      <c r="J79" s="950">
        <v>2</v>
      </c>
      <c r="K79" s="940">
        <v>2</v>
      </c>
      <c r="L79" s="939">
        <v>1</v>
      </c>
      <c r="M79" s="940"/>
      <c r="N79" s="941"/>
      <c r="O79" s="940"/>
      <c r="P79" s="941"/>
      <c r="Q79" s="940"/>
      <c r="R79" s="941"/>
      <c r="S79" s="940"/>
      <c r="T79" s="941"/>
      <c r="U79" s="940"/>
      <c r="V79" s="941"/>
      <c r="W79" s="940"/>
      <c r="X79" s="941"/>
      <c r="Y79" s="940"/>
      <c r="Z79" s="941"/>
      <c r="AA79" s="940"/>
      <c r="AB79" s="946"/>
      <c r="AC79" s="933">
        <v>4</v>
      </c>
      <c r="AD79" s="934">
        <v>3</v>
      </c>
      <c r="AE79" s="948">
        <v>1</v>
      </c>
    </row>
    <row r="80" spans="1:31">
      <c r="A80" s="975">
        <v>366</v>
      </c>
      <c r="B80" s="993" t="s">
        <v>142</v>
      </c>
      <c r="C80" s="1001" t="s">
        <v>1388</v>
      </c>
      <c r="D80" s="929">
        <v>3</v>
      </c>
      <c r="E80" s="940">
        <v>2</v>
      </c>
      <c r="F80" s="939"/>
      <c r="G80" s="940"/>
      <c r="H80" s="949"/>
      <c r="I80" s="940"/>
      <c r="J80" s="950"/>
      <c r="K80" s="940"/>
      <c r="L80" s="939">
        <v>1</v>
      </c>
      <c r="M80" s="940"/>
      <c r="N80" s="941"/>
      <c r="O80" s="940"/>
      <c r="P80" s="941"/>
      <c r="Q80" s="940"/>
      <c r="R80" s="941"/>
      <c r="S80" s="940"/>
      <c r="T80" s="941"/>
      <c r="U80" s="940"/>
      <c r="V80" s="941"/>
      <c r="W80" s="940"/>
      <c r="X80" s="941"/>
      <c r="Y80" s="940"/>
      <c r="Z80" s="941"/>
      <c r="AA80" s="940"/>
      <c r="AB80" s="946"/>
      <c r="AC80" s="933">
        <v>5</v>
      </c>
      <c r="AD80" s="934">
        <v>1</v>
      </c>
      <c r="AE80" s="948">
        <v>4</v>
      </c>
    </row>
    <row r="81" spans="1:31">
      <c r="A81" s="980">
        <v>367</v>
      </c>
      <c r="B81" s="993" t="s">
        <v>1374</v>
      </c>
      <c r="C81" s="1001" t="s">
        <v>1389</v>
      </c>
      <c r="D81" s="929">
        <v>4</v>
      </c>
      <c r="E81" s="940">
        <v>1</v>
      </c>
      <c r="F81" s="939"/>
      <c r="G81" s="940"/>
      <c r="H81" s="949"/>
      <c r="I81" s="940"/>
      <c r="J81" s="950"/>
      <c r="K81" s="940"/>
      <c r="L81" s="939"/>
      <c r="M81" s="940"/>
      <c r="N81" s="941"/>
      <c r="O81" s="940"/>
      <c r="P81" s="941"/>
      <c r="Q81" s="940"/>
      <c r="R81" s="941"/>
      <c r="S81" s="940"/>
      <c r="T81" s="941"/>
      <c r="U81" s="940"/>
      <c r="V81" s="941"/>
      <c r="W81" s="940"/>
      <c r="X81" s="941"/>
      <c r="Y81" s="940"/>
      <c r="Z81" s="941"/>
      <c r="AA81" s="940"/>
      <c r="AB81" s="946"/>
      <c r="AC81" s="933">
        <v>5</v>
      </c>
      <c r="AD81" s="934">
        <v>0</v>
      </c>
      <c r="AE81" s="948">
        <v>5</v>
      </c>
    </row>
    <row r="82" spans="1:31">
      <c r="A82" s="975">
        <v>372</v>
      </c>
      <c r="B82" s="993" t="s">
        <v>1478</v>
      </c>
      <c r="C82" s="917" t="s">
        <v>1394</v>
      </c>
      <c r="D82" s="929">
        <v>27</v>
      </c>
      <c r="E82" s="940"/>
      <c r="F82" s="939"/>
      <c r="G82" s="940"/>
      <c r="H82" s="949"/>
      <c r="I82" s="940"/>
      <c r="J82" s="950"/>
      <c r="K82" s="940"/>
      <c r="L82" s="939"/>
      <c r="M82" s="940"/>
      <c r="N82" s="941"/>
      <c r="O82" s="940"/>
      <c r="P82" s="941"/>
      <c r="Q82" s="940"/>
      <c r="R82" s="941"/>
      <c r="S82" s="940"/>
      <c r="T82" s="941"/>
      <c r="U82" s="940"/>
      <c r="V82" s="941"/>
      <c r="W82" s="940"/>
      <c r="X82" s="941"/>
      <c r="Y82" s="940"/>
      <c r="Z82" s="941"/>
      <c r="AA82" s="940"/>
      <c r="AB82" s="946"/>
      <c r="AC82" s="1017">
        <v>27</v>
      </c>
      <c r="AD82" s="1018">
        <v>0</v>
      </c>
      <c r="AE82" s="935">
        <v>27</v>
      </c>
    </row>
    <row r="83" spans="1:31">
      <c r="A83" s="975">
        <v>392</v>
      </c>
      <c r="B83" s="993" t="s">
        <v>1498</v>
      </c>
      <c r="C83" s="1001" t="s">
        <v>1532</v>
      </c>
      <c r="D83" s="929">
        <v>3</v>
      </c>
      <c r="E83" s="940"/>
      <c r="F83" s="939"/>
      <c r="G83" s="940"/>
      <c r="H83" s="939"/>
      <c r="I83" s="940">
        <v>300</v>
      </c>
      <c r="J83" s="962">
        <v>132</v>
      </c>
      <c r="K83" s="940"/>
      <c r="L83" s="939">
        <v>171</v>
      </c>
      <c r="M83" s="940"/>
      <c r="N83" s="941"/>
      <c r="O83" s="940"/>
      <c r="P83" s="941"/>
      <c r="Q83" s="940"/>
      <c r="R83" s="941"/>
      <c r="S83" s="940"/>
      <c r="T83" s="941"/>
      <c r="U83" s="940"/>
      <c r="V83" s="941"/>
      <c r="W83" s="940"/>
      <c r="X83" s="941"/>
      <c r="Y83" s="940"/>
      <c r="Z83" s="941"/>
      <c r="AA83" s="940"/>
      <c r="AB83" s="946"/>
      <c r="AC83" s="933">
        <v>303</v>
      </c>
      <c r="AD83" s="934">
        <v>303</v>
      </c>
      <c r="AE83" s="948">
        <v>0</v>
      </c>
    </row>
    <row r="84" spans="1:31">
      <c r="A84" s="975">
        <v>398</v>
      </c>
      <c r="B84" s="993" t="s">
        <v>1504</v>
      </c>
      <c r="C84" s="917" t="s">
        <v>1538</v>
      </c>
      <c r="D84" s="929">
        <v>7</v>
      </c>
      <c r="E84" s="940"/>
      <c r="F84" s="939"/>
      <c r="G84" s="940"/>
      <c r="H84" s="949"/>
      <c r="I84" s="940"/>
      <c r="J84" s="950"/>
      <c r="K84" s="940"/>
      <c r="L84" s="939"/>
      <c r="M84" s="940"/>
      <c r="N84" s="941"/>
      <c r="O84" s="940"/>
      <c r="P84" s="941"/>
      <c r="Q84" s="940"/>
      <c r="R84" s="941"/>
      <c r="S84" s="940"/>
      <c r="T84" s="941"/>
      <c r="U84" s="940"/>
      <c r="V84" s="941"/>
      <c r="W84" s="940"/>
      <c r="X84" s="941"/>
      <c r="Y84" s="940"/>
      <c r="Z84" s="941"/>
      <c r="AA84" s="940"/>
      <c r="AB84" s="946"/>
      <c r="AC84" s="1017">
        <v>7</v>
      </c>
      <c r="AD84" s="1018">
        <v>0</v>
      </c>
      <c r="AE84" s="935">
        <v>7</v>
      </c>
    </row>
    <row r="85" spans="1:31">
      <c r="A85" s="980">
        <v>409</v>
      </c>
      <c r="B85" s="993" t="s">
        <v>1588</v>
      </c>
      <c r="C85" s="918" t="s">
        <v>1589</v>
      </c>
      <c r="D85" s="929">
        <v>18</v>
      </c>
      <c r="E85" s="940"/>
      <c r="F85" s="939"/>
      <c r="G85" s="940"/>
      <c r="H85" s="949"/>
      <c r="I85" s="940"/>
      <c r="J85" s="962"/>
      <c r="K85" s="994"/>
      <c r="L85" s="939"/>
      <c r="M85" s="940"/>
      <c r="N85" s="941"/>
      <c r="O85" s="940"/>
      <c r="P85" s="941"/>
      <c r="Q85" s="940"/>
      <c r="R85" s="941"/>
      <c r="S85" s="940"/>
      <c r="T85" s="941"/>
      <c r="U85" s="940"/>
      <c r="V85" s="941"/>
      <c r="W85" s="940"/>
      <c r="X85" s="941"/>
      <c r="Y85" s="940"/>
      <c r="Z85" s="941"/>
      <c r="AA85" s="940"/>
      <c r="AB85" s="946"/>
      <c r="AC85" s="1017">
        <v>18</v>
      </c>
      <c r="AD85" s="1018">
        <v>0</v>
      </c>
      <c r="AE85" s="935">
        <v>18</v>
      </c>
    </row>
    <row r="86" spans="1:31">
      <c r="A86" s="975">
        <v>410</v>
      </c>
      <c r="B86" s="993" t="s">
        <v>1590</v>
      </c>
      <c r="C86" s="918" t="s">
        <v>1591</v>
      </c>
      <c r="D86" s="929">
        <v>18</v>
      </c>
      <c r="E86" s="940"/>
      <c r="F86" s="939">
        <v>1</v>
      </c>
      <c r="G86" s="940"/>
      <c r="H86" s="949"/>
      <c r="I86" s="940"/>
      <c r="J86" s="950">
        <v>5</v>
      </c>
      <c r="K86" s="940"/>
      <c r="L86" s="939"/>
      <c r="M86" s="940"/>
      <c r="N86" s="941"/>
      <c r="O86" s="940"/>
      <c r="P86" s="941"/>
      <c r="Q86" s="940"/>
      <c r="R86" s="941"/>
      <c r="S86" s="940"/>
      <c r="T86" s="941"/>
      <c r="U86" s="940"/>
      <c r="V86" s="941"/>
      <c r="W86" s="940"/>
      <c r="X86" s="941"/>
      <c r="Y86" s="940"/>
      <c r="Z86" s="941"/>
      <c r="AA86" s="940"/>
      <c r="AB86" s="946"/>
      <c r="AC86" s="1017">
        <v>18</v>
      </c>
      <c r="AD86" s="1018">
        <v>6</v>
      </c>
      <c r="AE86" s="935">
        <v>12</v>
      </c>
    </row>
    <row r="87" spans="1:31">
      <c r="A87" s="980">
        <v>443</v>
      </c>
      <c r="B87" s="993" t="s">
        <v>1906</v>
      </c>
      <c r="C87" s="918" t="s">
        <v>1907</v>
      </c>
      <c r="D87" s="929">
        <v>18</v>
      </c>
      <c r="E87" s="940"/>
      <c r="F87" s="939"/>
      <c r="G87" s="940"/>
      <c r="H87" s="939">
        <v>3</v>
      </c>
      <c r="I87" s="940"/>
      <c r="J87" s="962"/>
      <c r="K87" s="940"/>
      <c r="L87" s="939">
        <v>6</v>
      </c>
      <c r="M87" s="940"/>
      <c r="N87" s="941"/>
      <c r="O87" s="940"/>
      <c r="P87" s="941"/>
      <c r="Q87" s="940"/>
      <c r="R87" s="941"/>
      <c r="S87" s="940"/>
      <c r="T87" s="941"/>
      <c r="U87" s="940"/>
      <c r="V87" s="941"/>
      <c r="W87" s="940"/>
      <c r="X87" s="941"/>
      <c r="Y87" s="940"/>
      <c r="Z87" s="941"/>
      <c r="AA87" s="940"/>
      <c r="AB87" s="946"/>
      <c r="AC87" s="1017">
        <v>18</v>
      </c>
      <c r="AD87" s="1018">
        <v>9</v>
      </c>
      <c r="AE87" s="935">
        <v>9</v>
      </c>
    </row>
    <row r="88" spans="1:31">
      <c r="A88" s="975">
        <v>452</v>
      </c>
      <c r="B88" s="993" t="s">
        <v>2049</v>
      </c>
      <c r="C88" s="918" t="s">
        <v>2050</v>
      </c>
      <c r="D88" s="929">
        <v>5</v>
      </c>
      <c r="E88" s="940"/>
      <c r="F88" s="939"/>
      <c r="G88" s="940"/>
      <c r="H88" s="949"/>
      <c r="I88" s="940"/>
      <c r="J88" s="962"/>
      <c r="K88" s="940"/>
      <c r="L88" s="939"/>
      <c r="M88" s="940"/>
      <c r="N88" s="941"/>
      <c r="O88" s="940"/>
      <c r="P88" s="941"/>
      <c r="Q88" s="940"/>
      <c r="R88" s="941"/>
      <c r="S88" s="940"/>
      <c r="T88" s="941"/>
      <c r="U88" s="940"/>
      <c r="V88" s="941"/>
      <c r="W88" s="940"/>
      <c r="X88" s="941"/>
      <c r="Y88" s="940"/>
      <c r="Z88" s="941"/>
      <c r="AA88" s="940"/>
      <c r="AB88" s="946"/>
      <c r="AC88" s="933">
        <v>5</v>
      </c>
      <c r="AD88" s="934">
        <v>0</v>
      </c>
      <c r="AE88" s="948">
        <v>5</v>
      </c>
    </row>
    <row r="89" spans="1:31">
      <c r="A89" s="980">
        <v>453</v>
      </c>
      <c r="B89" s="993" t="s">
        <v>2051</v>
      </c>
      <c r="C89" s="918" t="s">
        <v>2052</v>
      </c>
      <c r="D89" s="929">
        <v>7</v>
      </c>
      <c r="E89" s="940"/>
      <c r="F89" s="939"/>
      <c r="G89" s="940"/>
      <c r="H89" s="949">
        <v>5</v>
      </c>
      <c r="I89" s="940"/>
      <c r="J89" s="950"/>
      <c r="K89" s="940"/>
      <c r="L89" s="939"/>
      <c r="M89" s="940"/>
      <c r="N89" s="941"/>
      <c r="O89" s="940"/>
      <c r="P89" s="941"/>
      <c r="Q89" s="940"/>
      <c r="R89" s="941"/>
      <c r="S89" s="940"/>
      <c r="T89" s="941"/>
      <c r="U89" s="940"/>
      <c r="V89" s="941"/>
      <c r="W89" s="940"/>
      <c r="X89" s="941"/>
      <c r="Y89" s="940"/>
      <c r="Z89" s="941"/>
      <c r="AA89" s="940"/>
      <c r="AB89" s="946"/>
      <c r="AC89" s="1017">
        <v>7</v>
      </c>
      <c r="AD89" s="1018">
        <v>5</v>
      </c>
      <c r="AE89" s="935">
        <v>2</v>
      </c>
    </row>
    <row r="90" spans="1:31">
      <c r="A90" s="975">
        <v>454</v>
      </c>
      <c r="B90" s="1002" t="s">
        <v>2053</v>
      </c>
      <c r="C90" s="917" t="s">
        <v>2054</v>
      </c>
      <c r="D90" s="929">
        <v>1</v>
      </c>
      <c r="E90" s="940">
        <v>10</v>
      </c>
      <c r="F90" s="939">
        <v>5</v>
      </c>
      <c r="G90" s="940">
        <v>10</v>
      </c>
      <c r="H90" s="949">
        <v>6</v>
      </c>
      <c r="I90" s="940"/>
      <c r="J90" s="950"/>
      <c r="K90" s="940"/>
      <c r="L90" s="939"/>
      <c r="M90" s="940"/>
      <c r="N90" s="941"/>
      <c r="O90" s="940"/>
      <c r="P90" s="941"/>
      <c r="Q90" s="940"/>
      <c r="R90" s="941"/>
      <c r="S90" s="940"/>
      <c r="T90" s="941"/>
      <c r="U90" s="940"/>
      <c r="V90" s="941"/>
      <c r="W90" s="940"/>
      <c r="X90" s="941"/>
      <c r="Y90" s="940"/>
      <c r="Z90" s="941"/>
      <c r="AA90" s="940"/>
      <c r="AB90" s="946"/>
      <c r="AC90" s="1017">
        <v>21</v>
      </c>
      <c r="AD90" s="1018">
        <v>11</v>
      </c>
      <c r="AE90" s="935">
        <v>10</v>
      </c>
    </row>
    <row r="91" spans="1:31">
      <c r="A91" s="980">
        <v>459</v>
      </c>
      <c r="B91" s="1004" t="s">
        <v>2055</v>
      </c>
      <c r="C91" s="927" t="s">
        <v>2056</v>
      </c>
      <c r="D91" s="944">
        <v>5</v>
      </c>
      <c r="E91" s="963"/>
      <c r="F91" s="1006"/>
      <c r="G91" s="963"/>
      <c r="H91" s="1007"/>
      <c r="I91" s="963"/>
      <c r="J91" s="1008"/>
      <c r="K91" s="963">
        <v>56</v>
      </c>
      <c r="L91" s="1006">
        <v>57</v>
      </c>
      <c r="M91" s="940"/>
      <c r="N91" s="941"/>
      <c r="O91" s="940"/>
      <c r="P91" s="941"/>
      <c r="Q91" s="940"/>
      <c r="R91" s="941"/>
      <c r="S91" s="940"/>
      <c r="T91" s="941"/>
      <c r="U91" s="940"/>
      <c r="V91" s="941"/>
      <c r="W91" s="940"/>
      <c r="X91" s="941"/>
      <c r="Y91" s="940"/>
      <c r="Z91" s="941"/>
      <c r="AA91" s="940"/>
      <c r="AB91" s="946"/>
      <c r="AC91" s="1017">
        <v>61</v>
      </c>
      <c r="AD91" s="1018">
        <v>57</v>
      </c>
      <c r="AE91" s="935">
        <v>4</v>
      </c>
    </row>
    <row r="92" spans="1:31">
      <c r="A92" s="975">
        <v>460</v>
      </c>
      <c r="B92" s="1004" t="s">
        <v>2057</v>
      </c>
      <c r="C92" s="927" t="s">
        <v>2058</v>
      </c>
      <c r="D92" s="944">
        <v>10</v>
      </c>
      <c r="E92" s="963"/>
      <c r="F92" s="1006"/>
      <c r="G92" s="963"/>
      <c r="H92" s="1007"/>
      <c r="I92" s="963"/>
      <c r="J92" s="1008"/>
      <c r="K92" s="963">
        <v>56</v>
      </c>
      <c r="L92" s="1006">
        <v>56</v>
      </c>
      <c r="M92" s="940"/>
      <c r="N92" s="941"/>
      <c r="O92" s="940"/>
      <c r="P92" s="941"/>
      <c r="Q92" s="940"/>
      <c r="R92" s="941"/>
      <c r="S92" s="940"/>
      <c r="T92" s="941"/>
      <c r="U92" s="940"/>
      <c r="V92" s="941"/>
      <c r="W92" s="940"/>
      <c r="X92" s="941"/>
      <c r="Y92" s="940"/>
      <c r="Z92" s="941"/>
      <c r="AA92" s="940"/>
      <c r="AB92" s="946"/>
      <c r="AC92" s="1017">
        <v>66</v>
      </c>
      <c r="AD92" s="1018">
        <v>56</v>
      </c>
      <c r="AE92" s="935">
        <v>10</v>
      </c>
    </row>
    <row r="93" spans="1:31">
      <c r="A93" s="980">
        <v>461</v>
      </c>
      <c r="B93" s="1004" t="s">
        <v>2059</v>
      </c>
      <c r="C93" s="1005" t="s">
        <v>2060</v>
      </c>
      <c r="D93" s="944">
        <v>1</v>
      </c>
      <c r="E93" s="963"/>
      <c r="F93" s="1006"/>
      <c r="G93" s="963"/>
      <c r="H93" s="1007"/>
      <c r="I93" s="963"/>
      <c r="J93" s="1008"/>
      <c r="K93" s="963"/>
      <c r="L93" s="1006"/>
      <c r="M93" s="940"/>
      <c r="N93" s="941"/>
      <c r="O93" s="940"/>
      <c r="P93" s="941"/>
      <c r="Q93" s="940"/>
      <c r="R93" s="941"/>
      <c r="S93" s="940"/>
      <c r="T93" s="941"/>
      <c r="U93" s="940"/>
      <c r="V93" s="941"/>
      <c r="W93" s="940"/>
      <c r="X93" s="941"/>
      <c r="Y93" s="940"/>
      <c r="Z93" s="941"/>
      <c r="AA93" s="940"/>
      <c r="AB93" s="946"/>
      <c r="AC93" s="933">
        <v>1</v>
      </c>
      <c r="AD93" s="934">
        <v>0</v>
      </c>
      <c r="AE93" s="935">
        <v>1</v>
      </c>
    </row>
    <row r="94" spans="1:31">
      <c r="A94" s="975">
        <v>462</v>
      </c>
      <c r="B94" s="1004" t="s">
        <v>2061</v>
      </c>
      <c r="C94" s="927" t="s">
        <v>2062</v>
      </c>
      <c r="D94" s="944">
        <v>30</v>
      </c>
      <c r="E94" s="963"/>
      <c r="F94" s="1006"/>
      <c r="G94" s="963"/>
      <c r="H94" s="1007"/>
      <c r="I94" s="963"/>
      <c r="J94" s="1008"/>
      <c r="K94" s="963"/>
      <c r="L94" s="1006"/>
      <c r="M94" s="940"/>
      <c r="N94" s="941"/>
      <c r="O94" s="940"/>
      <c r="P94" s="941"/>
      <c r="Q94" s="940"/>
      <c r="R94" s="941"/>
      <c r="S94" s="940"/>
      <c r="T94" s="941"/>
      <c r="U94" s="940"/>
      <c r="V94" s="941"/>
      <c r="W94" s="940"/>
      <c r="X94" s="941"/>
      <c r="Y94" s="940"/>
      <c r="Z94" s="941"/>
      <c r="AA94" s="940"/>
      <c r="AB94" s="946"/>
      <c r="AC94" s="1017">
        <v>30</v>
      </c>
      <c r="AD94" s="1018">
        <v>0</v>
      </c>
      <c r="AE94" s="935">
        <v>30</v>
      </c>
    </row>
    <row r="95" spans="1:31">
      <c r="A95" s="975">
        <v>464</v>
      </c>
      <c r="B95" s="1004" t="s">
        <v>2063</v>
      </c>
      <c r="C95" s="927" t="s">
        <v>2064</v>
      </c>
      <c r="D95" s="944">
        <v>17</v>
      </c>
      <c r="E95" s="963"/>
      <c r="F95" s="1006">
        <v>1</v>
      </c>
      <c r="G95" s="963"/>
      <c r="H95" s="1007"/>
      <c r="I95" s="963"/>
      <c r="J95" s="1008"/>
      <c r="K95" s="963"/>
      <c r="L95" s="1006"/>
      <c r="M95" s="940"/>
      <c r="N95" s="941"/>
      <c r="O95" s="940"/>
      <c r="P95" s="941"/>
      <c r="Q95" s="940"/>
      <c r="R95" s="941"/>
      <c r="S95" s="940"/>
      <c r="T95" s="941"/>
      <c r="U95" s="940"/>
      <c r="V95" s="941"/>
      <c r="W95" s="940"/>
      <c r="X95" s="941"/>
      <c r="Y95" s="940"/>
      <c r="Z95" s="941"/>
      <c r="AA95" s="940"/>
      <c r="AB95" s="946"/>
      <c r="AC95" s="1027">
        <v>17</v>
      </c>
      <c r="AD95" s="1018">
        <v>1</v>
      </c>
      <c r="AE95" s="935">
        <v>16</v>
      </c>
    </row>
    <row r="96" spans="1:31">
      <c r="A96" s="980">
        <v>483</v>
      </c>
      <c r="B96" s="1004" t="s">
        <v>1922</v>
      </c>
      <c r="C96" s="927" t="s">
        <v>2065</v>
      </c>
      <c r="D96" s="944">
        <v>10</v>
      </c>
      <c r="E96" s="963"/>
      <c r="F96" s="1006">
        <v>1</v>
      </c>
      <c r="G96" s="963"/>
      <c r="H96" s="1007"/>
      <c r="I96" s="963"/>
      <c r="J96" s="1008"/>
      <c r="K96" s="963"/>
      <c r="L96" s="1006"/>
      <c r="M96" s="940"/>
      <c r="N96" s="941"/>
      <c r="O96" s="940"/>
      <c r="P96" s="941"/>
      <c r="Q96" s="940"/>
      <c r="R96" s="941"/>
      <c r="S96" s="940"/>
      <c r="T96" s="941"/>
      <c r="U96" s="940"/>
      <c r="V96" s="941"/>
      <c r="W96" s="940"/>
      <c r="X96" s="941"/>
      <c r="Y96" s="940"/>
      <c r="Z96" s="941"/>
      <c r="AA96" s="940"/>
      <c r="AB96" s="961"/>
      <c r="AC96" s="1017">
        <v>10</v>
      </c>
      <c r="AD96" s="1018">
        <v>1</v>
      </c>
      <c r="AE96" s="964">
        <v>9</v>
      </c>
    </row>
    <row r="97" spans="1:31">
      <c r="A97" s="975">
        <v>484</v>
      </c>
      <c r="B97" s="1004" t="s">
        <v>2119</v>
      </c>
      <c r="C97" s="927" t="s">
        <v>2120</v>
      </c>
      <c r="D97" s="944">
        <v>55</v>
      </c>
      <c r="E97" s="963"/>
      <c r="F97" s="1006"/>
      <c r="G97" s="963"/>
      <c r="H97" s="1007"/>
      <c r="I97" s="963"/>
      <c r="J97" s="1008">
        <v>18</v>
      </c>
      <c r="K97" s="963"/>
      <c r="L97" s="1006"/>
      <c r="M97" s="940"/>
      <c r="N97" s="941"/>
      <c r="O97" s="940"/>
      <c r="P97" s="941"/>
      <c r="Q97" s="940"/>
      <c r="R97" s="941"/>
      <c r="S97" s="940"/>
      <c r="T97" s="941"/>
      <c r="U97" s="940"/>
      <c r="V97" s="941"/>
      <c r="W97" s="940"/>
      <c r="X97" s="941"/>
      <c r="Y97" s="940"/>
      <c r="Z97" s="941"/>
      <c r="AA97" s="940"/>
      <c r="AB97" s="961"/>
      <c r="AC97" s="1017">
        <v>55</v>
      </c>
      <c r="AD97" s="1018">
        <v>18</v>
      </c>
      <c r="AE97" s="964">
        <v>37</v>
      </c>
    </row>
    <row r="98" spans="1:31">
      <c r="A98" s="980">
        <v>485</v>
      </c>
      <c r="B98" s="1004" t="s">
        <v>2070</v>
      </c>
      <c r="C98" s="927" t="s">
        <v>2071</v>
      </c>
      <c r="D98" s="944">
        <v>9</v>
      </c>
      <c r="E98" s="963"/>
      <c r="F98" s="1006"/>
      <c r="G98" s="963"/>
      <c r="H98" s="1007"/>
      <c r="I98" s="963"/>
      <c r="J98" s="1008"/>
      <c r="K98" s="963"/>
      <c r="L98" s="1006"/>
      <c r="M98" s="940"/>
      <c r="N98" s="941"/>
      <c r="O98" s="940"/>
      <c r="P98" s="941"/>
      <c r="Q98" s="940"/>
      <c r="R98" s="941"/>
      <c r="S98" s="940"/>
      <c r="T98" s="941"/>
      <c r="U98" s="940"/>
      <c r="V98" s="941"/>
      <c r="W98" s="940"/>
      <c r="X98" s="941"/>
      <c r="Y98" s="940"/>
      <c r="Z98" s="941"/>
      <c r="AA98" s="940"/>
      <c r="AB98" s="946"/>
      <c r="AC98" s="1027">
        <v>9</v>
      </c>
      <c r="AD98" s="1018">
        <v>0</v>
      </c>
      <c r="AE98" s="964">
        <v>9</v>
      </c>
    </row>
    <row r="99" spans="1:31">
      <c r="A99" s="980">
        <v>487</v>
      </c>
      <c r="B99" s="1004" t="s">
        <v>2072</v>
      </c>
      <c r="C99" s="927" t="s">
        <v>2073</v>
      </c>
      <c r="D99" s="944">
        <v>8</v>
      </c>
      <c r="E99" s="963"/>
      <c r="F99" s="1006"/>
      <c r="G99" s="963"/>
      <c r="H99" s="1007"/>
      <c r="I99" s="963">
        <v>10</v>
      </c>
      <c r="J99" s="1008"/>
      <c r="K99" s="963"/>
      <c r="L99" s="1006"/>
      <c r="M99" s="940"/>
      <c r="N99" s="941"/>
      <c r="O99" s="940"/>
      <c r="P99" s="941"/>
      <c r="Q99" s="940"/>
      <c r="R99" s="941"/>
      <c r="S99" s="940"/>
      <c r="T99" s="941"/>
      <c r="U99" s="940"/>
      <c r="V99" s="941"/>
      <c r="W99" s="940"/>
      <c r="X99" s="941"/>
      <c r="Y99" s="940"/>
      <c r="Z99" s="941"/>
      <c r="AA99" s="940"/>
      <c r="AB99" s="946"/>
      <c r="AC99" s="1027">
        <v>18</v>
      </c>
      <c r="AD99" s="1018">
        <v>0</v>
      </c>
      <c r="AE99" s="964">
        <v>18</v>
      </c>
    </row>
    <row r="100" spans="1:31">
      <c r="A100" s="980">
        <v>489</v>
      </c>
      <c r="B100" s="1004" t="s">
        <v>2074</v>
      </c>
      <c r="C100" s="927" t="s">
        <v>2075</v>
      </c>
      <c r="D100" s="944">
        <v>1</v>
      </c>
      <c r="E100" s="963"/>
      <c r="F100" s="1006"/>
      <c r="G100" s="963"/>
      <c r="H100" s="1007"/>
      <c r="I100" s="963"/>
      <c r="J100" s="1008"/>
      <c r="K100" s="963"/>
      <c r="L100" s="1006"/>
      <c r="M100" s="940"/>
      <c r="N100" s="941"/>
      <c r="O100" s="940"/>
      <c r="P100" s="941"/>
      <c r="Q100" s="940"/>
      <c r="R100" s="941"/>
      <c r="S100" s="940"/>
      <c r="T100" s="941"/>
      <c r="U100" s="940"/>
      <c r="V100" s="941"/>
      <c r="W100" s="940"/>
      <c r="X100" s="941"/>
      <c r="Y100" s="940"/>
      <c r="Z100" s="941"/>
      <c r="AA100" s="940"/>
      <c r="AB100" s="946"/>
      <c r="AC100" s="1027">
        <v>1</v>
      </c>
      <c r="AD100" s="1018">
        <v>0</v>
      </c>
      <c r="AE100" s="964">
        <v>1</v>
      </c>
    </row>
    <row r="101" spans="1:31">
      <c r="A101" s="975">
        <v>490</v>
      </c>
      <c r="B101" s="1004" t="s">
        <v>2076</v>
      </c>
      <c r="C101" s="927" t="s">
        <v>2077</v>
      </c>
      <c r="D101" s="944">
        <v>16</v>
      </c>
      <c r="E101" s="963">
        <v>2</v>
      </c>
      <c r="F101" s="1006"/>
      <c r="G101" s="963"/>
      <c r="H101" s="1007"/>
      <c r="I101" s="963"/>
      <c r="J101" s="1008"/>
      <c r="K101" s="963">
        <v>10</v>
      </c>
      <c r="L101" s="1006"/>
      <c r="M101" s="940"/>
      <c r="N101" s="941"/>
      <c r="O101" s="940"/>
      <c r="P101" s="941"/>
      <c r="Q101" s="940"/>
      <c r="R101" s="941"/>
      <c r="S101" s="940"/>
      <c r="T101" s="941"/>
      <c r="U101" s="940"/>
      <c r="V101" s="941"/>
      <c r="W101" s="940"/>
      <c r="X101" s="941"/>
      <c r="Y101" s="940"/>
      <c r="Z101" s="941"/>
      <c r="AA101" s="940"/>
      <c r="AB101" s="946"/>
      <c r="AC101" s="1027">
        <v>28</v>
      </c>
      <c r="AD101" s="1018">
        <v>0</v>
      </c>
      <c r="AE101" s="964">
        <v>28</v>
      </c>
    </row>
    <row r="102" spans="1:31">
      <c r="A102" s="980">
        <v>491</v>
      </c>
      <c r="B102" s="1004" t="s">
        <v>2078</v>
      </c>
      <c r="C102" s="927" t="s">
        <v>2079</v>
      </c>
      <c r="D102" s="944">
        <v>50</v>
      </c>
      <c r="E102" s="963"/>
      <c r="F102" s="1006"/>
      <c r="G102" s="963"/>
      <c r="H102" s="1007"/>
      <c r="I102" s="963"/>
      <c r="J102" s="1008"/>
      <c r="K102" s="963"/>
      <c r="L102" s="1006"/>
      <c r="M102" s="940"/>
      <c r="N102" s="941"/>
      <c r="O102" s="940"/>
      <c r="P102" s="941"/>
      <c r="Q102" s="940"/>
      <c r="R102" s="941"/>
      <c r="S102" s="940"/>
      <c r="T102" s="941"/>
      <c r="U102" s="940"/>
      <c r="V102" s="941"/>
      <c r="W102" s="940"/>
      <c r="X102" s="941"/>
      <c r="Y102" s="940"/>
      <c r="Z102" s="941"/>
      <c r="AA102" s="940"/>
      <c r="AB102" s="946"/>
      <c r="AC102" s="1027">
        <v>50</v>
      </c>
      <c r="AD102" s="1018">
        <v>0</v>
      </c>
      <c r="AE102" s="964">
        <v>50</v>
      </c>
    </row>
    <row r="103" spans="1:31">
      <c r="A103" s="975">
        <v>498</v>
      </c>
      <c r="B103" s="1004" t="s">
        <v>2121</v>
      </c>
      <c r="C103" s="927" t="s">
        <v>2122</v>
      </c>
      <c r="D103" s="944">
        <v>0</v>
      </c>
      <c r="E103" s="963"/>
      <c r="F103" s="1006"/>
      <c r="G103" s="963"/>
      <c r="H103" s="1007"/>
      <c r="I103" s="963"/>
      <c r="J103" s="1008"/>
      <c r="K103" s="963">
        <v>4</v>
      </c>
      <c r="L103" s="1006">
        <v>1</v>
      </c>
      <c r="M103" s="940"/>
      <c r="N103" s="941"/>
      <c r="O103" s="940"/>
      <c r="P103" s="941"/>
      <c r="Q103" s="940"/>
      <c r="R103" s="941"/>
      <c r="S103" s="940"/>
      <c r="T103" s="941"/>
      <c r="U103" s="940"/>
      <c r="V103" s="941"/>
      <c r="W103" s="940"/>
      <c r="X103" s="941"/>
      <c r="Y103" s="940"/>
      <c r="Z103" s="941"/>
      <c r="AA103" s="940"/>
      <c r="AB103" s="946"/>
      <c r="AC103" s="1027">
        <v>4</v>
      </c>
      <c r="AD103" s="1018">
        <v>1</v>
      </c>
      <c r="AE103" s="964">
        <v>3</v>
      </c>
    </row>
    <row r="104" spans="1:31">
      <c r="A104" s="980">
        <v>499</v>
      </c>
      <c r="B104" s="1004" t="s">
        <v>2123</v>
      </c>
      <c r="C104" s="927" t="s">
        <v>2124</v>
      </c>
      <c r="D104" s="944">
        <v>0</v>
      </c>
      <c r="E104" s="963">
        <v>4</v>
      </c>
      <c r="F104" s="1006"/>
      <c r="G104" s="963"/>
      <c r="H104" s="1007"/>
      <c r="I104" s="963"/>
      <c r="J104" s="1008"/>
      <c r="K104" s="963"/>
      <c r="L104" s="1006"/>
      <c r="M104" s="940"/>
      <c r="N104" s="941"/>
      <c r="O104" s="940"/>
      <c r="P104" s="941"/>
      <c r="Q104" s="940"/>
      <c r="R104" s="941"/>
      <c r="S104" s="940"/>
      <c r="T104" s="941"/>
      <c r="U104" s="940"/>
      <c r="V104" s="941"/>
      <c r="W104" s="940"/>
      <c r="X104" s="941"/>
      <c r="Y104" s="940"/>
      <c r="Z104" s="941"/>
      <c r="AA104" s="940"/>
      <c r="AB104" s="946"/>
      <c r="AC104" s="1027">
        <v>4</v>
      </c>
      <c r="AD104" s="1018">
        <v>0</v>
      </c>
      <c r="AE104" s="964">
        <v>4</v>
      </c>
    </row>
    <row r="105" spans="1:31">
      <c r="A105" s="980">
        <v>501</v>
      </c>
      <c r="B105" s="1004" t="s">
        <v>2080</v>
      </c>
      <c r="C105" s="927" t="s">
        <v>2081</v>
      </c>
      <c r="D105" s="944">
        <v>1</v>
      </c>
      <c r="E105" s="963"/>
      <c r="F105" s="1006"/>
      <c r="G105" s="963"/>
      <c r="H105" s="1007"/>
      <c r="I105" s="963"/>
      <c r="J105" s="1008"/>
      <c r="K105" s="963"/>
      <c r="L105" s="1006"/>
      <c r="M105" s="940"/>
      <c r="N105" s="941"/>
      <c r="O105" s="940"/>
      <c r="P105" s="941"/>
      <c r="Q105" s="940"/>
      <c r="R105" s="941"/>
      <c r="S105" s="940"/>
      <c r="T105" s="941"/>
      <c r="U105" s="940"/>
      <c r="V105" s="941"/>
      <c r="W105" s="940"/>
      <c r="X105" s="941"/>
      <c r="Y105" s="940"/>
      <c r="Z105" s="941"/>
      <c r="AA105" s="940"/>
      <c r="AB105" s="946"/>
      <c r="AC105" s="1027">
        <v>1</v>
      </c>
      <c r="AD105" s="1018">
        <v>0</v>
      </c>
      <c r="AE105" s="964">
        <v>1</v>
      </c>
    </row>
    <row r="106" spans="1:31">
      <c r="A106" s="980">
        <v>503</v>
      </c>
      <c r="B106" s="1004" t="s">
        <v>2125</v>
      </c>
      <c r="C106" s="927" t="s">
        <v>2126</v>
      </c>
      <c r="D106" s="944">
        <v>0</v>
      </c>
      <c r="E106" s="963"/>
      <c r="F106" s="1006"/>
      <c r="G106" s="963"/>
      <c r="H106" s="1007"/>
      <c r="I106" s="963"/>
      <c r="J106" s="1008"/>
      <c r="K106" s="963">
        <v>7</v>
      </c>
      <c r="L106" s="1006">
        <v>5</v>
      </c>
      <c r="M106" s="940"/>
      <c r="N106" s="941"/>
      <c r="O106" s="940"/>
      <c r="P106" s="941"/>
      <c r="Q106" s="940"/>
      <c r="R106" s="941"/>
      <c r="S106" s="940"/>
      <c r="T106" s="941"/>
      <c r="U106" s="940"/>
      <c r="V106" s="941"/>
      <c r="W106" s="940"/>
      <c r="X106" s="941"/>
      <c r="Y106" s="940"/>
      <c r="Z106" s="941"/>
      <c r="AA106" s="940"/>
      <c r="AB106" s="946"/>
      <c r="AC106" s="1027">
        <v>7</v>
      </c>
      <c r="AD106" s="1018">
        <v>5</v>
      </c>
      <c r="AE106" s="964">
        <v>2</v>
      </c>
    </row>
    <row r="107" spans="1:31">
      <c r="A107" s="980">
        <v>507</v>
      </c>
      <c r="B107" s="1004" t="s">
        <v>1241</v>
      </c>
      <c r="C107" s="927" t="s">
        <v>2084</v>
      </c>
      <c r="D107" s="944">
        <v>4</v>
      </c>
      <c r="E107" s="963"/>
      <c r="F107" s="1006"/>
      <c r="G107" s="963"/>
      <c r="H107" s="1007"/>
      <c r="I107" s="963"/>
      <c r="J107" s="1008"/>
      <c r="K107" s="963"/>
      <c r="L107" s="1006"/>
      <c r="M107" s="940"/>
      <c r="N107" s="941"/>
      <c r="O107" s="940"/>
      <c r="P107" s="941"/>
      <c r="Q107" s="940"/>
      <c r="R107" s="941"/>
      <c r="S107" s="940"/>
      <c r="T107" s="941"/>
      <c r="U107" s="940"/>
      <c r="V107" s="941"/>
      <c r="W107" s="940"/>
      <c r="X107" s="941"/>
      <c r="Y107" s="940"/>
      <c r="Z107" s="941"/>
      <c r="AA107" s="940"/>
      <c r="AB107" s="946"/>
      <c r="AC107" s="1027">
        <v>4</v>
      </c>
      <c r="AD107" s="1018">
        <v>0</v>
      </c>
      <c r="AE107" s="945">
        <v>4</v>
      </c>
    </row>
    <row r="108" spans="1:31">
      <c r="A108" s="975">
        <v>508</v>
      </c>
      <c r="B108" s="1004" t="s">
        <v>2085</v>
      </c>
      <c r="C108" s="927" t="s">
        <v>2086</v>
      </c>
      <c r="D108" s="944">
        <v>20</v>
      </c>
      <c r="E108" s="963"/>
      <c r="F108" s="1006"/>
      <c r="G108" s="963"/>
      <c r="H108" s="1007"/>
      <c r="I108" s="963"/>
      <c r="J108" s="1008"/>
      <c r="K108" s="963"/>
      <c r="L108" s="1006"/>
      <c r="M108" s="940"/>
      <c r="N108" s="941"/>
      <c r="O108" s="940"/>
      <c r="P108" s="941"/>
      <c r="Q108" s="940"/>
      <c r="R108" s="941"/>
      <c r="S108" s="940"/>
      <c r="T108" s="941"/>
      <c r="U108" s="940"/>
      <c r="V108" s="941"/>
      <c r="W108" s="940"/>
      <c r="X108" s="941"/>
      <c r="Y108" s="940"/>
      <c r="Z108" s="941"/>
      <c r="AA108" s="940"/>
      <c r="AB108" s="946"/>
      <c r="AC108" s="1027">
        <v>20</v>
      </c>
      <c r="AD108" s="1018">
        <v>0</v>
      </c>
      <c r="AE108" s="945">
        <v>20</v>
      </c>
    </row>
    <row r="109" spans="1:31">
      <c r="A109" s="975">
        <v>510</v>
      </c>
      <c r="B109" s="1004" t="s">
        <v>2127</v>
      </c>
      <c r="C109" s="927" t="s">
        <v>2128</v>
      </c>
      <c r="D109" s="944">
        <v>0</v>
      </c>
      <c r="E109" s="963"/>
      <c r="F109" s="1006"/>
      <c r="G109" s="963"/>
      <c r="H109" s="1007"/>
      <c r="I109" s="963"/>
      <c r="J109" s="1008"/>
      <c r="K109" s="963">
        <v>7</v>
      </c>
      <c r="L109" s="1006">
        <v>2</v>
      </c>
      <c r="M109" s="940"/>
      <c r="N109" s="941"/>
      <c r="O109" s="940"/>
      <c r="P109" s="941"/>
      <c r="Q109" s="940"/>
      <c r="R109" s="941"/>
      <c r="S109" s="940"/>
      <c r="T109" s="941"/>
      <c r="U109" s="940"/>
      <c r="V109" s="941"/>
      <c r="W109" s="940"/>
      <c r="X109" s="941"/>
      <c r="Y109" s="940"/>
      <c r="Z109" s="941"/>
      <c r="AA109" s="940"/>
      <c r="AB109" s="946"/>
      <c r="AC109" s="1027">
        <v>7</v>
      </c>
      <c r="AD109" s="1018">
        <v>2</v>
      </c>
      <c r="AE109" s="945">
        <v>5</v>
      </c>
    </row>
    <row r="110" spans="1:31">
      <c r="A110" s="980">
        <v>511</v>
      </c>
      <c r="B110" s="1004" t="s">
        <v>2089</v>
      </c>
      <c r="C110" s="927" t="s">
        <v>2129</v>
      </c>
      <c r="D110" s="944">
        <v>1</v>
      </c>
      <c r="E110" s="963"/>
      <c r="F110" s="1006"/>
      <c r="G110" s="963"/>
      <c r="H110" s="1007"/>
      <c r="I110" s="963">
        <v>3</v>
      </c>
      <c r="J110" s="1008"/>
      <c r="K110" s="963"/>
      <c r="L110" s="1006"/>
      <c r="M110" s="940"/>
      <c r="N110" s="941"/>
      <c r="O110" s="940"/>
      <c r="P110" s="941"/>
      <c r="Q110" s="940"/>
      <c r="R110" s="941"/>
      <c r="S110" s="940"/>
      <c r="T110" s="941"/>
      <c r="U110" s="940"/>
      <c r="V110" s="941"/>
      <c r="W110" s="940"/>
      <c r="X110" s="941"/>
      <c r="Y110" s="940"/>
      <c r="Z110" s="941"/>
      <c r="AA110" s="940"/>
      <c r="AB110" s="946"/>
      <c r="AC110" s="1027">
        <v>4</v>
      </c>
      <c r="AD110" s="1018">
        <v>0</v>
      </c>
      <c r="AE110" s="945">
        <v>4</v>
      </c>
    </row>
    <row r="111" spans="1:31">
      <c r="A111" s="975">
        <v>512</v>
      </c>
      <c r="B111" s="1004" t="s">
        <v>2130</v>
      </c>
      <c r="C111" s="927" t="s">
        <v>2131</v>
      </c>
      <c r="D111" s="944">
        <v>0</v>
      </c>
      <c r="E111" s="963"/>
      <c r="F111" s="1006"/>
      <c r="G111" s="963"/>
      <c r="H111" s="1007"/>
      <c r="I111" s="963"/>
      <c r="J111" s="1008"/>
      <c r="K111" s="963">
        <v>2</v>
      </c>
      <c r="L111" s="1006">
        <v>1</v>
      </c>
      <c r="M111" s="940"/>
      <c r="N111" s="941"/>
      <c r="O111" s="940"/>
      <c r="P111" s="941"/>
      <c r="Q111" s="940"/>
      <c r="R111" s="941"/>
      <c r="S111" s="940"/>
      <c r="T111" s="941"/>
      <c r="U111" s="940"/>
      <c r="V111" s="941"/>
      <c r="W111" s="940"/>
      <c r="X111" s="941"/>
      <c r="Y111" s="940"/>
      <c r="Z111" s="941"/>
      <c r="AA111" s="940"/>
      <c r="AB111" s="946"/>
      <c r="AC111" s="1027">
        <v>2</v>
      </c>
      <c r="AD111" s="1018">
        <v>1</v>
      </c>
      <c r="AE111" s="945">
        <v>1</v>
      </c>
    </row>
    <row r="112" spans="1:31">
      <c r="A112" s="980">
        <v>513</v>
      </c>
      <c r="B112" s="1004" t="s">
        <v>2091</v>
      </c>
      <c r="C112" s="927" t="s">
        <v>2092</v>
      </c>
      <c r="D112" s="944">
        <v>3</v>
      </c>
      <c r="E112" s="963"/>
      <c r="F112" s="1006"/>
      <c r="G112" s="963"/>
      <c r="H112" s="1007"/>
      <c r="I112" s="963"/>
      <c r="J112" s="1008"/>
      <c r="K112" s="963"/>
      <c r="L112" s="1006">
        <v>1</v>
      </c>
      <c r="M112" s="940"/>
      <c r="N112" s="941"/>
      <c r="O112" s="940"/>
      <c r="P112" s="941"/>
      <c r="Q112" s="940"/>
      <c r="R112" s="941"/>
      <c r="S112" s="940"/>
      <c r="T112" s="941"/>
      <c r="U112" s="940"/>
      <c r="V112" s="941"/>
      <c r="W112" s="940"/>
      <c r="X112" s="941"/>
      <c r="Y112" s="940"/>
      <c r="Z112" s="941"/>
      <c r="AA112" s="940"/>
      <c r="AB112" s="946"/>
      <c r="AC112" s="1027">
        <v>3</v>
      </c>
      <c r="AD112" s="1018">
        <v>1</v>
      </c>
      <c r="AE112" s="945">
        <v>2</v>
      </c>
    </row>
    <row r="113" spans="1:31">
      <c r="A113" s="975">
        <v>514</v>
      </c>
      <c r="B113" s="1004" t="s">
        <v>2093</v>
      </c>
      <c r="C113" s="927" t="s">
        <v>2094</v>
      </c>
      <c r="D113" s="944">
        <v>3</v>
      </c>
      <c r="E113" s="963"/>
      <c r="F113" s="1006"/>
      <c r="G113" s="963"/>
      <c r="H113" s="1007"/>
      <c r="I113" s="963"/>
      <c r="J113" s="1008"/>
      <c r="K113" s="963"/>
      <c r="L113" s="1006"/>
      <c r="M113" s="940"/>
      <c r="N113" s="941"/>
      <c r="O113" s="940"/>
      <c r="P113" s="941"/>
      <c r="Q113" s="940"/>
      <c r="R113" s="941"/>
      <c r="S113" s="940"/>
      <c r="T113" s="941"/>
      <c r="U113" s="940"/>
      <c r="V113" s="941"/>
      <c r="W113" s="940"/>
      <c r="X113" s="941"/>
      <c r="Y113" s="940"/>
      <c r="Z113" s="941"/>
      <c r="AA113" s="940"/>
      <c r="AB113" s="946"/>
      <c r="AC113" s="1027">
        <v>3</v>
      </c>
      <c r="AD113" s="1018">
        <v>0</v>
      </c>
      <c r="AE113" s="945">
        <v>3</v>
      </c>
    </row>
    <row r="114" spans="1:31">
      <c r="A114" s="975">
        <v>516</v>
      </c>
      <c r="B114" s="1004" t="s">
        <v>2095</v>
      </c>
      <c r="C114" s="927" t="s">
        <v>2132</v>
      </c>
      <c r="D114" s="944">
        <v>3</v>
      </c>
      <c r="E114" s="963"/>
      <c r="F114" s="1006">
        <v>1</v>
      </c>
      <c r="G114" s="963"/>
      <c r="H114" s="1007">
        <v>1</v>
      </c>
      <c r="I114" s="963"/>
      <c r="J114" s="1008">
        <v>1</v>
      </c>
      <c r="K114" s="963">
        <v>5</v>
      </c>
      <c r="L114" s="1006">
        <v>1</v>
      </c>
      <c r="M114" s="940"/>
      <c r="N114" s="941"/>
      <c r="O114" s="940"/>
      <c r="P114" s="941"/>
      <c r="Q114" s="940"/>
      <c r="R114" s="941"/>
      <c r="S114" s="940"/>
      <c r="T114" s="941"/>
      <c r="U114" s="940"/>
      <c r="V114" s="941"/>
      <c r="W114" s="940"/>
      <c r="X114" s="941"/>
      <c r="Y114" s="940"/>
      <c r="Z114" s="941"/>
      <c r="AA114" s="940"/>
      <c r="AB114" s="946"/>
      <c r="AC114" s="1027">
        <v>8</v>
      </c>
      <c r="AD114" s="1018">
        <v>4</v>
      </c>
      <c r="AE114" s="945">
        <v>4</v>
      </c>
    </row>
    <row r="115" spans="1:31">
      <c r="A115" s="975">
        <v>518</v>
      </c>
      <c r="B115" s="1004" t="s">
        <v>2133</v>
      </c>
      <c r="C115" s="927" t="s">
        <v>2134</v>
      </c>
      <c r="D115" s="944">
        <v>0</v>
      </c>
      <c r="E115" s="963">
        <v>120</v>
      </c>
      <c r="F115" s="1006">
        <v>90</v>
      </c>
      <c r="G115" s="963"/>
      <c r="H115" s="1007"/>
      <c r="I115" s="963"/>
      <c r="J115" s="1008"/>
      <c r="K115" s="963"/>
      <c r="L115" s="1006"/>
      <c r="M115" s="940"/>
      <c r="N115" s="941"/>
      <c r="O115" s="940"/>
      <c r="P115" s="941"/>
      <c r="Q115" s="940"/>
      <c r="R115" s="941"/>
      <c r="S115" s="940"/>
      <c r="T115" s="941"/>
      <c r="U115" s="940"/>
      <c r="V115" s="941"/>
      <c r="W115" s="940"/>
      <c r="X115" s="941"/>
      <c r="Y115" s="940"/>
      <c r="Z115" s="941"/>
      <c r="AA115" s="940"/>
      <c r="AB115" s="946"/>
      <c r="AC115" s="1027">
        <v>120</v>
      </c>
      <c r="AD115" s="1018">
        <v>90</v>
      </c>
      <c r="AE115" s="945">
        <v>30</v>
      </c>
    </row>
    <row r="116" spans="1:31">
      <c r="A116" s="980">
        <v>523</v>
      </c>
      <c r="B116" s="1004" t="s">
        <v>2135</v>
      </c>
      <c r="C116" s="927" t="s">
        <v>2136</v>
      </c>
      <c r="D116" s="944">
        <v>0</v>
      </c>
      <c r="E116" s="963"/>
      <c r="F116" s="1006"/>
      <c r="G116" s="963">
        <v>12</v>
      </c>
      <c r="H116" s="1007">
        <v>8</v>
      </c>
      <c r="I116" s="963">
        <v>10</v>
      </c>
      <c r="J116" s="1008"/>
      <c r="K116" s="963"/>
      <c r="L116" s="1006"/>
      <c r="M116" s="940"/>
      <c r="N116" s="941"/>
      <c r="O116" s="940"/>
      <c r="P116" s="941"/>
      <c r="Q116" s="940"/>
      <c r="R116" s="941"/>
      <c r="S116" s="940"/>
      <c r="T116" s="941"/>
      <c r="U116" s="940"/>
      <c r="V116" s="941"/>
      <c r="W116" s="940"/>
      <c r="X116" s="941"/>
      <c r="Y116" s="940"/>
      <c r="Z116" s="941"/>
      <c r="AA116" s="940"/>
      <c r="AB116" s="946"/>
      <c r="AC116" s="1027">
        <v>22</v>
      </c>
      <c r="AD116" s="1018">
        <v>8</v>
      </c>
      <c r="AE116" s="945">
        <v>14</v>
      </c>
    </row>
    <row r="117" spans="1:31">
      <c r="A117" s="980">
        <v>529</v>
      </c>
      <c r="B117" s="1004" t="s">
        <v>2137</v>
      </c>
      <c r="C117" s="927" t="s">
        <v>2138</v>
      </c>
      <c r="D117" s="944">
        <v>0</v>
      </c>
      <c r="E117" s="963"/>
      <c r="F117" s="1006"/>
      <c r="G117" s="963"/>
      <c r="H117" s="1007"/>
      <c r="I117" s="963">
        <v>2</v>
      </c>
      <c r="J117" s="1008"/>
      <c r="K117" s="963"/>
      <c r="L117" s="1006"/>
      <c r="M117" s="940"/>
      <c r="N117" s="941"/>
      <c r="O117" s="940"/>
      <c r="P117" s="941"/>
      <c r="Q117" s="940"/>
      <c r="R117" s="941"/>
      <c r="S117" s="940"/>
      <c r="T117" s="941"/>
      <c r="U117" s="940"/>
      <c r="V117" s="941"/>
      <c r="W117" s="940"/>
      <c r="X117" s="941"/>
      <c r="Y117" s="940"/>
      <c r="Z117" s="941"/>
      <c r="AA117" s="940"/>
      <c r="AB117" s="946"/>
      <c r="AC117" s="1027">
        <v>2</v>
      </c>
      <c r="AD117" s="1018">
        <v>0</v>
      </c>
      <c r="AE117" s="945">
        <v>2</v>
      </c>
    </row>
    <row r="118" spans="1:31">
      <c r="A118" s="980">
        <v>531</v>
      </c>
      <c r="B118" s="1004" t="s">
        <v>2139</v>
      </c>
      <c r="C118" s="927" t="s">
        <v>2140</v>
      </c>
      <c r="D118" s="944">
        <v>0</v>
      </c>
      <c r="E118" s="963"/>
      <c r="F118" s="1006"/>
      <c r="G118" s="963"/>
      <c r="H118" s="1007"/>
      <c r="I118" s="963">
        <v>6</v>
      </c>
      <c r="J118" s="1008"/>
      <c r="K118" s="963"/>
      <c r="L118" s="1006"/>
      <c r="M118" s="940"/>
      <c r="N118" s="941"/>
      <c r="O118" s="940"/>
      <c r="P118" s="941"/>
      <c r="Q118" s="940"/>
      <c r="R118" s="941"/>
      <c r="S118" s="940"/>
      <c r="T118" s="941"/>
      <c r="U118" s="940"/>
      <c r="V118" s="941"/>
      <c r="W118" s="940"/>
      <c r="X118" s="941"/>
      <c r="Y118" s="940"/>
      <c r="Z118" s="941"/>
      <c r="AA118" s="940"/>
      <c r="AB118" s="946"/>
      <c r="AC118" s="1027">
        <v>6</v>
      </c>
      <c r="AD118" s="1018">
        <v>0</v>
      </c>
      <c r="AE118" s="945">
        <v>6</v>
      </c>
    </row>
    <row r="119" spans="1:31">
      <c r="A119" s="975">
        <v>532</v>
      </c>
      <c r="B119" s="1004" t="s">
        <v>2141</v>
      </c>
      <c r="C119" s="927" t="s">
        <v>2142</v>
      </c>
      <c r="D119" s="944">
        <v>0</v>
      </c>
      <c r="E119" s="963"/>
      <c r="F119" s="1006"/>
      <c r="G119" s="963"/>
      <c r="H119" s="1007"/>
      <c r="I119" s="963">
        <v>20</v>
      </c>
      <c r="J119" s="1008"/>
      <c r="K119" s="963"/>
      <c r="L119" s="1006"/>
      <c r="M119" s="940"/>
      <c r="N119" s="941"/>
      <c r="O119" s="940"/>
      <c r="P119" s="941"/>
      <c r="Q119" s="940"/>
      <c r="R119" s="941"/>
      <c r="S119" s="940"/>
      <c r="T119" s="941"/>
      <c r="U119" s="940"/>
      <c r="V119" s="941"/>
      <c r="W119" s="940"/>
      <c r="X119" s="941"/>
      <c r="Y119" s="940"/>
      <c r="Z119" s="941"/>
      <c r="AA119" s="940"/>
      <c r="AB119" s="946"/>
      <c r="AC119" s="1027">
        <v>20</v>
      </c>
      <c r="AD119" s="1018">
        <v>0</v>
      </c>
      <c r="AE119" s="945">
        <v>20</v>
      </c>
    </row>
    <row r="120" spans="1:31">
      <c r="A120" s="980">
        <v>533</v>
      </c>
      <c r="B120" s="1004" t="s">
        <v>2143</v>
      </c>
      <c r="C120" s="927" t="s">
        <v>2144</v>
      </c>
      <c r="D120" s="944">
        <v>0</v>
      </c>
      <c r="E120" s="963"/>
      <c r="F120" s="1006"/>
      <c r="G120" s="963"/>
      <c r="H120" s="1007"/>
      <c r="I120" s="963">
        <v>10</v>
      </c>
      <c r="J120" s="1008"/>
      <c r="K120" s="963"/>
      <c r="L120" s="1006"/>
      <c r="M120" s="940"/>
      <c r="N120" s="941"/>
      <c r="O120" s="940"/>
      <c r="P120" s="941"/>
      <c r="Q120" s="940"/>
      <c r="R120" s="941"/>
      <c r="S120" s="940"/>
      <c r="T120" s="941"/>
      <c r="U120" s="940"/>
      <c r="V120" s="941"/>
      <c r="W120" s="940"/>
      <c r="X120" s="941"/>
      <c r="Y120" s="940"/>
      <c r="Z120" s="941"/>
      <c r="AA120" s="940"/>
      <c r="AB120" s="946"/>
      <c r="AC120" s="1027">
        <v>10</v>
      </c>
      <c r="AD120" s="1018">
        <v>0</v>
      </c>
      <c r="AE120" s="945">
        <v>10</v>
      </c>
    </row>
    <row r="121" spans="1:31">
      <c r="A121" s="975">
        <v>534</v>
      </c>
      <c r="B121" s="1004" t="s">
        <v>2145</v>
      </c>
      <c r="C121" s="927" t="s">
        <v>2146</v>
      </c>
      <c r="D121" s="944">
        <v>0</v>
      </c>
      <c r="E121" s="963"/>
      <c r="F121" s="1006"/>
      <c r="G121" s="963"/>
      <c r="H121" s="1007"/>
      <c r="I121" s="963">
        <v>10</v>
      </c>
      <c r="J121" s="1008"/>
      <c r="K121" s="963"/>
      <c r="L121" s="1006"/>
      <c r="M121" s="940"/>
      <c r="N121" s="941"/>
      <c r="O121" s="940"/>
      <c r="P121" s="941"/>
      <c r="Q121" s="940"/>
      <c r="R121" s="941"/>
      <c r="S121" s="940"/>
      <c r="T121" s="941"/>
      <c r="U121" s="940"/>
      <c r="V121" s="941"/>
      <c r="W121" s="940"/>
      <c r="X121" s="941"/>
      <c r="Y121" s="940"/>
      <c r="Z121" s="941"/>
      <c r="AA121" s="940"/>
      <c r="AB121" s="946"/>
      <c r="AC121" s="1027">
        <v>10</v>
      </c>
      <c r="AD121" s="1018">
        <v>0</v>
      </c>
      <c r="AE121" s="945">
        <v>10</v>
      </c>
    </row>
    <row r="122" spans="1:31">
      <c r="A122" s="980">
        <v>535</v>
      </c>
      <c r="B122" s="1004" t="s">
        <v>2147</v>
      </c>
      <c r="C122" s="927" t="s">
        <v>2144</v>
      </c>
      <c r="D122" s="944">
        <v>0</v>
      </c>
      <c r="E122" s="963"/>
      <c r="F122" s="1006"/>
      <c r="G122" s="963"/>
      <c r="H122" s="1007"/>
      <c r="I122" s="963">
        <v>4</v>
      </c>
      <c r="J122" s="1008"/>
      <c r="K122" s="963"/>
      <c r="L122" s="1006"/>
      <c r="M122" s="940"/>
      <c r="N122" s="941"/>
      <c r="O122" s="940"/>
      <c r="P122" s="941"/>
      <c r="Q122" s="940"/>
      <c r="R122" s="941"/>
      <c r="S122" s="940"/>
      <c r="T122" s="941"/>
      <c r="U122" s="940"/>
      <c r="V122" s="941"/>
      <c r="W122" s="940"/>
      <c r="X122" s="941"/>
      <c r="Y122" s="940"/>
      <c r="Z122" s="941"/>
      <c r="AA122" s="940"/>
      <c r="AB122" s="946"/>
      <c r="AC122" s="1027">
        <v>4</v>
      </c>
      <c r="AD122" s="1018">
        <v>0</v>
      </c>
      <c r="AE122" s="945">
        <v>4</v>
      </c>
    </row>
    <row r="123" spans="1:31">
      <c r="A123" s="1009">
        <v>536</v>
      </c>
      <c r="B123" s="1004" t="s">
        <v>2148</v>
      </c>
      <c r="C123" s="916" t="s">
        <v>2149</v>
      </c>
      <c r="D123" s="944">
        <v>0</v>
      </c>
      <c r="E123" s="963"/>
      <c r="F123" s="1006"/>
      <c r="G123" s="963"/>
      <c r="H123" s="1007"/>
      <c r="I123" s="963"/>
      <c r="J123" s="1008"/>
      <c r="K123" s="963">
        <v>1200</v>
      </c>
      <c r="L123" s="1006">
        <v>1132</v>
      </c>
      <c r="M123" s="940"/>
      <c r="N123" s="941"/>
      <c r="O123" s="940"/>
      <c r="P123" s="941"/>
      <c r="Q123" s="940"/>
      <c r="R123" s="941"/>
      <c r="S123" s="940"/>
      <c r="T123" s="941"/>
      <c r="U123" s="940"/>
      <c r="V123" s="941"/>
      <c r="W123" s="940"/>
      <c r="X123" s="941"/>
      <c r="Y123" s="940"/>
      <c r="Z123" s="941"/>
      <c r="AA123" s="940"/>
      <c r="AB123" s="946"/>
      <c r="AC123" s="1027">
        <v>1200</v>
      </c>
      <c r="AD123" s="1018">
        <v>1132</v>
      </c>
      <c r="AE123" s="945">
        <v>68</v>
      </c>
    </row>
    <row r="124" spans="1:31">
      <c r="A124" s="1009"/>
      <c r="B124" s="1004"/>
      <c r="C124" s="927"/>
      <c r="D124" s="944"/>
      <c r="E124" s="963"/>
      <c r="F124" s="1006"/>
      <c r="G124" s="963"/>
      <c r="H124" s="1007"/>
      <c r="I124" s="963"/>
      <c r="J124" s="1008"/>
      <c r="K124" s="963"/>
      <c r="L124" s="1006"/>
      <c r="M124" s="940"/>
      <c r="N124" s="941"/>
      <c r="O124" s="940"/>
      <c r="P124" s="941"/>
      <c r="Q124" s="940"/>
      <c r="R124" s="941"/>
      <c r="S124" s="940"/>
      <c r="T124" s="941"/>
      <c r="U124" s="940"/>
      <c r="V124" s="941"/>
      <c r="W124" s="940"/>
      <c r="X124" s="941"/>
      <c r="Y124" s="940"/>
      <c r="Z124" s="941"/>
      <c r="AA124" s="940"/>
      <c r="AB124" s="946"/>
      <c r="AC124" s="1027"/>
      <c r="AD124" s="1028"/>
      <c r="AE124" s="945"/>
    </row>
    <row r="125" spans="1:31">
      <c r="A125" s="1009"/>
      <c r="B125" s="1004"/>
      <c r="C125" s="927"/>
      <c r="D125" s="944"/>
      <c r="E125" s="963"/>
      <c r="F125" s="1006"/>
      <c r="G125" s="963"/>
      <c r="H125" s="1007"/>
      <c r="I125" s="963"/>
      <c r="J125" s="1008"/>
      <c r="K125" s="963"/>
      <c r="L125" s="1006"/>
      <c r="M125" s="940"/>
      <c r="N125" s="941"/>
      <c r="O125" s="940"/>
      <c r="P125" s="941"/>
      <c r="Q125" s="940"/>
      <c r="R125" s="941"/>
      <c r="S125" s="940"/>
      <c r="T125" s="941"/>
      <c r="U125" s="940"/>
      <c r="V125" s="941"/>
      <c r="W125" s="940"/>
      <c r="X125" s="941"/>
      <c r="Y125" s="940"/>
      <c r="Z125" s="941"/>
      <c r="AA125" s="940"/>
      <c r="AB125" s="946"/>
      <c r="AC125" s="1027"/>
      <c r="AD125" s="1028"/>
      <c r="AE125" s="945"/>
    </row>
    <row r="126" spans="1:31">
      <c r="A126" s="1009"/>
      <c r="B126" s="1004"/>
      <c r="C126" s="927"/>
      <c r="D126" s="944"/>
      <c r="E126" s="963"/>
      <c r="F126" s="1006"/>
      <c r="G126" s="963"/>
      <c r="H126" s="1007"/>
      <c r="I126" s="963"/>
      <c r="J126" s="1008"/>
      <c r="K126" s="963"/>
      <c r="L126" s="1006"/>
      <c r="M126" s="940"/>
      <c r="N126" s="941"/>
      <c r="O126" s="940"/>
      <c r="P126" s="941"/>
      <c r="Q126" s="940"/>
      <c r="R126" s="941"/>
      <c r="S126" s="940"/>
      <c r="T126" s="941"/>
      <c r="U126" s="940"/>
      <c r="V126" s="941"/>
      <c r="W126" s="940"/>
      <c r="X126" s="941"/>
      <c r="Y126" s="940"/>
      <c r="Z126" s="941"/>
      <c r="AA126" s="940"/>
      <c r="AB126" s="946"/>
      <c r="AC126" s="1027"/>
      <c r="AD126" s="1028"/>
      <c r="AE126" s="945"/>
    </row>
    <row r="127" spans="1:31">
      <c r="A127" s="1009"/>
      <c r="B127" s="1004"/>
      <c r="C127" s="927"/>
      <c r="D127" s="944"/>
      <c r="E127" s="963"/>
      <c r="F127" s="1006"/>
      <c r="G127" s="963"/>
      <c r="H127" s="1007"/>
      <c r="I127" s="963"/>
      <c r="J127" s="1008"/>
      <c r="K127" s="963"/>
      <c r="L127" s="1006"/>
      <c r="M127" s="940"/>
      <c r="N127" s="941"/>
      <c r="O127" s="940"/>
      <c r="P127" s="941"/>
      <c r="Q127" s="940"/>
      <c r="R127" s="941"/>
      <c r="S127" s="940"/>
      <c r="T127" s="941"/>
      <c r="U127" s="940"/>
      <c r="V127" s="941"/>
      <c r="W127" s="940"/>
      <c r="X127" s="941"/>
      <c r="Y127" s="940"/>
      <c r="Z127" s="941"/>
      <c r="AA127" s="940"/>
      <c r="AB127" s="946"/>
      <c r="AC127" s="1027"/>
      <c r="AD127" s="1028"/>
      <c r="AE127" s="945"/>
    </row>
    <row r="128" spans="1:31">
      <c r="A128" s="1009"/>
      <c r="B128" s="1004" t="s">
        <v>2150</v>
      </c>
      <c r="C128" s="927"/>
      <c r="D128" s="944"/>
      <c r="E128" s="963"/>
      <c r="F128" s="1006"/>
      <c r="G128" s="963"/>
      <c r="H128" s="1007"/>
      <c r="I128" s="963"/>
      <c r="J128" s="1008"/>
      <c r="K128" s="963"/>
      <c r="L128" s="1006"/>
      <c r="M128" s="940"/>
      <c r="N128" s="941"/>
      <c r="O128" s="940"/>
      <c r="P128" s="941"/>
      <c r="Q128" s="940"/>
      <c r="R128" s="941"/>
      <c r="S128" s="940"/>
      <c r="T128" s="941"/>
      <c r="U128" s="940"/>
      <c r="V128" s="941"/>
      <c r="W128" s="940"/>
      <c r="X128" s="941"/>
      <c r="Y128" s="940"/>
      <c r="Z128" s="941"/>
      <c r="AA128" s="940"/>
      <c r="AB128" s="946"/>
      <c r="AC128" s="1027"/>
      <c r="AD128" s="1028"/>
      <c r="AE128" s="945"/>
    </row>
    <row r="129" spans="1:31">
      <c r="A129" s="1009"/>
      <c r="B129" s="1004" t="s">
        <v>2151</v>
      </c>
      <c r="C129" s="927"/>
      <c r="D129" s="944"/>
      <c r="E129" s="963"/>
      <c r="F129" s="1006"/>
      <c r="G129" s="963"/>
      <c r="H129" s="1007"/>
      <c r="I129" s="963"/>
      <c r="J129" s="1008"/>
      <c r="K129" s="963"/>
      <c r="L129" s="1006"/>
      <c r="M129" s="940"/>
      <c r="N129" s="941"/>
      <c r="O129" s="940"/>
      <c r="P129" s="941"/>
      <c r="Q129" s="940"/>
      <c r="R129" s="941"/>
      <c r="S129" s="940"/>
      <c r="T129" s="941"/>
      <c r="U129" s="940"/>
      <c r="V129" s="941"/>
      <c r="W129" s="940"/>
      <c r="X129" s="941"/>
      <c r="Y129" s="940"/>
      <c r="Z129" s="941"/>
      <c r="AA129" s="940"/>
      <c r="AB129" s="946"/>
      <c r="AC129" s="1027"/>
      <c r="AD129" s="1028"/>
      <c r="AE129" s="1029"/>
    </row>
    <row r="130" spans="1:31">
      <c r="A130" s="1009"/>
      <c r="B130" s="1004"/>
      <c r="C130" s="927"/>
      <c r="D130" s="944"/>
      <c r="E130" s="963"/>
      <c r="F130" s="1006"/>
      <c r="G130" s="963"/>
      <c r="H130" s="1007"/>
      <c r="I130" s="963"/>
      <c r="J130" s="1008"/>
      <c r="K130" s="963"/>
      <c r="L130" s="1006"/>
      <c r="M130" s="957"/>
      <c r="N130" s="958"/>
      <c r="O130" s="957"/>
      <c r="P130" s="958"/>
      <c r="Q130" s="957"/>
      <c r="R130" s="958"/>
      <c r="S130" s="957"/>
      <c r="T130" s="958"/>
      <c r="U130" s="957"/>
      <c r="V130" s="958"/>
      <c r="W130" s="957"/>
      <c r="X130" s="958"/>
      <c r="Y130" s="957"/>
      <c r="Z130" s="958"/>
      <c r="AA130" s="957"/>
      <c r="AB130" s="959"/>
      <c r="AC130" s="1030"/>
      <c r="AD130" s="1031"/>
      <c r="AE130" s="1032"/>
    </row>
    <row r="131" spans="1:31">
      <c r="A131" s="1035">
        <v>67</v>
      </c>
      <c r="B131" s="915" t="s">
        <v>2177</v>
      </c>
      <c r="C131" s="1036"/>
      <c r="D131" s="965">
        <v>9273</v>
      </c>
      <c r="E131" s="965">
        <v>733</v>
      </c>
      <c r="F131" s="965">
        <v>664</v>
      </c>
      <c r="G131" s="965">
        <v>221</v>
      </c>
      <c r="H131" s="965">
        <v>258</v>
      </c>
      <c r="I131" s="965">
        <v>478</v>
      </c>
      <c r="J131" s="965">
        <v>388</v>
      </c>
      <c r="K131" s="965">
        <v>2530</v>
      </c>
      <c r="L131" s="965">
        <v>1649</v>
      </c>
      <c r="M131" s="1044">
        <v>0</v>
      </c>
      <c r="N131" s="1045">
        <v>0</v>
      </c>
      <c r="O131" s="1045">
        <v>0</v>
      </c>
      <c r="P131" s="1045">
        <v>0</v>
      </c>
      <c r="Q131" s="1045">
        <v>0</v>
      </c>
      <c r="R131" s="1046">
        <v>0</v>
      </c>
      <c r="S131" s="966">
        <v>0</v>
      </c>
      <c r="T131" s="966">
        <v>0</v>
      </c>
      <c r="U131" s="966">
        <v>0</v>
      </c>
      <c r="V131" s="966">
        <v>0</v>
      </c>
      <c r="W131" s="966">
        <v>0</v>
      </c>
      <c r="X131" s="966">
        <v>0</v>
      </c>
      <c r="Y131" s="966">
        <v>0</v>
      </c>
      <c r="Z131" s="966">
        <v>0</v>
      </c>
      <c r="AA131" s="966">
        <v>0</v>
      </c>
      <c r="AB131" s="966">
        <v>0</v>
      </c>
      <c r="AC131" s="1035">
        <v>13235</v>
      </c>
      <c r="AD131" s="965">
        <v>2959</v>
      </c>
      <c r="AE131" s="1037">
        <v>10276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AAH1098"/>
  <sheetViews>
    <sheetView showGridLines="0" topLeftCell="F1" zoomScaleNormal="100" workbookViewId="0">
      <pane ySplit="1" topLeftCell="A637" activePane="bottomLeft" state="frozen"/>
      <selection activeCell="M19" sqref="M19"/>
      <selection pane="bottomLeft" activeCell="M19" sqref="M19"/>
    </sheetView>
  </sheetViews>
  <sheetFormatPr defaultColWidth="9.109375" defaultRowHeight="13.8"/>
  <cols>
    <col min="1" max="1" width="5.88671875" style="132" customWidth="1"/>
    <col min="2" max="2" width="18.33203125" style="132" customWidth="1"/>
    <col min="3" max="3" width="9.6640625" style="131" customWidth="1"/>
    <col min="4" max="4" width="18.33203125" style="266" bestFit="1" customWidth="1"/>
    <col min="5" max="5" width="29" style="126" customWidth="1"/>
    <col min="6" max="6" width="6.6640625" style="406" customWidth="1"/>
    <col min="7" max="7" width="6.88671875" style="409" customWidth="1"/>
    <col min="8" max="8" width="6.6640625" style="409" customWidth="1"/>
    <col min="9" max="9" width="9.44140625" style="130" customWidth="1"/>
    <col min="10" max="10" width="28.88671875" style="129" customWidth="1"/>
    <col min="11" max="11" width="9.6640625" style="323" customWidth="1"/>
    <col min="12" max="12" width="10.109375" style="128" customWidth="1"/>
    <col min="13" max="13" width="14.5546875" style="127" bestFit="1" customWidth="1"/>
    <col min="14" max="14" width="14.33203125" style="124" bestFit="1" customWidth="1"/>
    <col min="15" max="15" width="12.6640625" style="684" bestFit="1" customWidth="1"/>
    <col min="16" max="16" width="15.44140625" style="124" customWidth="1"/>
    <col min="17" max="17" width="15.33203125" style="124" customWidth="1"/>
    <col min="18" max="18" width="11.6640625" style="130" customWidth="1"/>
    <col min="19" max="19" width="9.109375" style="126" customWidth="1"/>
    <col min="20" max="20" width="11.33203125" style="126" customWidth="1"/>
    <col min="21" max="21" width="23.6640625" style="125" customWidth="1"/>
    <col min="22" max="22" width="13" style="125" bestFit="1" customWidth="1"/>
    <col min="23" max="23" width="15.44140625" style="124" bestFit="1" customWidth="1"/>
    <col min="24" max="16384" width="9.109375" style="124"/>
  </cols>
  <sheetData>
    <row r="1" spans="1:710" s="231" customFormat="1" ht="25.5" customHeight="1">
      <c r="A1" s="233" t="s">
        <v>367</v>
      </c>
      <c r="B1" s="233" t="s">
        <v>366</v>
      </c>
      <c r="C1" s="238" t="s">
        <v>365</v>
      </c>
      <c r="D1" s="270" t="s">
        <v>2</v>
      </c>
      <c r="E1" s="236" t="s">
        <v>364</v>
      </c>
      <c r="F1" s="403" t="s">
        <v>363</v>
      </c>
      <c r="G1" s="407" t="s">
        <v>362</v>
      </c>
      <c r="H1" s="407" t="s">
        <v>361</v>
      </c>
      <c r="I1" s="235" t="s">
        <v>360</v>
      </c>
      <c r="J1" s="233" t="s">
        <v>359</v>
      </c>
      <c r="K1" s="307" t="s">
        <v>358</v>
      </c>
      <c r="L1" s="238" t="s">
        <v>357</v>
      </c>
      <c r="M1" s="237" t="s">
        <v>356</v>
      </c>
      <c r="N1" s="236" t="s">
        <v>355</v>
      </c>
      <c r="O1" s="678" t="s">
        <v>354</v>
      </c>
      <c r="P1" s="233" t="s">
        <v>353</v>
      </c>
      <c r="Q1" s="233" t="s">
        <v>352</v>
      </c>
      <c r="R1" s="235" t="s">
        <v>351</v>
      </c>
      <c r="S1" s="234" t="s">
        <v>350</v>
      </c>
      <c r="T1" s="234" t="s">
        <v>349</v>
      </c>
      <c r="U1" s="233" t="s">
        <v>348</v>
      </c>
      <c r="V1" s="246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  <c r="IV1" s="232"/>
      <c r="IW1" s="232"/>
      <c r="IX1" s="232"/>
      <c r="IY1" s="232"/>
      <c r="IZ1" s="232"/>
      <c r="JA1" s="232"/>
      <c r="JB1" s="232"/>
      <c r="JC1" s="232"/>
      <c r="JD1" s="232"/>
      <c r="JE1" s="232"/>
      <c r="JF1" s="232"/>
      <c r="JG1" s="232"/>
      <c r="JH1" s="232"/>
      <c r="JI1" s="232"/>
      <c r="JJ1" s="232"/>
      <c r="JK1" s="232"/>
      <c r="JL1" s="232"/>
      <c r="JM1" s="232"/>
      <c r="JN1" s="232"/>
      <c r="JO1" s="232"/>
      <c r="JP1" s="232"/>
      <c r="JQ1" s="232"/>
      <c r="JR1" s="232"/>
      <c r="JS1" s="232"/>
      <c r="JT1" s="232"/>
      <c r="JU1" s="232"/>
      <c r="JV1" s="232"/>
      <c r="JW1" s="232"/>
      <c r="JX1" s="232"/>
      <c r="JY1" s="232"/>
      <c r="JZ1" s="232"/>
      <c r="KA1" s="232"/>
      <c r="KB1" s="232"/>
      <c r="KC1" s="232"/>
      <c r="KD1" s="232"/>
      <c r="KE1" s="232"/>
      <c r="KF1" s="232"/>
      <c r="KG1" s="232"/>
      <c r="KH1" s="232"/>
      <c r="KI1" s="232"/>
      <c r="KJ1" s="232"/>
      <c r="KK1" s="232"/>
      <c r="KL1" s="232"/>
      <c r="KM1" s="232"/>
      <c r="KN1" s="232"/>
      <c r="KO1" s="232"/>
      <c r="KP1" s="232"/>
      <c r="KQ1" s="232"/>
      <c r="KR1" s="232"/>
      <c r="KS1" s="232"/>
      <c r="KT1" s="232"/>
      <c r="KU1" s="232"/>
      <c r="KV1" s="232"/>
      <c r="KW1" s="232"/>
      <c r="KX1" s="232"/>
      <c r="KY1" s="232"/>
      <c r="KZ1" s="232"/>
      <c r="LA1" s="232"/>
      <c r="LB1" s="232"/>
      <c r="LC1" s="232"/>
      <c r="LD1" s="232"/>
      <c r="LE1" s="232"/>
      <c r="LF1" s="232"/>
      <c r="LG1" s="232"/>
      <c r="LH1" s="232"/>
      <c r="LI1" s="232"/>
      <c r="LJ1" s="232"/>
      <c r="LK1" s="232"/>
      <c r="LL1" s="232"/>
      <c r="LM1" s="232"/>
      <c r="LN1" s="232"/>
      <c r="LO1" s="232"/>
      <c r="LP1" s="232"/>
      <c r="LQ1" s="232"/>
      <c r="LR1" s="232"/>
      <c r="LS1" s="232"/>
      <c r="LT1" s="232"/>
      <c r="LU1" s="232"/>
      <c r="LV1" s="232"/>
      <c r="LW1" s="232"/>
      <c r="LX1" s="232"/>
      <c r="LY1" s="232"/>
      <c r="LZ1" s="232"/>
      <c r="MA1" s="232"/>
      <c r="MB1" s="232"/>
      <c r="MC1" s="232"/>
      <c r="MD1" s="232"/>
      <c r="ME1" s="232"/>
      <c r="MF1" s="232"/>
      <c r="MG1" s="232"/>
      <c r="MH1" s="232"/>
      <c r="MI1" s="232"/>
      <c r="MJ1" s="232"/>
      <c r="MK1" s="232"/>
      <c r="ML1" s="232"/>
      <c r="MM1" s="232"/>
      <c r="MN1" s="232"/>
      <c r="MO1" s="232"/>
      <c r="MP1" s="232"/>
      <c r="MQ1" s="232"/>
      <c r="MR1" s="232"/>
      <c r="MS1" s="232"/>
      <c r="MT1" s="232"/>
      <c r="MU1" s="232"/>
      <c r="MV1" s="232"/>
      <c r="MW1" s="232"/>
      <c r="MX1" s="232"/>
      <c r="MY1" s="232"/>
      <c r="MZ1" s="232"/>
      <c r="NA1" s="232"/>
      <c r="NB1" s="232"/>
      <c r="NC1" s="232"/>
      <c r="ND1" s="232"/>
      <c r="NE1" s="232"/>
      <c r="NF1" s="232"/>
      <c r="NG1" s="232"/>
      <c r="NH1" s="232"/>
      <c r="NI1" s="232"/>
      <c r="NJ1" s="232"/>
      <c r="NK1" s="232"/>
      <c r="NL1" s="232"/>
      <c r="NM1" s="232"/>
      <c r="NN1" s="232"/>
      <c r="NO1" s="232"/>
      <c r="NP1" s="232"/>
      <c r="NQ1" s="232"/>
      <c r="NR1" s="232"/>
      <c r="NS1" s="232"/>
      <c r="NT1" s="232"/>
      <c r="NU1" s="232"/>
      <c r="NV1" s="232"/>
      <c r="NW1" s="232"/>
      <c r="NX1" s="232"/>
      <c r="NY1" s="232"/>
      <c r="NZ1" s="232"/>
      <c r="OA1" s="232"/>
      <c r="OB1" s="232"/>
      <c r="OC1" s="232"/>
      <c r="OD1" s="232"/>
      <c r="OE1" s="232"/>
      <c r="OF1" s="232"/>
      <c r="OG1" s="232"/>
      <c r="OH1" s="232"/>
      <c r="OI1" s="232"/>
      <c r="OJ1" s="232"/>
      <c r="OK1" s="232"/>
      <c r="OL1" s="232"/>
      <c r="OM1" s="232"/>
      <c r="ON1" s="232"/>
      <c r="OO1" s="232"/>
      <c r="OP1" s="232"/>
      <c r="OQ1" s="232"/>
      <c r="OR1" s="232"/>
      <c r="OS1" s="232"/>
      <c r="OT1" s="232"/>
      <c r="OU1" s="232"/>
      <c r="OV1" s="232"/>
      <c r="OW1" s="232"/>
      <c r="OX1" s="232"/>
      <c r="OY1" s="232"/>
      <c r="OZ1" s="232"/>
      <c r="PA1" s="232"/>
      <c r="PB1" s="232"/>
      <c r="PC1" s="232"/>
      <c r="PD1" s="232"/>
      <c r="PE1" s="232"/>
      <c r="PF1" s="232"/>
      <c r="PG1" s="232"/>
      <c r="PH1" s="232"/>
      <c r="PI1" s="232"/>
      <c r="PJ1" s="232"/>
      <c r="PK1" s="232"/>
      <c r="PL1" s="232"/>
      <c r="PM1" s="232"/>
      <c r="PN1" s="232"/>
      <c r="PO1" s="232"/>
      <c r="PP1" s="232"/>
      <c r="PQ1" s="232"/>
      <c r="PR1" s="232"/>
      <c r="PS1" s="232"/>
      <c r="PT1" s="232"/>
      <c r="PU1" s="232"/>
      <c r="PV1" s="232"/>
      <c r="PW1" s="232"/>
      <c r="PX1" s="232"/>
      <c r="PY1" s="232"/>
      <c r="PZ1" s="232"/>
      <c r="QA1" s="232"/>
      <c r="QB1" s="232"/>
      <c r="QC1" s="232"/>
      <c r="QD1" s="232"/>
      <c r="QE1" s="232"/>
      <c r="QF1" s="232"/>
      <c r="QG1" s="232"/>
      <c r="QH1" s="232"/>
      <c r="QI1" s="232"/>
      <c r="QJ1" s="232"/>
      <c r="QK1" s="232"/>
      <c r="QL1" s="232"/>
      <c r="QM1" s="232"/>
      <c r="QN1" s="232"/>
      <c r="QO1" s="232"/>
      <c r="QP1" s="232"/>
      <c r="QQ1" s="232"/>
      <c r="QR1" s="232"/>
      <c r="QS1" s="232"/>
      <c r="QT1" s="232"/>
      <c r="QU1" s="232"/>
      <c r="QV1" s="232"/>
      <c r="QW1" s="232"/>
      <c r="QX1" s="232"/>
      <c r="QY1" s="232"/>
      <c r="QZ1" s="232"/>
      <c r="RA1" s="232"/>
      <c r="RB1" s="232"/>
      <c r="RC1" s="232"/>
      <c r="RD1" s="232"/>
      <c r="RE1" s="232"/>
      <c r="RF1" s="232"/>
      <c r="RG1" s="232"/>
      <c r="RH1" s="232"/>
      <c r="RI1" s="232"/>
      <c r="RJ1" s="232"/>
      <c r="RK1" s="232"/>
      <c r="RL1" s="232"/>
      <c r="RM1" s="232"/>
      <c r="RN1" s="232"/>
      <c r="RO1" s="232"/>
      <c r="RP1" s="232"/>
      <c r="RQ1" s="232"/>
      <c r="RR1" s="232"/>
      <c r="RS1" s="232"/>
      <c r="RT1" s="232"/>
      <c r="RU1" s="232"/>
      <c r="RV1" s="232"/>
      <c r="RW1" s="232"/>
      <c r="RX1" s="232"/>
      <c r="RY1" s="232"/>
      <c r="RZ1" s="232"/>
      <c r="SA1" s="232"/>
      <c r="SB1" s="232"/>
      <c r="SC1" s="232"/>
      <c r="SD1" s="232"/>
      <c r="SE1" s="232"/>
      <c r="SF1" s="232"/>
      <c r="SG1" s="232"/>
      <c r="SH1" s="232"/>
      <c r="SI1" s="232"/>
      <c r="SJ1" s="232"/>
      <c r="SK1" s="232"/>
      <c r="SL1" s="232"/>
      <c r="SM1" s="232"/>
      <c r="SN1" s="232"/>
      <c r="SO1" s="232"/>
      <c r="SP1" s="232"/>
      <c r="SQ1" s="232"/>
      <c r="SR1" s="232"/>
      <c r="SS1" s="232"/>
      <c r="ST1" s="232"/>
      <c r="SU1" s="232"/>
      <c r="SV1" s="232"/>
      <c r="SW1" s="232"/>
      <c r="SX1" s="232"/>
      <c r="SY1" s="232"/>
      <c r="SZ1" s="232"/>
      <c r="TA1" s="232"/>
      <c r="TB1" s="232"/>
      <c r="TC1" s="232"/>
      <c r="TD1" s="232"/>
      <c r="TE1" s="232"/>
      <c r="TF1" s="232"/>
      <c r="TG1" s="232"/>
      <c r="TH1" s="232"/>
      <c r="TI1" s="232"/>
      <c r="TJ1" s="232"/>
      <c r="TK1" s="232"/>
      <c r="TL1" s="232"/>
      <c r="TM1" s="232"/>
      <c r="TN1" s="232"/>
      <c r="TO1" s="232"/>
      <c r="TP1" s="232"/>
      <c r="TQ1" s="232"/>
      <c r="TR1" s="232"/>
      <c r="TS1" s="232"/>
      <c r="TT1" s="232"/>
      <c r="TU1" s="232"/>
      <c r="TV1" s="232"/>
      <c r="TW1" s="232"/>
      <c r="TX1" s="232"/>
      <c r="TY1" s="232"/>
      <c r="TZ1" s="232"/>
      <c r="UA1" s="232"/>
      <c r="UB1" s="232"/>
      <c r="UC1" s="232"/>
      <c r="UD1" s="232"/>
      <c r="UE1" s="232"/>
      <c r="UF1" s="232"/>
      <c r="UG1" s="232"/>
      <c r="UH1" s="232"/>
      <c r="UI1" s="232"/>
      <c r="UJ1" s="232"/>
      <c r="UK1" s="232"/>
      <c r="UL1" s="232"/>
      <c r="UM1" s="232"/>
      <c r="UN1" s="232"/>
      <c r="UO1" s="232"/>
      <c r="UP1" s="232"/>
      <c r="UQ1" s="232"/>
      <c r="UR1" s="232"/>
      <c r="US1" s="232"/>
      <c r="UT1" s="232"/>
      <c r="UU1" s="232"/>
      <c r="UV1" s="232"/>
      <c r="UW1" s="232"/>
      <c r="UX1" s="232"/>
      <c r="UY1" s="232"/>
      <c r="UZ1" s="232"/>
      <c r="VA1" s="232"/>
      <c r="VB1" s="232"/>
      <c r="VC1" s="232"/>
      <c r="VD1" s="232"/>
      <c r="VE1" s="232"/>
      <c r="VF1" s="232"/>
      <c r="VG1" s="232"/>
      <c r="VH1" s="232"/>
      <c r="VI1" s="232"/>
      <c r="VJ1" s="232"/>
      <c r="VK1" s="232"/>
      <c r="VL1" s="232"/>
      <c r="VM1" s="232"/>
      <c r="VN1" s="232"/>
      <c r="VO1" s="232"/>
      <c r="VP1" s="232"/>
      <c r="VQ1" s="232"/>
      <c r="VR1" s="232"/>
      <c r="VS1" s="232"/>
      <c r="VT1" s="232"/>
      <c r="VU1" s="232"/>
      <c r="VV1" s="232"/>
      <c r="VW1" s="232"/>
      <c r="VX1" s="232"/>
      <c r="VY1" s="232"/>
      <c r="VZ1" s="232"/>
      <c r="WA1" s="232"/>
      <c r="WB1" s="232"/>
      <c r="WC1" s="232"/>
      <c r="WD1" s="232"/>
      <c r="WE1" s="232"/>
      <c r="WF1" s="232"/>
      <c r="WG1" s="232"/>
      <c r="WH1" s="232"/>
      <c r="WI1" s="232"/>
      <c r="WJ1" s="232"/>
      <c r="WK1" s="232"/>
      <c r="WL1" s="232"/>
      <c r="WM1" s="232"/>
      <c r="WN1" s="232"/>
      <c r="WO1" s="232"/>
      <c r="WP1" s="232"/>
      <c r="WQ1" s="232"/>
      <c r="WR1" s="232"/>
      <c r="WS1" s="232"/>
      <c r="WT1" s="232"/>
      <c r="WU1" s="232"/>
      <c r="WV1" s="232"/>
      <c r="WW1" s="232"/>
      <c r="WX1" s="232"/>
      <c r="WY1" s="232"/>
      <c r="WZ1" s="232"/>
      <c r="XA1" s="232"/>
      <c r="XB1" s="232"/>
      <c r="XC1" s="232"/>
      <c r="XD1" s="232"/>
      <c r="XE1" s="232"/>
      <c r="XF1" s="232"/>
      <c r="XG1" s="232"/>
      <c r="XH1" s="232"/>
      <c r="XI1" s="232"/>
      <c r="XJ1" s="232"/>
      <c r="XK1" s="232"/>
      <c r="XL1" s="232"/>
      <c r="XM1" s="232"/>
      <c r="XN1" s="232"/>
      <c r="XO1" s="232"/>
      <c r="XP1" s="232"/>
      <c r="XQ1" s="232"/>
      <c r="XR1" s="232"/>
      <c r="XS1" s="232"/>
      <c r="XT1" s="232"/>
      <c r="XU1" s="232"/>
      <c r="XV1" s="232"/>
      <c r="XW1" s="232"/>
      <c r="XX1" s="232"/>
      <c r="XY1" s="232"/>
      <c r="XZ1" s="232"/>
      <c r="YA1" s="232"/>
      <c r="YB1" s="232"/>
      <c r="YC1" s="232"/>
      <c r="YD1" s="232"/>
      <c r="YE1" s="232"/>
      <c r="YF1" s="232"/>
      <c r="YG1" s="232"/>
      <c r="YH1" s="232"/>
      <c r="YI1" s="232"/>
      <c r="YJ1" s="232"/>
      <c r="YK1" s="232"/>
      <c r="YL1" s="232"/>
      <c r="YM1" s="232"/>
      <c r="YN1" s="232"/>
      <c r="YO1" s="232"/>
      <c r="YP1" s="232"/>
      <c r="YQ1" s="232"/>
      <c r="YR1" s="232"/>
      <c r="YS1" s="232"/>
      <c r="YT1" s="232"/>
      <c r="YU1" s="232"/>
      <c r="YV1" s="232"/>
      <c r="YW1" s="232"/>
      <c r="YX1" s="232"/>
      <c r="YY1" s="232"/>
      <c r="YZ1" s="232"/>
      <c r="ZA1" s="232"/>
      <c r="ZB1" s="232"/>
      <c r="ZC1" s="232"/>
      <c r="ZD1" s="232"/>
      <c r="ZE1" s="232"/>
      <c r="ZF1" s="232"/>
      <c r="ZG1" s="232"/>
      <c r="ZH1" s="232"/>
      <c r="ZI1" s="232"/>
      <c r="ZJ1" s="232"/>
      <c r="ZK1" s="232"/>
      <c r="ZL1" s="232"/>
      <c r="ZM1" s="232"/>
      <c r="ZN1" s="232"/>
      <c r="ZO1" s="232"/>
      <c r="ZP1" s="232"/>
      <c r="ZQ1" s="232"/>
      <c r="ZR1" s="232"/>
      <c r="ZS1" s="232"/>
      <c r="ZT1" s="232"/>
      <c r="ZU1" s="232"/>
      <c r="ZV1" s="232"/>
      <c r="ZW1" s="232"/>
      <c r="ZX1" s="232"/>
      <c r="ZY1" s="232"/>
      <c r="ZZ1" s="232"/>
      <c r="AAA1" s="232"/>
      <c r="AAB1" s="232"/>
      <c r="AAC1" s="232"/>
      <c r="AAD1" s="232"/>
      <c r="AAE1" s="232"/>
      <c r="AAF1" s="232"/>
      <c r="AAG1" s="232"/>
      <c r="AAH1" s="232"/>
    </row>
    <row r="2" spans="1:710" s="135" customFormat="1" ht="15" hidden="1" customHeight="1">
      <c r="A2" s="419">
        <v>1</v>
      </c>
      <c r="B2" s="206">
        <v>3688</v>
      </c>
      <c r="C2" s="215"/>
      <c r="D2" s="210" t="s">
        <v>90</v>
      </c>
      <c r="E2" s="602" t="s">
        <v>417</v>
      </c>
      <c r="F2" s="357">
        <v>1</v>
      </c>
      <c r="G2" s="193">
        <v>1</v>
      </c>
      <c r="H2" s="380">
        <f t="shared" ref="H2:H33" si="0">F2-G2</f>
        <v>0</v>
      </c>
      <c r="I2" s="177">
        <v>42737</v>
      </c>
      <c r="J2" s="363" t="s">
        <v>418</v>
      </c>
      <c r="K2" s="557">
        <v>296</v>
      </c>
      <c r="L2" s="177">
        <v>42736</v>
      </c>
      <c r="M2" s="378">
        <v>275</v>
      </c>
      <c r="N2" s="603">
        <f t="shared" ref="N2:N19" si="1">IFERROR(M2*G2,0)</f>
        <v>275</v>
      </c>
      <c r="O2" s="559" t="s">
        <v>419</v>
      </c>
      <c r="P2" s="559" t="s">
        <v>420</v>
      </c>
      <c r="Q2" s="559" t="s">
        <v>421</v>
      </c>
      <c r="R2" s="242" t="s">
        <v>908</v>
      </c>
      <c r="S2" s="559" t="s">
        <v>422</v>
      </c>
      <c r="T2" s="559" t="s">
        <v>423</v>
      </c>
      <c r="U2" s="67"/>
      <c r="V2" s="418"/>
      <c r="W2" s="276"/>
    </row>
    <row r="3" spans="1:710" s="135" customFormat="1" ht="15" hidden="1" customHeight="1">
      <c r="A3" s="306">
        <v>2</v>
      </c>
      <c r="B3" s="206"/>
      <c r="C3" s="215"/>
      <c r="D3" s="186" t="s">
        <v>226</v>
      </c>
      <c r="E3" s="350" t="s">
        <v>944</v>
      </c>
      <c r="F3" s="357">
        <v>8</v>
      </c>
      <c r="G3" s="193">
        <v>8</v>
      </c>
      <c r="H3" s="614">
        <f t="shared" si="0"/>
        <v>0</v>
      </c>
      <c r="I3" s="177">
        <v>42737</v>
      </c>
      <c r="J3" s="363" t="s">
        <v>424</v>
      </c>
      <c r="K3" s="240">
        <v>236</v>
      </c>
      <c r="L3" s="177">
        <v>42717</v>
      </c>
      <c r="M3" s="164">
        <v>150</v>
      </c>
      <c r="N3" s="603">
        <f t="shared" si="1"/>
        <v>1200</v>
      </c>
      <c r="O3" s="559" t="s">
        <v>425</v>
      </c>
      <c r="P3" s="559" t="s">
        <v>425</v>
      </c>
      <c r="Q3" s="559"/>
      <c r="R3" s="242" t="s">
        <v>908</v>
      </c>
      <c r="S3" s="559" t="s">
        <v>422</v>
      </c>
      <c r="T3" s="559" t="s">
        <v>423</v>
      </c>
      <c r="U3" s="600"/>
      <c r="V3" s="418"/>
      <c r="W3" s="276"/>
    </row>
    <row r="4" spans="1:710" s="135" customFormat="1" ht="15" hidden="1" customHeight="1">
      <c r="A4" s="306">
        <v>3</v>
      </c>
      <c r="B4" s="206"/>
      <c r="C4" s="215"/>
      <c r="D4" s="186" t="s">
        <v>226</v>
      </c>
      <c r="E4" s="350" t="s">
        <v>944</v>
      </c>
      <c r="F4" s="357">
        <v>2</v>
      </c>
      <c r="G4" s="193">
        <v>2</v>
      </c>
      <c r="H4" s="614">
        <f t="shared" si="0"/>
        <v>0</v>
      </c>
      <c r="I4" s="177">
        <v>42737</v>
      </c>
      <c r="J4" s="363" t="s">
        <v>426</v>
      </c>
      <c r="K4" s="240">
        <v>290</v>
      </c>
      <c r="L4" s="177">
        <v>42733</v>
      </c>
      <c r="M4" s="164">
        <v>150</v>
      </c>
      <c r="N4" s="603">
        <f t="shared" si="1"/>
        <v>300</v>
      </c>
      <c r="O4" s="559" t="s">
        <v>425</v>
      </c>
      <c r="P4" s="559" t="s">
        <v>425</v>
      </c>
      <c r="Q4" s="559" t="s">
        <v>427</v>
      </c>
      <c r="R4" s="242" t="s">
        <v>908</v>
      </c>
      <c r="S4" s="559" t="s">
        <v>422</v>
      </c>
      <c r="T4" s="559" t="s">
        <v>423</v>
      </c>
      <c r="U4" s="600"/>
      <c r="V4" s="418"/>
      <c r="W4" s="276"/>
    </row>
    <row r="5" spans="1:710" s="135" customFormat="1" ht="15" hidden="1" customHeight="1">
      <c r="A5" s="306">
        <v>4</v>
      </c>
      <c r="B5" s="206" t="s">
        <v>428</v>
      </c>
      <c r="C5" s="215"/>
      <c r="D5" s="613" t="s">
        <v>219</v>
      </c>
      <c r="E5" s="559" t="s">
        <v>429</v>
      </c>
      <c r="F5" s="357">
        <v>5</v>
      </c>
      <c r="G5" s="193">
        <v>5</v>
      </c>
      <c r="H5" s="614">
        <f t="shared" si="0"/>
        <v>0</v>
      </c>
      <c r="I5" s="177">
        <v>42738</v>
      </c>
      <c r="J5" s="363" t="s">
        <v>430</v>
      </c>
      <c r="K5" s="240">
        <v>317</v>
      </c>
      <c r="L5" s="213">
        <v>42737</v>
      </c>
      <c r="M5" s="378">
        <v>2200</v>
      </c>
      <c r="N5" s="603">
        <f t="shared" si="1"/>
        <v>11000</v>
      </c>
      <c r="O5" s="559" t="s">
        <v>419</v>
      </c>
      <c r="P5" s="559" t="s">
        <v>431</v>
      </c>
      <c r="Q5" s="559" t="s">
        <v>432</v>
      </c>
      <c r="R5" s="242" t="s">
        <v>908</v>
      </c>
      <c r="S5" s="559" t="s">
        <v>422</v>
      </c>
      <c r="T5" s="559" t="s">
        <v>423</v>
      </c>
      <c r="U5" s="64"/>
      <c r="V5" s="354"/>
      <c r="W5" s="169"/>
    </row>
    <row r="6" spans="1:710" s="135" customFormat="1" ht="15" hidden="1" customHeight="1">
      <c r="A6" s="306">
        <v>5</v>
      </c>
      <c r="B6" s="206"/>
      <c r="C6" s="215"/>
      <c r="D6" s="611" t="s">
        <v>77</v>
      </c>
      <c r="E6" s="601" t="s">
        <v>76</v>
      </c>
      <c r="F6" s="357">
        <v>1</v>
      </c>
      <c r="G6" s="193">
        <v>1</v>
      </c>
      <c r="H6" s="380">
        <f t="shared" si="0"/>
        <v>0</v>
      </c>
      <c r="I6" s="177">
        <v>42738</v>
      </c>
      <c r="J6" s="159" t="s">
        <v>433</v>
      </c>
      <c r="K6" s="557">
        <v>316</v>
      </c>
      <c r="L6" s="213">
        <v>42737</v>
      </c>
      <c r="M6" s="378">
        <v>890</v>
      </c>
      <c r="N6" s="603">
        <f t="shared" si="1"/>
        <v>890</v>
      </c>
      <c r="O6" s="559" t="s">
        <v>419</v>
      </c>
      <c r="P6" s="559" t="s">
        <v>420</v>
      </c>
      <c r="Q6" s="559"/>
      <c r="R6" s="242" t="s">
        <v>908</v>
      </c>
      <c r="S6" s="559" t="s">
        <v>422</v>
      </c>
      <c r="T6" s="559" t="s">
        <v>423</v>
      </c>
      <c r="U6" s="64"/>
      <c r="V6" s="354"/>
      <c r="W6" s="169"/>
    </row>
    <row r="7" spans="1:710" s="135" customFormat="1" ht="15" hidden="1" customHeight="1">
      <c r="A7" s="306">
        <v>6</v>
      </c>
      <c r="B7" s="206" t="s">
        <v>434</v>
      </c>
      <c r="C7" s="215"/>
      <c r="D7" s="611" t="s">
        <v>224</v>
      </c>
      <c r="E7" s="350" t="s">
        <v>941</v>
      </c>
      <c r="F7" s="357">
        <v>80</v>
      </c>
      <c r="G7" s="193">
        <v>80</v>
      </c>
      <c r="H7" s="380">
        <f t="shared" si="0"/>
        <v>0</v>
      </c>
      <c r="I7" s="177">
        <v>42739</v>
      </c>
      <c r="J7" s="174" t="s">
        <v>435</v>
      </c>
      <c r="K7" s="557">
        <v>267</v>
      </c>
      <c r="L7" s="177">
        <v>42725</v>
      </c>
      <c r="M7" s="378">
        <v>90</v>
      </c>
      <c r="N7" s="603">
        <f t="shared" si="1"/>
        <v>7200</v>
      </c>
      <c r="O7" s="559" t="s">
        <v>419</v>
      </c>
      <c r="P7" s="559" t="s">
        <v>431</v>
      </c>
      <c r="Q7" s="168" t="s">
        <v>436</v>
      </c>
      <c r="R7" s="242" t="s">
        <v>908</v>
      </c>
      <c r="S7" s="559" t="s">
        <v>422</v>
      </c>
      <c r="T7" s="559" t="s">
        <v>423</v>
      </c>
      <c r="U7" s="64"/>
      <c r="V7" s="354"/>
      <c r="W7" s="169"/>
    </row>
    <row r="8" spans="1:710" s="135" customFormat="1" ht="15" hidden="1" customHeight="1">
      <c r="A8" s="306">
        <v>7</v>
      </c>
      <c r="B8" s="206" t="s">
        <v>437</v>
      </c>
      <c r="C8" s="215"/>
      <c r="D8" s="601" t="s">
        <v>60</v>
      </c>
      <c r="E8" s="559" t="s">
        <v>438</v>
      </c>
      <c r="F8" s="357">
        <v>10</v>
      </c>
      <c r="G8" s="193">
        <v>10</v>
      </c>
      <c r="H8" s="380">
        <f t="shared" si="0"/>
        <v>0</v>
      </c>
      <c r="I8" s="177">
        <v>42739</v>
      </c>
      <c r="J8" s="174" t="s">
        <v>435</v>
      </c>
      <c r="K8" s="557">
        <v>268</v>
      </c>
      <c r="L8" s="177">
        <v>42725</v>
      </c>
      <c r="M8" s="378">
        <v>1350</v>
      </c>
      <c r="N8" s="603">
        <f t="shared" si="1"/>
        <v>13500</v>
      </c>
      <c r="O8" s="559" t="s">
        <v>419</v>
      </c>
      <c r="P8" s="559" t="s">
        <v>431</v>
      </c>
      <c r="Q8" s="168" t="s">
        <v>436</v>
      </c>
      <c r="R8" s="242" t="s">
        <v>908</v>
      </c>
      <c r="S8" s="559" t="s">
        <v>422</v>
      </c>
      <c r="T8" s="559" t="s">
        <v>423</v>
      </c>
      <c r="U8" s="64"/>
      <c r="V8" s="418"/>
      <c r="W8" s="276"/>
    </row>
    <row r="9" spans="1:710" s="135" customFormat="1" ht="15" hidden="1" customHeight="1">
      <c r="A9" s="306">
        <v>8</v>
      </c>
      <c r="B9" s="206">
        <v>4501348353</v>
      </c>
      <c r="C9" s="215"/>
      <c r="D9" s="356" t="s">
        <v>71</v>
      </c>
      <c r="E9" s="602" t="s">
        <v>65</v>
      </c>
      <c r="F9" s="357">
        <v>2</v>
      </c>
      <c r="G9" s="193">
        <v>2</v>
      </c>
      <c r="H9" s="614">
        <f t="shared" si="0"/>
        <v>0</v>
      </c>
      <c r="I9" s="177">
        <v>42740</v>
      </c>
      <c r="J9" s="174" t="s">
        <v>439</v>
      </c>
      <c r="K9" s="557">
        <v>324</v>
      </c>
      <c r="L9" s="177">
        <v>42739</v>
      </c>
      <c r="M9" s="378">
        <v>3100</v>
      </c>
      <c r="N9" s="603">
        <f t="shared" si="1"/>
        <v>6200</v>
      </c>
      <c r="O9" s="559" t="s">
        <v>419</v>
      </c>
      <c r="P9" s="168" t="s">
        <v>420</v>
      </c>
      <c r="Q9" s="168"/>
      <c r="R9" s="242"/>
      <c r="S9" s="559" t="s">
        <v>422</v>
      </c>
      <c r="T9" s="559" t="s">
        <v>423</v>
      </c>
      <c r="U9" s="600"/>
      <c r="V9" s="418"/>
      <c r="W9" s="276"/>
    </row>
    <row r="10" spans="1:710" s="135" customFormat="1" ht="15" hidden="1" customHeight="1">
      <c r="A10" s="306">
        <v>9</v>
      </c>
      <c r="B10" s="206">
        <v>4501348353</v>
      </c>
      <c r="C10" s="215"/>
      <c r="D10" s="418" t="s">
        <v>31</v>
      </c>
      <c r="E10" s="559" t="s">
        <v>28</v>
      </c>
      <c r="F10" s="357">
        <v>2</v>
      </c>
      <c r="G10" s="193">
        <v>2</v>
      </c>
      <c r="H10" s="614">
        <f t="shared" si="0"/>
        <v>0</v>
      </c>
      <c r="I10" s="177">
        <v>42740</v>
      </c>
      <c r="J10" s="174" t="s">
        <v>439</v>
      </c>
      <c r="K10" s="240">
        <v>3214</v>
      </c>
      <c r="L10" s="177">
        <v>42739</v>
      </c>
      <c r="M10" s="164">
        <v>0</v>
      </c>
      <c r="N10" s="156">
        <f t="shared" si="1"/>
        <v>0</v>
      </c>
      <c r="O10" s="559" t="s">
        <v>419</v>
      </c>
      <c r="P10" s="168" t="s">
        <v>420</v>
      </c>
      <c r="Q10" s="559"/>
      <c r="R10" s="242"/>
      <c r="S10" s="559" t="s">
        <v>422</v>
      </c>
      <c r="T10" s="559" t="s">
        <v>423</v>
      </c>
      <c r="U10" s="67"/>
      <c r="V10" s="418"/>
      <c r="W10" s="276"/>
    </row>
    <row r="11" spans="1:710" s="135" customFormat="1" ht="15" hidden="1" customHeight="1">
      <c r="A11" s="306">
        <v>10</v>
      </c>
      <c r="B11" s="206"/>
      <c r="C11" s="215"/>
      <c r="D11" s="601" t="s">
        <v>60</v>
      </c>
      <c r="E11" s="559" t="s">
        <v>438</v>
      </c>
      <c r="F11" s="357">
        <v>1</v>
      </c>
      <c r="G11" s="193">
        <v>1</v>
      </c>
      <c r="H11" s="614">
        <f t="shared" si="0"/>
        <v>0</v>
      </c>
      <c r="I11" s="177">
        <v>42740</v>
      </c>
      <c r="J11" s="363" t="s">
        <v>440</v>
      </c>
      <c r="K11" s="240">
        <v>328</v>
      </c>
      <c r="L11" s="358">
        <v>42741</v>
      </c>
      <c r="M11" s="378">
        <v>1280</v>
      </c>
      <c r="N11" s="603">
        <f t="shared" si="1"/>
        <v>1280</v>
      </c>
      <c r="O11" s="559" t="s">
        <v>425</v>
      </c>
      <c r="P11" s="559" t="s">
        <v>425</v>
      </c>
      <c r="Q11" s="559" t="s">
        <v>441</v>
      </c>
      <c r="R11" s="177" t="s">
        <v>908</v>
      </c>
      <c r="S11" s="559" t="s">
        <v>422</v>
      </c>
      <c r="T11" s="559" t="s">
        <v>423</v>
      </c>
      <c r="U11" s="67"/>
      <c r="V11" s="418"/>
      <c r="W11" s="276"/>
    </row>
    <row r="12" spans="1:710" s="135" customFormat="1" ht="15" hidden="1" customHeight="1">
      <c r="A12" s="306">
        <v>11</v>
      </c>
      <c r="B12" s="206" t="s">
        <v>445</v>
      </c>
      <c r="C12" s="215"/>
      <c r="D12" s="558" t="s">
        <v>71</v>
      </c>
      <c r="E12" s="350" t="s">
        <v>65</v>
      </c>
      <c r="F12" s="182">
        <v>2</v>
      </c>
      <c r="G12" s="214">
        <v>2</v>
      </c>
      <c r="H12" s="614">
        <f t="shared" si="0"/>
        <v>0</v>
      </c>
      <c r="I12" s="177">
        <v>42744</v>
      </c>
      <c r="J12" s="159" t="s">
        <v>442</v>
      </c>
      <c r="K12" s="557">
        <v>329</v>
      </c>
      <c r="L12" s="358">
        <v>42743</v>
      </c>
      <c r="M12" s="207">
        <v>1950</v>
      </c>
      <c r="N12" s="615">
        <f t="shared" si="1"/>
        <v>3900</v>
      </c>
      <c r="O12" s="559" t="s">
        <v>419</v>
      </c>
      <c r="P12" s="559" t="s">
        <v>443</v>
      </c>
      <c r="Q12" s="559"/>
      <c r="R12" s="242" t="s">
        <v>908</v>
      </c>
      <c r="S12" s="559" t="s">
        <v>422</v>
      </c>
      <c r="T12" s="559" t="s">
        <v>423</v>
      </c>
      <c r="U12" s="354"/>
      <c r="V12" s="418"/>
      <c r="W12" s="276"/>
    </row>
    <row r="13" spans="1:710" s="135" customFormat="1" ht="15" hidden="1" customHeight="1">
      <c r="A13" s="306">
        <v>12</v>
      </c>
      <c r="B13" s="206" t="s">
        <v>445</v>
      </c>
      <c r="C13" s="359"/>
      <c r="D13" s="263" t="s">
        <v>52</v>
      </c>
      <c r="E13" s="367" t="s">
        <v>50</v>
      </c>
      <c r="F13" s="182">
        <v>2</v>
      </c>
      <c r="G13" s="193">
        <v>2</v>
      </c>
      <c r="H13" s="614">
        <f t="shared" si="0"/>
        <v>0</v>
      </c>
      <c r="I13" s="177">
        <v>42744</v>
      </c>
      <c r="J13" s="606" t="s">
        <v>442</v>
      </c>
      <c r="K13" s="240">
        <v>329</v>
      </c>
      <c r="L13" s="358">
        <v>42743</v>
      </c>
      <c r="M13" s="207">
        <v>1390</v>
      </c>
      <c r="N13" s="615">
        <f t="shared" si="1"/>
        <v>2780</v>
      </c>
      <c r="O13" s="559" t="s">
        <v>419</v>
      </c>
      <c r="P13" s="559" t="s">
        <v>443</v>
      </c>
      <c r="Q13" s="559"/>
      <c r="R13" s="360" t="s">
        <v>908</v>
      </c>
      <c r="S13" s="559" t="s">
        <v>422</v>
      </c>
      <c r="T13" s="559" t="s">
        <v>423</v>
      </c>
      <c r="U13" s="354"/>
      <c r="V13" s="418"/>
      <c r="W13" s="282"/>
    </row>
    <row r="14" spans="1:710" s="135" customFormat="1" ht="15" hidden="1" customHeight="1">
      <c r="A14" s="306">
        <v>13</v>
      </c>
      <c r="B14" s="206" t="s">
        <v>445</v>
      </c>
      <c r="C14" s="359"/>
      <c r="D14" s="187" t="s">
        <v>246</v>
      </c>
      <c r="E14" s="600" t="s">
        <v>258</v>
      </c>
      <c r="F14" s="182">
        <v>1</v>
      </c>
      <c r="G14" s="193">
        <v>1</v>
      </c>
      <c r="H14" s="380">
        <f t="shared" si="0"/>
        <v>0</v>
      </c>
      <c r="I14" s="177">
        <v>42744</v>
      </c>
      <c r="J14" s="159" t="s">
        <v>442</v>
      </c>
      <c r="K14" s="557">
        <v>329</v>
      </c>
      <c r="L14" s="358">
        <v>42743</v>
      </c>
      <c r="M14" s="207">
        <v>6910</v>
      </c>
      <c r="N14" s="615">
        <f t="shared" si="1"/>
        <v>6910</v>
      </c>
      <c r="O14" s="559" t="s">
        <v>419</v>
      </c>
      <c r="P14" s="559" t="s">
        <v>443</v>
      </c>
      <c r="Q14" s="559"/>
      <c r="R14" s="360" t="s">
        <v>908</v>
      </c>
      <c r="S14" s="559" t="s">
        <v>422</v>
      </c>
      <c r="T14" s="559" t="s">
        <v>423</v>
      </c>
      <c r="U14" s="354"/>
      <c r="V14" s="418"/>
      <c r="W14" s="209"/>
    </row>
    <row r="15" spans="1:710" s="135" customFormat="1" ht="15" hidden="1" customHeight="1">
      <c r="A15" s="306">
        <v>14</v>
      </c>
      <c r="B15" s="206" t="s">
        <v>445</v>
      </c>
      <c r="C15" s="228"/>
      <c r="D15" s="187" t="s">
        <v>248</v>
      </c>
      <c r="E15" s="600" t="s">
        <v>260</v>
      </c>
      <c r="F15" s="182">
        <v>2</v>
      </c>
      <c r="G15" s="193">
        <v>2</v>
      </c>
      <c r="H15" s="614">
        <f t="shared" si="0"/>
        <v>0</v>
      </c>
      <c r="I15" s="177">
        <v>42744</v>
      </c>
      <c r="J15" s="159" t="s">
        <v>442</v>
      </c>
      <c r="K15" s="557">
        <v>329</v>
      </c>
      <c r="L15" s="358">
        <v>42743</v>
      </c>
      <c r="M15" s="256">
        <v>2135</v>
      </c>
      <c r="N15" s="173">
        <f t="shared" si="1"/>
        <v>4270</v>
      </c>
      <c r="O15" s="559" t="s">
        <v>419</v>
      </c>
      <c r="P15" s="559" t="s">
        <v>443</v>
      </c>
      <c r="Q15" s="559"/>
      <c r="R15" s="360" t="s">
        <v>908</v>
      </c>
      <c r="S15" s="559" t="s">
        <v>422</v>
      </c>
      <c r="T15" s="195" t="s">
        <v>423</v>
      </c>
      <c r="U15" s="354"/>
      <c r="V15" s="418"/>
      <c r="W15" s="282"/>
    </row>
    <row r="16" spans="1:710" s="135" customFormat="1" ht="15" hidden="1" customHeight="1">
      <c r="A16" s="306">
        <v>15</v>
      </c>
      <c r="B16" s="361">
        <v>1012</v>
      </c>
      <c r="C16" s="359"/>
      <c r="D16" s="263" t="s">
        <v>64</v>
      </c>
      <c r="E16" s="367" t="s">
        <v>63</v>
      </c>
      <c r="F16" s="182">
        <v>1</v>
      </c>
      <c r="G16" s="614">
        <v>1</v>
      </c>
      <c r="H16" s="380">
        <f t="shared" si="0"/>
        <v>0</v>
      </c>
      <c r="I16" s="177">
        <v>42744</v>
      </c>
      <c r="J16" s="120" t="s">
        <v>444</v>
      </c>
      <c r="K16" s="240">
        <v>335</v>
      </c>
      <c r="L16" s="226">
        <v>42744</v>
      </c>
      <c r="M16" s="207">
        <v>2246</v>
      </c>
      <c r="N16" s="615">
        <f t="shared" si="1"/>
        <v>2246</v>
      </c>
      <c r="O16" s="559" t="s">
        <v>419</v>
      </c>
      <c r="P16" s="559" t="s">
        <v>443</v>
      </c>
      <c r="Q16" s="559"/>
      <c r="R16" s="360" t="s">
        <v>908</v>
      </c>
      <c r="S16" s="559" t="s">
        <v>422</v>
      </c>
      <c r="T16" s="559" t="s">
        <v>423</v>
      </c>
      <c r="U16" s="354"/>
      <c r="V16" s="418"/>
      <c r="W16" s="282"/>
    </row>
    <row r="17" spans="1:23" s="135" customFormat="1" ht="15" hidden="1" customHeight="1">
      <c r="A17" s="306">
        <v>16</v>
      </c>
      <c r="B17" s="361"/>
      <c r="C17" s="359"/>
      <c r="D17" s="263" t="s">
        <v>71</v>
      </c>
      <c r="E17" s="350" t="s">
        <v>65</v>
      </c>
      <c r="F17" s="182">
        <v>1</v>
      </c>
      <c r="G17" s="614">
        <v>1</v>
      </c>
      <c r="H17" s="614">
        <f t="shared" si="0"/>
        <v>0</v>
      </c>
      <c r="I17" s="362">
        <v>42743</v>
      </c>
      <c r="J17" s="326" t="s">
        <v>433</v>
      </c>
      <c r="K17" s="240">
        <v>333</v>
      </c>
      <c r="L17" s="230">
        <v>42743</v>
      </c>
      <c r="M17" s="170">
        <v>1980</v>
      </c>
      <c r="N17" s="615">
        <f t="shared" si="1"/>
        <v>1980</v>
      </c>
      <c r="O17" s="559" t="s">
        <v>425</v>
      </c>
      <c r="P17" s="559" t="s">
        <v>425</v>
      </c>
      <c r="Q17" s="559"/>
      <c r="R17" s="360" t="s">
        <v>908</v>
      </c>
      <c r="S17" s="559" t="s">
        <v>422</v>
      </c>
      <c r="T17" s="559" t="s">
        <v>423</v>
      </c>
      <c r="U17" s="354"/>
      <c r="V17" s="418"/>
      <c r="W17" s="282"/>
    </row>
    <row r="18" spans="1:23" s="135" customFormat="1" ht="15" hidden="1" customHeight="1">
      <c r="A18" s="306">
        <v>17</v>
      </c>
      <c r="B18" s="361"/>
      <c r="C18" s="359"/>
      <c r="D18" s="263" t="s">
        <v>64</v>
      </c>
      <c r="E18" s="601" t="s">
        <v>63</v>
      </c>
      <c r="F18" s="182">
        <v>1</v>
      </c>
      <c r="G18" s="614">
        <v>1</v>
      </c>
      <c r="H18" s="380">
        <f t="shared" si="0"/>
        <v>0</v>
      </c>
      <c r="I18" s="362">
        <v>42745</v>
      </c>
      <c r="J18" s="326" t="s">
        <v>446</v>
      </c>
      <c r="K18" s="240">
        <v>336</v>
      </c>
      <c r="L18" s="226">
        <v>42745</v>
      </c>
      <c r="M18" s="207">
        <v>2260</v>
      </c>
      <c r="N18" s="173">
        <f t="shared" si="1"/>
        <v>2260</v>
      </c>
      <c r="O18" s="559" t="s">
        <v>425</v>
      </c>
      <c r="P18" s="559" t="s">
        <v>425</v>
      </c>
      <c r="Q18" s="559"/>
      <c r="R18" s="360" t="s">
        <v>908</v>
      </c>
      <c r="S18" s="559" t="s">
        <v>422</v>
      </c>
      <c r="T18" s="559" t="s">
        <v>423</v>
      </c>
      <c r="U18" s="354"/>
      <c r="V18" s="418"/>
      <c r="W18" s="282"/>
    </row>
    <row r="19" spans="1:23" s="135" customFormat="1" ht="15" hidden="1" customHeight="1">
      <c r="A19" s="306">
        <v>18</v>
      </c>
      <c r="B19" s="361"/>
      <c r="C19" s="359"/>
      <c r="D19" s="558" t="s">
        <v>939</v>
      </c>
      <c r="E19" s="154" t="s">
        <v>940</v>
      </c>
      <c r="F19" s="357">
        <v>80</v>
      </c>
      <c r="G19" s="614">
        <v>80</v>
      </c>
      <c r="H19" s="614">
        <f t="shared" si="0"/>
        <v>0</v>
      </c>
      <c r="I19" s="362">
        <v>42745</v>
      </c>
      <c r="J19" s="326" t="s">
        <v>447</v>
      </c>
      <c r="K19" s="308">
        <v>334</v>
      </c>
      <c r="L19" s="358">
        <v>42743</v>
      </c>
      <c r="M19" s="207">
        <f>85</f>
        <v>85</v>
      </c>
      <c r="N19" s="615">
        <f t="shared" si="1"/>
        <v>6800</v>
      </c>
      <c r="O19" s="559" t="s">
        <v>419</v>
      </c>
      <c r="P19" s="559" t="s">
        <v>612</v>
      </c>
      <c r="Q19" s="559"/>
      <c r="R19" s="362" t="s">
        <v>908</v>
      </c>
      <c r="S19" s="559" t="s">
        <v>422</v>
      </c>
      <c r="T19" s="559" t="s">
        <v>423</v>
      </c>
      <c r="U19" s="354"/>
      <c r="V19" s="418"/>
      <c r="W19" s="282"/>
    </row>
    <row r="20" spans="1:23" s="135" customFormat="1" ht="15" hidden="1" customHeight="1">
      <c r="A20" s="306">
        <v>19</v>
      </c>
      <c r="B20" s="361" t="s">
        <v>464</v>
      </c>
      <c r="C20" s="359"/>
      <c r="D20" s="326" t="s">
        <v>453</v>
      </c>
      <c r="E20" s="331" t="s">
        <v>465</v>
      </c>
      <c r="F20" s="357">
        <v>1</v>
      </c>
      <c r="G20" s="614">
        <v>1</v>
      </c>
      <c r="H20" s="614">
        <f t="shared" si="0"/>
        <v>0</v>
      </c>
      <c r="I20" s="362">
        <v>42746</v>
      </c>
      <c r="J20" s="326" t="s">
        <v>466</v>
      </c>
      <c r="K20" s="329">
        <v>338</v>
      </c>
      <c r="L20" s="332">
        <v>42745</v>
      </c>
      <c r="M20" s="330">
        <v>1592</v>
      </c>
      <c r="N20" s="328">
        <v>1592</v>
      </c>
      <c r="O20" s="559" t="s">
        <v>419</v>
      </c>
      <c r="P20" s="559" t="s">
        <v>467</v>
      </c>
      <c r="Q20" s="559" t="s">
        <v>468</v>
      </c>
      <c r="R20" s="360" t="s">
        <v>908</v>
      </c>
      <c r="S20" s="559" t="s">
        <v>422</v>
      </c>
      <c r="T20" s="559" t="s">
        <v>423</v>
      </c>
      <c r="U20" s="354"/>
      <c r="V20" s="418"/>
      <c r="W20" s="282"/>
    </row>
    <row r="21" spans="1:23" s="135" customFormat="1" ht="15" hidden="1" customHeight="1">
      <c r="A21" s="306">
        <v>20</v>
      </c>
      <c r="B21" s="361" t="s">
        <v>464</v>
      </c>
      <c r="C21" s="359"/>
      <c r="D21" s="326" t="s">
        <v>285</v>
      </c>
      <c r="E21" s="331" t="s">
        <v>469</v>
      </c>
      <c r="F21" s="357">
        <v>1</v>
      </c>
      <c r="G21" s="614">
        <v>1</v>
      </c>
      <c r="H21" s="380">
        <f t="shared" si="0"/>
        <v>0</v>
      </c>
      <c r="I21" s="362">
        <v>42746</v>
      </c>
      <c r="J21" s="326" t="s">
        <v>466</v>
      </c>
      <c r="K21" s="557">
        <v>338</v>
      </c>
      <c r="L21" s="332">
        <v>42745</v>
      </c>
      <c r="M21" s="378">
        <v>17312</v>
      </c>
      <c r="N21" s="603">
        <v>17312</v>
      </c>
      <c r="O21" s="559" t="s">
        <v>419</v>
      </c>
      <c r="P21" s="559" t="s">
        <v>467</v>
      </c>
      <c r="Q21" s="559" t="s">
        <v>468</v>
      </c>
      <c r="R21" s="360" t="s">
        <v>908</v>
      </c>
      <c r="S21" s="559" t="s">
        <v>422</v>
      </c>
      <c r="T21" s="559" t="s">
        <v>423</v>
      </c>
      <c r="U21" s="354"/>
      <c r="V21" s="418"/>
      <c r="W21" s="209"/>
    </row>
    <row r="22" spans="1:23" s="135" customFormat="1" ht="15" hidden="1" customHeight="1">
      <c r="A22" s="306">
        <v>21</v>
      </c>
      <c r="B22" s="361"/>
      <c r="C22" s="359"/>
      <c r="D22" s="611" t="s">
        <v>49</v>
      </c>
      <c r="E22" s="418" t="s">
        <v>48</v>
      </c>
      <c r="F22" s="357">
        <v>3</v>
      </c>
      <c r="G22" s="614">
        <v>3</v>
      </c>
      <c r="H22" s="614">
        <f t="shared" si="0"/>
        <v>0</v>
      </c>
      <c r="I22" s="362">
        <v>42746</v>
      </c>
      <c r="J22" s="606" t="s">
        <v>470</v>
      </c>
      <c r="K22" s="329">
        <v>337</v>
      </c>
      <c r="L22" s="332">
        <v>42745</v>
      </c>
      <c r="M22" s="330">
        <v>8700</v>
      </c>
      <c r="N22" s="603">
        <v>26100</v>
      </c>
      <c r="O22" s="559" t="s">
        <v>419</v>
      </c>
      <c r="P22" s="559" t="s">
        <v>467</v>
      </c>
      <c r="Q22" s="559" t="s">
        <v>471</v>
      </c>
      <c r="R22" s="360" t="s">
        <v>908</v>
      </c>
      <c r="S22" s="559" t="s">
        <v>422</v>
      </c>
      <c r="T22" s="559" t="s">
        <v>423</v>
      </c>
      <c r="U22" s="354"/>
      <c r="V22" s="418"/>
      <c r="W22" s="209"/>
    </row>
    <row r="23" spans="1:23" s="135" customFormat="1" ht="15" hidden="1" customHeight="1">
      <c r="A23" s="306">
        <v>22</v>
      </c>
      <c r="B23" s="361"/>
      <c r="C23" s="359"/>
      <c r="D23" s="611" t="s">
        <v>70</v>
      </c>
      <c r="E23" s="601" t="s">
        <v>69</v>
      </c>
      <c r="F23" s="357">
        <v>5</v>
      </c>
      <c r="G23" s="614">
        <v>5</v>
      </c>
      <c r="H23" s="380">
        <f t="shared" si="0"/>
        <v>0</v>
      </c>
      <c r="I23" s="362">
        <v>42746</v>
      </c>
      <c r="J23" s="606" t="s">
        <v>470</v>
      </c>
      <c r="K23" s="329">
        <v>337</v>
      </c>
      <c r="L23" s="332">
        <v>42745</v>
      </c>
      <c r="M23" s="378">
        <v>14300</v>
      </c>
      <c r="N23" s="603">
        <v>71500</v>
      </c>
      <c r="O23" s="559" t="s">
        <v>419</v>
      </c>
      <c r="P23" s="559" t="s">
        <v>467</v>
      </c>
      <c r="Q23" s="559" t="s">
        <v>471</v>
      </c>
      <c r="R23" s="360" t="s">
        <v>908</v>
      </c>
      <c r="S23" s="559" t="s">
        <v>422</v>
      </c>
      <c r="T23" s="559" t="s">
        <v>423</v>
      </c>
      <c r="U23" s="354"/>
      <c r="V23" s="418"/>
      <c r="W23" s="282"/>
    </row>
    <row r="24" spans="1:23" s="135" customFormat="1" ht="15" hidden="1" customHeight="1">
      <c r="A24" s="306">
        <v>23</v>
      </c>
      <c r="B24" s="229"/>
      <c r="C24" s="228"/>
      <c r="D24" s="194" t="s">
        <v>58</v>
      </c>
      <c r="E24" s="189" t="s">
        <v>497</v>
      </c>
      <c r="F24" s="357">
        <v>1</v>
      </c>
      <c r="G24" s="614">
        <v>1</v>
      </c>
      <c r="H24" s="614">
        <f t="shared" si="0"/>
        <v>0</v>
      </c>
      <c r="I24" s="227">
        <v>42747</v>
      </c>
      <c r="J24" s="337" t="s">
        <v>439</v>
      </c>
      <c r="K24" s="557">
        <v>474</v>
      </c>
      <c r="L24" s="338"/>
      <c r="M24" s="339">
        <v>32000</v>
      </c>
      <c r="N24" s="340">
        <f>IFERROR(M24*G24,0)</f>
        <v>32000</v>
      </c>
      <c r="O24" s="559" t="s">
        <v>419</v>
      </c>
      <c r="P24" s="195" t="s">
        <v>498</v>
      </c>
      <c r="Q24" s="195"/>
      <c r="R24" s="360" t="s">
        <v>908</v>
      </c>
      <c r="S24" s="559" t="s">
        <v>422</v>
      </c>
      <c r="T24" s="559" t="s">
        <v>423</v>
      </c>
      <c r="U24" s="354"/>
      <c r="V24" s="418"/>
      <c r="W24" s="282"/>
    </row>
    <row r="25" spans="1:23" s="135" customFormat="1" ht="15" hidden="1" customHeight="1">
      <c r="A25" s="306">
        <v>24</v>
      </c>
      <c r="B25" s="361">
        <v>338774</v>
      </c>
      <c r="C25" s="359"/>
      <c r="D25" s="558" t="s">
        <v>86</v>
      </c>
      <c r="E25" s="601" t="s">
        <v>85</v>
      </c>
      <c r="F25" s="357">
        <v>1</v>
      </c>
      <c r="G25" s="614">
        <v>1</v>
      </c>
      <c r="H25" s="380">
        <f t="shared" si="0"/>
        <v>0</v>
      </c>
      <c r="I25" s="362">
        <v>42747</v>
      </c>
      <c r="J25" s="187" t="s">
        <v>472</v>
      </c>
      <c r="K25" s="308">
        <v>341</v>
      </c>
      <c r="L25" s="358">
        <v>42746</v>
      </c>
      <c r="M25" s="207">
        <v>10360</v>
      </c>
      <c r="N25" s="603">
        <v>71500</v>
      </c>
      <c r="O25" s="559" t="s">
        <v>419</v>
      </c>
      <c r="P25" s="559" t="s">
        <v>612</v>
      </c>
      <c r="Q25" s="559"/>
      <c r="R25" s="362" t="s">
        <v>908</v>
      </c>
      <c r="S25" s="559" t="s">
        <v>422</v>
      </c>
      <c r="T25" s="559" t="s">
        <v>423</v>
      </c>
      <c r="U25" s="354" t="s">
        <v>474</v>
      </c>
      <c r="V25" s="418"/>
      <c r="W25" s="282"/>
    </row>
    <row r="26" spans="1:23" s="135" customFormat="1" ht="15" hidden="1" customHeight="1">
      <c r="A26" s="306">
        <v>25</v>
      </c>
      <c r="B26" s="361">
        <v>1016</v>
      </c>
      <c r="C26" s="359"/>
      <c r="D26" s="210" t="s">
        <v>37</v>
      </c>
      <c r="E26" s="601" t="s">
        <v>473</v>
      </c>
      <c r="F26" s="357">
        <v>1</v>
      </c>
      <c r="G26" s="614">
        <v>1</v>
      </c>
      <c r="H26" s="614">
        <f t="shared" si="0"/>
        <v>0</v>
      </c>
      <c r="I26" s="362">
        <v>42747</v>
      </c>
      <c r="J26" s="187" t="s">
        <v>475</v>
      </c>
      <c r="K26" s="329">
        <v>342</v>
      </c>
      <c r="L26" s="358">
        <v>42746</v>
      </c>
      <c r="M26" s="378">
        <v>7550</v>
      </c>
      <c r="N26" s="603">
        <f t="shared" ref="N26:N89" si="2">IFERROR(M26*G26,0)</f>
        <v>7550</v>
      </c>
      <c r="O26" s="559" t="s">
        <v>419</v>
      </c>
      <c r="P26" s="559" t="s">
        <v>476</v>
      </c>
      <c r="Q26" s="559">
        <v>505427421</v>
      </c>
      <c r="R26" s="362" t="s">
        <v>908</v>
      </c>
      <c r="S26" s="559" t="s">
        <v>422</v>
      </c>
      <c r="T26" s="559" t="s">
        <v>423</v>
      </c>
      <c r="U26" s="354"/>
      <c r="V26" s="327"/>
      <c r="W26" s="282"/>
    </row>
    <row r="27" spans="1:23" s="135" customFormat="1" ht="15" hidden="1" customHeight="1">
      <c r="A27" s="306">
        <v>26</v>
      </c>
      <c r="B27" s="361"/>
      <c r="C27" s="359"/>
      <c r="D27" s="558" t="s">
        <v>939</v>
      </c>
      <c r="E27" s="602" t="s">
        <v>940</v>
      </c>
      <c r="F27" s="357">
        <v>32</v>
      </c>
      <c r="G27" s="614">
        <v>32</v>
      </c>
      <c r="H27" s="380">
        <f t="shared" si="0"/>
        <v>0</v>
      </c>
      <c r="I27" s="362">
        <v>42750</v>
      </c>
      <c r="J27" s="187" t="s">
        <v>477</v>
      </c>
      <c r="K27" s="329">
        <v>345</v>
      </c>
      <c r="L27" s="226">
        <v>42747</v>
      </c>
      <c r="M27" s="378">
        <v>125</v>
      </c>
      <c r="N27" s="603">
        <f t="shared" si="2"/>
        <v>4000</v>
      </c>
      <c r="O27" s="559" t="s">
        <v>425</v>
      </c>
      <c r="P27" s="559" t="s">
        <v>478</v>
      </c>
      <c r="Q27" s="559"/>
      <c r="R27" s="362" t="s">
        <v>908</v>
      </c>
      <c r="S27" s="559" t="s">
        <v>422</v>
      </c>
      <c r="T27" s="559" t="s">
        <v>423</v>
      </c>
      <c r="U27" s="67"/>
      <c r="V27" s="418"/>
      <c r="W27" s="282"/>
    </row>
    <row r="28" spans="1:23" s="135" customFormat="1" ht="15" hidden="1" customHeight="1">
      <c r="A28" s="306">
        <v>27</v>
      </c>
      <c r="B28" s="361" t="s">
        <v>479</v>
      </c>
      <c r="C28" s="359"/>
      <c r="D28" s="326" t="s">
        <v>448</v>
      </c>
      <c r="E28" s="331" t="s">
        <v>480</v>
      </c>
      <c r="F28" s="357">
        <v>1</v>
      </c>
      <c r="G28" s="614">
        <v>1</v>
      </c>
      <c r="H28" s="614">
        <f t="shared" si="0"/>
        <v>0</v>
      </c>
      <c r="I28" s="362">
        <v>42750</v>
      </c>
      <c r="J28" s="187" t="s">
        <v>481</v>
      </c>
      <c r="K28" s="329">
        <v>344</v>
      </c>
      <c r="L28" s="226">
        <v>42747</v>
      </c>
      <c r="M28" s="378">
        <v>29300</v>
      </c>
      <c r="N28" s="328">
        <f t="shared" si="2"/>
        <v>29300</v>
      </c>
      <c r="O28" s="559" t="s">
        <v>419</v>
      </c>
      <c r="P28" s="559" t="s">
        <v>482</v>
      </c>
      <c r="Q28" s="559" t="s">
        <v>483</v>
      </c>
      <c r="R28" s="362" t="s">
        <v>908</v>
      </c>
      <c r="S28" s="559" t="s">
        <v>422</v>
      </c>
      <c r="T28" s="559" t="s">
        <v>423</v>
      </c>
      <c r="U28" s="67"/>
      <c r="V28" s="418"/>
      <c r="W28" s="282"/>
    </row>
    <row r="29" spans="1:23" s="135" customFormat="1" ht="15" hidden="1" customHeight="1">
      <c r="A29" s="306">
        <v>28</v>
      </c>
      <c r="B29" s="361" t="s">
        <v>484</v>
      </c>
      <c r="C29" s="359"/>
      <c r="D29" s="558" t="s">
        <v>73</v>
      </c>
      <c r="E29" s="350" t="s">
        <v>72</v>
      </c>
      <c r="F29" s="357">
        <v>1</v>
      </c>
      <c r="G29" s="614">
        <v>1</v>
      </c>
      <c r="H29" s="614">
        <f t="shared" si="0"/>
        <v>0</v>
      </c>
      <c r="I29" s="362">
        <v>42750</v>
      </c>
      <c r="J29" s="187" t="s">
        <v>485</v>
      </c>
      <c r="K29" s="557">
        <v>349</v>
      </c>
      <c r="L29" s="358">
        <v>42749</v>
      </c>
      <c r="M29" s="378">
        <v>20040</v>
      </c>
      <c r="N29" s="328">
        <f t="shared" si="2"/>
        <v>20040</v>
      </c>
      <c r="O29" s="559" t="s">
        <v>419</v>
      </c>
      <c r="P29" s="559" t="s">
        <v>482</v>
      </c>
      <c r="Q29" s="559" t="s">
        <v>486</v>
      </c>
      <c r="R29" s="362" t="s">
        <v>908</v>
      </c>
      <c r="S29" s="559" t="s">
        <v>422</v>
      </c>
      <c r="T29" s="559" t="s">
        <v>423</v>
      </c>
      <c r="U29" s="600"/>
      <c r="V29" s="418"/>
      <c r="W29" s="282"/>
    </row>
    <row r="30" spans="1:23" s="135" customFormat="1" ht="15" hidden="1" customHeight="1">
      <c r="A30" s="306">
        <v>29</v>
      </c>
      <c r="B30" s="361" t="s">
        <v>487</v>
      </c>
      <c r="C30" s="359"/>
      <c r="D30" s="558" t="s">
        <v>51</v>
      </c>
      <c r="E30" s="418" t="s">
        <v>50</v>
      </c>
      <c r="F30" s="357">
        <v>5</v>
      </c>
      <c r="G30" s="614">
        <v>5</v>
      </c>
      <c r="H30" s="614">
        <f t="shared" si="0"/>
        <v>0</v>
      </c>
      <c r="I30" s="362">
        <v>42751</v>
      </c>
      <c r="J30" s="187" t="s">
        <v>488</v>
      </c>
      <c r="K30" s="329">
        <v>347</v>
      </c>
      <c r="L30" s="358">
        <v>42747</v>
      </c>
      <c r="M30" s="378">
        <v>2420</v>
      </c>
      <c r="N30" s="603">
        <f t="shared" si="2"/>
        <v>12100</v>
      </c>
      <c r="O30" s="559" t="s">
        <v>419</v>
      </c>
      <c r="P30" s="559" t="s">
        <v>489</v>
      </c>
      <c r="Q30" s="559" t="s">
        <v>490</v>
      </c>
      <c r="R30" s="362" t="s">
        <v>908</v>
      </c>
      <c r="S30" s="559" t="s">
        <v>422</v>
      </c>
      <c r="T30" s="559" t="s">
        <v>423</v>
      </c>
      <c r="U30" s="64"/>
      <c r="V30" s="418"/>
      <c r="W30" s="282"/>
    </row>
    <row r="31" spans="1:23" s="135" customFormat="1" ht="15" hidden="1" customHeight="1">
      <c r="A31" s="306">
        <v>30</v>
      </c>
      <c r="B31" s="361" t="s">
        <v>491</v>
      </c>
      <c r="C31" s="359"/>
      <c r="D31" s="611" t="s">
        <v>64</v>
      </c>
      <c r="E31" s="428" t="s">
        <v>63</v>
      </c>
      <c r="F31" s="357">
        <v>1</v>
      </c>
      <c r="G31" s="614">
        <v>1</v>
      </c>
      <c r="H31" s="437">
        <f t="shared" si="0"/>
        <v>0</v>
      </c>
      <c r="I31" s="362">
        <v>42751</v>
      </c>
      <c r="J31" s="187" t="s">
        <v>492</v>
      </c>
      <c r="K31" s="435">
        <v>350</v>
      </c>
      <c r="L31" s="358">
        <v>42750</v>
      </c>
      <c r="M31" s="378">
        <v>2200</v>
      </c>
      <c r="N31" s="603">
        <f t="shared" si="2"/>
        <v>2200</v>
      </c>
      <c r="O31" s="559" t="s">
        <v>419</v>
      </c>
      <c r="P31" s="559" t="s">
        <v>493</v>
      </c>
      <c r="Q31" s="559" t="s">
        <v>807</v>
      </c>
      <c r="R31" s="362" t="s">
        <v>908</v>
      </c>
      <c r="S31" s="559" t="s">
        <v>422</v>
      </c>
      <c r="T31" s="559" t="s">
        <v>423</v>
      </c>
      <c r="U31" s="64"/>
      <c r="V31" s="418"/>
      <c r="W31" s="282"/>
    </row>
    <row r="32" spans="1:23" s="135" customFormat="1" ht="15" hidden="1" customHeight="1">
      <c r="A32" s="306">
        <v>31</v>
      </c>
      <c r="B32" s="361" t="s">
        <v>546</v>
      </c>
      <c r="C32" s="359"/>
      <c r="D32" s="611" t="s">
        <v>64</v>
      </c>
      <c r="E32" s="601" t="s">
        <v>63</v>
      </c>
      <c r="F32" s="357">
        <v>1</v>
      </c>
      <c r="G32" s="614">
        <v>1</v>
      </c>
      <c r="H32" s="437">
        <f t="shared" si="0"/>
        <v>0</v>
      </c>
      <c r="I32" s="362">
        <v>42752</v>
      </c>
      <c r="J32" s="187" t="s">
        <v>492</v>
      </c>
      <c r="K32" s="435">
        <v>356</v>
      </c>
      <c r="L32" s="358">
        <v>42752</v>
      </c>
      <c r="M32" s="378">
        <v>2200</v>
      </c>
      <c r="N32" s="603">
        <f t="shared" si="2"/>
        <v>2200</v>
      </c>
      <c r="O32" s="559" t="s">
        <v>419</v>
      </c>
      <c r="P32" s="559" t="s">
        <v>493</v>
      </c>
      <c r="Q32" s="559" t="s">
        <v>808</v>
      </c>
      <c r="R32" s="362" t="s">
        <v>908</v>
      </c>
      <c r="S32" s="559" t="s">
        <v>422</v>
      </c>
      <c r="T32" s="559" t="s">
        <v>423</v>
      </c>
      <c r="U32" s="64"/>
      <c r="V32" s="418"/>
      <c r="W32" s="282"/>
    </row>
    <row r="33" spans="1:23" s="135" customFormat="1" ht="15" hidden="1" customHeight="1">
      <c r="A33" s="306">
        <v>32</v>
      </c>
      <c r="B33" s="361">
        <v>174</v>
      </c>
      <c r="C33" s="359"/>
      <c r="D33" s="613" t="s">
        <v>219</v>
      </c>
      <c r="E33" s="559" t="s">
        <v>429</v>
      </c>
      <c r="F33" s="357">
        <v>8</v>
      </c>
      <c r="G33" s="614">
        <v>8</v>
      </c>
      <c r="H33" s="380">
        <f t="shared" si="0"/>
        <v>0</v>
      </c>
      <c r="I33" s="362">
        <v>42752</v>
      </c>
      <c r="J33" s="187" t="s">
        <v>495</v>
      </c>
      <c r="K33" s="557">
        <v>343</v>
      </c>
      <c r="L33" s="358">
        <v>42746</v>
      </c>
      <c r="M33" s="378">
        <v>1620</v>
      </c>
      <c r="N33" s="603">
        <f t="shared" si="2"/>
        <v>12960</v>
      </c>
      <c r="O33" s="559" t="s">
        <v>419</v>
      </c>
      <c r="P33" s="559" t="s">
        <v>489</v>
      </c>
      <c r="Q33" s="559" t="s">
        <v>496</v>
      </c>
      <c r="R33" s="362" t="s">
        <v>908</v>
      </c>
      <c r="S33" s="559" t="s">
        <v>422</v>
      </c>
      <c r="T33" s="559" t="s">
        <v>423</v>
      </c>
      <c r="U33" s="64"/>
      <c r="V33" s="418"/>
      <c r="W33" s="282"/>
    </row>
    <row r="34" spans="1:23" s="135" customFormat="1" ht="15" customHeight="1">
      <c r="A34" s="306">
        <v>33</v>
      </c>
      <c r="B34" s="361" t="s">
        <v>522</v>
      </c>
      <c r="C34" s="359"/>
      <c r="D34" s="611" t="s">
        <v>49</v>
      </c>
      <c r="E34" s="418" t="s">
        <v>48</v>
      </c>
      <c r="F34" s="357">
        <v>8</v>
      </c>
      <c r="G34" s="614">
        <v>8</v>
      </c>
      <c r="H34" s="380">
        <f t="shared" ref="H34:H65" si="3">F34-G34</f>
        <v>0</v>
      </c>
      <c r="I34" s="362">
        <v>42752</v>
      </c>
      <c r="J34" s="187" t="s">
        <v>507</v>
      </c>
      <c r="K34" s="329">
        <v>348</v>
      </c>
      <c r="L34" s="358">
        <v>42749</v>
      </c>
      <c r="M34" s="378">
        <v>8550</v>
      </c>
      <c r="N34" s="603">
        <f t="shared" si="2"/>
        <v>68400</v>
      </c>
      <c r="O34" s="559" t="s">
        <v>419</v>
      </c>
      <c r="P34" s="559" t="s">
        <v>508</v>
      </c>
      <c r="Q34" s="559" t="s">
        <v>509</v>
      </c>
      <c r="R34" s="362" t="s">
        <v>908</v>
      </c>
      <c r="S34" s="559" t="s">
        <v>422</v>
      </c>
      <c r="T34" s="559" t="s">
        <v>423</v>
      </c>
      <c r="U34" s="64"/>
      <c r="V34" s="418"/>
      <c r="W34" s="282"/>
    </row>
    <row r="35" spans="1:23" s="135" customFormat="1" ht="15" customHeight="1">
      <c r="A35" s="306">
        <v>34</v>
      </c>
      <c r="B35" s="361" t="s">
        <v>522</v>
      </c>
      <c r="C35" s="359"/>
      <c r="D35" s="601" t="s">
        <v>247</v>
      </c>
      <c r="E35" s="600" t="s">
        <v>259</v>
      </c>
      <c r="F35" s="357">
        <v>6</v>
      </c>
      <c r="G35" s="614">
        <v>6</v>
      </c>
      <c r="H35" s="380">
        <f t="shared" si="3"/>
        <v>0</v>
      </c>
      <c r="I35" s="362">
        <v>42752</v>
      </c>
      <c r="J35" s="187" t="s">
        <v>507</v>
      </c>
      <c r="K35" s="557">
        <v>348</v>
      </c>
      <c r="L35" s="358">
        <v>42749</v>
      </c>
      <c r="M35" s="378">
        <v>3580</v>
      </c>
      <c r="N35" s="603">
        <f t="shared" si="2"/>
        <v>21480</v>
      </c>
      <c r="O35" s="559" t="s">
        <v>419</v>
      </c>
      <c r="P35" s="559" t="s">
        <v>508</v>
      </c>
      <c r="Q35" s="559" t="s">
        <v>509</v>
      </c>
      <c r="R35" s="362" t="s">
        <v>908</v>
      </c>
      <c r="S35" s="559" t="s">
        <v>422</v>
      </c>
      <c r="T35" s="559" t="s">
        <v>423</v>
      </c>
      <c r="U35" s="64"/>
      <c r="V35" s="418"/>
      <c r="W35" s="282"/>
    </row>
    <row r="36" spans="1:23" s="135" customFormat="1" ht="15" customHeight="1">
      <c r="A36" s="306">
        <v>35</v>
      </c>
      <c r="B36" s="361" t="s">
        <v>522</v>
      </c>
      <c r="C36" s="359"/>
      <c r="D36" s="601" t="s">
        <v>249</v>
      </c>
      <c r="E36" s="600" t="s">
        <v>510</v>
      </c>
      <c r="F36" s="357">
        <v>6</v>
      </c>
      <c r="G36" s="614">
        <v>6</v>
      </c>
      <c r="H36" s="614">
        <f t="shared" si="3"/>
        <v>0</v>
      </c>
      <c r="I36" s="362">
        <v>42752</v>
      </c>
      <c r="J36" s="187" t="s">
        <v>507</v>
      </c>
      <c r="K36" s="329">
        <v>348</v>
      </c>
      <c r="L36" s="358">
        <v>42749</v>
      </c>
      <c r="M36" s="378">
        <v>450</v>
      </c>
      <c r="N36" s="603">
        <f t="shared" si="2"/>
        <v>2700</v>
      </c>
      <c r="O36" s="559" t="s">
        <v>419</v>
      </c>
      <c r="P36" s="559" t="s">
        <v>508</v>
      </c>
      <c r="Q36" s="559" t="s">
        <v>509</v>
      </c>
      <c r="R36" s="362" t="s">
        <v>908</v>
      </c>
      <c r="S36" s="559" t="s">
        <v>422</v>
      </c>
      <c r="T36" s="559" t="s">
        <v>423</v>
      </c>
      <c r="U36" s="64"/>
      <c r="V36" s="418"/>
      <c r="W36" s="282"/>
    </row>
    <row r="37" spans="1:23" s="135" customFormat="1" ht="15" hidden="1" customHeight="1">
      <c r="A37" s="306">
        <v>36</v>
      </c>
      <c r="B37" s="361" t="s">
        <v>547</v>
      </c>
      <c r="C37" s="359"/>
      <c r="D37" s="613" t="s">
        <v>71</v>
      </c>
      <c r="E37" s="350" t="s">
        <v>65</v>
      </c>
      <c r="F37" s="357">
        <v>1</v>
      </c>
      <c r="G37" s="614">
        <v>1</v>
      </c>
      <c r="H37" s="614">
        <f t="shared" si="3"/>
        <v>0</v>
      </c>
      <c r="I37" s="362">
        <v>42752</v>
      </c>
      <c r="J37" s="187" t="s">
        <v>548</v>
      </c>
      <c r="K37" s="347">
        <v>352</v>
      </c>
      <c r="L37" s="358">
        <v>42751</v>
      </c>
      <c r="M37" s="378">
        <v>2300</v>
      </c>
      <c r="N37" s="603">
        <f t="shared" si="2"/>
        <v>2300</v>
      </c>
      <c r="O37" s="559" t="s">
        <v>419</v>
      </c>
      <c r="P37" s="559" t="s">
        <v>508</v>
      </c>
      <c r="Q37" s="559"/>
      <c r="R37" s="362" t="s">
        <v>908</v>
      </c>
      <c r="S37" s="559" t="s">
        <v>422</v>
      </c>
      <c r="T37" s="559" t="s">
        <v>423</v>
      </c>
      <c r="U37" s="64"/>
      <c r="V37" s="418"/>
      <c r="W37" s="282"/>
    </row>
    <row r="38" spans="1:23" s="135" customFormat="1" ht="15" hidden="1" customHeight="1">
      <c r="A38" s="306">
        <v>37</v>
      </c>
      <c r="B38" s="361"/>
      <c r="C38" s="359"/>
      <c r="D38" s="611" t="s">
        <v>77</v>
      </c>
      <c r="E38" s="601" t="s">
        <v>76</v>
      </c>
      <c r="F38" s="357">
        <v>1</v>
      </c>
      <c r="G38" s="614">
        <v>1</v>
      </c>
      <c r="H38" s="614">
        <f t="shared" si="3"/>
        <v>0</v>
      </c>
      <c r="I38" s="362">
        <v>42753</v>
      </c>
      <c r="J38" s="187" t="s">
        <v>511</v>
      </c>
      <c r="K38" s="557">
        <v>360</v>
      </c>
      <c r="L38" s="358">
        <v>42753</v>
      </c>
      <c r="M38" s="378">
        <v>770</v>
      </c>
      <c r="N38" s="603">
        <f t="shared" si="2"/>
        <v>770</v>
      </c>
      <c r="O38" s="559" t="s">
        <v>419</v>
      </c>
      <c r="P38" s="559" t="s">
        <v>512</v>
      </c>
      <c r="Q38" s="559"/>
      <c r="R38" s="362" t="s">
        <v>908</v>
      </c>
      <c r="S38" s="559" t="s">
        <v>422</v>
      </c>
      <c r="T38" s="559" t="s">
        <v>825</v>
      </c>
      <c r="U38" s="354"/>
      <c r="V38" s="418"/>
      <c r="W38" s="209"/>
    </row>
    <row r="39" spans="1:23" s="135" customFormat="1" ht="15" hidden="1" customHeight="1">
      <c r="A39" s="306">
        <v>38</v>
      </c>
      <c r="B39" s="361">
        <v>171186</v>
      </c>
      <c r="C39" s="359"/>
      <c r="D39" s="611" t="s">
        <v>64</v>
      </c>
      <c r="E39" s="601" t="s">
        <v>63</v>
      </c>
      <c r="F39" s="357">
        <v>1</v>
      </c>
      <c r="G39" s="614">
        <v>1</v>
      </c>
      <c r="H39" s="380">
        <f t="shared" si="3"/>
        <v>0</v>
      </c>
      <c r="I39" s="362">
        <v>42753</v>
      </c>
      <c r="J39" s="155" t="s">
        <v>513</v>
      </c>
      <c r="K39" s="329">
        <v>361</v>
      </c>
      <c r="L39" s="358">
        <v>42753</v>
      </c>
      <c r="M39" s="378">
        <v>2250</v>
      </c>
      <c r="N39" s="603">
        <f t="shared" si="2"/>
        <v>2250</v>
      </c>
      <c r="O39" s="559" t="s">
        <v>419</v>
      </c>
      <c r="P39" s="559" t="s">
        <v>512</v>
      </c>
      <c r="Q39" s="559"/>
      <c r="R39" s="360" t="s">
        <v>908</v>
      </c>
      <c r="S39" s="559" t="s">
        <v>422</v>
      </c>
      <c r="T39" s="559" t="s">
        <v>423</v>
      </c>
      <c r="U39" s="354"/>
      <c r="V39" s="418"/>
      <c r="W39" s="276"/>
    </row>
    <row r="40" spans="1:23" s="135" customFormat="1" ht="15" hidden="1" customHeight="1">
      <c r="A40" s="306">
        <v>39</v>
      </c>
      <c r="B40" s="206" t="s">
        <v>523</v>
      </c>
      <c r="C40" s="228"/>
      <c r="D40" s="418" t="s">
        <v>499</v>
      </c>
      <c r="E40" s="252" t="s">
        <v>514</v>
      </c>
      <c r="F40" s="357">
        <v>1</v>
      </c>
      <c r="G40" s="614">
        <v>1</v>
      </c>
      <c r="H40" s="614">
        <f t="shared" si="3"/>
        <v>0</v>
      </c>
      <c r="I40" s="362">
        <v>42753</v>
      </c>
      <c r="J40" s="326" t="s">
        <v>515</v>
      </c>
      <c r="K40" s="329">
        <v>354</v>
      </c>
      <c r="L40" s="358">
        <v>42752</v>
      </c>
      <c r="M40" s="378">
        <v>30300</v>
      </c>
      <c r="N40" s="603">
        <f t="shared" si="2"/>
        <v>30300</v>
      </c>
      <c r="O40" s="559" t="s">
        <v>419</v>
      </c>
      <c r="P40" s="559" t="s">
        <v>516</v>
      </c>
      <c r="Q40" s="559" t="s">
        <v>517</v>
      </c>
      <c r="R40" s="360" t="s">
        <v>908</v>
      </c>
      <c r="S40" s="559" t="s">
        <v>422</v>
      </c>
      <c r="T40" s="559" t="s">
        <v>423</v>
      </c>
      <c r="U40" s="354"/>
      <c r="V40" s="418"/>
      <c r="W40" s="209"/>
    </row>
    <row r="41" spans="1:23" s="365" customFormat="1" ht="15" hidden="1" customHeight="1">
      <c r="A41" s="306">
        <v>40</v>
      </c>
      <c r="B41" s="206" t="s">
        <v>524</v>
      </c>
      <c r="C41" s="359"/>
      <c r="D41" s="558" t="s">
        <v>66</v>
      </c>
      <c r="E41" s="418" t="s">
        <v>65</v>
      </c>
      <c r="F41" s="357">
        <v>1</v>
      </c>
      <c r="G41" s="614">
        <v>1</v>
      </c>
      <c r="H41" s="380">
        <f t="shared" si="3"/>
        <v>0</v>
      </c>
      <c r="I41" s="362">
        <v>42754</v>
      </c>
      <c r="J41" s="174" t="s">
        <v>518</v>
      </c>
      <c r="K41" s="355">
        <v>359</v>
      </c>
      <c r="L41" s="257">
        <v>42753</v>
      </c>
      <c r="M41" s="378">
        <v>1790</v>
      </c>
      <c r="N41" s="603">
        <f t="shared" si="2"/>
        <v>1790</v>
      </c>
      <c r="O41" s="559" t="s">
        <v>419</v>
      </c>
      <c r="P41" s="559" t="s">
        <v>519</v>
      </c>
      <c r="Q41" s="559" t="s">
        <v>806</v>
      </c>
      <c r="R41" s="360" t="s">
        <v>908</v>
      </c>
      <c r="S41" s="559" t="s">
        <v>422</v>
      </c>
      <c r="T41" s="559" t="s">
        <v>423</v>
      </c>
      <c r="U41" s="354"/>
      <c r="V41" s="418"/>
      <c r="W41" s="364"/>
    </row>
    <row r="42" spans="1:23" s="135" customFormat="1" ht="15" customHeight="1">
      <c r="A42" s="306">
        <v>41</v>
      </c>
      <c r="B42" s="206" t="s">
        <v>525</v>
      </c>
      <c r="C42" s="359"/>
      <c r="D42" s="558" t="s">
        <v>71</v>
      </c>
      <c r="E42" s="602" t="s">
        <v>65</v>
      </c>
      <c r="F42" s="357">
        <v>1</v>
      </c>
      <c r="G42" s="614">
        <v>1</v>
      </c>
      <c r="H42" s="614">
        <f t="shared" si="3"/>
        <v>0</v>
      </c>
      <c r="I42" s="362">
        <v>42754</v>
      </c>
      <c r="J42" s="187" t="s">
        <v>507</v>
      </c>
      <c r="K42" s="329">
        <v>358</v>
      </c>
      <c r="L42" s="257">
        <v>42752</v>
      </c>
      <c r="M42" s="378">
        <v>1950</v>
      </c>
      <c r="N42" s="603">
        <f t="shared" si="2"/>
        <v>1950</v>
      </c>
      <c r="O42" s="559" t="s">
        <v>419</v>
      </c>
      <c r="P42" s="559" t="s">
        <v>512</v>
      </c>
      <c r="Q42" s="559" t="s">
        <v>509</v>
      </c>
      <c r="R42" s="360" t="s">
        <v>908</v>
      </c>
      <c r="S42" s="559" t="s">
        <v>422</v>
      </c>
      <c r="T42" s="559" t="s">
        <v>423</v>
      </c>
      <c r="U42" s="354"/>
      <c r="V42" s="418"/>
      <c r="W42" s="282"/>
    </row>
    <row r="43" spans="1:23" s="135" customFormat="1" ht="15" customHeight="1">
      <c r="A43" s="306">
        <v>42</v>
      </c>
      <c r="B43" s="206" t="s">
        <v>525</v>
      </c>
      <c r="C43" s="359"/>
      <c r="D43" s="263" t="s">
        <v>52</v>
      </c>
      <c r="E43" s="559" t="s">
        <v>34</v>
      </c>
      <c r="F43" s="357">
        <v>2</v>
      </c>
      <c r="G43" s="614">
        <v>2</v>
      </c>
      <c r="H43" s="614">
        <f t="shared" si="3"/>
        <v>0</v>
      </c>
      <c r="I43" s="362">
        <v>42754</v>
      </c>
      <c r="J43" s="187" t="s">
        <v>507</v>
      </c>
      <c r="K43" s="329">
        <v>358</v>
      </c>
      <c r="L43" s="257">
        <v>42752</v>
      </c>
      <c r="M43" s="378">
        <v>1460</v>
      </c>
      <c r="N43" s="603">
        <f t="shared" si="2"/>
        <v>2920</v>
      </c>
      <c r="O43" s="559" t="s">
        <v>419</v>
      </c>
      <c r="P43" s="559" t="s">
        <v>512</v>
      </c>
      <c r="Q43" s="559" t="s">
        <v>509</v>
      </c>
      <c r="R43" s="360" t="s">
        <v>908</v>
      </c>
      <c r="S43" s="559" t="s">
        <v>422</v>
      </c>
      <c r="T43" s="559" t="s">
        <v>423</v>
      </c>
      <c r="U43" s="354"/>
      <c r="V43" s="418"/>
      <c r="W43" s="549"/>
    </row>
    <row r="44" spans="1:23" s="135" customFormat="1" ht="15" hidden="1" customHeight="1">
      <c r="A44" s="306">
        <v>43</v>
      </c>
      <c r="B44" s="361">
        <v>3514</v>
      </c>
      <c r="C44" s="228"/>
      <c r="D44" s="601" t="s">
        <v>58</v>
      </c>
      <c r="E44" s="602" t="s">
        <v>497</v>
      </c>
      <c r="F44" s="357">
        <v>3</v>
      </c>
      <c r="G44" s="614">
        <v>3</v>
      </c>
      <c r="H44" s="614">
        <f t="shared" si="3"/>
        <v>0</v>
      </c>
      <c r="I44" s="362">
        <v>42754</v>
      </c>
      <c r="J44" s="187" t="s">
        <v>515</v>
      </c>
      <c r="K44" s="329">
        <v>357</v>
      </c>
      <c r="L44" s="332">
        <v>42752</v>
      </c>
      <c r="M44" s="378">
        <v>27330</v>
      </c>
      <c r="N44" s="603">
        <f t="shared" si="2"/>
        <v>81990</v>
      </c>
      <c r="O44" s="559" t="s">
        <v>419</v>
      </c>
      <c r="P44" s="559" t="s">
        <v>520</v>
      </c>
      <c r="Q44" s="559" t="s">
        <v>521</v>
      </c>
      <c r="R44" s="362" t="s">
        <v>908</v>
      </c>
      <c r="S44" s="559" t="s">
        <v>422</v>
      </c>
      <c r="T44" s="559" t="s">
        <v>423</v>
      </c>
      <c r="U44" s="354"/>
      <c r="V44" s="418"/>
      <c r="W44" s="549"/>
    </row>
    <row r="45" spans="1:23" s="135" customFormat="1" ht="15" hidden="1" customHeight="1">
      <c r="A45" s="306">
        <v>44</v>
      </c>
      <c r="B45" s="361">
        <v>3514</v>
      </c>
      <c r="C45" s="215"/>
      <c r="D45" s="558" t="s">
        <v>56</v>
      </c>
      <c r="E45" s="601" t="s">
        <v>55</v>
      </c>
      <c r="F45" s="357">
        <v>9</v>
      </c>
      <c r="G45" s="614">
        <v>9</v>
      </c>
      <c r="H45" s="614">
        <f t="shared" si="3"/>
        <v>0</v>
      </c>
      <c r="I45" s="362">
        <v>42754</v>
      </c>
      <c r="J45" s="187" t="s">
        <v>515</v>
      </c>
      <c r="K45" s="557">
        <v>357</v>
      </c>
      <c r="L45" s="332">
        <v>42752</v>
      </c>
      <c r="M45" s="378">
        <v>8040</v>
      </c>
      <c r="N45" s="603">
        <f t="shared" si="2"/>
        <v>72360</v>
      </c>
      <c r="O45" s="559" t="s">
        <v>419</v>
      </c>
      <c r="P45" s="559" t="s">
        <v>520</v>
      </c>
      <c r="Q45" s="559" t="s">
        <v>521</v>
      </c>
      <c r="R45" s="362" t="s">
        <v>908</v>
      </c>
      <c r="S45" s="559" t="s">
        <v>422</v>
      </c>
      <c r="T45" s="559" t="s">
        <v>423</v>
      </c>
      <c r="U45" s="224"/>
      <c r="V45" s="418"/>
      <c r="W45" s="282"/>
    </row>
    <row r="46" spans="1:23" s="135" customFormat="1" ht="15" hidden="1" customHeight="1">
      <c r="A46" s="306">
        <v>45</v>
      </c>
      <c r="B46" s="361">
        <v>3514</v>
      </c>
      <c r="C46" s="218"/>
      <c r="D46" s="558" t="s">
        <v>95</v>
      </c>
      <c r="E46" s="367" t="s">
        <v>94</v>
      </c>
      <c r="F46" s="357">
        <v>1</v>
      </c>
      <c r="G46" s="614">
        <v>1</v>
      </c>
      <c r="H46" s="614">
        <f t="shared" si="3"/>
        <v>0</v>
      </c>
      <c r="I46" s="362">
        <v>42754</v>
      </c>
      <c r="J46" s="187" t="s">
        <v>515</v>
      </c>
      <c r="K46" s="329">
        <v>357</v>
      </c>
      <c r="L46" s="332">
        <v>42752</v>
      </c>
      <c r="M46" s="378">
        <v>30560</v>
      </c>
      <c r="N46" s="603">
        <f t="shared" si="2"/>
        <v>30560</v>
      </c>
      <c r="O46" s="559" t="s">
        <v>419</v>
      </c>
      <c r="P46" s="559" t="s">
        <v>520</v>
      </c>
      <c r="Q46" s="559" t="s">
        <v>521</v>
      </c>
      <c r="R46" s="362" t="s">
        <v>908</v>
      </c>
      <c r="S46" s="559" t="s">
        <v>422</v>
      </c>
      <c r="T46" s="559" t="s">
        <v>423</v>
      </c>
      <c r="U46" s="354"/>
      <c r="V46" s="418"/>
      <c r="W46" s="282"/>
    </row>
    <row r="47" spans="1:23" s="135" customFormat="1" ht="15" hidden="1" customHeight="1">
      <c r="A47" s="306">
        <v>46</v>
      </c>
      <c r="B47" s="361">
        <v>3514</v>
      </c>
      <c r="C47" s="218"/>
      <c r="D47" s="611" t="s">
        <v>246</v>
      </c>
      <c r="E47" s="601" t="s">
        <v>42</v>
      </c>
      <c r="F47" s="357">
        <v>1</v>
      </c>
      <c r="G47" s="614">
        <v>1</v>
      </c>
      <c r="H47" s="380">
        <f t="shared" si="3"/>
        <v>0</v>
      </c>
      <c r="I47" s="362">
        <v>42754</v>
      </c>
      <c r="J47" s="187" t="s">
        <v>515</v>
      </c>
      <c r="K47" s="329">
        <v>357</v>
      </c>
      <c r="L47" s="332">
        <v>42752</v>
      </c>
      <c r="M47" s="378">
        <v>5900</v>
      </c>
      <c r="N47" s="603">
        <f t="shared" si="2"/>
        <v>5900</v>
      </c>
      <c r="O47" s="559" t="s">
        <v>419</v>
      </c>
      <c r="P47" s="559" t="s">
        <v>520</v>
      </c>
      <c r="Q47" s="559" t="s">
        <v>521</v>
      </c>
      <c r="R47" s="362" t="s">
        <v>908</v>
      </c>
      <c r="S47" s="559" t="s">
        <v>422</v>
      </c>
      <c r="T47" s="559" t="s">
        <v>423</v>
      </c>
      <c r="U47" s="354"/>
      <c r="V47" s="418"/>
      <c r="W47" s="209"/>
    </row>
    <row r="48" spans="1:23" s="135" customFormat="1" ht="15" hidden="1" customHeight="1">
      <c r="A48" s="306">
        <v>47</v>
      </c>
      <c r="B48" s="361">
        <v>3514</v>
      </c>
      <c r="C48" s="215"/>
      <c r="D48" s="611" t="s">
        <v>248</v>
      </c>
      <c r="E48" s="601" t="s">
        <v>50</v>
      </c>
      <c r="F48" s="357">
        <v>1</v>
      </c>
      <c r="G48" s="614">
        <v>1</v>
      </c>
      <c r="H48" s="614">
        <f t="shared" si="3"/>
        <v>0</v>
      </c>
      <c r="I48" s="362">
        <v>42754</v>
      </c>
      <c r="J48" s="187" t="s">
        <v>515</v>
      </c>
      <c r="K48" s="329">
        <v>357</v>
      </c>
      <c r="L48" s="332">
        <v>42752</v>
      </c>
      <c r="M48" s="378">
        <v>2150</v>
      </c>
      <c r="N48" s="603">
        <f t="shared" si="2"/>
        <v>2150</v>
      </c>
      <c r="O48" s="559" t="s">
        <v>419</v>
      </c>
      <c r="P48" s="559" t="s">
        <v>520</v>
      </c>
      <c r="Q48" s="559" t="s">
        <v>521</v>
      </c>
      <c r="R48" s="362" t="s">
        <v>908</v>
      </c>
      <c r="S48" s="559" t="s">
        <v>422</v>
      </c>
      <c r="T48" s="559" t="s">
        <v>423</v>
      </c>
      <c r="U48" s="224"/>
      <c r="V48" s="418"/>
      <c r="W48" s="209"/>
    </row>
    <row r="49" spans="1:23" s="135" customFormat="1" ht="15" hidden="1" customHeight="1">
      <c r="A49" s="306">
        <v>48</v>
      </c>
      <c r="B49" s="361">
        <v>3514</v>
      </c>
      <c r="C49" s="359"/>
      <c r="D49" s="601" t="s">
        <v>249</v>
      </c>
      <c r="E49" s="600" t="s">
        <v>28</v>
      </c>
      <c r="F49" s="357">
        <v>2</v>
      </c>
      <c r="G49" s="614">
        <v>2</v>
      </c>
      <c r="H49" s="614">
        <f t="shared" si="3"/>
        <v>0</v>
      </c>
      <c r="I49" s="362">
        <v>42754</v>
      </c>
      <c r="J49" s="187" t="s">
        <v>515</v>
      </c>
      <c r="K49" s="329">
        <v>357</v>
      </c>
      <c r="L49" s="332">
        <v>42752</v>
      </c>
      <c r="M49" s="330">
        <v>450</v>
      </c>
      <c r="N49" s="328">
        <f t="shared" si="2"/>
        <v>900</v>
      </c>
      <c r="O49" s="559" t="s">
        <v>419</v>
      </c>
      <c r="P49" s="559" t="s">
        <v>520</v>
      </c>
      <c r="Q49" s="559" t="s">
        <v>521</v>
      </c>
      <c r="R49" s="362" t="s">
        <v>908</v>
      </c>
      <c r="S49" s="559" t="s">
        <v>422</v>
      </c>
      <c r="T49" s="559" t="s">
        <v>423</v>
      </c>
      <c r="U49" s="354"/>
      <c r="V49" s="418"/>
    </row>
    <row r="50" spans="1:23" s="135" customFormat="1" ht="15" hidden="1" customHeight="1">
      <c r="A50" s="306">
        <v>49</v>
      </c>
      <c r="B50" s="361">
        <v>3514</v>
      </c>
      <c r="C50" s="215"/>
      <c r="D50" s="185" t="s">
        <v>86</v>
      </c>
      <c r="E50" s="601" t="s">
        <v>85</v>
      </c>
      <c r="F50" s="357">
        <v>1</v>
      </c>
      <c r="G50" s="614">
        <v>1</v>
      </c>
      <c r="H50" s="380">
        <f t="shared" si="3"/>
        <v>0</v>
      </c>
      <c r="I50" s="362">
        <v>42754</v>
      </c>
      <c r="J50" s="187" t="s">
        <v>515</v>
      </c>
      <c r="K50" s="557">
        <v>357</v>
      </c>
      <c r="L50" s="332">
        <v>42752</v>
      </c>
      <c r="M50" s="378">
        <v>10360</v>
      </c>
      <c r="N50" s="603">
        <f t="shared" si="2"/>
        <v>10360</v>
      </c>
      <c r="O50" s="559" t="s">
        <v>419</v>
      </c>
      <c r="P50" s="559" t="s">
        <v>520</v>
      </c>
      <c r="Q50" s="559" t="s">
        <v>521</v>
      </c>
      <c r="R50" s="362" t="s">
        <v>908</v>
      </c>
      <c r="S50" s="559" t="s">
        <v>422</v>
      </c>
      <c r="T50" s="559" t="s">
        <v>423</v>
      </c>
      <c r="U50" s="354"/>
      <c r="V50" s="418"/>
    </row>
    <row r="51" spans="1:23" s="135" customFormat="1" ht="15" hidden="1" customHeight="1">
      <c r="A51" s="306">
        <v>50</v>
      </c>
      <c r="B51" s="361">
        <v>3514</v>
      </c>
      <c r="C51" s="359"/>
      <c r="D51" s="558" t="s">
        <v>35</v>
      </c>
      <c r="E51" s="367" t="s">
        <v>34</v>
      </c>
      <c r="F51" s="357">
        <v>2</v>
      </c>
      <c r="G51" s="614">
        <v>2</v>
      </c>
      <c r="H51" s="614">
        <f t="shared" si="3"/>
        <v>0</v>
      </c>
      <c r="I51" s="362">
        <v>42754</v>
      </c>
      <c r="J51" s="187" t="s">
        <v>515</v>
      </c>
      <c r="K51" s="329">
        <v>357</v>
      </c>
      <c r="L51" s="332">
        <v>42752</v>
      </c>
      <c r="M51" s="330">
        <v>2700</v>
      </c>
      <c r="N51" s="603">
        <f t="shared" si="2"/>
        <v>5400</v>
      </c>
      <c r="O51" s="559" t="s">
        <v>419</v>
      </c>
      <c r="P51" s="559" t="s">
        <v>520</v>
      </c>
      <c r="Q51" s="559" t="s">
        <v>521</v>
      </c>
      <c r="R51" s="362" t="s">
        <v>908</v>
      </c>
      <c r="S51" s="559" t="s">
        <v>422</v>
      </c>
      <c r="T51" s="559" t="s">
        <v>423</v>
      </c>
      <c r="U51" s="354"/>
      <c r="V51" s="418"/>
      <c r="W51" s="276"/>
    </row>
    <row r="52" spans="1:23" s="135" customFormat="1" ht="15" hidden="1" customHeight="1">
      <c r="A52" s="306">
        <v>51</v>
      </c>
      <c r="B52" s="361">
        <v>3514</v>
      </c>
      <c r="C52" s="359"/>
      <c r="D52" s="601" t="s">
        <v>29</v>
      </c>
      <c r="E52" s="600" t="s">
        <v>28</v>
      </c>
      <c r="F52" s="357">
        <v>3</v>
      </c>
      <c r="G52" s="614">
        <v>3</v>
      </c>
      <c r="H52" s="614">
        <f t="shared" si="3"/>
        <v>0</v>
      </c>
      <c r="I52" s="362">
        <v>42754</v>
      </c>
      <c r="J52" s="187" t="s">
        <v>515</v>
      </c>
      <c r="K52" s="329">
        <v>357</v>
      </c>
      <c r="L52" s="332">
        <v>42752</v>
      </c>
      <c r="M52" s="378">
        <v>450</v>
      </c>
      <c r="N52" s="342">
        <f t="shared" si="2"/>
        <v>1350</v>
      </c>
      <c r="O52" s="559" t="s">
        <v>419</v>
      </c>
      <c r="P52" s="559" t="s">
        <v>520</v>
      </c>
      <c r="Q52" s="559" t="s">
        <v>521</v>
      </c>
      <c r="R52" s="362" t="s">
        <v>908</v>
      </c>
      <c r="S52" s="559" t="s">
        <v>422</v>
      </c>
      <c r="T52" s="559" t="s">
        <v>423</v>
      </c>
      <c r="U52" s="354"/>
      <c r="V52" s="418"/>
    </row>
    <row r="53" spans="1:23" s="135" customFormat="1" ht="15" hidden="1" customHeight="1">
      <c r="A53" s="306">
        <v>52</v>
      </c>
      <c r="B53" s="611" t="s">
        <v>526</v>
      </c>
      <c r="C53" s="345"/>
      <c r="D53" s="356" t="s">
        <v>47</v>
      </c>
      <c r="E53" s="350" t="s">
        <v>46</v>
      </c>
      <c r="F53" s="373">
        <v>4</v>
      </c>
      <c r="G53" s="609">
        <v>4</v>
      </c>
      <c r="H53" s="614">
        <f t="shared" si="3"/>
        <v>0</v>
      </c>
      <c r="I53" s="344">
        <v>42756</v>
      </c>
      <c r="J53" s="606" t="s">
        <v>527</v>
      </c>
      <c r="K53" s="347">
        <v>364</v>
      </c>
      <c r="L53" s="158">
        <v>42754</v>
      </c>
      <c r="M53" s="378">
        <v>2325</v>
      </c>
      <c r="N53" s="603">
        <f t="shared" si="2"/>
        <v>9300</v>
      </c>
      <c r="O53" s="602" t="s">
        <v>419</v>
      </c>
      <c r="P53" s="341" t="s">
        <v>512</v>
      </c>
      <c r="Q53" s="341" t="s">
        <v>528</v>
      </c>
      <c r="R53" s="348" t="s">
        <v>908</v>
      </c>
      <c r="S53" s="413" t="s">
        <v>422</v>
      </c>
      <c r="T53" s="341" t="s">
        <v>423</v>
      </c>
      <c r="U53" s="354"/>
      <c r="V53" s="418"/>
      <c r="W53" s="276"/>
    </row>
    <row r="54" spans="1:23" s="135" customFormat="1" ht="15" hidden="1" customHeight="1">
      <c r="A54" s="306">
        <v>53</v>
      </c>
      <c r="B54" s="611" t="s">
        <v>531</v>
      </c>
      <c r="C54" s="610"/>
      <c r="D54" s="356" t="s">
        <v>86</v>
      </c>
      <c r="E54" s="349"/>
      <c r="F54" s="373">
        <v>2</v>
      </c>
      <c r="G54" s="609">
        <v>2</v>
      </c>
      <c r="H54" s="614">
        <f t="shared" si="3"/>
        <v>0</v>
      </c>
      <c r="I54" s="344">
        <v>42757</v>
      </c>
      <c r="J54" s="606" t="s">
        <v>611</v>
      </c>
      <c r="K54" s="557">
        <v>370</v>
      </c>
      <c r="L54" s="158">
        <v>42757</v>
      </c>
      <c r="M54" s="378">
        <v>10000</v>
      </c>
      <c r="N54" s="603">
        <f t="shared" si="2"/>
        <v>20000</v>
      </c>
      <c r="O54" s="602" t="s">
        <v>419</v>
      </c>
      <c r="P54" s="341" t="s">
        <v>612</v>
      </c>
      <c r="Q54" s="341"/>
      <c r="R54" s="348" t="s">
        <v>908</v>
      </c>
      <c r="S54" s="413" t="s">
        <v>422</v>
      </c>
      <c r="T54" s="341" t="s">
        <v>423</v>
      </c>
      <c r="U54" s="354"/>
      <c r="V54" s="418"/>
      <c r="W54" s="276"/>
    </row>
    <row r="55" spans="1:23" s="135" customFormat="1" ht="15" hidden="1" customHeight="1">
      <c r="A55" s="306">
        <v>54</v>
      </c>
      <c r="B55" s="198" t="s">
        <v>532</v>
      </c>
      <c r="C55" s="283"/>
      <c r="D55" s="418" t="s">
        <v>70</v>
      </c>
      <c r="E55" s="602"/>
      <c r="F55" s="182">
        <v>1</v>
      </c>
      <c r="G55" s="214">
        <v>1</v>
      </c>
      <c r="H55" s="614">
        <f t="shared" si="3"/>
        <v>0</v>
      </c>
      <c r="I55" s="177">
        <v>42758</v>
      </c>
      <c r="J55" s="606" t="s">
        <v>529</v>
      </c>
      <c r="K55" s="310">
        <v>365</v>
      </c>
      <c r="L55" s="171">
        <v>42756</v>
      </c>
      <c r="M55" s="170">
        <v>14560</v>
      </c>
      <c r="N55" s="603">
        <f t="shared" si="2"/>
        <v>14560</v>
      </c>
      <c r="O55" s="602" t="s">
        <v>419</v>
      </c>
      <c r="P55" s="559" t="s">
        <v>530</v>
      </c>
      <c r="Q55" s="559"/>
      <c r="R55" s="242" t="s">
        <v>908</v>
      </c>
      <c r="S55" s="559" t="s">
        <v>422</v>
      </c>
      <c r="T55" s="341" t="s">
        <v>423</v>
      </c>
      <c r="U55" s="354"/>
      <c r="V55" s="418"/>
      <c r="W55" s="276"/>
    </row>
    <row r="56" spans="1:23" s="135" customFormat="1" ht="15" hidden="1" customHeight="1">
      <c r="A56" s="306">
        <v>55</v>
      </c>
      <c r="B56" s="198" t="s">
        <v>532</v>
      </c>
      <c r="C56" s="204"/>
      <c r="D56" s="558" t="s">
        <v>91</v>
      </c>
      <c r="E56" s="418" t="s">
        <v>50</v>
      </c>
      <c r="F56" s="357">
        <v>1</v>
      </c>
      <c r="G56" s="614">
        <v>1</v>
      </c>
      <c r="H56" s="614">
        <f t="shared" si="3"/>
        <v>0</v>
      </c>
      <c r="I56" s="177">
        <v>42758</v>
      </c>
      <c r="J56" s="606" t="s">
        <v>529</v>
      </c>
      <c r="K56" s="310">
        <v>365</v>
      </c>
      <c r="L56" s="171">
        <v>42756</v>
      </c>
      <c r="M56" s="207">
        <v>2800</v>
      </c>
      <c r="N56" s="603">
        <f t="shared" si="2"/>
        <v>2800</v>
      </c>
      <c r="O56" s="602" t="s">
        <v>419</v>
      </c>
      <c r="P56" s="559" t="s">
        <v>530</v>
      </c>
      <c r="Q56" s="559"/>
      <c r="R56" s="362" t="s">
        <v>908</v>
      </c>
      <c r="S56" s="559" t="s">
        <v>422</v>
      </c>
      <c r="T56" s="341" t="s">
        <v>423</v>
      </c>
      <c r="U56" s="354"/>
      <c r="V56" s="418"/>
      <c r="W56" s="282"/>
    </row>
    <row r="57" spans="1:23" s="135" customFormat="1" ht="15" hidden="1" customHeight="1">
      <c r="A57" s="306">
        <v>56</v>
      </c>
      <c r="B57" s="198" t="s">
        <v>532</v>
      </c>
      <c r="C57" s="359"/>
      <c r="D57" s="558" t="s">
        <v>29</v>
      </c>
      <c r="E57" s="5" t="s">
        <v>28</v>
      </c>
      <c r="F57" s="357">
        <v>2</v>
      </c>
      <c r="G57" s="614">
        <v>2</v>
      </c>
      <c r="H57" s="614">
        <f t="shared" si="3"/>
        <v>0</v>
      </c>
      <c r="I57" s="177">
        <v>42758</v>
      </c>
      <c r="J57" s="606" t="s">
        <v>529</v>
      </c>
      <c r="K57" s="310">
        <v>365</v>
      </c>
      <c r="L57" s="171">
        <v>42756</v>
      </c>
      <c r="M57" s="207">
        <v>450</v>
      </c>
      <c r="N57" s="342">
        <f t="shared" si="2"/>
        <v>900</v>
      </c>
      <c r="O57" s="602" t="s">
        <v>419</v>
      </c>
      <c r="P57" s="559" t="s">
        <v>530</v>
      </c>
      <c r="Q57" s="559"/>
      <c r="R57" s="362" t="s">
        <v>908</v>
      </c>
      <c r="S57" s="559" t="s">
        <v>422</v>
      </c>
      <c r="T57" s="341" t="s">
        <v>423</v>
      </c>
      <c r="U57" s="354"/>
      <c r="V57" s="418"/>
      <c r="W57" s="209"/>
    </row>
    <row r="58" spans="1:23" s="135" customFormat="1" ht="15" hidden="1" customHeight="1">
      <c r="A58" s="306">
        <v>57</v>
      </c>
      <c r="B58" s="361" t="s">
        <v>533</v>
      </c>
      <c r="C58" s="359"/>
      <c r="D58" s="558" t="s">
        <v>451</v>
      </c>
      <c r="E58" s="331" t="s">
        <v>454</v>
      </c>
      <c r="F58" s="357">
        <v>3</v>
      </c>
      <c r="G58" s="614">
        <v>3</v>
      </c>
      <c r="H58" s="614">
        <f t="shared" si="3"/>
        <v>0</v>
      </c>
      <c r="I58" s="362">
        <v>42758</v>
      </c>
      <c r="J58" s="363" t="s">
        <v>1703</v>
      </c>
      <c r="K58" s="309">
        <v>373</v>
      </c>
      <c r="L58" s="226">
        <v>42757</v>
      </c>
      <c r="M58" s="207">
        <v>3336</v>
      </c>
      <c r="N58" s="342">
        <f t="shared" si="2"/>
        <v>10008</v>
      </c>
      <c r="O58" s="559" t="s">
        <v>419</v>
      </c>
      <c r="P58" s="559" t="s">
        <v>535</v>
      </c>
      <c r="Q58" s="559" t="s">
        <v>800</v>
      </c>
      <c r="R58" s="607" t="s">
        <v>908</v>
      </c>
      <c r="S58" s="559" t="s">
        <v>422</v>
      </c>
      <c r="T58" s="559" t="s">
        <v>423</v>
      </c>
      <c r="U58" s="354"/>
      <c r="V58" s="418"/>
      <c r="W58" s="209"/>
    </row>
    <row r="59" spans="1:23" s="135" customFormat="1" ht="15" hidden="1" customHeight="1">
      <c r="A59" s="306">
        <v>58</v>
      </c>
      <c r="B59" s="361" t="s">
        <v>533</v>
      </c>
      <c r="C59" s="215"/>
      <c r="D59" s="418" t="s">
        <v>452</v>
      </c>
      <c r="E59" s="331" t="s">
        <v>455</v>
      </c>
      <c r="F59" s="182">
        <v>6</v>
      </c>
      <c r="G59" s="214">
        <v>6</v>
      </c>
      <c r="H59" s="614">
        <f t="shared" si="3"/>
        <v>0</v>
      </c>
      <c r="I59" s="362">
        <v>42758</v>
      </c>
      <c r="J59" s="363" t="s">
        <v>1703</v>
      </c>
      <c r="K59" s="309">
        <v>373</v>
      </c>
      <c r="L59" s="226">
        <v>42757</v>
      </c>
      <c r="M59" s="225">
        <v>1487</v>
      </c>
      <c r="N59" s="342">
        <f t="shared" si="2"/>
        <v>8922</v>
      </c>
      <c r="O59" s="559" t="s">
        <v>419</v>
      </c>
      <c r="P59" s="559" t="s">
        <v>535</v>
      </c>
      <c r="Q59" s="559" t="s">
        <v>800</v>
      </c>
      <c r="R59" s="607" t="s">
        <v>908</v>
      </c>
      <c r="S59" s="559" t="s">
        <v>422</v>
      </c>
      <c r="T59" s="559" t="s">
        <v>423</v>
      </c>
      <c r="U59" s="354"/>
      <c r="V59" s="418"/>
    </row>
    <row r="60" spans="1:23" s="135" customFormat="1" ht="15" hidden="1" customHeight="1">
      <c r="A60" s="306">
        <v>59</v>
      </c>
      <c r="B60" s="361" t="s">
        <v>534</v>
      </c>
      <c r="C60" s="359"/>
      <c r="D60" s="558" t="s">
        <v>37</v>
      </c>
      <c r="E60" s="6" t="s">
        <v>36</v>
      </c>
      <c r="F60" s="357">
        <v>1</v>
      </c>
      <c r="G60" s="614">
        <v>1</v>
      </c>
      <c r="H60" s="614">
        <f t="shared" si="3"/>
        <v>0</v>
      </c>
      <c r="I60" s="362">
        <v>42758</v>
      </c>
      <c r="J60" s="363" t="s">
        <v>536</v>
      </c>
      <c r="K60" s="312">
        <v>368</v>
      </c>
      <c r="L60" s="226">
        <v>42757</v>
      </c>
      <c r="M60" s="222">
        <v>7530</v>
      </c>
      <c r="N60" s="603">
        <f t="shared" si="2"/>
        <v>7530</v>
      </c>
      <c r="O60" s="559" t="s">
        <v>419</v>
      </c>
      <c r="P60" s="559" t="s">
        <v>535</v>
      </c>
      <c r="Q60" s="559" t="s">
        <v>805</v>
      </c>
      <c r="R60" s="362" t="s">
        <v>908</v>
      </c>
      <c r="S60" s="559" t="s">
        <v>422</v>
      </c>
      <c r="T60" s="559" t="s">
        <v>423</v>
      </c>
      <c r="U60" s="354"/>
      <c r="V60" s="418"/>
      <c r="W60" s="209"/>
    </row>
    <row r="61" spans="1:23" s="135" customFormat="1" ht="15" hidden="1" customHeight="1">
      <c r="A61" s="306">
        <v>60</v>
      </c>
      <c r="B61" s="361"/>
      <c r="C61" s="359"/>
      <c r="D61" s="558" t="s">
        <v>49</v>
      </c>
      <c r="E61" s="350" t="s">
        <v>48</v>
      </c>
      <c r="F61" s="357">
        <v>1</v>
      </c>
      <c r="G61" s="614">
        <v>1</v>
      </c>
      <c r="H61" s="380">
        <f t="shared" si="3"/>
        <v>0</v>
      </c>
      <c r="I61" s="362">
        <v>42757</v>
      </c>
      <c r="J61" s="363" t="s">
        <v>537</v>
      </c>
      <c r="K61" s="312">
        <v>371</v>
      </c>
      <c r="L61" s="226">
        <v>42757</v>
      </c>
      <c r="M61" s="222">
        <v>8750</v>
      </c>
      <c r="N61" s="603">
        <f t="shared" si="2"/>
        <v>8750</v>
      </c>
      <c r="O61" s="559" t="s">
        <v>419</v>
      </c>
      <c r="P61" s="559" t="s">
        <v>535</v>
      </c>
      <c r="Q61" s="559" t="s">
        <v>801</v>
      </c>
      <c r="R61" s="362" t="s">
        <v>908</v>
      </c>
      <c r="S61" s="559" t="s">
        <v>422</v>
      </c>
      <c r="T61" s="559" t="s">
        <v>423</v>
      </c>
      <c r="U61" s="354"/>
      <c r="V61" s="418"/>
      <c r="W61" s="209"/>
    </row>
    <row r="62" spans="1:23" s="135" customFormat="1" ht="15" hidden="1" customHeight="1">
      <c r="A62" s="306">
        <v>61</v>
      </c>
      <c r="B62" s="206"/>
      <c r="C62" s="215"/>
      <c r="D62" s="418" t="s">
        <v>29</v>
      </c>
      <c r="E62" s="5" t="s">
        <v>28</v>
      </c>
      <c r="F62" s="182">
        <v>1</v>
      </c>
      <c r="G62" s="214">
        <v>1</v>
      </c>
      <c r="H62" s="614">
        <f t="shared" si="3"/>
        <v>0</v>
      </c>
      <c r="I62" s="362">
        <v>42757</v>
      </c>
      <c r="J62" s="363" t="s">
        <v>537</v>
      </c>
      <c r="K62" s="312">
        <v>371</v>
      </c>
      <c r="L62" s="226">
        <v>42757</v>
      </c>
      <c r="M62" s="222">
        <v>450</v>
      </c>
      <c r="N62" s="603">
        <f t="shared" si="2"/>
        <v>450</v>
      </c>
      <c r="O62" s="559" t="s">
        <v>419</v>
      </c>
      <c r="P62" s="559" t="s">
        <v>535</v>
      </c>
      <c r="Q62" s="559" t="s">
        <v>801</v>
      </c>
      <c r="R62" s="242" t="s">
        <v>908</v>
      </c>
      <c r="S62" s="559" t="s">
        <v>422</v>
      </c>
      <c r="T62" s="559" t="s">
        <v>423</v>
      </c>
      <c r="U62" s="354"/>
      <c r="V62" s="418"/>
      <c r="W62" s="549"/>
    </row>
    <row r="63" spans="1:23" s="135" customFormat="1" ht="15" hidden="1" customHeight="1">
      <c r="A63" s="306">
        <v>62</v>
      </c>
      <c r="B63" s="361">
        <v>358</v>
      </c>
      <c r="C63" s="359"/>
      <c r="D63" s="558" t="s">
        <v>503</v>
      </c>
      <c r="E63" s="247" t="s">
        <v>504</v>
      </c>
      <c r="F63" s="357">
        <v>1</v>
      </c>
      <c r="G63" s="614">
        <v>1</v>
      </c>
      <c r="H63" s="614">
        <f t="shared" si="3"/>
        <v>0</v>
      </c>
      <c r="I63" s="362">
        <v>42758</v>
      </c>
      <c r="J63" s="363" t="s">
        <v>538</v>
      </c>
      <c r="K63" s="312">
        <v>363</v>
      </c>
      <c r="L63" s="226">
        <v>42754</v>
      </c>
      <c r="M63" s="222">
        <v>6450</v>
      </c>
      <c r="N63" s="603">
        <f t="shared" si="2"/>
        <v>6450</v>
      </c>
      <c r="O63" s="559" t="s">
        <v>419</v>
      </c>
      <c r="P63" s="559" t="s">
        <v>539</v>
      </c>
      <c r="Q63" s="559"/>
      <c r="R63" s="362" t="s">
        <v>908</v>
      </c>
      <c r="S63" s="559" t="s">
        <v>422</v>
      </c>
      <c r="T63" s="559" t="s">
        <v>423</v>
      </c>
      <c r="U63" s="354"/>
      <c r="V63" s="418"/>
      <c r="W63" s="209"/>
    </row>
    <row r="64" spans="1:23" s="135" customFormat="1" ht="15" hidden="1" customHeight="1">
      <c r="A64" s="306">
        <v>63</v>
      </c>
      <c r="B64" s="206">
        <v>4034639</v>
      </c>
      <c r="C64" s="215"/>
      <c r="D64" s="558" t="s">
        <v>503</v>
      </c>
      <c r="E64" s="247" t="s">
        <v>504</v>
      </c>
      <c r="F64" s="182">
        <v>4</v>
      </c>
      <c r="G64" s="214">
        <v>4</v>
      </c>
      <c r="H64" s="380">
        <f t="shared" si="3"/>
        <v>0</v>
      </c>
      <c r="I64" s="177">
        <v>42759</v>
      </c>
      <c r="J64" s="174" t="s">
        <v>477</v>
      </c>
      <c r="K64" s="313">
        <v>390</v>
      </c>
      <c r="L64" s="358">
        <v>42765</v>
      </c>
      <c r="M64" s="222">
        <v>5740</v>
      </c>
      <c r="N64" s="603">
        <f t="shared" si="2"/>
        <v>22960</v>
      </c>
      <c r="O64" s="559" t="s">
        <v>419</v>
      </c>
      <c r="P64" s="559" t="s">
        <v>544</v>
      </c>
      <c r="Q64" s="559"/>
      <c r="R64" s="242" t="s">
        <v>908</v>
      </c>
      <c r="S64" s="559" t="s">
        <v>422</v>
      </c>
      <c r="T64" s="559" t="s">
        <v>423</v>
      </c>
      <c r="U64" s="354" t="s">
        <v>566</v>
      </c>
      <c r="V64" s="418"/>
      <c r="W64" s="549"/>
    </row>
    <row r="65" spans="1:23" s="135" customFormat="1" ht="15" hidden="1" customHeight="1">
      <c r="A65" s="306">
        <v>64</v>
      </c>
      <c r="B65" s="206">
        <v>4034639</v>
      </c>
      <c r="C65" s="359"/>
      <c r="D65" s="263" t="s">
        <v>248</v>
      </c>
      <c r="E65" s="601" t="s">
        <v>50</v>
      </c>
      <c r="F65" s="182">
        <v>20</v>
      </c>
      <c r="G65" s="614">
        <v>20</v>
      </c>
      <c r="H65" s="614">
        <f t="shared" si="3"/>
        <v>0</v>
      </c>
      <c r="I65" s="177">
        <v>42759</v>
      </c>
      <c r="J65" s="174" t="s">
        <v>477</v>
      </c>
      <c r="K65" s="313">
        <v>390</v>
      </c>
      <c r="L65" s="358">
        <v>42765</v>
      </c>
      <c r="M65" s="222">
        <v>2095</v>
      </c>
      <c r="N65" s="603">
        <f t="shared" si="2"/>
        <v>41900</v>
      </c>
      <c r="O65" s="559" t="s">
        <v>419</v>
      </c>
      <c r="P65" s="559" t="s">
        <v>544</v>
      </c>
      <c r="Q65" s="559"/>
      <c r="R65" s="360" t="s">
        <v>908</v>
      </c>
      <c r="S65" s="559" t="s">
        <v>422</v>
      </c>
      <c r="T65" s="559" t="s">
        <v>423</v>
      </c>
      <c r="U65" s="354" t="s">
        <v>566</v>
      </c>
      <c r="V65" s="418"/>
      <c r="W65" s="282"/>
    </row>
    <row r="66" spans="1:23" s="135" customFormat="1" ht="15" hidden="1" customHeight="1">
      <c r="A66" s="306">
        <v>65</v>
      </c>
      <c r="B66" s="206">
        <v>4034639</v>
      </c>
      <c r="C66" s="359"/>
      <c r="D66" s="263" t="s">
        <v>77</v>
      </c>
      <c r="E66" s="327" t="s">
        <v>76</v>
      </c>
      <c r="F66" s="182">
        <v>20</v>
      </c>
      <c r="G66" s="614">
        <v>20</v>
      </c>
      <c r="H66" s="380">
        <f t="shared" ref="H66:H97" si="4">F66-G66</f>
        <v>0</v>
      </c>
      <c r="I66" s="177">
        <v>42759</v>
      </c>
      <c r="J66" s="174" t="s">
        <v>477</v>
      </c>
      <c r="K66" s="308">
        <v>390</v>
      </c>
      <c r="L66" s="358">
        <v>42765</v>
      </c>
      <c r="M66" s="207">
        <v>720</v>
      </c>
      <c r="N66" s="603">
        <f t="shared" si="2"/>
        <v>14400</v>
      </c>
      <c r="O66" s="559" t="s">
        <v>419</v>
      </c>
      <c r="P66" s="559" t="s">
        <v>544</v>
      </c>
      <c r="Q66" s="559"/>
      <c r="R66" s="360" t="s">
        <v>908</v>
      </c>
      <c r="S66" s="559" t="s">
        <v>422</v>
      </c>
      <c r="T66" s="559" t="s">
        <v>423</v>
      </c>
      <c r="U66" s="354" t="s">
        <v>566</v>
      </c>
      <c r="V66" s="418"/>
      <c r="W66" s="209"/>
    </row>
    <row r="67" spans="1:23" s="135" customFormat="1" ht="15" hidden="1" customHeight="1">
      <c r="A67" s="306">
        <v>66</v>
      </c>
      <c r="B67" s="361"/>
      <c r="C67" s="359"/>
      <c r="D67" s="263" t="s">
        <v>542</v>
      </c>
      <c r="E67" s="331" t="s">
        <v>543</v>
      </c>
      <c r="F67" s="182">
        <v>3</v>
      </c>
      <c r="G67" s="614">
        <v>3</v>
      </c>
      <c r="H67" s="380">
        <f t="shared" si="4"/>
        <v>0</v>
      </c>
      <c r="I67" s="177">
        <v>42759</v>
      </c>
      <c r="J67" s="363" t="s">
        <v>575</v>
      </c>
      <c r="K67" s="308">
        <v>377</v>
      </c>
      <c r="L67" s="358">
        <v>42758</v>
      </c>
      <c r="M67" s="207">
        <v>1080</v>
      </c>
      <c r="N67" s="603">
        <f t="shared" si="2"/>
        <v>3240</v>
      </c>
      <c r="O67" s="559" t="s">
        <v>419</v>
      </c>
      <c r="P67" s="559" t="s">
        <v>545</v>
      </c>
      <c r="Q67" s="559" t="s">
        <v>799</v>
      </c>
      <c r="R67" s="360" t="s">
        <v>908</v>
      </c>
      <c r="S67" s="559" t="s">
        <v>422</v>
      </c>
      <c r="T67" s="559" t="s">
        <v>423</v>
      </c>
      <c r="U67" s="354"/>
      <c r="V67" s="418"/>
      <c r="W67" s="209"/>
    </row>
    <row r="68" spans="1:23" s="135" customFormat="1" ht="15" hidden="1" customHeight="1">
      <c r="A68" s="306">
        <v>67</v>
      </c>
      <c r="B68" s="361">
        <v>20164285</v>
      </c>
      <c r="C68" s="359"/>
      <c r="D68" s="263" t="s">
        <v>501</v>
      </c>
      <c r="E68" s="247" t="s">
        <v>502</v>
      </c>
      <c r="F68" s="182">
        <v>10</v>
      </c>
      <c r="G68" s="614">
        <v>10</v>
      </c>
      <c r="H68" s="380">
        <f t="shared" si="4"/>
        <v>0</v>
      </c>
      <c r="I68" s="362">
        <v>42758</v>
      </c>
      <c r="J68" s="363" t="s">
        <v>549</v>
      </c>
      <c r="K68" s="308">
        <v>393</v>
      </c>
      <c r="L68" s="358">
        <v>42757</v>
      </c>
      <c r="M68" s="207">
        <v>0</v>
      </c>
      <c r="N68" s="603">
        <f t="shared" si="2"/>
        <v>0</v>
      </c>
      <c r="O68" s="559" t="s">
        <v>419</v>
      </c>
      <c r="P68" s="559" t="s">
        <v>530</v>
      </c>
      <c r="Q68" s="559"/>
      <c r="R68" s="360" t="s">
        <v>908</v>
      </c>
      <c r="S68" s="559" t="s">
        <v>422</v>
      </c>
      <c r="T68" s="559" t="s">
        <v>423</v>
      </c>
      <c r="U68" s="354" t="s">
        <v>576</v>
      </c>
      <c r="V68" s="418"/>
      <c r="W68" s="209"/>
    </row>
    <row r="69" spans="1:23" s="135" customFormat="1" ht="15" hidden="1" customHeight="1">
      <c r="A69" s="306">
        <v>68</v>
      </c>
      <c r="B69" s="361"/>
      <c r="C69" s="359"/>
      <c r="D69" s="263" t="s">
        <v>70</v>
      </c>
      <c r="E69" s="367" t="s">
        <v>69</v>
      </c>
      <c r="F69" s="182">
        <v>1</v>
      </c>
      <c r="G69" s="614">
        <v>1</v>
      </c>
      <c r="H69" s="380">
        <f t="shared" si="4"/>
        <v>0</v>
      </c>
      <c r="I69" s="362">
        <v>42759</v>
      </c>
      <c r="J69" s="363" t="s">
        <v>579</v>
      </c>
      <c r="K69" s="313" t="s">
        <v>928</v>
      </c>
      <c r="L69" s="220"/>
      <c r="M69" s="222"/>
      <c r="N69" s="603">
        <f t="shared" si="2"/>
        <v>0</v>
      </c>
      <c r="O69" s="559" t="s">
        <v>419</v>
      </c>
      <c r="P69" s="559" t="s">
        <v>530</v>
      </c>
      <c r="Q69" s="559"/>
      <c r="R69" s="360" t="s">
        <v>908</v>
      </c>
      <c r="S69" s="559" t="s">
        <v>494</v>
      </c>
      <c r="T69" s="559"/>
      <c r="U69" s="354" t="s">
        <v>570</v>
      </c>
      <c r="V69" s="418"/>
      <c r="W69" s="209"/>
    </row>
    <row r="70" spans="1:23" s="135" customFormat="1" ht="15" hidden="1" customHeight="1">
      <c r="A70" s="306">
        <v>69</v>
      </c>
      <c r="B70" s="206"/>
      <c r="C70" s="215"/>
      <c r="D70" s="418" t="s">
        <v>91</v>
      </c>
      <c r="E70" s="367" t="s">
        <v>50</v>
      </c>
      <c r="F70" s="182">
        <v>1</v>
      </c>
      <c r="G70" s="214">
        <v>1</v>
      </c>
      <c r="H70" s="380">
        <f t="shared" si="4"/>
        <v>0</v>
      </c>
      <c r="I70" s="362">
        <v>42759</v>
      </c>
      <c r="J70" s="363" t="s">
        <v>579</v>
      </c>
      <c r="K70" s="313" t="s">
        <v>928</v>
      </c>
      <c r="L70" s="223"/>
      <c r="M70" s="222"/>
      <c r="N70" s="173">
        <f t="shared" si="2"/>
        <v>0</v>
      </c>
      <c r="O70" s="559" t="s">
        <v>419</v>
      </c>
      <c r="P70" s="559" t="s">
        <v>530</v>
      </c>
      <c r="Q70" s="559"/>
      <c r="R70" s="242" t="s">
        <v>908</v>
      </c>
      <c r="S70" s="559" t="s">
        <v>494</v>
      </c>
      <c r="T70" s="559"/>
      <c r="U70" s="354" t="s">
        <v>570</v>
      </c>
      <c r="V70" s="418"/>
      <c r="W70" s="276"/>
    </row>
    <row r="71" spans="1:23" s="135" customFormat="1" ht="15" hidden="1" customHeight="1">
      <c r="A71" s="306">
        <v>70</v>
      </c>
      <c r="B71" s="206">
        <v>26</v>
      </c>
      <c r="C71" s="215"/>
      <c r="D71" s="418" t="s">
        <v>82</v>
      </c>
      <c r="E71" s="367" t="s">
        <v>81</v>
      </c>
      <c r="F71" s="182">
        <v>2</v>
      </c>
      <c r="G71" s="614">
        <v>2</v>
      </c>
      <c r="H71" s="380">
        <f t="shared" si="4"/>
        <v>0</v>
      </c>
      <c r="I71" s="177">
        <v>42760</v>
      </c>
      <c r="J71" s="606" t="s">
        <v>554</v>
      </c>
      <c r="K71" s="308">
        <v>382</v>
      </c>
      <c r="L71" s="358">
        <v>42760</v>
      </c>
      <c r="M71" s="207">
        <v>4210</v>
      </c>
      <c r="N71" s="173">
        <f t="shared" si="2"/>
        <v>8420</v>
      </c>
      <c r="O71" s="559" t="s">
        <v>419</v>
      </c>
      <c r="P71" s="559" t="s">
        <v>555</v>
      </c>
      <c r="Q71" s="559"/>
      <c r="R71" s="242" t="s">
        <v>908</v>
      </c>
      <c r="S71" s="559" t="s">
        <v>422</v>
      </c>
      <c r="T71" s="559" t="s">
        <v>423</v>
      </c>
      <c r="U71" s="354"/>
      <c r="V71" s="418"/>
      <c r="W71" s="276"/>
    </row>
    <row r="72" spans="1:23" s="135" customFormat="1" ht="15" hidden="1" customHeight="1">
      <c r="A72" s="306">
        <v>71</v>
      </c>
      <c r="B72" s="206">
        <v>26</v>
      </c>
      <c r="C72" s="215"/>
      <c r="D72" s="418" t="s">
        <v>86</v>
      </c>
      <c r="E72" s="367" t="s">
        <v>85</v>
      </c>
      <c r="F72" s="182">
        <v>3</v>
      </c>
      <c r="G72" s="214">
        <v>3</v>
      </c>
      <c r="H72" s="380">
        <f t="shared" si="4"/>
        <v>0</v>
      </c>
      <c r="I72" s="177">
        <v>42760</v>
      </c>
      <c r="J72" s="606" t="s">
        <v>554</v>
      </c>
      <c r="K72" s="308">
        <v>382</v>
      </c>
      <c r="L72" s="358">
        <v>42760</v>
      </c>
      <c r="M72" s="207">
        <v>10360</v>
      </c>
      <c r="N72" s="173">
        <f t="shared" si="2"/>
        <v>31080</v>
      </c>
      <c r="O72" s="559" t="s">
        <v>419</v>
      </c>
      <c r="P72" s="559" t="s">
        <v>555</v>
      </c>
      <c r="Q72" s="559"/>
      <c r="R72" s="242" t="s">
        <v>908</v>
      </c>
      <c r="S72" s="559" t="s">
        <v>422</v>
      </c>
      <c r="T72" s="559" t="s">
        <v>423</v>
      </c>
      <c r="U72" s="354"/>
      <c r="V72" s="418"/>
      <c r="W72" s="276"/>
    </row>
    <row r="73" spans="1:23" s="135" customFormat="1" ht="15" hidden="1" customHeight="1">
      <c r="A73" s="306">
        <v>72</v>
      </c>
      <c r="B73" s="206">
        <v>26</v>
      </c>
      <c r="C73" s="215"/>
      <c r="D73" s="418" t="s">
        <v>29</v>
      </c>
      <c r="E73" s="5" t="s">
        <v>28</v>
      </c>
      <c r="F73" s="182">
        <v>3</v>
      </c>
      <c r="G73" s="214">
        <v>3</v>
      </c>
      <c r="H73" s="614">
        <f t="shared" si="4"/>
        <v>0</v>
      </c>
      <c r="I73" s="177">
        <v>42760</v>
      </c>
      <c r="J73" s="606" t="s">
        <v>554</v>
      </c>
      <c r="K73" s="308">
        <v>382</v>
      </c>
      <c r="L73" s="358">
        <v>42760</v>
      </c>
      <c r="M73" s="207">
        <v>450</v>
      </c>
      <c r="N73" s="615">
        <f t="shared" si="2"/>
        <v>1350</v>
      </c>
      <c r="O73" s="559" t="s">
        <v>419</v>
      </c>
      <c r="P73" s="559" t="s">
        <v>555</v>
      </c>
      <c r="Q73" s="559"/>
      <c r="R73" s="242" t="s">
        <v>908</v>
      </c>
      <c r="S73" s="559" t="s">
        <v>422</v>
      </c>
      <c r="T73" s="559" t="s">
        <v>423</v>
      </c>
      <c r="U73" s="354"/>
      <c r="V73" s="418"/>
      <c r="W73" s="549"/>
    </row>
    <row r="74" spans="1:23" s="135" customFormat="1" ht="15" customHeight="1">
      <c r="A74" s="306">
        <v>73</v>
      </c>
      <c r="B74" s="219" t="s">
        <v>557</v>
      </c>
      <c r="C74" s="218"/>
      <c r="D74" s="418" t="s">
        <v>73</v>
      </c>
      <c r="E74" s="350" t="s">
        <v>72</v>
      </c>
      <c r="F74" s="182">
        <v>1</v>
      </c>
      <c r="G74" s="214">
        <v>1</v>
      </c>
      <c r="H74" s="614">
        <f t="shared" si="4"/>
        <v>0</v>
      </c>
      <c r="I74" s="177">
        <v>42761</v>
      </c>
      <c r="J74" s="363" t="s">
        <v>556</v>
      </c>
      <c r="K74" s="314">
        <v>378</v>
      </c>
      <c r="L74" s="280">
        <v>42759</v>
      </c>
      <c r="M74" s="258">
        <v>22000</v>
      </c>
      <c r="N74" s="615">
        <f t="shared" si="2"/>
        <v>22000</v>
      </c>
      <c r="O74" s="559" t="s">
        <v>419</v>
      </c>
      <c r="P74" s="195" t="s">
        <v>530</v>
      </c>
      <c r="Q74" s="195"/>
      <c r="R74" s="243" t="s">
        <v>908</v>
      </c>
      <c r="S74" s="195" t="s">
        <v>422</v>
      </c>
      <c r="T74" s="559" t="s">
        <v>423</v>
      </c>
      <c r="U74" s="224"/>
      <c r="V74" s="418"/>
      <c r="W74" s="549"/>
    </row>
    <row r="75" spans="1:23" s="135" customFormat="1" ht="15" hidden="1" customHeight="1">
      <c r="A75" s="306">
        <v>74</v>
      </c>
      <c r="B75" s="361" t="s">
        <v>558</v>
      </c>
      <c r="C75" s="359"/>
      <c r="D75" s="601" t="s">
        <v>60</v>
      </c>
      <c r="E75" s="559" t="s">
        <v>438</v>
      </c>
      <c r="F75" s="357">
        <v>1</v>
      </c>
      <c r="G75" s="614">
        <v>1</v>
      </c>
      <c r="H75" s="380">
        <f t="shared" si="4"/>
        <v>0</v>
      </c>
      <c r="I75" s="362">
        <v>42761</v>
      </c>
      <c r="J75" s="363" t="s">
        <v>559</v>
      </c>
      <c r="K75" s="355">
        <v>379</v>
      </c>
      <c r="L75" s="358">
        <v>42759</v>
      </c>
      <c r="M75" s="378">
        <v>1270</v>
      </c>
      <c r="N75" s="603">
        <f t="shared" si="2"/>
        <v>1270</v>
      </c>
      <c r="O75" s="559" t="s">
        <v>419</v>
      </c>
      <c r="P75" s="559" t="s">
        <v>512</v>
      </c>
      <c r="Q75" s="559"/>
      <c r="R75" s="360" t="s">
        <v>908</v>
      </c>
      <c r="S75" s="559" t="s">
        <v>422</v>
      </c>
      <c r="T75" s="559" t="s">
        <v>423</v>
      </c>
      <c r="U75" s="354"/>
      <c r="V75" s="418"/>
      <c r="W75" s="276"/>
    </row>
    <row r="76" spans="1:23" s="135" customFormat="1" ht="15" hidden="1" customHeight="1">
      <c r="A76" s="306">
        <v>75</v>
      </c>
      <c r="B76" s="361" t="s">
        <v>560</v>
      </c>
      <c r="C76" s="359"/>
      <c r="D76" s="356" t="s">
        <v>47</v>
      </c>
      <c r="E76" s="350" t="s">
        <v>46</v>
      </c>
      <c r="F76" s="357">
        <v>1</v>
      </c>
      <c r="G76" s="614">
        <v>1</v>
      </c>
      <c r="H76" s="380">
        <f t="shared" si="4"/>
        <v>0</v>
      </c>
      <c r="I76" s="362">
        <v>42763</v>
      </c>
      <c r="J76" s="363" t="s">
        <v>527</v>
      </c>
      <c r="K76" s="355">
        <v>384</v>
      </c>
      <c r="L76" s="358">
        <v>42761</v>
      </c>
      <c r="M76" s="378">
        <v>2325</v>
      </c>
      <c r="N76" s="603">
        <f t="shared" si="2"/>
        <v>2325</v>
      </c>
      <c r="O76" s="559" t="s">
        <v>419</v>
      </c>
      <c r="P76" s="559" t="s">
        <v>561</v>
      </c>
      <c r="Q76" s="559"/>
      <c r="R76" s="360" t="s">
        <v>908</v>
      </c>
      <c r="S76" s="559" t="s">
        <v>422</v>
      </c>
      <c r="T76" s="559" t="s">
        <v>825</v>
      </c>
      <c r="U76" s="354" t="s">
        <v>562</v>
      </c>
      <c r="V76" s="418"/>
      <c r="W76" s="276"/>
    </row>
    <row r="77" spans="1:23" s="135" customFormat="1" ht="15" hidden="1" customHeight="1">
      <c r="A77" s="306">
        <v>76</v>
      </c>
      <c r="B77" s="361" t="s">
        <v>563</v>
      </c>
      <c r="C77" s="359"/>
      <c r="D77" s="356" t="s">
        <v>47</v>
      </c>
      <c r="E77" s="350" t="s">
        <v>46</v>
      </c>
      <c r="F77" s="357">
        <v>80</v>
      </c>
      <c r="G77" s="614">
        <v>80</v>
      </c>
      <c r="H77" s="380">
        <f t="shared" si="4"/>
        <v>0</v>
      </c>
      <c r="I77" s="362">
        <v>42763</v>
      </c>
      <c r="J77" s="363" t="s">
        <v>527</v>
      </c>
      <c r="K77" s="355">
        <v>383</v>
      </c>
      <c r="L77" s="358">
        <v>42761</v>
      </c>
      <c r="M77" s="378">
        <v>2325</v>
      </c>
      <c r="N77" s="603">
        <f t="shared" si="2"/>
        <v>186000</v>
      </c>
      <c r="O77" s="559" t="s">
        <v>419</v>
      </c>
      <c r="P77" s="559" t="s">
        <v>561</v>
      </c>
      <c r="Q77" s="559"/>
      <c r="R77" s="360" t="s">
        <v>908</v>
      </c>
      <c r="S77" s="559" t="s">
        <v>422</v>
      </c>
      <c r="T77" s="559" t="s">
        <v>825</v>
      </c>
      <c r="U77" s="354" t="s">
        <v>562</v>
      </c>
      <c r="V77" s="418"/>
      <c r="W77" s="282"/>
    </row>
    <row r="78" spans="1:23" s="135" customFormat="1" ht="15" hidden="1" customHeight="1">
      <c r="A78" s="306">
        <v>77</v>
      </c>
      <c r="B78" s="361">
        <v>4034661</v>
      </c>
      <c r="C78" s="359"/>
      <c r="D78" s="263" t="s">
        <v>39</v>
      </c>
      <c r="E78" s="350" t="s">
        <v>38</v>
      </c>
      <c r="F78" s="182">
        <v>5</v>
      </c>
      <c r="G78" s="614">
        <v>5</v>
      </c>
      <c r="H78" s="380">
        <f t="shared" si="4"/>
        <v>0</v>
      </c>
      <c r="I78" s="362">
        <v>42764</v>
      </c>
      <c r="J78" s="363" t="s">
        <v>477</v>
      </c>
      <c r="K78" s="308">
        <v>385</v>
      </c>
      <c r="L78" s="358">
        <v>42761</v>
      </c>
      <c r="M78" s="207">
        <v>4300</v>
      </c>
      <c r="N78" s="603">
        <f t="shared" si="2"/>
        <v>21500</v>
      </c>
      <c r="O78" s="559" t="s">
        <v>419</v>
      </c>
      <c r="P78" s="559" t="s">
        <v>612</v>
      </c>
      <c r="Q78" s="559"/>
      <c r="R78" s="360" t="s">
        <v>908</v>
      </c>
      <c r="S78" s="559" t="s">
        <v>422</v>
      </c>
      <c r="T78" s="559" t="s">
        <v>423</v>
      </c>
      <c r="U78" s="354"/>
      <c r="V78" s="418"/>
      <c r="W78" s="209"/>
    </row>
    <row r="79" spans="1:23" s="135" customFormat="1" ht="15" hidden="1" customHeight="1">
      <c r="A79" s="306">
        <v>78</v>
      </c>
      <c r="B79" s="361">
        <v>4034661</v>
      </c>
      <c r="C79" s="359"/>
      <c r="D79" s="263" t="s">
        <v>80</v>
      </c>
      <c r="E79" s="350" t="s">
        <v>79</v>
      </c>
      <c r="F79" s="182">
        <v>10</v>
      </c>
      <c r="G79" s="614">
        <v>10</v>
      </c>
      <c r="H79" s="380">
        <f t="shared" si="4"/>
        <v>0</v>
      </c>
      <c r="I79" s="362">
        <v>42764</v>
      </c>
      <c r="J79" s="363" t="s">
        <v>477</v>
      </c>
      <c r="K79" s="308">
        <v>385</v>
      </c>
      <c r="L79" s="358">
        <v>42761</v>
      </c>
      <c r="M79" s="207">
        <v>890</v>
      </c>
      <c r="N79" s="603">
        <f t="shared" si="2"/>
        <v>8900</v>
      </c>
      <c r="O79" s="559" t="s">
        <v>419</v>
      </c>
      <c r="P79" s="559" t="s">
        <v>612</v>
      </c>
      <c r="Q79" s="559"/>
      <c r="R79" s="360" t="s">
        <v>908</v>
      </c>
      <c r="S79" s="559" t="s">
        <v>422</v>
      </c>
      <c r="T79" s="559" t="s">
        <v>423</v>
      </c>
      <c r="U79" s="354"/>
      <c r="V79" s="418"/>
      <c r="W79" s="209"/>
    </row>
    <row r="80" spans="1:23" s="135" customFormat="1" ht="15" customHeight="1">
      <c r="A80" s="306">
        <v>79</v>
      </c>
      <c r="B80" s="206" t="s">
        <v>522</v>
      </c>
      <c r="C80" s="215"/>
      <c r="D80" s="418" t="s">
        <v>29</v>
      </c>
      <c r="E80" s="5" t="s">
        <v>28</v>
      </c>
      <c r="F80" s="182">
        <v>8</v>
      </c>
      <c r="G80" s="214">
        <v>8</v>
      </c>
      <c r="H80" s="614">
        <f t="shared" si="4"/>
        <v>0</v>
      </c>
      <c r="I80" s="362">
        <v>42764</v>
      </c>
      <c r="J80" s="363" t="s">
        <v>507</v>
      </c>
      <c r="K80" s="315">
        <v>380</v>
      </c>
      <c r="L80" s="213">
        <v>42759</v>
      </c>
      <c r="M80" s="216">
        <v>450</v>
      </c>
      <c r="N80" s="603">
        <f t="shared" si="2"/>
        <v>3600</v>
      </c>
      <c r="O80" s="559" t="s">
        <v>419</v>
      </c>
      <c r="P80" s="559" t="s">
        <v>530</v>
      </c>
      <c r="Q80" s="559"/>
      <c r="R80" s="242" t="s">
        <v>908</v>
      </c>
      <c r="S80" s="559" t="s">
        <v>422</v>
      </c>
      <c r="T80" s="559"/>
      <c r="U80" s="354"/>
      <c r="V80" s="418"/>
      <c r="W80" s="549"/>
    </row>
    <row r="81" spans="1:23" s="135" customFormat="1" ht="15" hidden="1" customHeight="1">
      <c r="A81" s="306">
        <v>80</v>
      </c>
      <c r="B81" s="361" t="s">
        <v>565</v>
      </c>
      <c r="C81" s="359"/>
      <c r="D81" s="187" t="s">
        <v>246</v>
      </c>
      <c r="E81" s="600" t="s">
        <v>258</v>
      </c>
      <c r="F81" s="182">
        <v>1</v>
      </c>
      <c r="G81" s="614">
        <v>1</v>
      </c>
      <c r="H81" s="380">
        <f t="shared" si="4"/>
        <v>0</v>
      </c>
      <c r="I81" s="362">
        <v>42764</v>
      </c>
      <c r="J81" s="606" t="s">
        <v>564</v>
      </c>
      <c r="K81" s="315">
        <v>369</v>
      </c>
      <c r="L81" s="279">
        <v>42757</v>
      </c>
      <c r="M81" s="281">
        <v>5900</v>
      </c>
      <c r="N81" s="603">
        <f t="shared" si="2"/>
        <v>5900</v>
      </c>
      <c r="O81" s="559" t="s">
        <v>419</v>
      </c>
      <c r="P81" s="559" t="s">
        <v>530</v>
      </c>
      <c r="Q81" s="559"/>
      <c r="R81" s="360" t="s">
        <v>908</v>
      </c>
      <c r="S81" s="559" t="s">
        <v>422</v>
      </c>
      <c r="T81" s="559"/>
      <c r="U81" s="354"/>
      <c r="V81" s="418"/>
      <c r="W81" s="209"/>
    </row>
    <row r="82" spans="1:23" s="135" customFormat="1" ht="15" hidden="1" customHeight="1">
      <c r="A82" s="306">
        <v>81</v>
      </c>
      <c r="B82" s="361" t="s">
        <v>565</v>
      </c>
      <c r="C82" s="218"/>
      <c r="D82" s="418" t="s">
        <v>248</v>
      </c>
      <c r="E82" s="600" t="s">
        <v>260</v>
      </c>
      <c r="F82" s="182">
        <v>1</v>
      </c>
      <c r="G82" s="214">
        <v>1</v>
      </c>
      <c r="H82" s="614">
        <f t="shared" si="4"/>
        <v>0</v>
      </c>
      <c r="I82" s="362">
        <v>42764</v>
      </c>
      <c r="J82" s="343" t="s">
        <v>564</v>
      </c>
      <c r="K82" s="315">
        <v>369</v>
      </c>
      <c r="L82" s="279">
        <v>42757</v>
      </c>
      <c r="M82" s="256">
        <v>2000</v>
      </c>
      <c r="N82" s="603">
        <f t="shared" si="2"/>
        <v>2000</v>
      </c>
      <c r="O82" s="559" t="s">
        <v>419</v>
      </c>
      <c r="P82" s="195" t="s">
        <v>530</v>
      </c>
      <c r="Q82" s="195"/>
      <c r="R82" s="217" t="s">
        <v>908</v>
      </c>
      <c r="S82" s="195" t="s">
        <v>422</v>
      </c>
      <c r="T82" s="195"/>
      <c r="U82" s="354"/>
      <c r="V82" s="418"/>
      <c r="W82" s="276"/>
    </row>
    <row r="83" spans="1:23" s="135" customFormat="1" ht="15" hidden="1" customHeight="1">
      <c r="A83" s="306">
        <v>82</v>
      </c>
      <c r="B83" s="361" t="s">
        <v>565</v>
      </c>
      <c r="C83" s="215"/>
      <c r="D83" s="418" t="s">
        <v>249</v>
      </c>
      <c r="E83" s="178" t="s">
        <v>28</v>
      </c>
      <c r="F83" s="182">
        <v>2</v>
      </c>
      <c r="G83" s="214">
        <v>2</v>
      </c>
      <c r="H83" s="614">
        <f t="shared" si="4"/>
        <v>0</v>
      </c>
      <c r="I83" s="362">
        <v>42764</v>
      </c>
      <c r="J83" s="606" t="s">
        <v>564</v>
      </c>
      <c r="K83" s="315">
        <v>369</v>
      </c>
      <c r="L83" s="279">
        <v>42757</v>
      </c>
      <c r="M83" s="221">
        <v>400</v>
      </c>
      <c r="N83" s="353">
        <f t="shared" si="2"/>
        <v>800</v>
      </c>
      <c r="O83" s="559" t="s">
        <v>419</v>
      </c>
      <c r="P83" s="559" t="s">
        <v>530</v>
      </c>
      <c r="Q83" s="559"/>
      <c r="R83" s="242" t="s">
        <v>908</v>
      </c>
      <c r="S83" s="559" t="s">
        <v>422</v>
      </c>
      <c r="T83" s="559"/>
      <c r="U83" s="354"/>
      <c r="V83" s="418"/>
    </row>
    <row r="84" spans="1:23" s="135" customFormat="1" ht="15" hidden="1" customHeight="1">
      <c r="A84" s="306">
        <v>83</v>
      </c>
      <c r="B84" s="206" t="s">
        <v>568</v>
      </c>
      <c r="C84" s="215"/>
      <c r="D84" s="558" t="s">
        <v>247</v>
      </c>
      <c r="E84" s="600" t="s">
        <v>259</v>
      </c>
      <c r="F84" s="182">
        <v>3</v>
      </c>
      <c r="G84" s="214">
        <v>3</v>
      </c>
      <c r="H84" s="380">
        <f t="shared" si="4"/>
        <v>0</v>
      </c>
      <c r="I84" s="177">
        <v>42765</v>
      </c>
      <c r="J84" s="561" t="s">
        <v>567</v>
      </c>
      <c r="K84" s="308">
        <v>388</v>
      </c>
      <c r="L84" s="358">
        <v>42764</v>
      </c>
      <c r="M84" s="207">
        <v>3680</v>
      </c>
      <c r="N84" s="603">
        <f t="shared" si="2"/>
        <v>11040</v>
      </c>
      <c r="O84" s="559" t="s">
        <v>419</v>
      </c>
      <c r="P84" s="559" t="s">
        <v>612</v>
      </c>
      <c r="Q84" s="559"/>
      <c r="R84" s="242" t="s">
        <v>908</v>
      </c>
      <c r="S84" s="559" t="s">
        <v>422</v>
      </c>
      <c r="T84" s="559"/>
      <c r="U84" s="354"/>
      <c r="V84" s="418"/>
      <c r="W84" s="549"/>
    </row>
    <row r="85" spans="1:23" s="135" customFormat="1" ht="15" hidden="1" customHeight="1">
      <c r="A85" s="306">
        <v>84</v>
      </c>
      <c r="B85" s="206" t="s">
        <v>568</v>
      </c>
      <c r="C85" s="215"/>
      <c r="D85" s="418" t="s">
        <v>250</v>
      </c>
      <c r="E85" s="600" t="s">
        <v>262</v>
      </c>
      <c r="F85" s="182">
        <v>3</v>
      </c>
      <c r="G85" s="214">
        <v>3</v>
      </c>
      <c r="H85" s="614">
        <f t="shared" si="4"/>
        <v>0</v>
      </c>
      <c r="I85" s="177">
        <v>42765</v>
      </c>
      <c r="J85" s="155" t="s">
        <v>567</v>
      </c>
      <c r="K85" s="308">
        <v>388</v>
      </c>
      <c r="L85" s="358">
        <v>42764</v>
      </c>
      <c r="M85" s="207">
        <v>1500</v>
      </c>
      <c r="N85" s="603">
        <f t="shared" si="2"/>
        <v>4500</v>
      </c>
      <c r="O85" s="559" t="s">
        <v>419</v>
      </c>
      <c r="P85" s="559" t="s">
        <v>612</v>
      </c>
      <c r="Q85" s="559"/>
      <c r="R85" s="242" t="s">
        <v>908</v>
      </c>
      <c r="S85" s="559" t="s">
        <v>422</v>
      </c>
      <c r="T85" s="559"/>
      <c r="U85" s="354"/>
      <c r="V85" s="418"/>
      <c r="W85" s="276"/>
    </row>
    <row r="86" spans="1:23" s="135" customFormat="1" ht="15" hidden="1" customHeight="1">
      <c r="A86" s="306">
        <v>85</v>
      </c>
      <c r="B86" s="206"/>
      <c r="C86" s="215"/>
      <c r="D86" s="418" t="s">
        <v>247</v>
      </c>
      <c r="E86" s="600" t="s">
        <v>259</v>
      </c>
      <c r="F86" s="182">
        <v>1</v>
      </c>
      <c r="G86" s="214">
        <v>1</v>
      </c>
      <c r="H86" s="614">
        <f t="shared" si="4"/>
        <v>0</v>
      </c>
      <c r="I86" s="177">
        <v>42765</v>
      </c>
      <c r="J86" s="159" t="s">
        <v>569</v>
      </c>
      <c r="K86" s="308">
        <v>391</v>
      </c>
      <c r="L86" s="358">
        <v>42766</v>
      </c>
      <c r="M86" s="207">
        <v>3800</v>
      </c>
      <c r="N86" s="603">
        <f t="shared" si="2"/>
        <v>3800</v>
      </c>
      <c r="O86" s="559" t="s">
        <v>419</v>
      </c>
      <c r="P86" s="559" t="s">
        <v>555</v>
      </c>
      <c r="Q86" s="559"/>
      <c r="R86" s="242" t="s">
        <v>908</v>
      </c>
      <c r="S86" s="559" t="s">
        <v>422</v>
      </c>
      <c r="T86" s="559" t="s">
        <v>423</v>
      </c>
      <c r="U86" s="354"/>
      <c r="V86" s="418"/>
    </row>
    <row r="87" spans="1:23" s="135" customFormat="1" ht="15" hidden="1" customHeight="1">
      <c r="A87" s="306">
        <v>86</v>
      </c>
      <c r="B87" s="206"/>
      <c r="C87" s="215"/>
      <c r="D87" s="418" t="s">
        <v>249</v>
      </c>
      <c r="E87" s="559" t="s">
        <v>28</v>
      </c>
      <c r="F87" s="182">
        <v>1</v>
      </c>
      <c r="G87" s="214">
        <v>1</v>
      </c>
      <c r="H87" s="614">
        <f t="shared" si="4"/>
        <v>0</v>
      </c>
      <c r="I87" s="177">
        <v>42765</v>
      </c>
      <c r="J87" s="343" t="s">
        <v>569</v>
      </c>
      <c r="K87" s="308">
        <v>391</v>
      </c>
      <c r="L87" s="358">
        <v>42766</v>
      </c>
      <c r="M87" s="170">
        <v>450</v>
      </c>
      <c r="N87" s="353">
        <f t="shared" si="2"/>
        <v>450</v>
      </c>
      <c r="O87" s="559" t="s">
        <v>419</v>
      </c>
      <c r="P87" s="559" t="s">
        <v>555</v>
      </c>
      <c r="Q87" s="559"/>
      <c r="R87" s="242" t="s">
        <v>908</v>
      </c>
      <c r="S87" s="559" t="s">
        <v>422</v>
      </c>
      <c r="T87" s="559" t="s">
        <v>423</v>
      </c>
      <c r="U87" s="354"/>
      <c r="V87" s="418"/>
    </row>
    <row r="88" spans="1:23" s="135" customFormat="1" ht="15" hidden="1" customHeight="1">
      <c r="A88" s="306">
        <v>87</v>
      </c>
      <c r="B88" s="206" t="s">
        <v>571</v>
      </c>
      <c r="C88" s="215"/>
      <c r="D88" s="418" t="s">
        <v>162</v>
      </c>
      <c r="E88" s="291" t="s">
        <v>161</v>
      </c>
      <c r="F88" s="182">
        <v>1</v>
      </c>
      <c r="G88" s="214">
        <v>1</v>
      </c>
      <c r="H88" s="614">
        <f t="shared" si="4"/>
        <v>0</v>
      </c>
      <c r="I88" s="177">
        <v>42766</v>
      </c>
      <c r="J88" s="370" t="s">
        <v>572</v>
      </c>
      <c r="K88" s="310">
        <v>389</v>
      </c>
      <c r="L88" s="358">
        <v>42764</v>
      </c>
      <c r="M88" s="382">
        <v>475</v>
      </c>
      <c r="N88" s="353">
        <f t="shared" si="2"/>
        <v>475</v>
      </c>
      <c r="O88" s="559" t="s">
        <v>419</v>
      </c>
      <c r="P88" s="559" t="s">
        <v>545</v>
      </c>
      <c r="Q88" s="559" t="s">
        <v>802</v>
      </c>
      <c r="R88" s="242" t="s">
        <v>908</v>
      </c>
      <c r="S88" s="559" t="s">
        <v>422</v>
      </c>
      <c r="T88" s="559" t="s">
        <v>423</v>
      </c>
      <c r="U88" s="354"/>
      <c r="V88" s="418"/>
    </row>
    <row r="89" spans="1:23" s="135" customFormat="1" ht="15" hidden="1" customHeight="1">
      <c r="A89" s="306">
        <v>88</v>
      </c>
      <c r="B89" s="206" t="s">
        <v>571</v>
      </c>
      <c r="C89" s="359"/>
      <c r="D89" s="263" t="s">
        <v>188</v>
      </c>
      <c r="E89" s="291" t="s">
        <v>187</v>
      </c>
      <c r="F89" s="182">
        <v>2</v>
      </c>
      <c r="G89" s="614">
        <v>2</v>
      </c>
      <c r="H89" s="380">
        <f t="shared" si="4"/>
        <v>0</v>
      </c>
      <c r="I89" s="177">
        <v>42766</v>
      </c>
      <c r="J89" s="606" t="s">
        <v>572</v>
      </c>
      <c r="K89" s="310">
        <v>389</v>
      </c>
      <c r="L89" s="358">
        <v>42764</v>
      </c>
      <c r="M89" s="207">
        <v>7548</v>
      </c>
      <c r="N89" s="603">
        <f t="shared" si="2"/>
        <v>15096</v>
      </c>
      <c r="O89" s="559" t="s">
        <v>419</v>
      </c>
      <c r="P89" s="559" t="s">
        <v>545</v>
      </c>
      <c r="Q89" s="559" t="s">
        <v>802</v>
      </c>
      <c r="R89" s="242" t="s">
        <v>908</v>
      </c>
      <c r="S89" s="559" t="s">
        <v>422</v>
      </c>
      <c r="T89" s="559" t="s">
        <v>423</v>
      </c>
      <c r="U89" s="354"/>
      <c r="V89" s="418"/>
      <c r="W89" s="282"/>
    </row>
    <row r="90" spans="1:23" s="135" customFormat="1" ht="15" hidden="1" customHeight="1">
      <c r="A90" s="306">
        <v>89</v>
      </c>
      <c r="B90" s="206" t="s">
        <v>571</v>
      </c>
      <c r="C90" s="218"/>
      <c r="D90" s="418" t="s">
        <v>457</v>
      </c>
      <c r="E90" s="331" t="s">
        <v>159</v>
      </c>
      <c r="F90" s="182">
        <v>1</v>
      </c>
      <c r="G90" s="214">
        <v>1</v>
      </c>
      <c r="H90" s="380">
        <f t="shared" si="4"/>
        <v>0</v>
      </c>
      <c r="I90" s="177">
        <v>42766</v>
      </c>
      <c r="J90" s="606" t="s">
        <v>572</v>
      </c>
      <c r="K90" s="310">
        <v>389</v>
      </c>
      <c r="L90" s="358">
        <v>42764</v>
      </c>
      <c r="M90" s="383">
        <v>4790</v>
      </c>
      <c r="N90" s="603">
        <f t="shared" ref="N90:N153" si="5">IFERROR(M90*G90,0)</f>
        <v>4790</v>
      </c>
      <c r="O90" s="559" t="s">
        <v>419</v>
      </c>
      <c r="P90" s="559" t="s">
        <v>545</v>
      </c>
      <c r="Q90" s="559" t="s">
        <v>802</v>
      </c>
      <c r="R90" s="242" t="s">
        <v>908</v>
      </c>
      <c r="S90" s="195" t="s">
        <v>422</v>
      </c>
      <c r="T90" s="195" t="s">
        <v>423</v>
      </c>
      <c r="U90" s="354"/>
      <c r="V90" s="418"/>
      <c r="W90" s="549"/>
    </row>
    <row r="91" spans="1:23" s="135" customFormat="1" ht="15" hidden="1" customHeight="1">
      <c r="A91" s="306">
        <v>90</v>
      </c>
      <c r="B91" s="206" t="s">
        <v>571</v>
      </c>
      <c r="C91" s="215"/>
      <c r="D91" s="418" t="s">
        <v>458</v>
      </c>
      <c r="E91" s="331" t="s">
        <v>460</v>
      </c>
      <c r="F91" s="182">
        <v>3</v>
      </c>
      <c r="G91" s="214">
        <v>3</v>
      </c>
      <c r="H91" s="614">
        <f t="shared" si="4"/>
        <v>0</v>
      </c>
      <c r="I91" s="177">
        <v>42766</v>
      </c>
      <c r="J91" s="606" t="s">
        <v>572</v>
      </c>
      <c r="K91" s="310">
        <v>389</v>
      </c>
      <c r="L91" s="358">
        <v>42764</v>
      </c>
      <c r="M91" s="222">
        <v>260</v>
      </c>
      <c r="N91" s="353">
        <f t="shared" si="5"/>
        <v>780</v>
      </c>
      <c r="O91" s="559" t="s">
        <v>419</v>
      </c>
      <c r="P91" s="559" t="s">
        <v>545</v>
      </c>
      <c r="Q91" s="559" t="s">
        <v>802</v>
      </c>
      <c r="R91" s="242" t="s">
        <v>908</v>
      </c>
      <c r="S91" s="559" t="s">
        <v>422</v>
      </c>
      <c r="T91" s="559" t="s">
        <v>423</v>
      </c>
      <c r="U91" s="354"/>
      <c r="V91" s="418"/>
    </row>
    <row r="92" spans="1:23" s="135" customFormat="1" ht="15" hidden="1" customHeight="1">
      <c r="A92" s="306">
        <v>91</v>
      </c>
      <c r="B92" s="206" t="s">
        <v>574</v>
      </c>
      <c r="C92" s="215"/>
      <c r="D92" s="418" t="s">
        <v>450</v>
      </c>
      <c r="E92" s="331" t="s">
        <v>454</v>
      </c>
      <c r="F92" s="182">
        <v>7</v>
      </c>
      <c r="G92" s="214">
        <v>7</v>
      </c>
      <c r="H92" s="614">
        <f t="shared" si="4"/>
        <v>0</v>
      </c>
      <c r="I92" s="177">
        <v>42766</v>
      </c>
      <c r="J92" s="363" t="s">
        <v>1704</v>
      </c>
      <c r="K92" s="313">
        <v>126</v>
      </c>
      <c r="L92" s="220">
        <v>42680</v>
      </c>
      <c r="M92" s="222">
        <v>480</v>
      </c>
      <c r="N92" s="603">
        <f t="shared" si="5"/>
        <v>3360</v>
      </c>
      <c r="O92" s="559" t="s">
        <v>419</v>
      </c>
      <c r="P92" s="559" t="s">
        <v>573</v>
      </c>
      <c r="Q92" s="559" t="s">
        <v>803</v>
      </c>
      <c r="R92" s="607" t="s">
        <v>908</v>
      </c>
      <c r="S92" s="559" t="s">
        <v>422</v>
      </c>
      <c r="T92" s="559" t="s">
        <v>423</v>
      </c>
      <c r="U92" s="354"/>
      <c r="V92" s="418"/>
      <c r="W92" s="549"/>
    </row>
    <row r="93" spans="1:23" s="135" customFormat="1" ht="15" hidden="1" customHeight="1">
      <c r="A93" s="306">
        <v>92</v>
      </c>
      <c r="B93" s="206"/>
      <c r="C93" s="215"/>
      <c r="D93" s="418" t="s">
        <v>64</v>
      </c>
      <c r="E93" s="367" t="s">
        <v>63</v>
      </c>
      <c r="F93" s="182">
        <v>2</v>
      </c>
      <c r="G93" s="214">
        <v>2</v>
      </c>
      <c r="H93" s="380">
        <f t="shared" si="4"/>
        <v>0</v>
      </c>
      <c r="I93" s="177">
        <v>42767</v>
      </c>
      <c r="J93" s="363" t="s">
        <v>444</v>
      </c>
      <c r="K93" s="311">
        <v>392</v>
      </c>
      <c r="L93" s="220">
        <v>42766</v>
      </c>
      <c r="M93" s="170">
        <v>2200</v>
      </c>
      <c r="N93" s="173">
        <f t="shared" si="5"/>
        <v>4400</v>
      </c>
      <c r="O93" s="559" t="s">
        <v>419</v>
      </c>
      <c r="P93" s="559" t="s">
        <v>530</v>
      </c>
      <c r="Q93" s="559"/>
      <c r="R93" s="242" t="s">
        <v>908</v>
      </c>
      <c r="S93" s="559" t="s">
        <v>422</v>
      </c>
      <c r="T93" s="559" t="s">
        <v>423</v>
      </c>
      <c r="U93" s="354"/>
      <c r="V93" s="418"/>
      <c r="W93" s="276"/>
    </row>
    <row r="94" spans="1:23" s="135" customFormat="1" ht="15" hidden="1" customHeight="1">
      <c r="A94" s="306">
        <v>93</v>
      </c>
      <c r="B94" s="219"/>
      <c r="C94" s="218"/>
      <c r="D94" s="558" t="s">
        <v>939</v>
      </c>
      <c r="E94" s="602" t="s">
        <v>940</v>
      </c>
      <c r="F94" s="182">
        <v>16</v>
      </c>
      <c r="G94" s="214">
        <v>16</v>
      </c>
      <c r="H94" s="380">
        <f t="shared" si="4"/>
        <v>0</v>
      </c>
      <c r="I94" s="177">
        <v>42767</v>
      </c>
      <c r="J94" s="363" t="s">
        <v>577</v>
      </c>
      <c r="K94" s="355">
        <v>398</v>
      </c>
      <c r="L94" s="213">
        <v>42768</v>
      </c>
      <c r="M94" s="378">
        <v>112.5</v>
      </c>
      <c r="N94" s="603">
        <f t="shared" si="5"/>
        <v>1800</v>
      </c>
      <c r="O94" s="559" t="s">
        <v>425</v>
      </c>
      <c r="P94" s="559" t="s">
        <v>555</v>
      </c>
      <c r="Q94" s="354" t="s">
        <v>583</v>
      </c>
      <c r="R94" s="242" t="s">
        <v>908</v>
      </c>
      <c r="S94" s="559" t="s">
        <v>422</v>
      </c>
      <c r="T94" s="559" t="s">
        <v>423</v>
      </c>
      <c r="U94" s="354"/>
      <c r="V94" s="418"/>
      <c r="W94" s="276"/>
    </row>
    <row r="95" spans="1:23" s="135" customFormat="1" ht="15" hidden="1" customHeight="1">
      <c r="A95" s="306">
        <v>94</v>
      </c>
      <c r="B95" s="206">
        <v>32</v>
      </c>
      <c r="C95" s="215"/>
      <c r="D95" s="558" t="s">
        <v>64</v>
      </c>
      <c r="E95" s="367" t="s">
        <v>63</v>
      </c>
      <c r="F95" s="182">
        <v>5</v>
      </c>
      <c r="G95" s="214">
        <v>5</v>
      </c>
      <c r="H95" s="380">
        <f t="shared" si="4"/>
        <v>0</v>
      </c>
      <c r="I95" s="177">
        <v>42767</v>
      </c>
      <c r="J95" s="363" t="s">
        <v>554</v>
      </c>
      <c r="K95" s="311">
        <v>394</v>
      </c>
      <c r="L95" s="220">
        <v>42767</v>
      </c>
      <c r="M95" s="207">
        <v>2240</v>
      </c>
      <c r="N95" s="173">
        <f t="shared" si="5"/>
        <v>11200</v>
      </c>
      <c r="O95" s="559" t="s">
        <v>419</v>
      </c>
      <c r="P95" s="559" t="s">
        <v>555</v>
      </c>
      <c r="Q95" s="559"/>
      <c r="R95" s="242" t="s">
        <v>908</v>
      </c>
      <c r="S95" s="559" t="s">
        <v>422</v>
      </c>
      <c r="T95" s="559" t="s">
        <v>423</v>
      </c>
      <c r="U95" s="354" t="s">
        <v>578</v>
      </c>
      <c r="V95" s="418"/>
      <c r="W95" s="276"/>
    </row>
    <row r="96" spans="1:23" s="135" customFormat="1" ht="15" hidden="1" customHeight="1">
      <c r="A96" s="306">
        <v>95</v>
      </c>
      <c r="B96" s="206">
        <v>1476744</v>
      </c>
      <c r="C96" s="215"/>
      <c r="D96" s="186" t="s">
        <v>226</v>
      </c>
      <c r="E96" s="350" t="s">
        <v>944</v>
      </c>
      <c r="F96" s="357">
        <v>20</v>
      </c>
      <c r="G96" s="614">
        <v>20</v>
      </c>
      <c r="H96" s="380">
        <f t="shared" si="4"/>
        <v>0</v>
      </c>
      <c r="I96" s="177">
        <v>42768</v>
      </c>
      <c r="J96" s="606" t="s">
        <v>580</v>
      </c>
      <c r="K96" s="355">
        <v>395</v>
      </c>
      <c r="L96" s="257">
        <v>42767</v>
      </c>
      <c r="M96" s="378">
        <v>260</v>
      </c>
      <c r="N96" s="603">
        <f t="shared" si="5"/>
        <v>5200</v>
      </c>
      <c r="O96" s="559" t="s">
        <v>419</v>
      </c>
      <c r="P96" s="559" t="s">
        <v>581</v>
      </c>
      <c r="Q96" s="354" t="s">
        <v>582</v>
      </c>
      <c r="R96" s="177" t="s">
        <v>908</v>
      </c>
      <c r="S96" s="559" t="s">
        <v>422</v>
      </c>
      <c r="T96" s="559" t="s">
        <v>423</v>
      </c>
      <c r="U96" s="354"/>
      <c r="V96" s="418"/>
      <c r="W96" s="282"/>
    </row>
    <row r="97" spans="1:23" s="135" customFormat="1" ht="15" hidden="1" customHeight="1">
      <c r="A97" s="306">
        <v>96</v>
      </c>
      <c r="B97" s="288" t="s">
        <v>585</v>
      </c>
      <c r="C97" s="359"/>
      <c r="D97" s="289" t="s">
        <v>217</v>
      </c>
      <c r="E97" s="467" t="s">
        <v>216</v>
      </c>
      <c r="F97" s="182">
        <v>2</v>
      </c>
      <c r="G97" s="614">
        <v>2</v>
      </c>
      <c r="H97" s="614">
        <f t="shared" si="4"/>
        <v>0</v>
      </c>
      <c r="I97" s="362">
        <v>42771</v>
      </c>
      <c r="J97" s="606" t="s">
        <v>584</v>
      </c>
      <c r="K97" s="308">
        <v>396</v>
      </c>
      <c r="L97" s="358">
        <v>42767</v>
      </c>
      <c r="M97" s="207">
        <v>321</v>
      </c>
      <c r="N97" s="603">
        <f t="shared" si="5"/>
        <v>642</v>
      </c>
      <c r="O97" s="559" t="s">
        <v>419</v>
      </c>
      <c r="P97" s="559" t="s">
        <v>555</v>
      </c>
      <c r="Q97" s="559"/>
      <c r="R97" s="177" t="s">
        <v>908</v>
      </c>
      <c r="S97" s="559" t="s">
        <v>422</v>
      </c>
      <c r="T97" s="559" t="s">
        <v>423</v>
      </c>
      <c r="U97" s="354"/>
      <c r="V97" s="418"/>
      <c r="W97" s="209"/>
    </row>
    <row r="98" spans="1:23" s="135" customFormat="1" ht="15" hidden="1" customHeight="1">
      <c r="A98" s="306">
        <v>97</v>
      </c>
      <c r="B98" s="288" t="s">
        <v>585</v>
      </c>
      <c r="C98" s="359"/>
      <c r="D98" s="418" t="s">
        <v>552</v>
      </c>
      <c r="E98" s="331" t="s">
        <v>553</v>
      </c>
      <c r="F98" s="182">
        <v>4</v>
      </c>
      <c r="G98" s="614">
        <v>4</v>
      </c>
      <c r="H98" s="614">
        <f t="shared" ref="H98:H129" si="6">F98-G98</f>
        <v>0</v>
      </c>
      <c r="I98" s="362">
        <v>42771</v>
      </c>
      <c r="J98" s="606" t="s">
        <v>584</v>
      </c>
      <c r="K98" s="308">
        <v>396</v>
      </c>
      <c r="L98" s="358">
        <v>42767</v>
      </c>
      <c r="M98" s="207">
        <v>4016.75</v>
      </c>
      <c r="N98" s="603">
        <f t="shared" si="5"/>
        <v>16067</v>
      </c>
      <c r="O98" s="559" t="s">
        <v>419</v>
      </c>
      <c r="P98" s="559" t="s">
        <v>555</v>
      </c>
      <c r="Q98" s="559"/>
      <c r="R98" s="177" t="s">
        <v>908</v>
      </c>
      <c r="S98" s="559" t="s">
        <v>422</v>
      </c>
      <c r="T98" s="559" t="s">
        <v>423</v>
      </c>
      <c r="U98" s="354"/>
      <c r="V98" s="418"/>
      <c r="W98" s="209"/>
    </row>
    <row r="99" spans="1:23" s="135" customFormat="1" ht="15" hidden="1" customHeight="1">
      <c r="A99" s="306">
        <v>98</v>
      </c>
      <c r="B99" s="288" t="s">
        <v>585</v>
      </c>
      <c r="C99" s="359"/>
      <c r="D99" s="263" t="s">
        <v>35</v>
      </c>
      <c r="E99" s="367" t="s">
        <v>34</v>
      </c>
      <c r="F99" s="182">
        <v>8</v>
      </c>
      <c r="G99" s="614">
        <v>8</v>
      </c>
      <c r="H99" s="380">
        <f t="shared" si="6"/>
        <v>0</v>
      </c>
      <c r="I99" s="362">
        <v>42771</v>
      </c>
      <c r="J99" s="606" t="s">
        <v>584</v>
      </c>
      <c r="K99" s="308">
        <v>396</v>
      </c>
      <c r="L99" s="358">
        <v>42767</v>
      </c>
      <c r="M99" s="207">
        <v>2225.5</v>
      </c>
      <c r="N99" s="603">
        <f t="shared" si="5"/>
        <v>17804</v>
      </c>
      <c r="O99" s="559" t="s">
        <v>419</v>
      </c>
      <c r="P99" s="559" t="s">
        <v>555</v>
      </c>
      <c r="Q99" s="559"/>
      <c r="R99" s="177" t="s">
        <v>908</v>
      </c>
      <c r="S99" s="559" t="s">
        <v>422</v>
      </c>
      <c r="T99" s="559" t="s">
        <v>423</v>
      </c>
      <c r="U99" s="354"/>
      <c r="V99" s="418"/>
      <c r="W99" s="209"/>
    </row>
    <row r="100" spans="1:23" s="135" customFormat="1" ht="15" hidden="1" customHeight="1">
      <c r="A100" s="306">
        <v>99</v>
      </c>
      <c r="B100" s="288" t="s">
        <v>585</v>
      </c>
      <c r="C100" s="215"/>
      <c r="D100" s="559" t="s">
        <v>29</v>
      </c>
      <c r="E100" s="5" t="s">
        <v>28</v>
      </c>
      <c r="F100" s="182">
        <v>7</v>
      </c>
      <c r="G100" s="214">
        <v>7</v>
      </c>
      <c r="H100" s="614">
        <f t="shared" si="6"/>
        <v>0</v>
      </c>
      <c r="I100" s="362">
        <v>42771</v>
      </c>
      <c r="J100" s="606" t="s">
        <v>584</v>
      </c>
      <c r="K100" s="308">
        <v>396</v>
      </c>
      <c r="L100" s="358">
        <v>42767</v>
      </c>
      <c r="M100" s="170">
        <v>368.22</v>
      </c>
      <c r="N100" s="603">
        <f t="shared" si="5"/>
        <v>2577.54</v>
      </c>
      <c r="O100" s="559" t="s">
        <v>419</v>
      </c>
      <c r="P100" s="559" t="s">
        <v>555</v>
      </c>
      <c r="Q100" s="559"/>
      <c r="R100" s="177" t="s">
        <v>908</v>
      </c>
      <c r="S100" s="559" t="s">
        <v>422</v>
      </c>
      <c r="T100" s="559" t="s">
        <v>423</v>
      </c>
      <c r="U100" s="354"/>
      <c r="V100" s="418"/>
      <c r="W100" s="549"/>
    </row>
    <row r="101" spans="1:23" s="135" customFormat="1" ht="15" hidden="1" customHeight="1">
      <c r="A101" s="306">
        <v>100</v>
      </c>
      <c r="B101" s="288" t="s">
        <v>585</v>
      </c>
      <c r="C101" s="215"/>
      <c r="D101" s="418" t="s">
        <v>249</v>
      </c>
      <c r="E101" s="5" t="s">
        <v>28</v>
      </c>
      <c r="F101" s="182">
        <v>16</v>
      </c>
      <c r="G101" s="214">
        <v>16</v>
      </c>
      <c r="H101" s="614">
        <f t="shared" si="6"/>
        <v>0</v>
      </c>
      <c r="I101" s="362">
        <v>42771</v>
      </c>
      <c r="J101" s="606" t="s">
        <v>584</v>
      </c>
      <c r="K101" s="308">
        <v>396</v>
      </c>
      <c r="L101" s="358">
        <v>42767</v>
      </c>
      <c r="M101" s="207">
        <v>368.75</v>
      </c>
      <c r="N101" s="603">
        <f t="shared" si="5"/>
        <v>5900</v>
      </c>
      <c r="O101" s="559" t="s">
        <v>419</v>
      </c>
      <c r="P101" s="559" t="s">
        <v>555</v>
      </c>
      <c r="Q101" s="559"/>
      <c r="R101" s="177" t="s">
        <v>908</v>
      </c>
      <c r="S101" s="559" t="s">
        <v>422</v>
      </c>
      <c r="T101" s="559" t="s">
        <v>423</v>
      </c>
      <c r="U101" s="354"/>
      <c r="V101" s="418"/>
      <c r="W101" s="549"/>
    </row>
    <row r="102" spans="1:23" s="135" customFormat="1" ht="15" hidden="1" customHeight="1">
      <c r="A102" s="306">
        <v>101</v>
      </c>
      <c r="B102" s="288" t="s">
        <v>585</v>
      </c>
      <c r="C102" s="215"/>
      <c r="D102" s="418" t="s">
        <v>247</v>
      </c>
      <c r="E102" s="600" t="s">
        <v>259</v>
      </c>
      <c r="F102" s="182">
        <v>4</v>
      </c>
      <c r="G102" s="214">
        <v>4</v>
      </c>
      <c r="H102" s="614">
        <f t="shared" si="6"/>
        <v>0</v>
      </c>
      <c r="I102" s="362">
        <v>42771</v>
      </c>
      <c r="J102" s="606" t="s">
        <v>584</v>
      </c>
      <c r="K102" s="308">
        <v>396</v>
      </c>
      <c r="L102" s="358">
        <v>42767</v>
      </c>
      <c r="M102" s="221">
        <v>3067.83</v>
      </c>
      <c r="N102" s="603">
        <f t="shared" si="5"/>
        <v>12271.32</v>
      </c>
      <c r="O102" s="559" t="s">
        <v>419</v>
      </c>
      <c r="P102" s="559" t="s">
        <v>555</v>
      </c>
      <c r="Q102" s="559"/>
      <c r="R102" s="177" t="s">
        <v>908</v>
      </c>
      <c r="S102" s="559" t="s">
        <v>422</v>
      </c>
      <c r="T102" s="559" t="s">
        <v>423</v>
      </c>
      <c r="U102" s="354"/>
      <c r="V102" s="418"/>
      <c r="W102" s="549"/>
    </row>
    <row r="103" spans="1:23" s="135" customFormat="1" ht="15" hidden="1" customHeight="1">
      <c r="A103" s="306">
        <v>102</v>
      </c>
      <c r="B103" s="288" t="s">
        <v>585</v>
      </c>
      <c r="C103" s="215"/>
      <c r="D103" s="558" t="s">
        <v>550</v>
      </c>
      <c r="E103" s="331" t="s">
        <v>551</v>
      </c>
      <c r="F103" s="182">
        <v>16</v>
      </c>
      <c r="G103" s="214">
        <v>16</v>
      </c>
      <c r="H103" s="380">
        <f t="shared" si="6"/>
        <v>0</v>
      </c>
      <c r="I103" s="362">
        <v>42771</v>
      </c>
      <c r="J103" s="606" t="s">
        <v>584</v>
      </c>
      <c r="K103" s="308">
        <v>396</v>
      </c>
      <c r="L103" s="358">
        <v>42767</v>
      </c>
      <c r="M103" s="256">
        <v>3845</v>
      </c>
      <c r="N103" s="603">
        <f t="shared" si="5"/>
        <v>61520</v>
      </c>
      <c r="O103" s="559" t="s">
        <v>419</v>
      </c>
      <c r="P103" s="559" t="s">
        <v>555</v>
      </c>
      <c r="Q103" s="195"/>
      <c r="R103" s="177" t="s">
        <v>908</v>
      </c>
      <c r="S103" s="559" t="s">
        <v>422</v>
      </c>
      <c r="T103" s="559" t="s">
        <v>423</v>
      </c>
      <c r="U103" s="354"/>
      <c r="V103" s="418"/>
      <c r="W103" s="276"/>
    </row>
    <row r="104" spans="1:23" s="135" customFormat="1" ht="15" hidden="1" customHeight="1">
      <c r="A104" s="306">
        <v>103</v>
      </c>
      <c r="B104" s="288" t="s">
        <v>585</v>
      </c>
      <c r="C104" s="215"/>
      <c r="D104" s="198" t="s">
        <v>73</v>
      </c>
      <c r="E104" s="350" t="s">
        <v>72</v>
      </c>
      <c r="F104" s="182">
        <v>1</v>
      </c>
      <c r="G104" s="214">
        <v>1</v>
      </c>
      <c r="H104" s="614">
        <f t="shared" si="6"/>
        <v>0</v>
      </c>
      <c r="I104" s="362">
        <v>42771</v>
      </c>
      <c r="J104" s="606" t="s">
        <v>584</v>
      </c>
      <c r="K104" s="308">
        <v>396</v>
      </c>
      <c r="L104" s="358">
        <v>42767</v>
      </c>
      <c r="M104" s="207">
        <v>18470</v>
      </c>
      <c r="N104" s="603">
        <f t="shared" si="5"/>
        <v>18470</v>
      </c>
      <c r="O104" s="559" t="s">
        <v>419</v>
      </c>
      <c r="P104" s="559" t="s">
        <v>555</v>
      </c>
      <c r="Q104" s="559"/>
      <c r="R104" s="177" t="s">
        <v>908</v>
      </c>
      <c r="S104" s="559" t="s">
        <v>422</v>
      </c>
      <c r="T104" s="559" t="s">
        <v>423</v>
      </c>
      <c r="U104" s="354"/>
      <c r="V104" s="418"/>
      <c r="W104" s="276"/>
    </row>
    <row r="105" spans="1:23" s="135" customFormat="1" ht="15" hidden="1" customHeight="1">
      <c r="A105" s="306">
        <v>104</v>
      </c>
      <c r="B105" s="206" t="s">
        <v>586</v>
      </c>
      <c r="C105" s="215"/>
      <c r="D105" s="558" t="s">
        <v>49</v>
      </c>
      <c r="E105" s="350" t="s">
        <v>48</v>
      </c>
      <c r="F105" s="182">
        <v>3</v>
      </c>
      <c r="G105" s="214">
        <v>3</v>
      </c>
      <c r="H105" s="380">
        <f t="shared" si="6"/>
        <v>0</v>
      </c>
      <c r="I105" s="362">
        <v>42772</v>
      </c>
      <c r="J105" s="363" t="s">
        <v>492</v>
      </c>
      <c r="K105" s="315">
        <v>403</v>
      </c>
      <c r="L105" s="213">
        <v>42771</v>
      </c>
      <c r="M105" s="216">
        <v>8650</v>
      </c>
      <c r="N105" s="603">
        <f t="shared" si="5"/>
        <v>25950</v>
      </c>
      <c r="O105" s="559" t="s">
        <v>587</v>
      </c>
      <c r="P105" s="559" t="s">
        <v>612</v>
      </c>
      <c r="Q105" s="559" t="s">
        <v>592</v>
      </c>
      <c r="R105" s="177" t="s">
        <v>908</v>
      </c>
      <c r="S105" s="559" t="s">
        <v>422</v>
      </c>
      <c r="T105" s="559" t="s">
        <v>423</v>
      </c>
      <c r="U105" s="354"/>
      <c r="V105" s="418"/>
      <c r="W105" s="549"/>
    </row>
    <row r="106" spans="1:23" s="135" customFormat="1" ht="15" hidden="1" customHeight="1">
      <c r="A106" s="306">
        <v>105</v>
      </c>
      <c r="B106" s="206" t="s">
        <v>586</v>
      </c>
      <c r="C106" s="161"/>
      <c r="D106" s="181" t="s">
        <v>29</v>
      </c>
      <c r="E106" s="5" t="s">
        <v>28</v>
      </c>
      <c r="F106" s="373">
        <v>3</v>
      </c>
      <c r="G106" s="608">
        <v>3</v>
      </c>
      <c r="H106" s="614">
        <f t="shared" si="6"/>
        <v>0</v>
      </c>
      <c r="I106" s="362">
        <v>42772</v>
      </c>
      <c r="J106" s="363" t="s">
        <v>492</v>
      </c>
      <c r="K106" s="315">
        <v>403</v>
      </c>
      <c r="L106" s="213">
        <v>42771</v>
      </c>
      <c r="M106" s="216">
        <v>450</v>
      </c>
      <c r="N106" s="603">
        <f t="shared" si="5"/>
        <v>1350</v>
      </c>
      <c r="O106" s="559" t="s">
        <v>587</v>
      </c>
      <c r="P106" s="559" t="s">
        <v>612</v>
      </c>
      <c r="Q106" s="154" t="s">
        <v>592</v>
      </c>
      <c r="R106" s="177" t="s">
        <v>908</v>
      </c>
      <c r="S106" s="413" t="s">
        <v>422</v>
      </c>
      <c r="T106" s="559" t="s">
        <v>423</v>
      </c>
      <c r="U106" s="600"/>
      <c r="V106" s="601"/>
      <c r="W106" s="276"/>
    </row>
    <row r="107" spans="1:23" s="135" customFormat="1" ht="15" hidden="1" customHeight="1">
      <c r="A107" s="306">
        <v>106</v>
      </c>
      <c r="B107" s="162"/>
      <c r="C107" s="161"/>
      <c r="D107" s="558" t="s">
        <v>939</v>
      </c>
      <c r="E107" s="602" t="s">
        <v>940</v>
      </c>
      <c r="F107" s="373">
        <v>32</v>
      </c>
      <c r="G107" s="608">
        <v>32</v>
      </c>
      <c r="H107" s="380">
        <f t="shared" si="6"/>
        <v>0</v>
      </c>
      <c r="I107" s="160">
        <v>42771</v>
      </c>
      <c r="J107" s="606" t="s">
        <v>588</v>
      </c>
      <c r="K107" s="315">
        <v>397</v>
      </c>
      <c r="L107" s="213">
        <v>42768</v>
      </c>
      <c r="M107" s="423">
        <v>125</v>
      </c>
      <c r="N107" s="603">
        <f t="shared" si="5"/>
        <v>4000</v>
      </c>
      <c r="O107" s="559" t="s">
        <v>419</v>
      </c>
      <c r="P107" s="154" t="s">
        <v>589</v>
      </c>
      <c r="Q107" s="154"/>
      <c r="R107" s="177" t="s">
        <v>908</v>
      </c>
      <c r="S107" s="413" t="s">
        <v>422</v>
      </c>
      <c r="T107" s="559" t="s">
        <v>423</v>
      </c>
      <c r="U107" s="600"/>
      <c r="V107" s="601"/>
      <c r="W107" s="276"/>
    </row>
    <row r="108" spans="1:23" s="135" customFormat="1" ht="15" hidden="1" customHeight="1">
      <c r="A108" s="306">
        <v>107</v>
      </c>
      <c r="B108" s="162"/>
      <c r="C108" s="161"/>
      <c r="D108" s="558" t="s">
        <v>939</v>
      </c>
      <c r="E108" s="602" t="s">
        <v>940</v>
      </c>
      <c r="F108" s="373">
        <v>16</v>
      </c>
      <c r="G108" s="608">
        <v>16</v>
      </c>
      <c r="H108" s="380">
        <f t="shared" si="6"/>
        <v>0</v>
      </c>
      <c r="I108" s="177">
        <v>42771</v>
      </c>
      <c r="J108" s="363" t="s">
        <v>590</v>
      </c>
      <c r="K108" s="315">
        <v>404</v>
      </c>
      <c r="L108" s="213">
        <v>42771</v>
      </c>
      <c r="M108" s="423">
        <v>75</v>
      </c>
      <c r="N108" s="603">
        <f t="shared" si="5"/>
        <v>1200</v>
      </c>
      <c r="O108" s="559" t="s">
        <v>587</v>
      </c>
      <c r="P108" s="154" t="s">
        <v>555</v>
      </c>
      <c r="Q108" s="154"/>
      <c r="R108" s="177" t="s">
        <v>908</v>
      </c>
      <c r="S108" s="413" t="s">
        <v>422</v>
      </c>
      <c r="T108" s="559" t="s">
        <v>423</v>
      </c>
      <c r="U108" s="600"/>
      <c r="V108" s="601"/>
      <c r="W108" s="276"/>
    </row>
    <row r="109" spans="1:23" s="135" customFormat="1" ht="15" hidden="1" customHeight="1">
      <c r="A109" s="306">
        <v>108</v>
      </c>
      <c r="B109" s="717" t="s">
        <v>594</v>
      </c>
      <c r="C109" s="717"/>
      <c r="D109" s="718" t="s">
        <v>71</v>
      </c>
      <c r="E109" s="719" t="s">
        <v>65</v>
      </c>
      <c r="F109" s="720">
        <v>2</v>
      </c>
      <c r="G109" s="720">
        <v>2</v>
      </c>
      <c r="H109" s="721">
        <f t="shared" si="6"/>
        <v>0</v>
      </c>
      <c r="I109" s="722">
        <v>42772</v>
      </c>
      <c r="J109" s="723" t="s">
        <v>591</v>
      </c>
      <c r="K109" s="724">
        <v>399</v>
      </c>
      <c r="L109" s="725">
        <v>42768</v>
      </c>
      <c r="M109" s="726">
        <v>1950</v>
      </c>
      <c r="N109" s="727">
        <f t="shared" si="5"/>
        <v>3900</v>
      </c>
      <c r="O109" s="728" t="s">
        <v>587</v>
      </c>
      <c r="P109" s="727" t="s">
        <v>612</v>
      </c>
      <c r="Q109" s="727" t="s">
        <v>593</v>
      </c>
      <c r="R109" s="729" t="s">
        <v>908</v>
      </c>
      <c r="S109" s="727" t="s">
        <v>422</v>
      </c>
      <c r="T109" s="730" t="s">
        <v>423</v>
      </c>
      <c r="U109" s="537" t="s">
        <v>1036</v>
      </c>
      <c r="V109" s="194"/>
      <c r="W109" s="276"/>
    </row>
    <row r="110" spans="1:23" s="135" customFormat="1" ht="15" hidden="1" customHeight="1">
      <c r="A110" s="306">
        <v>109</v>
      </c>
      <c r="B110" s="717" t="s">
        <v>594</v>
      </c>
      <c r="C110" s="717"/>
      <c r="D110" s="731" t="s">
        <v>52</v>
      </c>
      <c r="E110" s="732" t="s">
        <v>50</v>
      </c>
      <c r="F110" s="720">
        <v>20</v>
      </c>
      <c r="G110" s="720">
        <v>20</v>
      </c>
      <c r="H110" s="721">
        <f t="shared" si="6"/>
        <v>0</v>
      </c>
      <c r="I110" s="722">
        <v>42772</v>
      </c>
      <c r="J110" s="723" t="s">
        <v>591</v>
      </c>
      <c r="K110" s="724">
        <v>399</v>
      </c>
      <c r="L110" s="725">
        <v>42768</v>
      </c>
      <c r="M110" s="726">
        <v>1500</v>
      </c>
      <c r="N110" s="727">
        <f t="shared" si="5"/>
        <v>30000</v>
      </c>
      <c r="O110" s="728" t="s">
        <v>587</v>
      </c>
      <c r="P110" s="727" t="s">
        <v>612</v>
      </c>
      <c r="Q110" s="727" t="s">
        <v>593</v>
      </c>
      <c r="R110" s="729" t="s">
        <v>908</v>
      </c>
      <c r="S110" s="727" t="s">
        <v>422</v>
      </c>
      <c r="T110" s="730" t="s">
        <v>423</v>
      </c>
      <c r="U110" s="537" t="s">
        <v>1036</v>
      </c>
      <c r="V110" s="194"/>
      <c r="W110" s="549"/>
    </row>
    <row r="111" spans="1:23" s="135" customFormat="1" ht="15" hidden="1" customHeight="1">
      <c r="A111" s="306">
        <v>110</v>
      </c>
      <c r="B111" s="733" t="s">
        <v>594</v>
      </c>
      <c r="C111" s="733"/>
      <c r="D111" s="731" t="s">
        <v>31</v>
      </c>
      <c r="E111" s="719" t="s">
        <v>28</v>
      </c>
      <c r="F111" s="729">
        <v>22</v>
      </c>
      <c r="G111" s="729"/>
      <c r="H111" s="721">
        <f t="shared" si="6"/>
        <v>22</v>
      </c>
      <c r="I111" s="722">
        <v>42772</v>
      </c>
      <c r="J111" s="734" t="s">
        <v>591</v>
      </c>
      <c r="K111" s="724">
        <v>399</v>
      </c>
      <c r="L111" s="725">
        <v>42768</v>
      </c>
      <c r="M111" s="735">
        <v>475</v>
      </c>
      <c r="N111" s="730">
        <f t="shared" si="5"/>
        <v>0</v>
      </c>
      <c r="O111" s="728" t="s">
        <v>587</v>
      </c>
      <c r="P111" s="730" t="s">
        <v>612</v>
      </c>
      <c r="Q111" s="730" t="s">
        <v>593</v>
      </c>
      <c r="R111" s="729" t="s">
        <v>908</v>
      </c>
      <c r="S111" s="730" t="s">
        <v>422</v>
      </c>
      <c r="T111" s="730" t="s">
        <v>423</v>
      </c>
      <c r="U111" s="537" t="s">
        <v>1036</v>
      </c>
      <c r="V111" s="194"/>
      <c r="W111" s="549"/>
    </row>
    <row r="112" spans="1:23" s="135" customFormat="1" ht="15" hidden="1" customHeight="1">
      <c r="A112" s="306">
        <v>111</v>
      </c>
      <c r="B112" s="162">
        <v>94148</v>
      </c>
      <c r="C112" s="161"/>
      <c r="D112" s="558" t="s">
        <v>90</v>
      </c>
      <c r="E112" s="467" t="s">
        <v>89</v>
      </c>
      <c r="F112" s="373">
        <v>8</v>
      </c>
      <c r="G112" s="608">
        <v>8</v>
      </c>
      <c r="H112" s="380">
        <f t="shared" si="6"/>
        <v>0</v>
      </c>
      <c r="I112" s="160">
        <v>42772</v>
      </c>
      <c r="J112" s="606" t="s">
        <v>595</v>
      </c>
      <c r="K112" s="317">
        <v>401</v>
      </c>
      <c r="L112" s="424">
        <v>42771</v>
      </c>
      <c r="M112" s="423">
        <v>270</v>
      </c>
      <c r="N112" s="603">
        <f t="shared" si="5"/>
        <v>2160</v>
      </c>
      <c r="O112" s="559" t="s">
        <v>587</v>
      </c>
      <c r="P112" s="602" t="s">
        <v>597</v>
      </c>
      <c r="Q112" s="602"/>
      <c r="R112" s="177" t="s">
        <v>908</v>
      </c>
      <c r="S112" s="413" t="s">
        <v>422</v>
      </c>
      <c r="T112" s="559" t="s">
        <v>423</v>
      </c>
      <c r="U112" s="600"/>
      <c r="V112" s="601"/>
      <c r="W112" s="276"/>
    </row>
    <row r="113" spans="1:23" s="135" customFormat="1" ht="15" hidden="1" customHeight="1">
      <c r="A113" s="306">
        <v>112</v>
      </c>
      <c r="B113" s="162"/>
      <c r="C113" s="161"/>
      <c r="D113" s="558" t="s">
        <v>939</v>
      </c>
      <c r="E113" s="602" t="s">
        <v>940</v>
      </c>
      <c r="F113" s="373">
        <v>64</v>
      </c>
      <c r="G113" s="608">
        <v>64</v>
      </c>
      <c r="H113" s="380">
        <f t="shared" si="6"/>
        <v>0</v>
      </c>
      <c r="I113" s="160">
        <v>42773</v>
      </c>
      <c r="J113" s="606" t="s">
        <v>596</v>
      </c>
      <c r="K113" s="317">
        <v>405</v>
      </c>
      <c r="L113" s="424">
        <v>42772</v>
      </c>
      <c r="M113" s="423">
        <f>8000/64</f>
        <v>125</v>
      </c>
      <c r="N113" s="603">
        <f t="shared" si="5"/>
        <v>8000</v>
      </c>
      <c r="O113" s="559" t="s">
        <v>587</v>
      </c>
      <c r="P113" s="154" t="s">
        <v>597</v>
      </c>
      <c r="Q113" s="154"/>
      <c r="R113" s="177" t="s">
        <v>908</v>
      </c>
      <c r="S113" s="559" t="s">
        <v>422</v>
      </c>
      <c r="T113" s="559" t="s">
        <v>423</v>
      </c>
      <c r="U113" s="600"/>
      <c r="V113" s="601"/>
      <c r="W113" s="276"/>
    </row>
    <row r="114" spans="1:23" s="135" customFormat="1" ht="15" hidden="1" customHeight="1">
      <c r="A114" s="306">
        <v>113</v>
      </c>
      <c r="B114" s="162" t="s">
        <v>598</v>
      </c>
      <c r="C114" s="161"/>
      <c r="D114" s="181" t="s">
        <v>90</v>
      </c>
      <c r="E114" s="467" t="s">
        <v>89</v>
      </c>
      <c r="F114" s="373">
        <v>2</v>
      </c>
      <c r="G114" s="608">
        <v>2</v>
      </c>
      <c r="H114" s="380">
        <f t="shared" si="6"/>
        <v>0</v>
      </c>
      <c r="I114" s="344">
        <v>42773</v>
      </c>
      <c r="J114" s="606" t="s">
        <v>599</v>
      </c>
      <c r="K114" s="317">
        <v>406</v>
      </c>
      <c r="L114" s="424">
        <v>42773</v>
      </c>
      <c r="M114" s="423">
        <v>270</v>
      </c>
      <c r="N114" s="603">
        <f t="shared" si="5"/>
        <v>540</v>
      </c>
      <c r="O114" s="559" t="s">
        <v>587</v>
      </c>
      <c r="P114" s="602" t="s">
        <v>597</v>
      </c>
      <c r="Q114" s="602"/>
      <c r="R114" s="177" t="s">
        <v>908</v>
      </c>
      <c r="S114" s="559" t="s">
        <v>422</v>
      </c>
      <c r="T114" s="559" t="s">
        <v>423</v>
      </c>
      <c r="U114" s="600"/>
      <c r="V114" s="601"/>
      <c r="W114" s="276"/>
    </row>
    <row r="115" spans="1:23" s="135" customFormat="1" ht="15" hidden="1" customHeight="1">
      <c r="A115" s="306">
        <v>114</v>
      </c>
      <c r="B115" s="346" t="s">
        <v>598</v>
      </c>
      <c r="C115" s="161"/>
      <c r="D115" s="601" t="s">
        <v>60</v>
      </c>
      <c r="E115" s="367" t="s">
        <v>59</v>
      </c>
      <c r="F115" s="373">
        <v>1</v>
      </c>
      <c r="G115" s="608">
        <v>1</v>
      </c>
      <c r="H115" s="380">
        <f t="shared" si="6"/>
        <v>0</v>
      </c>
      <c r="I115" s="344">
        <v>42773</v>
      </c>
      <c r="J115" s="606" t="s">
        <v>599</v>
      </c>
      <c r="K115" s="317">
        <v>406</v>
      </c>
      <c r="L115" s="424">
        <v>42773</v>
      </c>
      <c r="M115" s="170">
        <v>1250</v>
      </c>
      <c r="N115" s="603">
        <f t="shared" si="5"/>
        <v>1250</v>
      </c>
      <c r="O115" s="559" t="s">
        <v>587</v>
      </c>
      <c r="P115" s="341" t="s">
        <v>597</v>
      </c>
      <c r="Q115" s="154"/>
      <c r="R115" s="177" t="s">
        <v>908</v>
      </c>
      <c r="S115" s="413" t="s">
        <v>422</v>
      </c>
      <c r="T115" s="559" t="s">
        <v>423</v>
      </c>
      <c r="U115" s="600"/>
      <c r="V115" s="601"/>
      <c r="W115" s="276"/>
    </row>
    <row r="116" spans="1:23" s="135" customFormat="1" ht="15" hidden="1" customHeight="1">
      <c r="A116" s="306">
        <v>115</v>
      </c>
      <c r="B116" s="162" t="s">
        <v>604</v>
      </c>
      <c r="C116" s="161"/>
      <c r="D116" s="601" t="s">
        <v>82</v>
      </c>
      <c r="E116" s="367" t="s">
        <v>81</v>
      </c>
      <c r="F116" s="373">
        <v>5</v>
      </c>
      <c r="G116" s="608">
        <v>5</v>
      </c>
      <c r="H116" s="380">
        <f t="shared" si="6"/>
        <v>0</v>
      </c>
      <c r="I116" s="344">
        <v>42773</v>
      </c>
      <c r="J116" s="326" t="s">
        <v>600</v>
      </c>
      <c r="K116" s="308">
        <v>402</v>
      </c>
      <c r="L116" s="358">
        <v>42771</v>
      </c>
      <c r="M116" s="207">
        <v>4200</v>
      </c>
      <c r="N116" s="603">
        <f t="shared" si="5"/>
        <v>21000</v>
      </c>
      <c r="O116" s="559" t="s">
        <v>587</v>
      </c>
      <c r="P116" s="154" t="s">
        <v>612</v>
      </c>
      <c r="Q116" s="154"/>
      <c r="R116" s="177" t="s">
        <v>908</v>
      </c>
      <c r="S116" s="413" t="s">
        <v>422</v>
      </c>
      <c r="T116" s="559" t="s">
        <v>423</v>
      </c>
      <c r="U116" s="600"/>
      <c r="V116" s="601"/>
      <c r="W116" s="276"/>
    </row>
    <row r="117" spans="1:23" s="135" customFormat="1" ht="15" hidden="1" customHeight="1">
      <c r="A117" s="306">
        <v>116</v>
      </c>
      <c r="B117" s="346" t="s">
        <v>604</v>
      </c>
      <c r="C117" s="211"/>
      <c r="D117" s="264" t="s">
        <v>77</v>
      </c>
      <c r="E117" s="367" t="s">
        <v>76</v>
      </c>
      <c r="F117" s="373">
        <v>3</v>
      </c>
      <c r="G117" s="183">
        <v>3</v>
      </c>
      <c r="H117" s="380">
        <f t="shared" si="6"/>
        <v>0</v>
      </c>
      <c r="I117" s="344">
        <v>42773</v>
      </c>
      <c r="J117" s="326" t="s">
        <v>600</v>
      </c>
      <c r="K117" s="308">
        <v>402</v>
      </c>
      <c r="L117" s="358">
        <v>42771</v>
      </c>
      <c r="M117" s="207">
        <v>800</v>
      </c>
      <c r="N117" s="603">
        <f t="shared" si="5"/>
        <v>2400</v>
      </c>
      <c r="O117" s="559" t="s">
        <v>587</v>
      </c>
      <c r="P117" s="154" t="s">
        <v>612</v>
      </c>
      <c r="Q117" s="154"/>
      <c r="R117" s="177" t="s">
        <v>908</v>
      </c>
      <c r="S117" s="413" t="s">
        <v>422</v>
      </c>
      <c r="T117" s="559" t="s">
        <v>423</v>
      </c>
      <c r="U117" s="600"/>
      <c r="V117" s="601"/>
      <c r="W117" s="282"/>
    </row>
    <row r="118" spans="1:23" s="135" customFormat="1" ht="15" hidden="1" customHeight="1">
      <c r="A118" s="306">
        <v>117</v>
      </c>
      <c r="B118" s="346" t="s">
        <v>604</v>
      </c>
      <c r="C118" s="161"/>
      <c r="D118" s="601" t="s">
        <v>56</v>
      </c>
      <c r="E118" s="458" t="s">
        <v>55</v>
      </c>
      <c r="F118" s="373">
        <v>4</v>
      </c>
      <c r="G118" s="608">
        <v>4</v>
      </c>
      <c r="H118" s="614">
        <f t="shared" si="6"/>
        <v>0</v>
      </c>
      <c r="I118" s="344">
        <v>42773</v>
      </c>
      <c r="J118" s="326" t="s">
        <v>600</v>
      </c>
      <c r="K118" s="308">
        <v>402</v>
      </c>
      <c r="L118" s="358">
        <v>42771</v>
      </c>
      <c r="M118" s="604">
        <v>7960</v>
      </c>
      <c r="N118" s="615">
        <f t="shared" si="5"/>
        <v>31840</v>
      </c>
      <c r="O118" s="559" t="s">
        <v>587</v>
      </c>
      <c r="P118" s="154" t="s">
        <v>612</v>
      </c>
      <c r="Q118" s="154"/>
      <c r="R118" s="177" t="s">
        <v>908</v>
      </c>
      <c r="S118" s="413" t="s">
        <v>422</v>
      </c>
      <c r="T118" s="559" t="s">
        <v>423</v>
      </c>
      <c r="U118" s="600"/>
      <c r="V118" s="601"/>
      <c r="W118" s="276"/>
    </row>
    <row r="119" spans="1:23" s="135" customFormat="1" ht="15" hidden="1" customHeight="1">
      <c r="A119" s="306">
        <v>118</v>
      </c>
      <c r="B119" s="162" t="s">
        <v>601</v>
      </c>
      <c r="C119" s="161"/>
      <c r="D119" s="601" t="s">
        <v>66</v>
      </c>
      <c r="E119" s="367" t="s">
        <v>65</v>
      </c>
      <c r="F119" s="373">
        <v>1</v>
      </c>
      <c r="G119" s="608">
        <v>1</v>
      </c>
      <c r="H119" s="380">
        <f t="shared" si="6"/>
        <v>0</v>
      </c>
      <c r="I119" s="344">
        <v>42773</v>
      </c>
      <c r="J119" s="606" t="s">
        <v>602</v>
      </c>
      <c r="K119" s="612">
        <v>407</v>
      </c>
      <c r="L119" s="605">
        <v>42773</v>
      </c>
      <c r="M119" s="604">
        <v>1790</v>
      </c>
      <c r="N119" s="173">
        <f t="shared" si="5"/>
        <v>1790</v>
      </c>
      <c r="O119" s="559" t="s">
        <v>587</v>
      </c>
      <c r="P119" s="154" t="s">
        <v>555</v>
      </c>
      <c r="Q119" s="154"/>
      <c r="R119" s="177" t="s">
        <v>908</v>
      </c>
      <c r="S119" s="413" t="s">
        <v>422</v>
      </c>
      <c r="T119" s="559" t="s">
        <v>423</v>
      </c>
      <c r="U119" s="600"/>
      <c r="V119" s="601"/>
      <c r="W119" s="276"/>
    </row>
    <row r="120" spans="1:23" s="135" customFormat="1" ht="15" hidden="1" customHeight="1">
      <c r="A120" s="306">
        <v>119</v>
      </c>
      <c r="B120" s="162">
        <v>1521</v>
      </c>
      <c r="C120" s="161"/>
      <c r="D120" s="601" t="s">
        <v>95</v>
      </c>
      <c r="E120" s="367" t="s">
        <v>94</v>
      </c>
      <c r="F120" s="373">
        <v>1</v>
      </c>
      <c r="G120" s="608">
        <v>1</v>
      </c>
      <c r="H120" s="614">
        <f t="shared" si="6"/>
        <v>0</v>
      </c>
      <c r="I120" s="160">
        <v>42774</v>
      </c>
      <c r="J120" s="606" t="s">
        <v>603</v>
      </c>
      <c r="K120" s="310">
        <v>409</v>
      </c>
      <c r="L120" s="171">
        <v>42774</v>
      </c>
      <c r="M120" s="170">
        <v>30560</v>
      </c>
      <c r="N120" s="615">
        <f t="shared" si="5"/>
        <v>30560</v>
      </c>
      <c r="O120" s="559" t="s">
        <v>587</v>
      </c>
      <c r="P120" s="154" t="s">
        <v>612</v>
      </c>
      <c r="Q120" s="154"/>
      <c r="R120" s="177" t="s">
        <v>908</v>
      </c>
      <c r="S120" s="413" t="s">
        <v>422</v>
      </c>
      <c r="T120" s="559" t="s">
        <v>423</v>
      </c>
      <c r="U120" s="600"/>
      <c r="V120" s="601"/>
      <c r="W120" s="549"/>
    </row>
    <row r="121" spans="1:23" s="135" customFormat="1" ht="15" hidden="1" customHeight="1">
      <c r="A121" s="306">
        <v>120</v>
      </c>
      <c r="B121" s="346">
        <v>1521</v>
      </c>
      <c r="C121" s="161"/>
      <c r="D121" s="601" t="s">
        <v>56</v>
      </c>
      <c r="E121" s="458" t="s">
        <v>55</v>
      </c>
      <c r="F121" s="373">
        <v>2</v>
      </c>
      <c r="G121" s="608">
        <v>2</v>
      </c>
      <c r="H121" s="614">
        <f t="shared" si="6"/>
        <v>0</v>
      </c>
      <c r="I121" s="344">
        <v>42774</v>
      </c>
      <c r="J121" s="606" t="s">
        <v>603</v>
      </c>
      <c r="K121" s="310">
        <v>409</v>
      </c>
      <c r="L121" s="171">
        <v>42774</v>
      </c>
      <c r="M121" s="170">
        <v>7950</v>
      </c>
      <c r="N121" s="615">
        <f t="shared" si="5"/>
        <v>15900</v>
      </c>
      <c r="O121" s="559" t="s">
        <v>587</v>
      </c>
      <c r="P121" s="341" t="s">
        <v>612</v>
      </c>
      <c r="Q121" s="154"/>
      <c r="R121" s="177" t="s">
        <v>908</v>
      </c>
      <c r="S121" s="413" t="s">
        <v>422</v>
      </c>
      <c r="T121" s="559" t="s">
        <v>423</v>
      </c>
      <c r="U121" s="600"/>
      <c r="V121" s="601"/>
      <c r="W121" s="276"/>
    </row>
    <row r="122" spans="1:23" s="135" customFormat="1" ht="15" hidden="1" customHeight="1">
      <c r="A122" s="306">
        <v>121</v>
      </c>
      <c r="B122" s="611" t="s">
        <v>606</v>
      </c>
      <c r="C122" s="161"/>
      <c r="D122" s="601" t="s">
        <v>248</v>
      </c>
      <c r="E122" s="600" t="s">
        <v>260</v>
      </c>
      <c r="F122" s="373">
        <v>3</v>
      </c>
      <c r="G122" s="372">
        <v>3</v>
      </c>
      <c r="H122" s="614">
        <f t="shared" si="6"/>
        <v>0</v>
      </c>
      <c r="I122" s="160">
        <v>42775</v>
      </c>
      <c r="J122" s="606" t="s">
        <v>611</v>
      </c>
      <c r="K122" s="612">
        <v>410</v>
      </c>
      <c r="L122" s="171">
        <v>42774</v>
      </c>
      <c r="M122" s="157">
        <v>2085</v>
      </c>
      <c r="N122" s="615">
        <f t="shared" si="5"/>
        <v>6255</v>
      </c>
      <c r="O122" s="559" t="s">
        <v>587</v>
      </c>
      <c r="P122" s="602" t="s">
        <v>589</v>
      </c>
      <c r="Q122" s="154"/>
      <c r="R122" s="177" t="s">
        <v>908</v>
      </c>
      <c r="S122" s="413" t="s">
        <v>422</v>
      </c>
      <c r="T122" s="559" t="s">
        <v>423</v>
      </c>
      <c r="U122" s="67"/>
      <c r="V122" s="153"/>
    </row>
    <row r="123" spans="1:23" s="135" customFormat="1" ht="15" hidden="1" customHeight="1">
      <c r="A123" s="306">
        <v>122</v>
      </c>
      <c r="B123" s="375">
        <v>171139</v>
      </c>
      <c r="C123" s="374"/>
      <c r="D123" s="558" t="s">
        <v>82</v>
      </c>
      <c r="E123" s="367" t="s">
        <v>81</v>
      </c>
      <c r="F123" s="373">
        <v>1</v>
      </c>
      <c r="G123" s="608">
        <v>1</v>
      </c>
      <c r="H123" s="380">
        <f t="shared" si="6"/>
        <v>0</v>
      </c>
      <c r="I123" s="371">
        <v>42775</v>
      </c>
      <c r="J123" s="606" t="s">
        <v>607</v>
      </c>
      <c r="K123" s="376">
        <v>411</v>
      </c>
      <c r="L123" s="381">
        <v>42775</v>
      </c>
      <c r="M123" s="378">
        <v>4200</v>
      </c>
      <c r="N123" s="173">
        <f t="shared" si="5"/>
        <v>4200</v>
      </c>
      <c r="O123" s="559" t="s">
        <v>425</v>
      </c>
      <c r="P123" s="369" t="s">
        <v>555</v>
      </c>
      <c r="Q123" s="600">
        <v>540907915</v>
      </c>
      <c r="R123" s="377" t="s">
        <v>908</v>
      </c>
      <c r="S123" s="413" t="s">
        <v>422</v>
      </c>
      <c r="T123" s="369" t="s">
        <v>423</v>
      </c>
      <c r="U123" s="600"/>
      <c r="V123" s="601"/>
      <c r="W123" s="276"/>
    </row>
    <row r="124" spans="1:23" s="135" customFormat="1" ht="15" hidden="1" customHeight="1">
      <c r="A124" s="306">
        <v>123</v>
      </c>
      <c r="B124" s="375"/>
      <c r="C124" s="374"/>
      <c r="D124" s="186" t="s">
        <v>226</v>
      </c>
      <c r="E124" s="350" t="s">
        <v>944</v>
      </c>
      <c r="F124" s="373">
        <v>4</v>
      </c>
      <c r="G124" s="372">
        <v>4</v>
      </c>
      <c r="H124" s="614">
        <f t="shared" si="6"/>
        <v>0</v>
      </c>
      <c r="I124" s="371">
        <v>42778</v>
      </c>
      <c r="J124" s="606" t="s">
        <v>620</v>
      </c>
      <c r="K124" s="310">
        <v>413</v>
      </c>
      <c r="L124" s="171">
        <v>42775</v>
      </c>
      <c r="M124" s="170">
        <v>300</v>
      </c>
      <c r="N124" s="615">
        <f t="shared" si="5"/>
        <v>1200</v>
      </c>
      <c r="O124" s="559" t="s">
        <v>587</v>
      </c>
      <c r="P124" s="559" t="s">
        <v>619</v>
      </c>
      <c r="Q124" s="369" t="s">
        <v>796</v>
      </c>
      <c r="R124" s="377" t="s">
        <v>908</v>
      </c>
      <c r="S124" s="413" t="s">
        <v>422</v>
      </c>
      <c r="T124" s="369" t="s">
        <v>423</v>
      </c>
      <c r="U124" s="368"/>
      <c r="V124" s="352"/>
      <c r="W124" s="276"/>
    </row>
    <row r="125" spans="1:23" s="135" customFormat="1" ht="15" hidden="1" customHeight="1">
      <c r="A125" s="306">
        <v>124</v>
      </c>
      <c r="B125" s="162"/>
      <c r="C125" s="161"/>
      <c r="D125" s="601" t="s">
        <v>605</v>
      </c>
      <c r="E125" s="331" t="s">
        <v>393</v>
      </c>
      <c r="F125" s="373">
        <v>1</v>
      </c>
      <c r="G125" s="372">
        <v>1</v>
      </c>
      <c r="H125" s="614">
        <f t="shared" si="6"/>
        <v>0</v>
      </c>
      <c r="I125" s="371">
        <v>42778</v>
      </c>
      <c r="J125" s="606" t="s">
        <v>624</v>
      </c>
      <c r="K125" s="310">
        <v>408</v>
      </c>
      <c r="L125" s="171">
        <v>42773</v>
      </c>
      <c r="M125" s="170">
        <v>6500</v>
      </c>
      <c r="N125" s="615">
        <f t="shared" si="5"/>
        <v>6500</v>
      </c>
      <c r="O125" s="559" t="s">
        <v>587</v>
      </c>
      <c r="P125" s="559" t="s">
        <v>909</v>
      </c>
      <c r="Q125" s="154" t="s">
        <v>804</v>
      </c>
      <c r="R125" s="377" t="s">
        <v>908</v>
      </c>
      <c r="S125" s="413" t="s">
        <v>422</v>
      </c>
      <c r="T125" s="154" t="s">
        <v>423</v>
      </c>
      <c r="U125" s="67"/>
      <c r="V125" s="153"/>
    </row>
    <row r="126" spans="1:23" s="135" customFormat="1" ht="15" hidden="1" customHeight="1">
      <c r="A126" s="306">
        <v>125</v>
      </c>
      <c r="B126" s="162" t="s">
        <v>613</v>
      </c>
      <c r="C126" s="161"/>
      <c r="D126" s="601" t="s">
        <v>60</v>
      </c>
      <c r="E126" s="367" t="s">
        <v>59</v>
      </c>
      <c r="F126" s="373">
        <v>2</v>
      </c>
      <c r="G126" s="372">
        <v>2</v>
      </c>
      <c r="H126" s="614">
        <f t="shared" si="6"/>
        <v>0</v>
      </c>
      <c r="I126" s="371">
        <v>42778</v>
      </c>
      <c r="J126" s="363" t="s">
        <v>1702</v>
      </c>
      <c r="K126" s="310">
        <v>412</v>
      </c>
      <c r="L126" s="358">
        <v>42775</v>
      </c>
      <c r="M126" s="170">
        <v>1150</v>
      </c>
      <c r="N126" s="615">
        <f t="shared" si="5"/>
        <v>2300</v>
      </c>
      <c r="O126" s="559" t="s">
        <v>587</v>
      </c>
      <c r="P126" s="559" t="s">
        <v>612</v>
      </c>
      <c r="Q126" s="154"/>
      <c r="R126" s="607" t="s">
        <v>908</v>
      </c>
      <c r="S126" s="413" t="s">
        <v>422</v>
      </c>
      <c r="T126" s="369" t="s">
        <v>423</v>
      </c>
      <c r="U126" s="67"/>
      <c r="V126" s="153"/>
      <c r="W126" s="276"/>
    </row>
    <row r="127" spans="1:23" s="135" customFormat="1" ht="15" hidden="1" customHeight="1">
      <c r="A127" s="306">
        <v>126</v>
      </c>
      <c r="B127" s="162" t="s">
        <v>614</v>
      </c>
      <c r="C127" s="161"/>
      <c r="D127" s="601" t="s">
        <v>60</v>
      </c>
      <c r="E127" s="367" t="s">
        <v>59</v>
      </c>
      <c r="F127" s="373">
        <v>3</v>
      </c>
      <c r="G127" s="608">
        <v>3</v>
      </c>
      <c r="H127" s="380">
        <f t="shared" si="6"/>
        <v>0</v>
      </c>
      <c r="I127" s="371">
        <v>42778</v>
      </c>
      <c r="J127" s="606" t="s">
        <v>608</v>
      </c>
      <c r="K127" s="317">
        <v>416</v>
      </c>
      <c r="L127" s="424">
        <v>42775</v>
      </c>
      <c r="M127" s="423">
        <v>1265</v>
      </c>
      <c r="N127" s="173">
        <f t="shared" si="5"/>
        <v>3795</v>
      </c>
      <c r="O127" s="559" t="s">
        <v>587</v>
      </c>
      <c r="P127" s="559" t="s">
        <v>612</v>
      </c>
      <c r="Q127" s="154"/>
      <c r="R127" s="377" t="s">
        <v>908</v>
      </c>
      <c r="S127" s="413" t="s">
        <v>422</v>
      </c>
      <c r="T127" s="369" t="s">
        <v>423</v>
      </c>
      <c r="U127" s="600"/>
      <c r="V127" s="601"/>
      <c r="W127" s="276"/>
    </row>
    <row r="128" spans="1:23" s="135" customFormat="1" ht="15" hidden="1" customHeight="1">
      <c r="A128" s="306">
        <v>127</v>
      </c>
      <c r="B128" s="162" t="s">
        <v>615</v>
      </c>
      <c r="C128" s="161"/>
      <c r="D128" s="601" t="s">
        <v>247</v>
      </c>
      <c r="E128" s="600" t="s">
        <v>259</v>
      </c>
      <c r="F128" s="373">
        <v>1</v>
      </c>
      <c r="G128" s="608">
        <v>1</v>
      </c>
      <c r="H128" s="380">
        <f t="shared" si="6"/>
        <v>0</v>
      </c>
      <c r="I128" s="371">
        <v>42778</v>
      </c>
      <c r="J128" s="155" t="s">
        <v>608</v>
      </c>
      <c r="K128" s="308">
        <v>415</v>
      </c>
      <c r="L128" s="358">
        <v>42775</v>
      </c>
      <c r="M128" s="207">
        <v>3750</v>
      </c>
      <c r="N128" s="173">
        <f t="shared" si="5"/>
        <v>3750</v>
      </c>
      <c r="O128" s="559" t="s">
        <v>587</v>
      </c>
      <c r="P128" s="559" t="s">
        <v>612</v>
      </c>
      <c r="Q128" s="154"/>
      <c r="R128" s="377" t="s">
        <v>908</v>
      </c>
      <c r="S128" s="413" t="s">
        <v>422</v>
      </c>
      <c r="T128" s="369" t="s">
        <v>423</v>
      </c>
      <c r="U128" s="600"/>
      <c r="V128" s="601"/>
      <c r="W128" s="276"/>
    </row>
    <row r="129" spans="1:23" s="135" customFormat="1" ht="15" hidden="1" customHeight="1">
      <c r="A129" s="306">
        <v>128</v>
      </c>
      <c r="B129" s="162" t="s">
        <v>616</v>
      </c>
      <c r="C129" s="161"/>
      <c r="D129" s="185" t="s">
        <v>71</v>
      </c>
      <c r="E129" s="350" t="s">
        <v>65</v>
      </c>
      <c r="F129" s="373">
        <v>1</v>
      </c>
      <c r="G129" s="373">
        <v>1</v>
      </c>
      <c r="H129" s="614">
        <f t="shared" si="6"/>
        <v>0</v>
      </c>
      <c r="I129" s="371">
        <v>42778</v>
      </c>
      <c r="J129" s="606" t="s">
        <v>609</v>
      </c>
      <c r="K129" s="308">
        <v>414</v>
      </c>
      <c r="L129" s="358">
        <v>42775</v>
      </c>
      <c r="M129" s="207">
        <v>1980</v>
      </c>
      <c r="N129" s="615">
        <f t="shared" si="5"/>
        <v>1980</v>
      </c>
      <c r="O129" s="559" t="s">
        <v>587</v>
      </c>
      <c r="P129" s="559" t="s">
        <v>581</v>
      </c>
      <c r="Q129" s="154"/>
      <c r="R129" s="377" t="s">
        <v>908</v>
      </c>
      <c r="S129" s="413" t="s">
        <v>422</v>
      </c>
      <c r="T129" s="369" t="s">
        <v>423</v>
      </c>
      <c r="U129" s="154"/>
      <c r="V129" s="601"/>
      <c r="W129" s="549"/>
    </row>
    <row r="130" spans="1:23" s="135" customFormat="1" ht="15" hidden="1" customHeight="1">
      <c r="A130" s="306">
        <v>129</v>
      </c>
      <c r="B130" s="162" t="s">
        <v>617</v>
      </c>
      <c r="C130" s="161"/>
      <c r="D130" s="185" t="s">
        <v>68</v>
      </c>
      <c r="E130" s="367" t="s">
        <v>67</v>
      </c>
      <c r="F130" s="373">
        <v>1</v>
      </c>
      <c r="G130" s="373">
        <v>1</v>
      </c>
      <c r="H130" s="380">
        <f t="shared" ref="H130:H142" si="7">F130-G130</f>
        <v>0</v>
      </c>
      <c r="I130" s="371">
        <v>42778</v>
      </c>
      <c r="J130" s="606" t="s">
        <v>610</v>
      </c>
      <c r="K130" s="310">
        <v>417</v>
      </c>
      <c r="L130" s="358">
        <v>42777</v>
      </c>
      <c r="M130" s="170">
        <v>3500</v>
      </c>
      <c r="N130" s="173">
        <f t="shared" si="5"/>
        <v>3500</v>
      </c>
      <c r="O130" s="559" t="s">
        <v>587</v>
      </c>
      <c r="P130" s="559" t="s">
        <v>581</v>
      </c>
      <c r="Q130" s="154"/>
      <c r="R130" s="377" t="s">
        <v>908</v>
      </c>
      <c r="S130" s="413" t="s">
        <v>422</v>
      </c>
      <c r="T130" s="369" t="s">
        <v>423</v>
      </c>
      <c r="U130" s="154"/>
      <c r="V130" s="601"/>
      <c r="W130" s="276"/>
    </row>
    <row r="131" spans="1:23" s="135" customFormat="1" ht="15" hidden="1" customHeight="1">
      <c r="A131" s="306">
        <v>130</v>
      </c>
      <c r="B131" s="611" t="s">
        <v>618</v>
      </c>
      <c r="C131" s="610"/>
      <c r="D131" s="601" t="s">
        <v>248</v>
      </c>
      <c r="E131" s="600" t="s">
        <v>260</v>
      </c>
      <c r="F131" s="609">
        <v>1</v>
      </c>
      <c r="G131" s="608">
        <v>1</v>
      </c>
      <c r="H131" s="614">
        <f t="shared" si="7"/>
        <v>0</v>
      </c>
      <c r="I131" s="607">
        <v>42778</v>
      </c>
      <c r="J131" s="606" t="s">
        <v>611</v>
      </c>
      <c r="K131" s="310">
        <v>419</v>
      </c>
      <c r="L131" s="171">
        <v>42778</v>
      </c>
      <c r="M131" s="170">
        <v>2085</v>
      </c>
      <c r="N131" s="615">
        <f t="shared" si="5"/>
        <v>2085</v>
      </c>
      <c r="O131" s="559" t="s">
        <v>587</v>
      </c>
      <c r="P131" s="559" t="s">
        <v>581</v>
      </c>
      <c r="Q131" s="602"/>
      <c r="R131" s="377" t="s">
        <v>908</v>
      </c>
      <c r="S131" s="602" t="s">
        <v>422</v>
      </c>
      <c r="T131" s="602" t="s">
        <v>423</v>
      </c>
      <c r="U131" s="600"/>
      <c r="V131" s="601"/>
      <c r="W131" s="549"/>
    </row>
    <row r="132" spans="1:23" s="135" customFormat="1" ht="15" hidden="1" customHeight="1">
      <c r="A132" s="306">
        <v>131</v>
      </c>
      <c r="B132" s="162" t="s">
        <v>623</v>
      </c>
      <c r="C132" s="161"/>
      <c r="D132" s="601" t="s">
        <v>47</v>
      </c>
      <c r="E132" s="350" t="s">
        <v>46</v>
      </c>
      <c r="F132" s="373">
        <v>2</v>
      </c>
      <c r="G132" s="372">
        <v>2</v>
      </c>
      <c r="H132" s="380">
        <f t="shared" si="7"/>
        <v>0</v>
      </c>
      <c r="I132" s="160">
        <v>42779</v>
      </c>
      <c r="J132" s="606" t="s">
        <v>621</v>
      </c>
      <c r="K132" s="310">
        <v>420</v>
      </c>
      <c r="L132" s="171">
        <v>42778</v>
      </c>
      <c r="M132" s="170">
        <v>2500</v>
      </c>
      <c r="N132" s="173">
        <f t="shared" si="5"/>
        <v>5000</v>
      </c>
      <c r="O132" s="559" t="s">
        <v>587</v>
      </c>
      <c r="P132" s="559" t="s">
        <v>581</v>
      </c>
      <c r="Q132" s="154"/>
      <c r="R132" s="377" t="s">
        <v>908</v>
      </c>
      <c r="S132" s="413" t="s">
        <v>422</v>
      </c>
      <c r="T132" s="154" t="s">
        <v>423</v>
      </c>
      <c r="U132" s="67"/>
      <c r="V132" s="153"/>
      <c r="W132" s="276"/>
    </row>
    <row r="133" spans="1:23" s="135" customFormat="1" ht="15" hidden="1" customHeight="1">
      <c r="A133" s="306">
        <v>132</v>
      </c>
      <c r="B133" s="162"/>
      <c r="C133" s="161"/>
      <c r="D133" s="601" t="s">
        <v>47</v>
      </c>
      <c r="E133" s="350" t="s">
        <v>46</v>
      </c>
      <c r="F133" s="373">
        <v>4</v>
      </c>
      <c r="G133" s="372">
        <v>4</v>
      </c>
      <c r="H133" s="380">
        <f t="shared" si="7"/>
        <v>0</v>
      </c>
      <c r="I133" s="371">
        <v>42779</v>
      </c>
      <c r="J133" s="159" t="s">
        <v>622</v>
      </c>
      <c r="K133" s="612">
        <v>418</v>
      </c>
      <c r="L133" s="171">
        <v>42778</v>
      </c>
      <c r="M133" s="170">
        <v>2650</v>
      </c>
      <c r="N133" s="173">
        <f t="shared" si="5"/>
        <v>10600</v>
      </c>
      <c r="O133" s="559" t="s">
        <v>587</v>
      </c>
      <c r="P133" s="559" t="s">
        <v>581</v>
      </c>
      <c r="Q133" s="154"/>
      <c r="R133" s="377" t="s">
        <v>908</v>
      </c>
      <c r="S133" s="413" t="s">
        <v>422</v>
      </c>
      <c r="T133" s="154" t="s">
        <v>423</v>
      </c>
      <c r="U133" s="67"/>
      <c r="V133" s="153"/>
      <c r="W133" s="276"/>
    </row>
    <row r="134" spans="1:23" s="135" customFormat="1" ht="15" hidden="1" customHeight="1">
      <c r="A134" s="306">
        <v>133</v>
      </c>
      <c r="B134" s="162"/>
      <c r="C134" s="161"/>
      <c r="D134" s="558" t="s">
        <v>939</v>
      </c>
      <c r="E134" s="602" t="s">
        <v>940</v>
      </c>
      <c r="F134" s="373">
        <v>8</v>
      </c>
      <c r="G134" s="608">
        <v>8</v>
      </c>
      <c r="H134" s="380">
        <f t="shared" si="7"/>
        <v>0</v>
      </c>
      <c r="I134" s="160">
        <v>42780</v>
      </c>
      <c r="J134" s="155" t="s">
        <v>625</v>
      </c>
      <c r="K134" s="317">
        <v>422</v>
      </c>
      <c r="L134" s="424">
        <v>42780</v>
      </c>
      <c r="M134" s="423">
        <v>85</v>
      </c>
      <c r="N134" s="173">
        <f t="shared" si="5"/>
        <v>680</v>
      </c>
      <c r="O134" s="559" t="s">
        <v>587</v>
      </c>
      <c r="P134" s="559" t="s">
        <v>581</v>
      </c>
      <c r="Q134" s="602"/>
      <c r="R134" s="377" t="s">
        <v>908</v>
      </c>
      <c r="S134" s="413" t="s">
        <v>422</v>
      </c>
      <c r="T134" s="369" t="s">
        <v>423</v>
      </c>
      <c r="U134" s="600"/>
      <c r="V134" s="153"/>
      <c r="W134" s="276"/>
    </row>
    <row r="135" spans="1:23" s="135" customFormat="1" ht="15" hidden="1" customHeight="1">
      <c r="A135" s="306">
        <v>134</v>
      </c>
      <c r="B135" s="162"/>
      <c r="C135" s="196"/>
      <c r="D135" s="601" t="s">
        <v>66</v>
      </c>
      <c r="E135" s="367" t="s">
        <v>65</v>
      </c>
      <c r="F135" s="373">
        <v>2</v>
      </c>
      <c r="G135" s="608">
        <v>2</v>
      </c>
      <c r="H135" s="380">
        <f t="shared" si="7"/>
        <v>0</v>
      </c>
      <c r="I135" s="371">
        <v>42780</v>
      </c>
      <c r="J135" s="159" t="s">
        <v>626</v>
      </c>
      <c r="K135" s="317">
        <v>423</v>
      </c>
      <c r="L135" s="201">
        <v>42780</v>
      </c>
      <c r="M135" s="423">
        <v>1750</v>
      </c>
      <c r="N135" s="173">
        <f t="shared" si="5"/>
        <v>3500</v>
      </c>
      <c r="O135" s="559" t="s">
        <v>587</v>
      </c>
      <c r="P135" s="559" t="s">
        <v>581</v>
      </c>
      <c r="Q135" s="154"/>
      <c r="R135" s="377" t="s">
        <v>908</v>
      </c>
      <c r="S135" s="413" t="s">
        <v>422</v>
      </c>
      <c r="T135" s="369" t="s">
        <v>423</v>
      </c>
      <c r="U135" s="600"/>
      <c r="V135" s="153"/>
      <c r="W135" s="276"/>
    </row>
    <row r="136" spans="1:23" s="135" customFormat="1" ht="15" hidden="1" customHeight="1">
      <c r="A136" s="306">
        <v>135</v>
      </c>
      <c r="B136" s="611" t="s">
        <v>629</v>
      </c>
      <c r="C136" s="610"/>
      <c r="D136" s="601" t="s">
        <v>540</v>
      </c>
      <c r="E136" s="331" t="s">
        <v>541</v>
      </c>
      <c r="F136" s="609">
        <v>1</v>
      </c>
      <c r="G136" s="608">
        <v>1</v>
      </c>
      <c r="H136" s="380">
        <f t="shared" si="7"/>
        <v>0</v>
      </c>
      <c r="I136" s="607">
        <v>42781</v>
      </c>
      <c r="J136" s="561" t="s">
        <v>627</v>
      </c>
      <c r="K136" s="308">
        <v>212</v>
      </c>
      <c r="L136" s="358">
        <v>42711</v>
      </c>
      <c r="M136" s="207">
        <v>21390</v>
      </c>
      <c r="N136" s="615">
        <f t="shared" si="5"/>
        <v>21390</v>
      </c>
      <c r="O136" s="559" t="s">
        <v>587</v>
      </c>
      <c r="P136" s="559" t="s">
        <v>628</v>
      </c>
      <c r="Q136" s="602" t="s">
        <v>797</v>
      </c>
      <c r="R136" s="377" t="s">
        <v>908</v>
      </c>
      <c r="S136" s="602" t="s">
        <v>422</v>
      </c>
      <c r="T136" s="602" t="s">
        <v>423</v>
      </c>
      <c r="U136" s="600"/>
      <c r="V136" s="601"/>
      <c r="W136" s="276"/>
    </row>
    <row r="137" spans="1:23" s="135" customFormat="1" ht="15" hidden="1" customHeight="1">
      <c r="A137" s="306">
        <v>136</v>
      </c>
      <c r="B137" s="375"/>
      <c r="C137" s="374"/>
      <c r="D137" s="601" t="s">
        <v>37</v>
      </c>
      <c r="E137" s="354" t="s">
        <v>36</v>
      </c>
      <c r="F137" s="609">
        <v>1</v>
      </c>
      <c r="G137" s="608">
        <v>1</v>
      </c>
      <c r="H137" s="614">
        <f t="shared" si="7"/>
        <v>0</v>
      </c>
      <c r="I137" s="371">
        <v>42781</v>
      </c>
      <c r="J137" s="606" t="s">
        <v>630</v>
      </c>
      <c r="K137" s="317">
        <v>424</v>
      </c>
      <c r="L137" s="424">
        <v>42749</v>
      </c>
      <c r="M137" s="423">
        <v>7500</v>
      </c>
      <c r="N137" s="615">
        <f t="shared" si="5"/>
        <v>7500</v>
      </c>
      <c r="O137" s="559" t="s">
        <v>587</v>
      </c>
      <c r="P137" s="559" t="s">
        <v>631</v>
      </c>
      <c r="Q137" s="369" t="s">
        <v>798</v>
      </c>
      <c r="R137" s="377" t="s">
        <v>908</v>
      </c>
      <c r="S137" s="413" t="s">
        <v>422</v>
      </c>
      <c r="T137" s="369" t="s">
        <v>423</v>
      </c>
      <c r="U137" s="600"/>
      <c r="V137" s="601"/>
      <c r="W137" s="276"/>
    </row>
    <row r="138" spans="1:23" s="135" customFormat="1" ht="15" hidden="1" customHeight="1">
      <c r="A138" s="306">
        <v>137</v>
      </c>
      <c r="B138" s="162"/>
      <c r="C138" s="161"/>
      <c r="D138" s="601" t="s">
        <v>37</v>
      </c>
      <c r="E138" s="6" t="s">
        <v>36</v>
      </c>
      <c r="F138" s="373">
        <v>1</v>
      </c>
      <c r="G138" s="608">
        <v>1</v>
      </c>
      <c r="H138" s="614">
        <f t="shared" si="7"/>
        <v>0</v>
      </c>
      <c r="I138" s="371">
        <v>42781</v>
      </c>
      <c r="J138" s="155" t="s">
        <v>632</v>
      </c>
      <c r="K138" s="317">
        <v>427</v>
      </c>
      <c r="L138" s="424">
        <v>42750</v>
      </c>
      <c r="M138" s="423">
        <v>7300</v>
      </c>
      <c r="N138" s="615">
        <f t="shared" si="5"/>
        <v>7300</v>
      </c>
      <c r="O138" s="559" t="s">
        <v>587</v>
      </c>
      <c r="P138" s="559" t="s">
        <v>530</v>
      </c>
      <c r="Q138" s="154"/>
      <c r="R138" s="377" t="s">
        <v>908</v>
      </c>
      <c r="S138" s="413" t="s">
        <v>422</v>
      </c>
      <c r="T138" s="154" t="s">
        <v>423</v>
      </c>
      <c r="U138" s="600"/>
      <c r="V138" s="601"/>
      <c r="W138" s="276"/>
    </row>
    <row r="139" spans="1:23" s="135" customFormat="1" ht="15" hidden="1" customHeight="1">
      <c r="A139" s="306">
        <v>138</v>
      </c>
      <c r="B139" s="611"/>
      <c r="C139" s="610"/>
      <c r="D139" s="558" t="s">
        <v>939</v>
      </c>
      <c r="E139" s="602" t="s">
        <v>940</v>
      </c>
      <c r="F139" s="609">
        <v>8</v>
      </c>
      <c r="G139" s="608">
        <v>8</v>
      </c>
      <c r="H139" s="614">
        <f t="shared" si="7"/>
        <v>0</v>
      </c>
      <c r="I139" s="607">
        <v>42781</v>
      </c>
      <c r="J139" s="606" t="s">
        <v>633</v>
      </c>
      <c r="K139" s="317">
        <v>428</v>
      </c>
      <c r="L139" s="424">
        <v>42750</v>
      </c>
      <c r="M139" s="423">
        <v>125</v>
      </c>
      <c r="N139" s="615">
        <f t="shared" si="5"/>
        <v>1000</v>
      </c>
      <c r="O139" s="559" t="s">
        <v>587</v>
      </c>
      <c r="P139" s="559" t="s">
        <v>555</v>
      </c>
      <c r="Q139" s="602"/>
      <c r="R139" s="377" t="s">
        <v>908</v>
      </c>
      <c r="S139" s="602" t="s">
        <v>422</v>
      </c>
      <c r="T139" s="602" t="s">
        <v>423</v>
      </c>
      <c r="U139" s="600"/>
      <c r="V139" s="601"/>
      <c r="W139" s="276"/>
    </row>
    <row r="140" spans="1:23" s="135" customFormat="1" ht="15" hidden="1" customHeight="1">
      <c r="A140" s="306">
        <v>139</v>
      </c>
      <c r="B140" s="162"/>
      <c r="C140" s="161"/>
      <c r="D140" s="601" t="s">
        <v>51</v>
      </c>
      <c r="E140" s="367" t="s">
        <v>50</v>
      </c>
      <c r="F140" s="373">
        <v>16</v>
      </c>
      <c r="G140" s="372">
        <v>16</v>
      </c>
      <c r="H140" s="614">
        <f t="shared" si="7"/>
        <v>0</v>
      </c>
      <c r="I140" s="160">
        <v>42781</v>
      </c>
      <c r="J140" s="606" t="s">
        <v>634</v>
      </c>
      <c r="K140" s="317">
        <v>421</v>
      </c>
      <c r="L140" s="424">
        <v>42779</v>
      </c>
      <c r="M140" s="423">
        <v>2400</v>
      </c>
      <c r="N140" s="615">
        <f t="shared" si="5"/>
        <v>38400</v>
      </c>
      <c r="O140" s="559" t="s">
        <v>587</v>
      </c>
      <c r="P140" s="559" t="s">
        <v>612</v>
      </c>
      <c r="Q140" s="154"/>
      <c r="R140" s="377" t="s">
        <v>908</v>
      </c>
      <c r="S140" s="413" t="s">
        <v>422</v>
      </c>
      <c r="T140" s="154" t="s">
        <v>423</v>
      </c>
      <c r="U140" s="402" t="s">
        <v>886</v>
      </c>
      <c r="V140" s="153"/>
      <c r="W140" s="276"/>
    </row>
    <row r="141" spans="1:23" s="135" customFormat="1" ht="15" hidden="1" customHeight="1">
      <c r="A141" s="306">
        <v>140</v>
      </c>
      <c r="B141" s="162"/>
      <c r="C141" s="161"/>
      <c r="D141" s="601" t="s">
        <v>30</v>
      </c>
      <c r="E141" s="350" t="s">
        <v>28</v>
      </c>
      <c r="F141" s="373">
        <v>3</v>
      </c>
      <c r="G141" s="608">
        <v>3</v>
      </c>
      <c r="H141" s="614">
        <f t="shared" si="7"/>
        <v>0</v>
      </c>
      <c r="I141" s="371">
        <v>42781</v>
      </c>
      <c r="J141" s="606" t="s">
        <v>634</v>
      </c>
      <c r="K141" s="317">
        <v>421</v>
      </c>
      <c r="L141" s="424">
        <v>42779</v>
      </c>
      <c r="M141" s="604">
        <v>450</v>
      </c>
      <c r="N141" s="615">
        <f t="shared" si="5"/>
        <v>1350</v>
      </c>
      <c r="O141" s="559" t="s">
        <v>587</v>
      </c>
      <c r="P141" s="559" t="s">
        <v>612</v>
      </c>
      <c r="Q141" s="154"/>
      <c r="R141" s="377" t="s">
        <v>908</v>
      </c>
      <c r="S141" s="413" t="s">
        <v>422</v>
      </c>
      <c r="T141" s="154" t="s">
        <v>423</v>
      </c>
      <c r="U141" s="600"/>
      <c r="V141" s="601"/>
      <c r="W141" s="276"/>
    </row>
    <row r="142" spans="1:23" s="135" customFormat="1" ht="15" hidden="1" customHeight="1">
      <c r="A142" s="306">
        <v>141</v>
      </c>
      <c r="B142" s="162"/>
      <c r="C142" s="161"/>
      <c r="D142" s="558" t="s">
        <v>939</v>
      </c>
      <c r="E142" s="602" t="s">
        <v>940</v>
      </c>
      <c r="F142" s="373">
        <v>80</v>
      </c>
      <c r="G142" s="372">
        <v>80</v>
      </c>
      <c r="H142" s="614">
        <f t="shared" si="7"/>
        <v>0</v>
      </c>
      <c r="I142" s="160">
        <v>42782</v>
      </c>
      <c r="J142" s="606" t="s">
        <v>635</v>
      </c>
      <c r="K142" s="612">
        <v>429</v>
      </c>
      <c r="L142" s="605">
        <v>42781</v>
      </c>
      <c r="M142" s="604">
        <v>75</v>
      </c>
      <c r="N142" s="615">
        <f t="shared" si="5"/>
        <v>6000</v>
      </c>
      <c r="O142" s="559" t="s">
        <v>587</v>
      </c>
      <c r="P142" s="559" t="s">
        <v>589</v>
      </c>
      <c r="Q142" s="154"/>
      <c r="R142" s="377" t="s">
        <v>908</v>
      </c>
      <c r="S142" s="413" t="s">
        <v>422</v>
      </c>
      <c r="T142" s="154" t="s">
        <v>423</v>
      </c>
      <c r="U142" s="67"/>
      <c r="V142" s="153"/>
      <c r="W142" s="276"/>
    </row>
    <row r="143" spans="1:23" s="411" customFormat="1" ht="15" hidden="1" customHeight="1">
      <c r="A143" s="306">
        <v>142</v>
      </c>
      <c r="B143" s="417"/>
      <c r="C143" s="416"/>
      <c r="D143" s="558" t="s">
        <v>939</v>
      </c>
      <c r="E143" s="602" t="s">
        <v>940</v>
      </c>
      <c r="F143" s="415">
        <v>4</v>
      </c>
      <c r="G143" s="372">
        <v>4</v>
      </c>
      <c r="H143" s="614">
        <v>0</v>
      </c>
      <c r="I143" s="414">
        <v>42740</v>
      </c>
      <c r="J143" s="606" t="s">
        <v>776</v>
      </c>
      <c r="K143" s="612">
        <v>234</v>
      </c>
      <c r="L143" s="158">
        <v>42717</v>
      </c>
      <c r="M143" s="157">
        <f>1280/4</f>
        <v>320</v>
      </c>
      <c r="N143" s="615">
        <f t="shared" si="5"/>
        <v>1280</v>
      </c>
      <c r="O143" s="559" t="s">
        <v>587</v>
      </c>
      <c r="P143" s="559" t="s">
        <v>745</v>
      </c>
      <c r="Q143" s="413"/>
      <c r="R143" s="377" t="s">
        <v>908</v>
      </c>
      <c r="S143" s="413" t="s">
        <v>422</v>
      </c>
      <c r="T143" s="413"/>
      <c r="U143" s="368"/>
      <c r="V143" s="412"/>
      <c r="W143" s="276"/>
    </row>
    <row r="144" spans="1:23" s="135" customFormat="1" ht="15" hidden="1" customHeight="1">
      <c r="A144" s="306">
        <v>143</v>
      </c>
      <c r="B144" s="162"/>
      <c r="C144" s="161"/>
      <c r="D144" s="611" t="s">
        <v>224</v>
      </c>
      <c r="E144" s="350" t="s">
        <v>941</v>
      </c>
      <c r="F144" s="373">
        <v>4</v>
      </c>
      <c r="G144" s="608">
        <v>4</v>
      </c>
      <c r="H144" s="614">
        <f t="shared" ref="H144:H207" si="8">F144-G144</f>
        <v>0</v>
      </c>
      <c r="I144" s="371">
        <v>42782</v>
      </c>
      <c r="J144" s="606" t="s">
        <v>635</v>
      </c>
      <c r="K144" s="612">
        <v>429</v>
      </c>
      <c r="L144" s="605">
        <v>42781</v>
      </c>
      <c r="M144" s="604">
        <v>110</v>
      </c>
      <c r="N144" s="615">
        <f t="shared" si="5"/>
        <v>440</v>
      </c>
      <c r="O144" s="559" t="s">
        <v>587</v>
      </c>
      <c r="P144" s="559" t="s">
        <v>589</v>
      </c>
      <c r="Q144" s="154"/>
      <c r="R144" s="377" t="s">
        <v>908</v>
      </c>
      <c r="S144" s="413" t="s">
        <v>422</v>
      </c>
      <c r="T144" s="154" t="s">
        <v>423</v>
      </c>
      <c r="U144" s="67"/>
      <c r="V144" s="153"/>
      <c r="W144" s="276"/>
    </row>
    <row r="145" spans="1:23" s="135" customFormat="1" ht="15" hidden="1" customHeight="1">
      <c r="A145" s="306">
        <v>144</v>
      </c>
      <c r="B145" s="375">
        <v>4709</v>
      </c>
      <c r="C145" s="374"/>
      <c r="D145" s="186" t="s">
        <v>226</v>
      </c>
      <c r="E145" s="350" t="s">
        <v>944</v>
      </c>
      <c r="F145" s="373">
        <v>8</v>
      </c>
      <c r="G145" s="373">
        <v>8</v>
      </c>
      <c r="H145" s="380">
        <f t="shared" si="8"/>
        <v>0</v>
      </c>
      <c r="I145" s="371">
        <v>42784</v>
      </c>
      <c r="J145" s="606" t="s">
        <v>636</v>
      </c>
      <c r="K145" s="376">
        <v>432</v>
      </c>
      <c r="L145" s="358">
        <v>42782</v>
      </c>
      <c r="M145" s="378">
        <v>270</v>
      </c>
      <c r="N145" s="603">
        <f t="shared" si="5"/>
        <v>2160</v>
      </c>
      <c r="O145" s="559" t="s">
        <v>587</v>
      </c>
      <c r="P145" s="559" t="s">
        <v>637</v>
      </c>
      <c r="Q145" s="600" t="s">
        <v>638</v>
      </c>
      <c r="R145" s="371" t="s">
        <v>908</v>
      </c>
      <c r="S145" s="413" t="s">
        <v>422</v>
      </c>
      <c r="T145" s="369" t="s">
        <v>423</v>
      </c>
      <c r="U145" s="600"/>
      <c r="V145" s="601"/>
      <c r="W145" s="276"/>
    </row>
    <row r="146" spans="1:23" s="135" customFormat="1" ht="15" hidden="1" customHeight="1">
      <c r="A146" s="306">
        <v>145</v>
      </c>
      <c r="B146" s="375">
        <v>36087</v>
      </c>
      <c r="C146" s="374"/>
      <c r="D146" s="185" t="s">
        <v>246</v>
      </c>
      <c r="E146" s="600" t="s">
        <v>258</v>
      </c>
      <c r="F146" s="373">
        <v>1</v>
      </c>
      <c r="G146" s="609">
        <v>1</v>
      </c>
      <c r="H146" s="380">
        <f t="shared" si="8"/>
        <v>0</v>
      </c>
      <c r="I146" s="371">
        <v>42785</v>
      </c>
      <c r="J146" s="561" t="s">
        <v>643</v>
      </c>
      <c r="K146" s="317">
        <v>362</v>
      </c>
      <c r="L146" s="424">
        <v>42753</v>
      </c>
      <c r="M146" s="423">
        <v>5910</v>
      </c>
      <c r="N146" s="173">
        <f t="shared" si="5"/>
        <v>5910</v>
      </c>
      <c r="O146" s="559" t="s">
        <v>587</v>
      </c>
      <c r="P146" s="559" t="s">
        <v>640</v>
      </c>
      <c r="Q146" s="369" t="s">
        <v>778</v>
      </c>
      <c r="R146" s="371" t="s">
        <v>908</v>
      </c>
      <c r="S146" s="413" t="s">
        <v>422</v>
      </c>
      <c r="T146" s="369" t="s">
        <v>423</v>
      </c>
      <c r="U146" s="602"/>
      <c r="V146" s="352"/>
      <c r="W146" s="549"/>
    </row>
    <row r="147" spans="1:23" s="135" customFormat="1" ht="15" hidden="1" customHeight="1">
      <c r="A147" s="306">
        <v>146</v>
      </c>
      <c r="B147" s="375">
        <v>36087</v>
      </c>
      <c r="C147" s="374"/>
      <c r="D147" s="185" t="s">
        <v>248</v>
      </c>
      <c r="E147" s="600" t="s">
        <v>260</v>
      </c>
      <c r="F147" s="373">
        <v>2</v>
      </c>
      <c r="G147" s="373">
        <v>2</v>
      </c>
      <c r="H147" s="614">
        <f t="shared" si="8"/>
        <v>0</v>
      </c>
      <c r="I147" s="371">
        <v>42785</v>
      </c>
      <c r="J147" s="155" t="s">
        <v>643</v>
      </c>
      <c r="K147" s="317">
        <v>362</v>
      </c>
      <c r="L147" s="424">
        <v>42753</v>
      </c>
      <c r="M147" s="423">
        <v>2135</v>
      </c>
      <c r="N147" s="615">
        <f t="shared" si="5"/>
        <v>4270</v>
      </c>
      <c r="O147" s="559" t="s">
        <v>587</v>
      </c>
      <c r="P147" s="559" t="s">
        <v>640</v>
      </c>
      <c r="Q147" s="369" t="s">
        <v>778</v>
      </c>
      <c r="R147" s="371" t="s">
        <v>908</v>
      </c>
      <c r="S147" s="413" t="s">
        <v>422</v>
      </c>
      <c r="T147" s="369" t="s">
        <v>423</v>
      </c>
      <c r="U147" s="369"/>
      <c r="V147" s="601"/>
      <c r="W147" s="549"/>
    </row>
    <row r="148" spans="1:23" s="135" customFormat="1" ht="15" hidden="1" customHeight="1">
      <c r="A148" s="306">
        <v>147</v>
      </c>
      <c r="B148" s="375">
        <v>36087</v>
      </c>
      <c r="C148" s="192"/>
      <c r="D148" s="601" t="s">
        <v>249</v>
      </c>
      <c r="E148" s="600" t="s">
        <v>261</v>
      </c>
      <c r="F148" s="373">
        <v>3</v>
      </c>
      <c r="G148" s="608">
        <v>3</v>
      </c>
      <c r="H148" s="614">
        <f t="shared" si="8"/>
        <v>0</v>
      </c>
      <c r="I148" s="371">
        <v>42785</v>
      </c>
      <c r="J148" s="155" t="s">
        <v>643</v>
      </c>
      <c r="K148" s="317">
        <v>362</v>
      </c>
      <c r="L148" s="424">
        <v>42753</v>
      </c>
      <c r="M148" s="604">
        <v>450</v>
      </c>
      <c r="N148" s="615">
        <f t="shared" si="5"/>
        <v>1350</v>
      </c>
      <c r="O148" s="559" t="s">
        <v>587</v>
      </c>
      <c r="P148" s="559" t="s">
        <v>640</v>
      </c>
      <c r="Q148" s="369" t="s">
        <v>778</v>
      </c>
      <c r="R148" s="371" t="s">
        <v>908</v>
      </c>
      <c r="S148" s="413" t="s">
        <v>422</v>
      </c>
      <c r="T148" s="369" t="s">
        <v>423</v>
      </c>
      <c r="U148" s="600"/>
      <c r="V148" s="601"/>
      <c r="W148" s="549"/>
    </row>
    <row r="149" spans="1:23" s="135" customFormat="1" ht="15" hidden="1" customHeight="1">
      <c r="A149" s="306">
        <v>148</v>
      </c>
      <c r="B149" s="180" t="s">
        <v>641</v>
      </c>
      <c r="C149" s="196"/>
      <c r="D149" s="185" t="s">
        <v>86</v>
      </c>
      <c r="E149" s="367" t="s">
        <v>85</v>
      </c>
      <c r="F149" s="373">
        <v>1</v>
      </c>
      <c r="G149" s="373">
        <v>1</v>
      </c>
      <c r="H149" s="380">
        <f t="shared" si="8"/>
        <v>0</v>
      </c>
      <c r="I149" s="371">
        <v>42785</v>
      </c>
      <c r="J149" s="155" t="s">
        <v>639</v>
      </c>
      <c r="K149" s="557">
        <v>431</v>
      </c>
      <c r="L149" s="607">
        <v>42782</v>
      </c>
      <c r="M149" s="616">
        <v>10360</v>
      </c>
      <c r="N149" s="173">
        <f t="shared" si="5"/>
        <v>10360</v>
      </c>
      <c r="O149" s="559" t="s">
        <v>587</v>
      </c>
      <c r="P149" s="208" t="s">
        <v>530</v>
      </c>
      <c r="Q149" s="189"/>
      <c r="R149" s="607" t="s">
        <v>908</v>
      </c>
      <c r="S149" s="189" t="s">
        <v>422</v>
      </c>
      <c r="T149" s="189" t="s">
        <v>423</v>
      </c>
      <c r="U149" s="189"/>
      <c r="V149" s="600"/>
      <c r="W149" s="169"/>
    </row>
    <row r="150" spans="1:23" s="135" customFormat="1" ht="15" hidden="1" customHeight="1">
      <c r="A150" s="306">
        <v>149</v>
      </c>
      <c r="B150" s="162"/>
      <c r="C150" s="161"/>
      <c r="D150" s="601" t="s">
        <v>62</v>
      </c>
      <c r="E150" s="350" t="s">
        <v>61</v>
      </c>
      <c r="F150" s="373">
        <v>1</v>
      </c>
      <c r="G150" s="372">
        <v>1</v>
      </c>
      <c r="H150" s="614">
        <f t="shared" si="8"/>
        <v>0</v>
      </c>
      <c r="I150" s="371">
        <v>42785</v>
      </c>
      <c r="J150" s="606" t="s">
        <v>642</v>
      </c>
      <c r="K150" s="612">
        <v>436</v>
      </c>
      <c r="L150" s="605">
        <v>42785</v>
      </c>
      <c r="M150" s="604">
        <v>1780</v>
      </c>
      <c r="N150" s="615">
        <f t="shared" si="5"/>
        <v>1780</v>
      </c>
      <c r="O150" s="559" t="s">
        <v>587</v>
      </c>
      <c r="P150" s="559" t="s">
        <v>555</v>
      </c>
      <c r="Q150" s="154"/>
      <c r="R150" s="244" t="s">
        <v>908</v>
      </c>
      <c r="S150" s="413" t="s">
        <v>422</v>
      </c>
      <c r="T150" s="154" t="s">
        <v>423</v>
      </c>
      <c r="U150" s="67"/>
      <c r="V150" s="153"/>
      <c r="W150" s="276"/>
    </row>
    <row r="151" spans="1:23" s="135" customFormat="1" ht="15" hidden="1" customHeight="1">
      <c r="A151" s="306">
        <v>150</v>
      </c>
      <c r="B151" s="375"/>
      <c r="C151" s="374"/>
      <c r="D151" s="601" t="s">
        <v>744</v>
      </c>
      <c r="E151" s="350"/>
      <c r="F151" s="373">
        <v>1</v>
      </c>
      <c r="G151" s="372">
        <v>1</v>
      </c>
      <c r="H151" s="380">
        <f t="shared" si="8"/>
        <v>0</v>
      </c>
      <c r="I151" s="371">
        <v>42786</v>
      </c>
      <c r="J151" s="370" t="s">
        <v>635</v>
      </c>
      <c r="K151" s="612">
        <v>435</v>
      </c>
      <c r="L151" s="605">
        <v>42785</v>
      </c>
      <c r="M151" s="604">
        <v>1000</v>
      </c>
      <c r="N151" s="173">
        <f t="shared" si="5"/>
        <v>1000</v>
      </c>
      <c r="O151" s="559" t="s">
        <v>425</v>
      </c>
      <c r="P151" s="559" t="s">
        <v>745</v>
      </c>
      <c r="Q151" s="369"/>
      <c r="R151" s="377" t="s">
        <v>908</v>
      </c>
      <c r="S151" s="413" t="s">
        <v>422</v>
      </c>
      <c r="T151" s="369" t="s">
        <v>423</v>
      </c>
      <c r="U151" s="368" t="s">
        <v>746</v>
      </c>
      <c r="V151" s="352"/>
      <c r="W151" s="276"/>
    </row>
    <row r="152" spans="1:23" s="135" customFormat="1" ht="15" hidden="1" customHeight="1">
      <c r="A152" s="306">
        <v>151</v>
      </c>
      <c r="B152" s="162">
        <v>1059</v>
      </c>
      <c r="C152" s="161"/>
      <c r="D152" s="601" t="s">
        <v>49</v>
      </c>
      <c r="E152" s="350" t="s">
        <v>48</v>
      </c>
      <c r="F152" s="373">
        <v>3</v>
      </c>
      <c r="G152" s="372">
        <v>3</v>
      </c>
      <c r="H152" s="614">
        <f t="shared" si="8"/>
        <v>0</v>
      </c>
      <c r="I152" s="160">
        <v>42786</v>
      </c>
      <c r="J152" s="174" t="s">
        <v>644</v>
      </c>
      <c r="K152" s="612">
        <v>433</v>
      </c>
      <c r="L152" s="605">
        <v>42784</v>
      </c>
      <c r="M152" s="604">
        <v>8800</v>
      </c>
      <c r="N152" s="615">
        <f t="shared" si="5"/>
        <v>26400</v>
      </c>
      <c r="O152" s="559" t="s">
        <v>587</v>
      </c>
      <c r="P152" s="559" t="s">
        <v>612</v>
      </c>
      <c r="Q152" s="154"/>
      <c r="R152" s="244" t="s">
        <v>908</v>
      </c>
      <c r="S152" s="413" t="s">
        <v>422</v>
      </c>
      <c r="T152" s="154" t="s">
        <v>423</v>
      </c>
      <c r="U152" s="67"/>
      <c r="V152" s="153"/>
      <c r="W152" s="276"/>
    </row>
    <row r="153" spans="1:23" s="135" customFormat="1" ht="15" hidden="1" customHeight="1">
      <c r="A153" s="306">
        <v>152</v>
      </c>
      <c r="B153" s="375">
        <v>1059</v>
      </c>
      <c r="C153" s="161"/>
      <c r="D153" s="601" t="s">
        <v>35</v>
      </c>
      <c r="E153" s="367" t="s">
        <v>34</v>
      </c>
      <c r="F153" s="373">
        <v>18</v>
      </c>
      <c r="G153" s="372">
        <v>18</v>
      </c>
      <c r="H153" s="380">
        <f t="shared" si="8"/>
        <v>0</v>
      </c>
      <c r="I153" s="371">
        <v>42786</v>
      </c>
      <c r="J153" s="174" t="s">
        <v>644</v>
      </c>
      <c r="K153" s="239">
        <v>433</v>
      </c>
      <c r="L153" s="158">
        <v>42784</v>
      </c>
      <c r="M153" s="157">
        <v>2710</v>
      </c>
      <c r="N153" s="173">
        <f t="shared" si="5"/>
        <v>48780</v>
      </c>
      <c r="O153" s="559" t="s">
        <v>587</v>
      </c>
      <c r="P153" s="559" t="s">
        <v>612</v>
      </c>
      <c r="Q153" s="154"/>
      <c r="R153" s="244" t="s">
        <v>908</v>
      </c>
      <c r="S153" s="413" t="s">
        <v>422</v>
      </c>
      <c r="T153" s="154" t="s">
        <v>423</v>
      </c>
      <c r="U153" s="67"/>
      <c r="V153" s="153"/>
      <c r="W153" s="276"/>
    </row>
    <row r="154" spans="1:23" s="135" customFormat="1" ht="15" hidden="1" customHeight="1">
      <c r="A154" s="306">
        <v>153</v>
      </c>
      <c r="B154" s="375">
        <v>1059</v>
      </c>
      <c r="C154" s="161"/>
      <c r="D154" s="601" t="s">
        <v>29</v>
      </c>
      <c r="E154" s="5" t="s">
        <v>28</v>
      </c>
      <c r="F154" s="373">
        <v>21</v>
      </c>
      <c r="G154" s="608">
        <v>21</v>
      </c>
      <c r="H154" s="614">
        <f t="shared" si="8"/>
        <v>0</v>
      </c>
      <c r="I154" s="371">
        <v>42786</v>
      </c>
      <c r="J154" s="174" t="s">
        <v>644</v>
      </c>
      <c r="K154" s="612">
        <v>433</v>
      </c>
      <c r="L154" s="605">
        <v>42784</v>
      </c>
      <c r="M154" s="604">
        <v>450</v>
      </c>
      <c r="N154" s="615">
        <f t="shared" ref="N154:N217" si="9">IFERROR(M154*G154,0)</f>
        <v>9450</v>
      </c>
      <c r="O154" s="559" t="s">
        <v>587</v>
      </c>
      <c r="P154" s="559" t="s">
        <v>612</v>
      </c>
      <c r="Q154" s="154"/>
      <c r="R154" s="377" t="s">
        <v>908</v>
      </c>
      <c r="S154" s="413" t="s">
        <v>422</v>
      </c>
      <c r="T154" s="154" t="s">
        <v>423</v>
      </c>
      <c r="U154" s="600"/>
      <c r="V154" s="153"/>
      <c r="W154" s="276"/>
    </row>
    <row r="155" spans="1:23" s="135" customFormat="1" ht="15" hidden="1" customHeight="1">
      <c r="A155" s="306">
        <v>154</v>
      </c>
      <c r="B155" s="375" t="s">
        <v>647</v>
      </c>
      <c r="C155" s="374"/>
      <c r="D155" s="601" t="s">
        <v>51</v>
      </c>
      <c r="E155" s="418" t="s">
        <v>50</v>
      </c>
      <c r="F155" s="373">
        <v>1</v>
      </c>
      <c r="G155" s="608">
        <v>1</v>
      </c>
      <c r="H155" s="614">
        <f t="shared" si="8"/>
        <v>0</v>
      </c>
      <c r="I155" s="371">
        <v>42786</v>
      </c>
      <c r="J155" s="155" t="s">
        <v>645</v>
      </c>
      <c r="K155" s="612">
        <v>437</v>
      </c>
      <c r="L155" s="605">
        <v>42785</v>
      </c>
      <c r="M155" s="604">
        <v>2550</v>
      </c>
      <c r="N155" s="615">
        <f t="shared" si="9"/>
        <v>2550</v>
      </c>
      <c r="O155" s="559" t="s">
        <v>587</v>
      </c>
      <c r="P155" s="559" t="s">
        <v>646</v>
      </c>
      <c r="Q155" s="369" t="s">
        <v>779</v>
      </c>
      <c r="R155" s="377" t="s">
        <v>908</v>
      </c>
      <c r="S155" s="413" t="s">
        <v>422</v>
      </c>
      <c r="T155" s="369" t="s">
        <v>423</v>
      </c>
      <c r="U155" s="600"/>
      <c r="V155" s="601"/>
      <c r="W155" s="276"/>
    </row>
    <row r="156" spans="1:23" s="135" customFormat="1" ht="15" hidden="1" customHeight="1">
      <c r="A156" s="306">
        <v>155</v>
      </c>
      <c r="B156" s="375" t="s">
        <v>647</v>
      </c>
      <c r="C156" s="374"/>
      <c r="D156" s="601" t="s">
        <v>30</v>
      </c>
      <c r="E156" s="187" t="s">
        <v>28</v>
      </c>
      <c r="F156" s="373">
        <v>1</v>
      </c>
      <c r="G156" s="608">
        <v>1</v>
      </c>
      <c r="H156" s="614">
        <f t="shared" si="8"/>
        <v>0</v>
      </c>
      <c r="I156" s="371">
        <v>42786</v>
      </c>
      <c r="J156" s="561" t="s">
        <v>645</v>
      </c>
      <c r="K156" s="612">
        <v>437</v>
      </c>
      <c r="L156" s="605">
        <v>42785</v>
      </c>
      <c r="M156" s="604">
        <v>450</v>
      </c>
      <c r="N156" s="615">
        <f t="shared" si="9"/>
        <v>450</v>
      </c>
      <c r="O156" s="559" t="s">
        <v>587</v>
      </c>
      <c r="P156" s="559" t="s">
        <v>646</v>
      </c>
      <c r="Q156" s="369" t="s">
        <v>779</v>
      </c>
      <c r="R156" s="377" t="s">
        <v>908</v>
      </c>
      <c r="S156" s="413" t="s">
        <v>422</v>
      </c>
      <c r="T156" s="369" t="s">
        <v>423</v>
      </c>
      <c r="U156" s="600"/>
      <c r="V156" s="601"/>
      <c r="W156" s="276"/>
    </row>
    <row r="157" spans="1:23" s="135" customFormat="1" ht="15" hidden="1" customHeight="1">
      <c r="A157" s="306">
        <v>156</v>
      </c>
      <c r="B157" s="180" t="s">
        <v>649</v>
      </c>
      <c r="C157" s="196"/>
      <c r="D157" s="185" t="s">
        <v>68</v>
      </c>
      <c r="E157" s="367" t="s">
        <v>67</v>
      </c>
      <c r="F157" s="373">
        <v>3</v>
      </c>
      <c r="G157" s="609">
        <v>3</v>
      </c>
      <c r="H157" s="614">
        <f t="shared" si="8"/>
        <v>0</v>
      </c>
      <c r="I157" s="431">
        <v>42787</v>
      </c>
      <c r="J157" s="155" t="s">
        <v>648</v>
      </c>
      <c r="K157" s="318">
        <v>438</v>
      </c>
      <c r="L157" s="259">
        <v>42786</v>
      </c>
      <c r="M157" s="260">
        <v>3680</v>
      </c>
      <c r="N157" s="615">
        <f t="shared" si="9"/>
        <v>11040</v>
      </c>
      <c r="O157" s="559" t="s">
        <v>587</v>
      </c>
      <c r="P157" s="195" t="s">
        <v>589</v>
      </c>
      <c r="Q157" s="189"/>
      <c r="R157" s="179" t="s">
        <v>908</v>
      </c>
      <c r="S157" s="189" t="s">
        <v>422</v>
      </c>
      <c r="T157" s="189" t="s">
        <v>423</v>
      </c>
      <c r="U157" s="189"/>
      <c r="V157" s="153"/>
      <c r="W157" s="276"/>
    </row>
    <row r="158" spans="1:23" s="135" customFormat="1" ht="15" hidden="1" customHeight="1">
      <c r="A158" s="306">
        <v>157</v>
      </c>
      <c r="B158" s="602" t="s">
        <v>651</v>
      </c>
      <c r="C158" s="161"/>
      <c r="D158" s="601" t="s">
        <v>49</v>
      </c>
      <c r="E158" s="350" t="s">
        <v>48</v>
      </c>
      <c r="F158" s="373">
        <v>8</v>
      </c>
      <c r="G158" s="372">
        <v>8</v>
      </c>
      <c r="H158" s="380">
        <f t="shared" si="8"/>
        <v>0</v>
      </c>
      <c r="I158" s="160">
        <v>42787</v>
      </c>
      <c r="J158" s="606" t="s">
        <v>650</v>
      </c>
      <c r="K158" s="612">
        <v>425</v>
      </c>
      <c r="L158" s="605">
        <v>42781</v>
      </c>
      <c r="M158" s="604">
        <v>8800</v>
      </c>
      <c r="N158" s="173">
        <f t="shared" si="9"/>
        <v>70400</v>
      </c>
      <c r="O158" s="559" t="s">
        <v>587</v>
      </c>
      <c r="P158" s="559" t="s">
        <v>612</v>
      </c>
      <c r="Q158" s="154"/>
      <c r="R158" s="377" t="s">
        <v>652</v>
      </c>
      <c r="S158" s="413" t="s">
        <v>422</v>
      </c>
      <c r="T158" s="154" t="s">
        <v>423</v>
      </c>
      <c r="U158" s="67"/>
      <c r="V158" s="153"/>
      <c r="W158" s="276"/>
    </row>
    <row r="159" spans="1:23" s="135" customFormat="1" ht="15" hidden="1" customHeight="1">
      <c r="A159" s="306">
        <v>158</v>
      </c>
      <c r="B159" s="602" t="s">
        <v>651</v>
      </c>
      <c r="C159" s="196"/>
      <c r="D159" s="185" t="s">
        <v>35</v>
      </c>
      <c r="E159" s="367" t="s">
        <v>34</v>
      </c>
      <c r="F159" s="373">
        <v>8</v>
      </c>
      <c r="G159" s="373">
        <v>8</v>
      </c>
      <c r="H159" s="380">
        <f t="shared" si="8"/>
        <v>0</v>
      </c>
      <c r="I159" s="371">
        <v>42787</v>
      </c>
      <c r="J159" s="606" t="s">
        <v>650</v>
      </c>
      <c r="K159" s="612">
        <v>425</v>
      </c>
      <c r="L159" s="605">
        <v>42781</v>
      </c>
      <c r="M159" s="260">
        <v>2700</v>
      </c>
      <c r="N159" s="173">
        <f t="shared" si="9"/>
        <v>21600</v>
      </c>
      <c r="O159" s="559" t="s">
        <v>587</v>
      </c>
      <c r="P159" s="559" t="s">
        <v>612</v>
      </c>
      <c r="Q159" s="189"/>
      <c r="R159" s="377" t="s">
        <v>652</v>
      </c>
      <c r="S159" s="189" t="s">
        <v>422</v>
      </c>
      <c r="T159" s="369" t="s">
        <v>423</v>
      </c>
      <c r="U159" s="189"/>
      <c r="V159" s="601"/>
      <c r="W159" s="549"/>
    </row>
    <row r="160" spans="1:23" s="135" customFormat="1" ht="15" hidden="1" customHeight="1">
      <c r="A160" s="306">
        <v>159</v>
      </c>
      <c r="B160" s="602" t="s">
        <v>651</v>
      </c>
      <c r="C160" s="161"/>
      <c r="D160" s="601" t="s">
        <v>29</v>
      </c>
      <c r="E160" s="5" t="s">
        <v>28</v>
      </c>
      <c r="F160" s="373">
        <v>16</v>
      </c>
      <c r="G160" s="608">
        <v>16</v>
      </c>
      <c r="H160" s="614">
        <f t="shared" si="8"/>
        <v>0</v>
      </c>
      <c r="I160" s="371">
        <v>42787</v>
      </c>
      <c r="J160" s="606" t="s">
        <v>650</v>
      </c>
      <c r="K160" s="612">
        <v>425</v>
      </c>
      <c r="L160" s="605">
        <v>42781</v>
      </c>
      <c r="M160" s="604">
        <v>450</v>
      </c>
      <c r="N160" s="615">
        <f t="shared" si="9"/>
        <v>7200</v>
      </c>
      <c r="O160" s="559" t="s">
        <v>587</v>
      </c>
      <c r="P160" s="559" t="s">
        <v>612</v>
      </c>
      <c r="Q160" s="154"/>
      <c r="R160" s="377" t="s">
        <v>652</v>
      </c>
      <c r="S160" s="413" t="s">
        <v>422</v>
      </c>
      <c r="T160" s="369" t="s">
        <v>423</v>
      </c>
      <c r="U160" s="600"/>
      <c r="V160" s="601"/>
      <c r="W160" s="549"/>
    </row>
    <row r="161" spans="1:23" s="135" customFormat="1" ht="15" hidden="1" customHeight="1">
      <c r="A161" s="306">
        <v>160</v>
      </c>
      <c r="B161" s="162" t="s">
        <v>654</v>
      </c>
      <c r="C161" s="161"/>
      <c r="D161" s="601" t="s">
        <v>217</v>
      </c>
      <c r="E161" s="467" t="s">
        <v>216</v>
      </c>
      <c r="F161" s="373">
        <v>3</v>
      </c>
      <c r="G161" s="608">
        <v>3</v>
      </c>
      <c r="H161" s="614">
        <f t="shared" si="8"/>
        <v>0</v>
      </c>
      <c r="I161" s="160">
        <v>42788</v>
      </c>
      <c r="J161" s="155" t="s">
        <v>653</v>
      </c>
      <c r="K161" s="612">
        <v>441</v>
      </c>
      <c r="L161" s="605">
        <v>42788</v>
      </c>
      <c r="M161" s="604">
        <v>400</v>
      </c>
      <c r="N161" s="615">
        <f t="shared" si="9"/>
        <v>1200</v>
      </c>
      <c r="O161" s="559" t="s">
        <v>587</v>
      </c>
      <c r="P161" s="559" t="s">
        <v>589</v>
      </c>
      <c r="Q161" s="154"/>
      <c r="R161" s="377" t="s">
        <v>908</v>
      </c>
      <c r="S161" s="413" t="s">
        <v>422</v>
      </c>
      <c r="T161" s="154" t="s">
        <v>423</v>
      </c>
      <c r="U161" s="600"/>
      <c r="V161" s="601"/>
      <c r="W161" s="549"/>
    </row>
    <row r="162" spans="1:23" s="135" customFormat="1" ht="15" hidden="1" customHeight="1">
      <c r="A162" s="306">
        <v>161</v>
      </c>
      <c r="B162" s="375" t="s">
        <v>654</v>
      </c>
      <c r="C162" s="161"/>
      <c r="D162" s="601" t="s">
        <v>213</v>
      </c>
      <c r="E162" s="467" t="s">
        <v>212</v>
      </c>
      <c r="F162" s="373">
        <v>1</v>
      </c>
      <c r="G162" s="608">
        <v>1</v>
      </c>
      <c r="H162" s="380">
        <f t="shared" si="8"/>
        <v>0</v>
      </c>
      <c r="I162" s="371">
        <v>42788</v>
      </c>
      <c r="J162" s="155" t="s">
        <v>653</v>
      </c>
      <c r="K162" s="612">
        <v>441</v>
      </c>
      <c r="L162" s="605">
        <v>42788</v>
      </c>
      <c r="M162" s="604">
        <v>7300</v>
      </c>
      <c r="N162" s="173">
        <f t="shared" si="9"/>
        <v>7300</v>
      </c>
      <c r="O162" s="559" t="s">
        <v>587</v>
      </c>
      <c r="P162" s="559" t="s">
        <v>589</v>
      </c>
      <c r="Q162" s="154"/>
      <c r="R162" s="377" t="s">
        <v>908</v>
      </c>
      <c r="S162" s="413" t="s">
        <v>422</v>
      </c>
      <c r="T162" s="369" t="s">
        <v>423</v>
      </c>
      <c r="U162" s="600"/>
      <c r="V162" s="601"/>
      <c r="W162" s="276"/>
    </row>
    <row r="163" spans="1:23" s="135" customFormat="1" ht="15" hidden="1" customHeight="1">
      <c r="A163" s="306">
        <v>162</v>
      </c>
      <c r="B163" s="375" t="s">
        <v>654</v>
      </c>
      <c r="C163" s="161"/>
      <c r="D163" s="601" t="s">
        <v>73</v>
      </c>
      <c r="E163" s="350" t="s">
        <v>72</v>
      </c>
      <c r="F163" s="373">
        <v>3</v>
      </c>
      <c r="G163" s="372">
        <v>3</v>
      </c>
      <c r="H163" s="614">
        <f t="shared" si="8"/>
        <v>0</v>
      </c>
      <c r="I163" s="371">
        <v>42788</v>
      </c>
      <c r="J163" s="155" t="s">
        <v>653</v>
      </c>
      <c r="K163" s="612">
        <v>441</v>
      </c>
      <c r="L163" s="605">
        <v>42788</v>
      </c>
      <c r="M163" s="604">
        <v>22100</v>
      </c>
      <c r="N163" s="615">
        <f t="shared" si="9"/>
        <v>66300</v>
      </c>
      <c r="O163" s="559" t="s">
        <v>587</v>
      </c>
      <c r="P163" s="559" t="s">
        <v>589</v>
      </c>
      <c r="Q163" s="154"/>
      <c r="R163" s="377" t="s">
        <v>908</v>
      </c>
      <c r="S163" s="413" t="s">
        <v>422</v>
      </c>
      <c r="T163" s="369" t="s">
        <v>423</v>
      </c>
      <c r="U163" s="67"/>
      <c r="V163" s="153"/>
      <c r="W163" s="549"/>
    </row>
    <row r="164" spans="1:23" s="135" customFormat="1" ht="15" hidden="1" customHeight="1">
      <c r="A164" s="306">
        <v>163</v>
      </c>
      <c r="B164" s="375" t="s">
        <v>654</v>
      </c>
      <c r="C164" s="161"/>
      <c r="D164" s="601" t="s">
        <v>215</v>
      </c>
      <c r="E164" s="467" t="s">
        <v>214</v>
      </c>
      <c r="F164" s="373">
        <v>3</v>
      </c>
      <c r="G164" s="372">
        <v>3</v>
      </c>
      <c r="H164" s="614">
        <f t="shared" si="8"/>
        <v>0</v>
      </c>
      <c r="I164" s="371">
        <v>42788</v>
      </c>
      <c r="J164" s="155" t="s">
        <v>653</v>
      </c>
      <c r="K164" s="612">
        <v>441</v>
      </c>
      <c r="L164" s="605">
        <v>42788</v>
      </c>
      <c r="M164" s="604">
        <v>1800</v>
      </c>
      <c r="N164" s="615">
        <f t="shared" si="9"/>
        <v>5400</v>
      </c>
      <c r="O164" s="559" t="s">
        <v>587</v>
      </c>
      <c r="P164" s="559" t="s">
        <v>589</v>
      </c>
      <c r="Q164" s="154"/>
      <c r="R164" s="244" t="s">
        <v>908</v>
      </c>
      <c r="S164" s="413" t="s">
        <v>422</v>
      </c>
      <c r="T164" s="369" t="s">
        <v>423</v>
      </c>
      <c r="U164" s="67"/>
      <c r="V164" s="153"/>
      <c r="W164" s="549"/>
    </row>
    <row r="165" spans="1:23" s="135" customFormat="1" ht="15" hidden="1" customHeight="1">
      <c r="A165" s="306">
        <v>164</v>
      </c>
      <c r="B165" s="162"/>
      <c r="C165" s="161"/>
      <c r="D165" s="558" t="s">
        <v>939</v>
      </c>
      <c r="E165" s="602" t="s">
        <v>940</v>
      </c>
      <c r="F165" s="373">
        <v>32</v>
      </c>
      <c r="G165" s="608">
        <v>32</v>
      </c>
      <c r="H165" s="380">
        <f t="shared" si="8"/>
        <v>0</v>
      </c>
      <c r="I165" s="371">
        <v>42788</v>
      </c>
      <c r="J165" s="159" t="s">
        <v>655</v>
      </c>
      <c r="K165" s="612">
        <v>443</v>
      </c>
      <c r="L165" s="605">
        <v>42788</v>
      </c>
      <c r="M165" s="604">
        <v>80</v>
      </c>
      <c r="N165" s="173">
        <f t="shared" si="9"/>
        <v>2560</v>
      </c>
      <c r="O165" s="559" t="s">
        <v>425</v>
      </c>
      <c r="P165" s="559" t="s">
        <v>555</v>
      </c>
      <c r="Q165" s="154"/>
      <c r="R165" s="377" t="s">
        <v>908</v>
      </c>
      <c r="S165" s="413" t="s">
        <v>422</v>
      </c>
      <c r="T165" s="369" t="s">
        <v>423</v>
      </c>
      <c r="U165" s="600"/>
      <c r="V165" s="601"/>
      <c r="W165" s="276"/>
    </row>
    <row r="166" spans="1:23" s="135" customFormat="1" ht="15" hidden="1" customHeight="1">
      <c r="A166" s="306">
        <v>165</v>
      </c>
      <c r="B166" s="162">
        <v>70021092</v>
      </c>
      <c r="C166" s="161"/>
      <c r="D166" s="558" t="s">
        <v>939</v>
      </c>
      <c r="E166" s="602" t="s">
        <v>940</v>
      </c>
      <c r="F166" s="373">
        <v>16</v>
      </c>
      <c r="G166" s="608">
        <v>16</v>
      </c>
      <c r="H166" s="614">
        <f t="shared" si="8"/>
        <v>0</v>
      </c>
      <c r="I166" s="371">
        <v>42788</v>
      </c>
      <c r="J166" s="606" t="s">
        <v>656</v>
      </c>
      <c r="K166" s="612">
        <v>442</v>
      </c>
      <c r="L166" s="605">
        <v>42788</v>
      </c>
      <c r="M166" s="604">
        <v>125</v>
      </c>
      <c r="N166" s="615">
        <f t="shared" si="9"/>
        <v>2000</v>
      </c>
      <c r="O166" s="559" t="s">
        <v>425</v>
      </c>
      <c r="P166" s="559" t="s">
        <v>555</v>
      </c>
      <c r="Q166" s="154"/>
      <c r="R166" s="244" t="s">
        <v>908</v>
      </c>
      <c r="S166" s="413" t="s">
        <v>422</v>
      </c>
      <c r="T166" s="369" t="s">
        <v>423</v>
      </c>
      <c r="U166" s="67"/>
      <c r="V166" s="153"/>
      <c r="W166" s="276"/>
    </row>
    <row r="167" spans="1:23" s="135" customFormat="1" ht="15" hidden="1" customHeight="1">
      <c r="A167" s="306">
        <v>166</v>
      </c>
      <c r="B167" s="611"/>
      <c r="C167" s="610"/>
      <c r="D167" s="558" t="s">
        <v>939</v>
      </c>
      <c r="E167" s="602" t="s">
        <v>940</v>
      </c>
      <c r="F167" s="609">
        <v>16</v>
      </c>
      <c r="G167" s="608">
        <v>16</v>
      </c>
      <c r="H167" s="614">
        <f t="shared" si="8"/>
        <v>0</v>
      </c>
      <c r="I167" s="607">
        <v>42788</v>
      </c>
      <c r="J167" s="606" t="s">
        <v>657</v>
      </c>
      <c r="K167" s="612">
        <v>440</v>
      </c>
      <c r="L167" s="605">
        <v>42787</v>
      </c>
      <c r="M167" s="604">
        <v>150</v>
      </c>
      <c r="N167" s="615">
        <f t="shared" si="9"/>
        <v>2400</v>
      </c>
      <c r="O167" s="559" t="s">
        <v>587</v>
      </c>
      <c r="P167" s="559" t="s">
        <v>589</v>
      </c>
      <c r="Q167" s="602"/>
      <c r="R167" s="377" t="s">
        <v>908</v>
      </c>
      <c r="S167" s="602" t="s">
        <v>422</v>
      </c>
      <c r="T167" s="602" t="s">
        <v>423</v>
      </c>
      <c r="U167" s="600"/>
      <c r="V167" s="153"/>
      <c r="W167" s="276"/>
    </row>
    <row r="168" spans="1:23" s="135" customFormat="1" ht="15" hidden="1" customHeight="1">
      <c r="A168" s="306">
        <v>167</v>
      </c>
      <c r="B168" s="162" t="s">
        <v>731</v>
      </c>
      <c r="C168" s="161"/>
      <c r="D168" s="601" t="s">
        <v>58</v>
      </c>
      <c r="E168" s="367" t="s">
        <v>57</v>
      </c>
      <c r="F168" s="373">
        <v>1</v>
      </c>
      <c r="G168" s="608">
        <v>1</v>
      </c>
      <c r="H168" s="614">
        <f t="shared" si="8"/>
        <v>0</v>
      </c>
      <c r="I168" s="160">
        <v>42792</v>
      </c>
      <c r="J168" s="155" t="s">
        <v>730</v>
      </c>
      <c r="K168" s="612">
        <v>446</v>
      </c>
      <c r="L168" s="605">
        <v>42789</v>
      </c>
      <c r="M168" s="604">
        <v>27350</v>
      </c>
      <c r="N168" s="615">
        <f t="shared" si="9"/>
        <v>27350</v>
      </c>
      <c r="O168" s="559" t="s">
        <v>587</v>
      </c>
      <c r="P168" s="154" t="s">
        <v>589</v>
      </c>
      <c r="Q168" s="154"/>
      <c r="R168" s="377" t="s">
        <v>908</v>
      </c>
      <c r="S168" s="413" t="s">
        <v>422</v>
      </c>
      <c r="T168" s="369" t="s">
        <v>423</v>
      </c>
      <c r="U168" s="600"/>
      <c r="V168" s="601"/>
      <c r="W168" s="276"/>
    </row>
    <row r="169" spans="1:23" s="135" customFormat="1" ht="15" hidden="1" customHeight="1">
      <c r="A169" s="306">
        <v>168</v>
      </c>
      <c r="B169" s="375" t="s">
        <v>731</v>
      </c>
      <c r="C169" s="374"/>
      <c r="D169" s="601" t="s">
        <v>56</v>
      </c>
      <c r="E169" s="602" t="s">
        <v>55</v>
      </c>
      <c r="F169" s="373">
        <v>4</v>
      </c>
      <c r="G169" s="372">
        <v>4</v>
      </c>
      <c r="H169" s="614">
        <f t="shared" si="8"/>
        <v>0</v>
      </c>
      <c r="I169" s="371">
        <v>42792</v>
      </c>
      <c r="J169" s="561" t="s">
        <v>730</v>
      </c>
      <c r="K169" s="239">
        <v>446</v>
      </c>
      <c r="L169" s="605">
        <v>42789</v>
      </c>
      <c r="M169" s="604">
        <v>7960</v>
      </c>
      <c r="N169" s="615">
        <f t="shared" si="9"/>
        <v>31840</v>
      </c>
      <c r="O169" s="559" t="s">
        <v>587</v>
      </c>
      <c r="P169" s="602" t="s">
        <v>589</v>
      </c>
      <c r="Q169" s="369"/>
      <c r="R169" s="377" t="s">
        <v>908</v>
      </c>
      <c r="S169" s="413" t="s">
        <v>422</v>
      </c>
      <c r="T169" s="369" t="s">
        <v>423</v>
      </c>
      <c r="U169" s="368" t="s">
        <v>832</v>
      </c>
      <c r="V169" s="352"/>
      <c r="W169" s="276"/>
    </row>
    <row r="170" spans="1:23" s="135" customFormat="1" ht="15" hidden="1" customHeight="1">
      <c r="A170" s="306">
        <v>169</v>
      </c>
      <c r="B170" s="162" t="s">
        <v>732</v>
      </c>
      <c r="C170" s="161"/>
      <c r="D170" s="601" t="s">
        <v>710</v>
      </c>
      <c r="E170" s="252" t="s">
        <v>715</v>
      </c>
      <c r="F170" s="373">
        <v>1</v>
      </c>
      <c r="G170" s="608">
        <v>1</v>
      </c>
      <c r="H170" s="614">
        <f t="shared" si="8"/>
        <v>0</v>
      </c>
      <c r="I170" s="371">
        <v>42792</v>
      </c>
      <c r="J170" s="606" t="s">
        <v>584</v>
      </c>
      <c r="K170" s="612">
        <v>452</v>
      </c>
      <c r="L170" s="605">
        <v>42791</v>
      </c>
      <c r="M170" s="604">
        <v>8540</v>
      </c>
      <c r="N170" s="615">
        <f t="shared" si="9"/>
        <v>8540</v>
      </c>
      <c r="O170" s="559" t="s">
        <v>587</v>
      </c>
      <c r="P170" s="369" t="s">
        <v>589</v>
      </c>
      <c r="Q170" s="154"/>
      <c r="R170" s="377" t="s">
        <v>908</v>
      </c>
      <c r="S170" s="413" t="s">
        <v>422</v>
      </c>
      <c r="T170" s="154" t="s">
        <v>423</v>
      </c>
      <c r="U170" s="600"/>
      <c r="V170" s="601"/>
      <c r="W170" s="276"/>
    </row>
    <row r="171" spans="1:23" s="135" customFormat="1" ht="15" hidden="1" customHeight="1">
      <c r="A171" s="306">
        <v>170</v>
      </c>
      <c r="B171" s="162" t="s">
        <v>733</v>
      </c>
      <c r="C171" s="161"/>
      <c r="D171" s="601" t="s">
        <v>389</v>
      </c>
      <c r="E171" s="331" t="s">
        <v>391</v>
      </c>
      <c r="F171" s="373">
        <v>1</v>
      </c>
      <c r="G171" s="608">
        <v>1</v>
      </c>
      <c r="H171" s="380">
        <f t="shared" si="8"/>
        <v>0</v>
      </c>
      <c r="I171" s="371">
        <v>42792</v>
      </c>
      <c r="J171" s="606" t="s">
        <v>584</v>
      </c>
      <c r="K171" s="612">
        <v>445</v>
      </c>
      <c r="L171" s="605">
        <v>42789</v>
      </c>
      <c r="M171" s="604">
        <v>1441.81</v>
      </c>
      <c r="N171" s="173">
        <f t="shared" si="9"/>
        <v>1441.81</v>
      </c>
      <c r="O171" s="559" t="s">
        <v>587</v>
      </c>
      <c r="P171" s="369" t="s">
        <v>589</v>
      </c>
      <c r="Q171" s="154"/>
      <c r="R171" s="377" t="s">
        <v>908</v>
      </c>
      <c r="S171" s="413" t="s">
        <v>422</v>
      </c>
      <c r="T171" s="369" t="s">
        <v>423</v>
      </c>
      <c r="U171" s="600"/>
      <c r="V171" s="601"/>
      <c r="W171" s="549"/>
    </row>
    <row r="172" spans="1:23" s="135" customFormat="1" ht="15" hidden="1" customHeight="1">
      <c r="A172" s="306">
        <v>171</v>
      </c>
      <c r="B172" s="162"/>
      <c r="C172" s="161"/>
      <c r="D172" s="601" t="s">
        <v>688</v>
      </c>
      <c r="E172" s="331" t="s">
        <v>689</v>
      </c>
      <c r="F172" s="373">
        <v>1</v>
      </c>
      <c r="G172" s="608">
        <v>1</v>
      </c>
      <c r="H172" s="380">
        <f t="shared" si="8"/>
        <v>0</v>
      </c>
      <c r="I172" s="371">
        <v>42792</v>
      </c>
      <c r="J172" s="606" t="s">
        <v>734</v>
      </c>
      <c r="K172" s="612">
        <v>451</v>
      </c>
      <c r="L172" s="605">
        <v>42791</v>
      </c>
      <c r="M172" s="604">
        <v>27000</v>
      </c>
      <c r="N172" s="173">
        <f t="shared" si="9"/>
        <v>27000</v>
      </c>
      <c r="O172" s="559" t="s">
        <v>587</v>
      </c>
      <c r="P172" s="369" t="s">
        <v>589</v>
      </c>
      <c r="Q172" s="154"/>
      <c r="R172" s="377" t="s">
        <v>908</v>
      </c>
      <c r="S172" s="413" t="s">
        <v>422</v>
      </c>
      <c r="T172" s="369" t="s">
        <v>423</v>
      </c>
      <c r="U172" s="600"/>
      <c r="V172" s="601"/>
      <c r="W172" s="276"/>
    </row>
    <row r="173" spans="1:23" s="135" customFormat="1" ht="15" hidden="1" customHeight="1">
      <c r="A173" s="306">
        <v>172</v>
      </c>
      <c r="B173" s="162" t="s">
        <v>735</v>
      </c>
      <c r="C173" s="161"/>
      <c r="D173" s="601" t="s">
        <v>704</v>
      </c>
      <c r="E173" s="331" t="s">
        <v>705</v>
      </c>
      <c r="F173" s="373">
        <v>10</v>
      </c>
      <c r="G173" s="608">
        <v>10</v>
      </c>
      <c r="H173" s="380">
        <f t="shared" si="8"/>
        <v>0</v>
      </c>
      <c r="I173" s="160">
        <v>42792</v>
      </c>
      <c r="J173" s="606" t="s">
        <v>584</v>
      </c>
      <c r="K173" s="612">
        <v>453</v>
      </c>
      <c r="L173" s="605">
        <v>42791</v>
      </c>
      <c r="M173" s="604">
        <v>3533.95</v>
      </c>
      <c r="N173" s="173">
        <f t="shared" si="9"/>
        <v>35339.5</v>
      </c>
      <c r="O173" s="559" t="s">
        <v>587</v>
      </c>
      <c r="P173" s="369" t="s">
        <v>589</v>
      </c>
      <c r="Q173" s="154"/>
      <c r="R173" s="377" t="s">
        <v>908</v>
      </c>
      <c r="S173" s="413" t="s">
        <v>422</v>
      </c>
      <c r="T173" s="369" t="s">
        <v>423</v>
      </c>
      <c r="U173" s="600"/>
      <c r="V173" s="601"/>
      <c r="W173" s="276"/>
    </row>
    <row r="174" spans="1:23" s="135" customFormat="1" ht="15" hidden="1" customHeight="1">
      <c r="A174" s="306">
        <v>173</v>
      </c>
      <c r="B174" s="162" t="s">
        <v>736</v>
      </c>
      <c r="C174" s="161"/>
      <c r="D174" s="601" t="s">
        <v>389</v>
      </c>
      <c r="E174" s="331" t="s">
        <v>391</v>
      </c>
      <c r="F174" s="373">
        <v>56</v>
      </c>
      <c r="G174" s="608">
        <v>56</v>
      </c>
      <c r="H174" s="380">
        <f t="shared" si="8"/>
        <v>0</v>
      </c>
      <c r="I174" s="160">
        <v>42792</v>
      </c>
      <c r="J174" s="606" t="s">
        <v>584</v>
      </c>
      <c r="K174" s="612">
        <v>386</v>
      </c>
      <c r="L174" s="605">
        <v>42763</v>
      </c>
      <c r="M174" s="604">
        <v>1441.81</v>
      </c>
      <c r="N174" s="173">
        <f t="shared" si="9"/>
        <v>80741.36</v>
      </c>
      <c r="O174" s="559" t="s">
        <v>419</v>
      </c>
      <c r="P174" s="154" t="s">
        <v>555</v>
      </c>
      <c r="Q174" s="154"/>
      <c r="R174" s="377"/>
      <c r="S174" s="413" t="s">
        <v>422</v>
      </c>
      <c r="T174" s="154" t="s">
        <v>423</v>
      </c>
      <c r="U174" s="600"/>
      <c r="V174" s="601"/>
      <c r="W174" s="549"/>
    </row>
    <row r="175" spans="1:23" s="135" customFormat="1" ht="15" hidden="1" customHeight="1">
      <c r="A175" s="306">
        <v>174</v>
      </c>
      <c r="B175" s="162"/>
      <c r="C175" s="161"/>
      <c r="D175" s="418" t="s">
        <v>388</v>
      </c>
      <c r="E175" s="331" t="s">
        <v>393</v>
      </c>
      <c r="F175" s="404">
        <v>14</v>
      </c>
      <c r="G175" s="372">
        <v>14</v>
      </c>
      <c r="H175" s="380">
        <f t="shared" si="8"/>
        <v>0</v>
      </c>
      <c r="I175" s="371">
        <v>42792</v>
      </c>
      <c r="J175" s="370" t="s">
        <v>584</v>
      </c>
      <c r="K175" s="239">
        <v>386</v>
      </c>
      <c r="L175" s="605">
        <v>42763</v>
      </c>
      <c r="M175" s="604">
        <v>6145.62</v>
      </c>
      <c r="N175" s="173">
        <f t="shared" si="9"/>
        <v>86038.68</v>
      </c>
      <c r="O175" s="559" t="s">
        <v>419</v>
      </c>
      <c r="P175" s="602" t="s">
        <v>555</v>
      </c>
      <c r="Q175" s="154"/>
      <c r="R175" s="244" t="s">
        <v>908</v>
      </c>
      <c r="S175" s="413" t="s">
        <v>422</v>
      </c>
      <c r="T175" s="154" t="s">
        <v>423</v>
      </c>
      <c r="U175" s="67"/>
      <c r="V175" s="153"/>
      <c r="W175" s="276"/>
    </row>
    <row r="176" spans="1:23" s="135" customFormat="1" ht="15" hidden="1" customHeight="1">
      <c r="A176" s="306">
        <v>175</v>
      </c>
      <c r="B176" s="162"/>
      <c r="C176" s="161"/>
      <c r="D176" s="601" t="s">
        <v>138</v>
      </c>
      <c r="E176" s="467" t="s">
        <v>137</v>
      </c>
      <c r="F176" s="373">
        <v>6</v>
      </c>
      <c r="G176" s="608">
        <v>6</v>
      </c>
      <c r="H176" s="380">
        <f t="shared" si="8"/>
        <v>0</v>
      </c>
      <c r="I176" s="607">
        <v>42792</v>
      </c>
      <c r="J176" s="606" t="s">
        <v>584</v>
      </c>
      <c r="K176" s="612">
        <v>386</v>
      </c>
      <c r="L176" s="605">
        <v>42763</v>
      </c>
      <c r="M176" s="604">
        <v>3533.95</v>
      </c>
      <c r="N176" s="173">
        <f t="shared" si="9"/>
        <v>21203.699999999997</v>
      </c>
      <c r="O176" s="559" t="s">
        <v>419</v>
      </c>
      <c r="P176" s="369" t="s">
        <v>555</v>
      </c>
      <c r="Q176" s="602"/>
      <c r="R176" s="377"/>
      <c r="S176" s="413" t="s">
        <v>422</v>
      </c>
      <c r="T176" s="154" t="s">
        <v>423</v>
      </c>
      <c r="U176" s="600"/>
      <c r="V176" s="153"/>
      <c r="W176" s="276"/>
    </row>
    <row r="177" spans="1:23" s="135" customFormat="1" ht="15" hidden="1" customHeight="1">
      <c r="A177" s="306">
        <v>176</v>
      </c>
      <c r="B177" s="162"/>
      <c r="C177" s="161"/>
      <c r="D177" s="601" t="s">
        <v>462</v>
      </c>
      <c r="E177" s="331" t="s">
        <v>463</v>
      </c>
      <c r="F177" s="373">
        <v>42</v>
      </c>
      <c r="G177" s="608">
        <v>42</v>
      </c>
      <c r="H177" s="380">
        <f t="shared" si="8"/>
        <v>0</v>
      </c>
      <c r="I177" s="371">
        <v>42792</v>
      </c>
      <c r="J177" s="606" t="s">
        <v>584</v>
      </c>
      <c r="K177" s="612">
        <v>386</v>
      </c>
      <c r="L177" s="605">
        <v>42763</v>
      </c>
      <c r="M177" s="604">
        <v>504.2</v>
      </c>
      <c r="N177" s="173">
        <f t="shared" si="9"/>
        <v>21176.399999999998</v>
      </c>
      <c r="O177" s="559" t="s">
        <v>419</v>
      </c>
      <c r="P177" s="369" t="s">
        <v>555</v>
      </c>
      <c r="Q177" s="154"/>
      <c r="R177" s="377"/>
      <c r="S177" s="413" t="s">
        <v>422</v>
      </c>
      <c r="T177" s="154" t="s">
        <v>423</v>
      </c>
      <c r="U177" s="600"/>
      <c r="V177" s="601"/>
      <c r="W177" s="276"/>
    </row>
    <row r="178" spans="1:23" s="135" customFormat="1" ht="15" hidden="1" customHeight="1">
      <c r="A178" s="306">
        <v>177</v>
      </c>
      <c r="B178" s="162"/>
      <c r="C178" s="161"/>
      <c r="D178" s="601" t="s">
        <v>461</v>
      </c>
      <c r="E178" s="331" t="s">
        <v>38</v>
      </c>
      <c r="F178" s="373">
        <v>90</v>
      </c>
      <c r="G178" s="608">
        <v>65</v>
      </c>
      <c r="H178" s="380">
        <f t="shared" si="8"/>
        <v>25</v>
      </c>
      <c r="I178" s="371">
        <v>42792</v>
      </c>
      <c r="J178" s="606" t="s">
        <v>584</v>
      </c>
      <c r="K178" s="612">
        <v>386</v>
      </c>
      <c r="L178" s="605">
        <v>42763</v>
      </c>
      <c r="M178" s="604">
        <v>4921.18</v>
      </c>
      <c r="N178" s="173">
        <f t="shared" si="9"/>
        <v>319876.7</v>
      </c>
      <c r="O178" s="559" t="s">
        <v>419</v>
      </c>
      <c r="P178" s="369" t="s">
        <v>555</v>
      </c>
      <c r="Q178" s="154"/>
      <c r="R178" s="377" t="s">
        <v>652</v>
      </c>
      <c r="S178" s="413" t="s">
        <v>422</v>
      </c>
      <c r="T178" s="154" t="s">
        <v>423</v>
      </c>
      <c r="U178" s="600"/>
      <c r="V178" s="601"/>
      <c r="W178" s="549"/>
    </row>
    <row r="179" spans="1:23" s="135" customFormat="1" ht="15" hidden="1" customHeight="1">
      <c r="A179" s="306">
        <v>178</v>
      </c>
      <c r="B179" s="162" t="s">
        <v>737</v>
      </c>
      <c r="C179" s="161"/>
      <c r="D179" s="601" t="s">
        <v>658</v>
      </c>
      <c r="E179" s="331" t="s">
        <v>659</v>
      </c>
      <c r="F179" s="373">
        <v>1</v>
      </c>
      <c r="G179" s="608">
        <v>1</v>
      </c>
      <c r="H179" s="380">
        <f t="shared" si="8"/>
        <v>0</v>
      </c>
      <c r="I179" s="371">
        <v>42792</v>
      </c>
      <c r="J179" s="606" t="s">
        <v>739</v>
      </c>
      <c r="K179" s="612">
        <v>457</v>
      </c>
      <c r="L179" s="605">
        <v>42791</v>
      </c>
      <c r="M179" s="604">
        <v>22439</v>
      </c>
      <c r="N179" s="173">
        <f t="shared" si="9"/>
        <v>22439</v>
      </c>
      <c r="O179" s="559" t="s">
        <v>587</v>
      </c>
      <c r="P179" s="602" t="s">
        <v>589</v>
      </c>
      <c r="Q179" s="154"/>
      <c r="R179" s="377" t="s">
        <v>908</v>
      </c>
      <c r="S179" s="413" t="s">
        <v>422</v>
      </c>
      <c r="T179" s="154" t="s">
        <v>423</v>
      </c>
      <c r="U179" s="600"/>
      <c r="V179" s="601"/>
      <c r="W179" s="549"/>
    </row>
    <row r="180" spans="1:23" s="135" customFormat="1" ht="15" hidden="1" customHeight="1">
      <c r="A180" s="306">
        <v>179</v>
      </c>
      <c r="B180" s="375" t="s">
        <v>737</v>
      </c>
      <c r="C180" s="161"/>
      <c r="D180" s="185" t="s">
        <v>660</v>
      </c>
      <c r="E180" s="331" t="s">
        <v>659</v>
      </c>
      <c r="F180" s="373">
        <v>1</v>
      </c>
      <c r="G180" s="373">
        <v>1</v>
      </c>
      <c r="H180" s="380">
        <f t="shared" si="8"/>
        <v>0</v>
      </c>
      <c r="I180" s="371">
        <v>42792</v>
      </c>
      <c r="J180" s="606" t="s">
        <v>739</v>
      </c>
      <c r="K180" s="612">
        <v>457</v>
      </c>
      <c r="L180" s="424"/>
      <c r="M180" s="395">
        <v>0</v>
      </c>
      <c r="N180" s="173">
        <f t="shared" si="9"/>
        <v>0</v>
      </c>
      <c r="O180" s="602"/>
      <c r="P180" s="154"/>
      <c r="Q180" s="154"/>
      <c r="R180" s="160"/>
      <c r="S180" s="413"/>
      <c r="T180" s="154"/>
      <c r="U180" s="154"/>
      <c r="V180" s="601"/>
      <c r="W180" s="276"/>
    </row>
    <row r="181" spans="1:23" s="135" customFormat="1" ht="15" hidden="1" customHeight="1">
      <c r="A181" s="306">
        <v>180</v>
      </c>
      <c r="B181" s="375" t="s">
        <v>737</v>
      </c>
      <c r="C181" s="161"/>
      <c r="D181" s="601" t="s">
        <v>662</v>
      </c>
      <c r="E181" s="331" t="s">
        <v>663</v>
      </c>
      <c r="F181" s="373">
        <v>2</v>
      </c>
      <c r="G181" s="608">
        <v>2</v>
      </c>
      <c r="H181" s="614">
        <f t="shared" si="8"/>
        <v>0</v>
      </c>
      <c r="I181" s="371">
        <v>42792</v>
      </c>
      <c r="J181" s="606" t="s">
        <v>739</v>
      </c>
      <c r="K181" s="612">
        <v>457</v>
      </c>
      <c r="L181" s="605"/>
      <c r="M181" s="397" t="s">
        <v>742</v>
      </c>
      <c r="N181" s="615">
        <f t="shared" si="9"/>
        <v>0</v>
      </c>
      <c r="O181" s="602"/>
      <c r="P181" s="154"/>
      <c r="Q181" s="154"/>
      <c r="R181" s="377"/>
      <c r="S181" s="413"/>
      <c r="T181" s="154"/>
      <c r="U181" s="67"/>
      <c r="V181" s="153"/>
      <c r="W181" s="549"/>
    </row>
    <row r="182" spans="1:23" s="135" customFormat="1" ht="15" hidden="1" customHeight="1">
      <c r="A182" s="306">
        <v>181</v>
      </c>
      <c r="B182" s="375" t="s">
        <v>737</v>
      </c>
      <c r="C182" s="161"/>
      <c r="D182" s="601" t="s">
        <v>664</v>
      </c>
      <c r="E182" s="331" t="s">
        <v>665</v>
      </c>
      <c r="F182" s="373">
        <v>2</v>
      </c>
      <c r="G182" s="372">
        <v>2</v>
      </c>
      <c r="H182" s="614">
        <f t="shared" si="8"/>
        <v>0</v>
      </c>
      <c r="I182" s="371">
        <v>42792</v>
      </c>
      <c r="J182" s="370" t="s">
        <v>739</v>
      </c>
      <c r="K182" s="612">
        <v>457</v>
      </c>
      <c r="L182" s="171"/>
      <c r="M182" s="398" t="s">
        <v>742</v>
      </c>
      <c r="N182" s="615">
        <f t="shared" si="9"/>
        <v>0</v>
      </c>
      <c r="O182" s="559"/>
      <c r="P182" s="559"/>
      <c r="Q182" s="154"/>
      <c r="R182" s="377"/>
      <c r="S182" s="413"/>
      <c r="T182" s="154"/>
      <c r="U182" s="67"/>
      <c r="V182" s="153"/>
      <c r="W182" s="276"/>
    </row>
    <row r="183" spans="1:23" s="135" customFormat="1" ht="15" hidden="1" customHeight="1">
      <c r="A183" s="306">
        <v>182</v>
      </c>
      <c r="B183" s="375" t="s">
        <v>737</v>
      </c>
      <c r="C183" s="161"/>
      <c r="D183" s="601" t="s">
        <v>729</v>
      </c>
      <c r="E183" s="331" t="s">
        <v>391</v>
      </c>
      <c r="F183" s="373">
        <v>1</v>
      </c>
      <c r="G183" s="372">
        <v>1</v>
      </c>
      <c r="H183" s="380">
        <f t="shared" si="8"/>
        <v>0</v>
      </c>
      <c r="I183" s="371">
        <v>42792</v>
      </c>
      <c r="J183" s="370" t="s">
        <v>739</v>
      </c>
      <c r="K183" s="239">
        <v>457</v>
      </c>
      <c r="L183" s="158"/>
      <c r="M183" s="397" t="s">
        <v>742</v>
      </c>
      <c r="N183" s="173">
        <f t="shared" si="9"/>
        <v>0</v>
      </c>
      <c r="O183" s="559"/>
      <c r="P183" s="154"/>
      <c r="Q183" s="154"/>
      <c r="R183" s="244"/>
      <c r="S183" s="413"/>
      <c r="T183" s="154"/>
      <c r="U183" s="67"/>
      <c r="V183" s="153"/>
      <c r="W183" s="276"/>
    </row>
    <row r="184" spans="1:23" s="135" customFormat="1" ht="15" hidden="1" customHeight="1">
      <c r="A184" s="306">
        <v>183</v>
      </c>
      <c r="B184" s="375" t="s">
        <v>737</v>
      </c>
      <c r="C184" s="161"/>
      <c r="D184" s="601" t="s">
        <v>666</v>
      </c>
      <c r="E184" s="331" t="s">
        <v>667</v>
      </c>
      <c r="F184" s="373">
        <v>3</v>
      </c>
      <c r="G184" s="608">
        <v>3</v>
      </c>
      <c r="H184" s="380">
        <f t="shared" si="8"/>
        <v>0</v>
      </c>
      <c r="I184" s="371">
        <v>42792</v>
      </c>
      <c r="J184" s="606" t="s">
        <v>739</v>
      </c>
      <c r="K184" s="612">
        <v>457</v>
      </c>
      <c r="L184" s="381"/>
      <c r="M184" s="399" t="s">
        <v>742</v>
      </c>
      <c r="N184" s="173">
        <f t="shared" si="9"/>
        <v>0</v>
      </c>
      <c r="O184" s="559"/>
      <c r="P184" s="154"/>
      <c r="Q184" s="154"/>
      <c r="R184" s="160"/>
      <c r="S184" s="413"/>
      <c r="T184" s="154"/>
      <c r="U184" s="600"/>
      <c r="V184" s="601"/>
      <c r="W184" s="276"/>
    </row>
    <row r="185" spans="1:23" s="135" customFormat="1" ht="15" hidden="1" customHeight="1">
      <c r="A185" s="306">
        <v>184</v>
      </c>
      <c r="B185" s="375" t="s">
        <v>737</v>
      </c>
      <c r="C185" s="161"/>
      <c r="D185" s="601" t="s">
        <v>738</v>
      </c>
      <c r="E185" s="331" t="s">
        <v>320</v>
      </c>
      <c r="F185" s="373">
        <v>1</v>
      </c>
      <c r="G185" s="608">
        <v>1</v>
      </c>
      <c r="H185" s="380">
        <f t="shared" si="8"/>
        <v>0</v>
      </c>
      <c r="I185" s="371">
        <v>42792</v>
      </c>
      <c r="J185" s="606" t="s">
        <v>739</v>
      </c>
      <c r="K185" s="612">
        <v>457</v>
      </c>
      <c r="L185" s="605"/>
      <c r="M185" s="397" t="s">
        <v>742</v>
      </c>
      <c r="N185" s="173">
        <f t="shared" si="9"/>
        <v>0</v>
      </c>
      <c r="O185" s="559"/>
      <c r="P185" s="154"/>
      <c r="Q185" s="154"/>
      <c r="R185" s="377"/>
      <c r="S185" s="413"/>
      <c r="T185" s="154"/>
      <c r="U185" s="600"/>
      <c r="V185" s="601"/>
      <c r="W185" s="276"/>
    </row>
    <row r="186" spans="1:23" s="135" customFormat="1" ht="15" hidden="1" customHeight="1">
      <c r="A186" s="306">
        <v>185</v>
      </c>
      <c r="B186" s="375" t="s">
        <v>737</v>
      </c>
      <c r="C186" s="161"/>
      <c r="D186" s="601" t="s">
        <v>668</v>
      </c>
      <c r="E186" s="331" t="s">
        <v>669</v>
      </c>
      <c r="F186" s="373">
        <v>1</v>
      </c>
      <c r="G186" s="608">
        <v>1</v>
      </c>
      <c r="H186" s="380">
        <f t="shared" si="8"/>
        <v>0</v>
      </c>
      <c r="I186" s="371">
        <v>42792</v>
      </c>
      <c r="J186" s="606" t="s">
        <v>739</v>
      </c>
      <c r="K186" s="612">
        <v>457</v>
      </c>
      <c r="L186" s="424"/>
      <c r="M186" s="396" t="s">
        <v>742</v>
      </c>
      <c r="N186" s="173">
        <f t="shared" si="9"/>
        <v>0</v>
      </c>
      <c r="O186" s="559"/>
      <c r="P186" s="154"/>
      <c r="Q186" s="154"/>
      <c r="R186" s="160"/>
      <c r="S186" s="413"/>
      <c r="T186" s="154"/>
      <c r="U186" s="600"/>
      <c r="V186" s="601"/>
      <c r="W186" s="276"/>
    </row>
    <row r="187" spans="1:23" s="135" customFormat="1" ht="15" hidden="1" customHeight="1">
      <c r="A187" s="306">
        <v>186</v>
      </c>
      <c r="B187" s="375" t="s">
        <v>737</v>
      </c>
      <c r="C187" s="161"/>
      <c r="D187" s="613" t="s">
        <v>670</v>
      </c>
      <c r="E187" s="331" t="s">
        <v>671</v>
      </c>
      <c r="F187" s="373">
        <v>1</v>
      </c>
      <c r="G187" s="608">
        <v>1</v>
      </c>
      <c r="H187" s="380">
        <f t="shared" si="8"/>
        <v>0</v>
      </c>
      <c r="I187" s="371">
        <v>42792</v>
      </c>
      <c r="J187" s="606" t="s">
        <v>739</v>
      </c>
      <c r="K187" s="612">
        <v>457</v>
      </c>
      <c r="L187" s="605"/>
      <c r="M187" s="397" t="s">
        <v>742</v>
      </c>
      <c r="N187" s="173">
        <f t="shared" si="9"/>
        <v>0</v>
      </c>
      <c r="O187" s="559"/>
      <c r="P187" s="154"/>
      <c r="Q187" s="154"/>
      <c r="R187" s="377"/>
      <c r="S187" s="413"/>
      <c r="T187" s="154"/>
      <c r="U187" s="600"/>
      <c r="V187" s="601"/>
      <c r="W187" s="276"/>
    </row>
    <row r="188" spans="1:23" s="135" customFormat="1" ht="15" hidden="1" customHeight="1">
      <c r="A188" s="306">
        <v>187</v>
      </c>
      <c r="B188" s="375" t="s">
        <v>737</v>
      </c>
      <c r="C188" s="161"/>
      <c r="D188" s="418" t="s">
        <v>672</v>
      </c>
      <c r="E188" s="331" t="s">
        <v>673</v>
      </c>
      <c r="F188" s="373">
        <v>1</v>
      </c>
      <c r="G188" s="608">
        <v>1</v>
      </c>
      <c r="H188" s="380">
        <f t="shared" si="8"/>
        <v>0</v>
      </c>
      <c r="I188" s="371">
        <v>42792</v>
      </c>
      <c r="J188" s="606" t="s">
        <v>739</v>
      </c>
      <c r="K188" s="612">
        <v>457</v>
      </c>
      <c r="L188" s="605"/>
      <c r="M188" s="397" t="s">
        <v>742</v>
      </c>
      <c r="N188" s="173">
        <f t="shared" si="9"/>
        <v>0</v>
      </c>
      <c r="O188" s="559"/>
      <c r="P188" s="154"/>
      <c r="Q188" s="154"/>
      <c r="R188" s="377"/>
      <c r="S188" s="413"/>
      <c r="T188" s="154"/>
      <c r="U188" s="600"/>
      <c r="V188" s="601"/>
      <c r="W188" s="276"/>
    </row>
    <row r="189" spans="1:23" s="135" customFormat="1" ht="15" hidden="1" customHeight="1">
      <c r="A189" s="306">
        <v>188</v>
      </c>
      <c r="B189" s="375" t="s">
        <v>737</v>
      </c>
      <c r="C189" s="161"/>
      <c r="D189" s="418" t="s">
        <v>743</v>
      </c>
      <c r="E189" s="331" t="s">
        <v>675</v>
      </c>
      <c r="F189" s="373">
        <v>1</v>
      </c>
      <c r="G189" s="372">
        <v>1</v>
      </c>
      <c r="H189" s="614">
        <f t="shared" si="8"/>
        <v>0</v>
      </c>
      <c r="I189" s="371">
        <v>42792</v>
      </c>
      <c r="J189" s="370" t="s">
        <v>739</v>
      </c>
      <c r="K189" s="239">
        <v>457</v>
      </c>
      <c r="L189" s="424"/>
      <c r="M189" s="396" t="s">
        <v>742</v>
      </c>
      <c r="N189" s="615">
        <f t="shared" si="9"/>
        <v>0</v>
      </c>
      <c r="O189" s="602"/>
      <c r="P189" s="154"/>
      <c r="Q189" s="154"/>
      <c r="R189" s="607"/>
      <c r="S189" s="413"/>
      <c r="T189" s="154"/>
      <c r="U189" s="67"/>
      <c r="V189" s="153"/>
      <c r="W189" s="276"/>
    </row>
    <row r="190" spans="1:23" s="135" customFormat="1" ht="15" hidden="1" customHeight="1">
      <c r="A190" s="306">
        <v>189</v>
      </c>
      <c r="B190" s="375" t="s">
        <v>737</v>
      </c>
      <c r="C190" s="161"/>
      <c r="D190" s="613" t="s">
        <v>146</v>
      </c>
      <c r="E190" s="467" t="s">
        <v>145</v>
      </c>
      <c r="F190" s="609">
        <v>2</v>
      </c>
      <c r="G190" s="608">
        <v>2</v>
      </c>
      <c r="H190" s="380">
        <f t="shared" si="8"/>
        <v>0</v>
      </c>
      <c r="I190" s="371">
        <v>42792</v>
      </c>
      <c r="J190" s="606" t="s">
        <v>739</v>
      </c>
      <c r="K190" s="612">
        <v>457</v>
      </c>
      <c r="L190" s="171"/>
      <c r="M190" s="398" t="s">
        <v>742</v>
      </c>
      <c r="N190" s="173">
        <f t="shared" si="9"/>
        <v>0</v>
      </c>
      <c r="O190" s="559"/>
      <c r="P190" s="559"/>
      <c r="Q190" s="154"/>
      <c r="R190" s="377"/>
      <c r="S190" s="413"/>
      <c r="T190" s="154"/>
      <c r="U190" s="600"/>
      <c r="V190" s="601"/>
      <c r="W190" s="276"/>
    </row>
    <row r="191" spans="1:23" s="135" customFormat="1" ht="15" hidden="1" customHeight="1">
      <c r="A191" s="306">
        <v>190</v>
      </c>
      <c r="B191" s="375" t="s">
        <v>737</v>
      </c>
      <c r="C191" s="161"/>
      <c r="D191" s="613" t="s">
        <v>676</v>
      </c>
      <c r="E191" s="331" t="s">
        <v>677</v>
      </c>
      <c r="F191" s="373">
        <v>1</v>
      </c>
      <c r="G191" s="608">
        <v>1</v>
      </c>
      <c r="H191" s="380">
        <f t="shared" si="8"/>
        <v>0</v>
      </c>
      <c r="I191" s="371">
        <v>42792</v>
      </c>
      <c r="J191" s="606" t="s">
        <v>739</v>
      </c>
      <c r="K191" s="612">
        <v>457</v>
      </c>
      <c r="L191" s="358"/>
      <c r="M191" s="400" t="s">
        <v>742</v>
      </c>
      <c r="N191" s="173">
        <f t="shared" si="9"/>
        <v>0</v>
      </c>
      <c r="O191" s="559"/>
      <c r="P191" s="559"/>
      <c r="Q191" s="154"/>
      <c r="R191" s="160"/>
      <c r="S191" s="413"/>
      <c r="T191" s="154"/>
      <c r="U191" s="600"/>
      <c r="V191" s="601"/>
      <c r="W191" s="549"/>
    </row>
    <row r="192" spans="1:23" s="135" customFormat="1" ht="15" hidden="1" customHeight="1">
      <c r="A192" s="306">
        <v>191</v>
      </c>
      <c r="B192" s="375" t="s">
        <v>737</v>
      </c>
      <c r="C192" s="161"/>
      <c r="D192" s="613" t="s">
        <v>678</v>
      </c>
      <c r="E192" s="331" t="s">
        <v>679</v>
      </c>
      <c r="F192" s="373">
        <v>1</v>
      </c>
      <c r="G192" s="372">
        <v>1</v>
      </c>
      <c r="H192" s="614">
        <f t="shared" si="8"/>
        <v>0</v>
      </c>
      <c r="I192" s="371">
        <v>42792</v>
      </c>
      <c r="J192" s="370" t="s">
        <v>739</v>
      </c>
      <c r="K192" s="239">
        <v>457</v>
      </c>
      <c r="L192" s="358"/>
      <c r="M192" s="396" t="s">
        <v>742</v>
      </c>
      <c r="N192" s="615">
        <f t="shared" si="9"/>
        <v>0</v>
      </c>
      <c r="O192" s="559"/>
      <c r="P192" s="559"/>
      <c r="Q192" s="154"/>
      <c r="R192" s="607"/>
      <c r="S192" s="413"/>
      <c r="T192" s="154"/>
      <c r="U192" s="67"/>
      <c r="V192" s="153"/>
      <c r="W192" s="276"/>
    </row>
    <row r="193" spans="1:23" s="135" customFormat="1" ht="15" hidden="1" customHeight="1">
      <c r="A193" s="306">
        <v>192</v>
      </c>
      <c r="B193" s="162"/>
      <c r="C193" s="161"/>
      <c r="D193" s="613" t="s">
        <v>172</v>
      </c>
      <c r="E193" s="458" t="s">
        <v>171</v>
      </c>
      <c r="F193" s="609">
        <v>16</v>
      </c>
      <c r="G193" s="372">
        <v>16</v>
      </c>
      <c r="H193" s="614">
        <f t="shared" si="8"/>
        <v>0</v>
      </c>
      <c r="I193" s="160">
        <v>42792</v>
      </c>
      <c r="J193" s="606" t="s">
        <v>740</v>
      </c>
      <c r="K193" s="612">
        <v>458</v>
      </c>
      <c r="L193" s="605">
        <v>42792</v>
      </c>
      <c r="M193" s="604">
        <v>1200</v>
      </c>
      <c r="N193" s="615">
        <f t="shared" si="9"/>
        <v>19200</v>
      </c>
      <c r="O193" s="559" t="s">
        <v>587</v>
      </c>
      <c r="P193" s="154" t="s">
        <v>589</v>
      </c>
      <c r="Q193" s="154"/>
      <c r="R193" s="244" t="s">
        <v>908</v>
      </c>
      <c r="S193" s="413" t="s">
        <v>422</v>
      </c>
      <c r="T193" s="154" t="s">
        <v>423</v>
      </c>
      <c r="U193" s="600"/>
      <c r="V193" s="153"/>
      <c r="W193" s="276"/>
    </row>
    <row r="194" spans="1:23" s="135" customFormat="1" ht="15" hidden="1" customHeight="1">
      <c r="A194" s="306">
        <v>193</v>
      </c>
      <c r="B194" s="375"/>
      <c r="C194" s="374"/>
      <c r="D194" s="613" t="s">
        <v>686</v>
      </c>
      <c r="E194" s="331" t="s">
        <v>687</v>
      </c>
      <c r="F194" s="373">
        <v>4</v>
      </c>
      <c r="G194" s="372">
        <v>4</v>
      </c>
      <c r="H194" s="614">
        <f t="shared" si="8"/>
        <v>0</v>
      </c>
      <c r="I194" s="371">
        <v>42792</v>
      </c>
      <c r="J194" s="606" t="s">
        <v>741</v>
      </c>
      <c r="K194" s="612">
        <v>450</v>
      </c>
      <c r="L194" s="605">
        <v>42791</v>
      </c>
      <c r="M194" s="604">
        <v>700</v>
      </c>
      <c r="N194" s="615">
        <f t="shared" si="9"/>
        <v>2800</v>
      </c>
      <c r="O194" s="559" t="s">
        <v>587</v>
      </c>
      <c r="P194" s="369" t="s">
        <v>640</v>
      </c>
      <c r="Q194" s="369" t="s">
        <v>780</v>
      </c>
      <c r="R194" s="377" t="s">
        <v>908</v>
      </c>
      <c r="S194" s="413" t="s">
        <v>422</v>
      </c>
      <c r="T194" s="369" t="s">
        <v>423</v>
      </c>
      <c r="U194" s="67"/>
      <c r="V194" s="153"/>
      <c r="W194" s="276"/>
    </row>
    <row r="195" spans="1:23" s="135" customFormat="1" ht="15" hidden="1" customHeight="1">
      <c r="A195" s="306">
        <v>194</v>
      </c>
      <c r="B195" s="334" t="s">
        <v>747</v>
      </c>
      <c r="C195" s="384"/>
      <c r="D195" s="401" t="s">
        <v>1684</v>
      </c>
      <c r="E195" s="333" t="s">
        <v>748</v>
      </c>
      <c r="F195" s="391">
        <v>192</v>
      </c>
      <c r="G195" s="385">
        <v>192</v>
      </c>
      <c r="H195" s="335">
        <f t="shared" si="8"/>
        <v>0</v>
      </c>
      <c r="I195" s="386"/>
      <c r="J195" s="366" t="s">
        <v>749</v>
      </c>
      <c r="K195" s="392">
        <v>430</v>
      </c>
      <c r="L195" s="393">
        <v>42782</v>
      </c>
      <c r="M195" s="394">
        <v>95</v>
      </c>
      <c r="N195" s="387">
        <f t="shared" si="9"/>
        <v>18240</v>
      </c>
      <c r="O195" s="336" t="s">
        <v>587</v>
      </c>
      <c r="P195" s="388" t="s">
        <v>1699</v>
      </c>
      <c r="Q195" s="388"/>
      <c r="R195" s="389" t="s">
        <v>908</v>
      </c>
      <c r="S195" s="388" t="s">
        <v>422</v>
      </c>
      <c r="T195" s="602" t="s">
        <v>423</v>
      </c>
      <c r="U195" s="600"/>
      <c r="V195" s="601"/>
      <c r="W195" s="276"/>
    </row>
    <row r="196" spans="1:23" s="135" customFormat="1" ht="15" hidden="1" customHeight="1">
      <c r="A196" s="306">
        <v>195</v>
      </c>
      <c r="B196" s="584">
        <v>4505109424</v>
      </c>
      <c r="C196" s="569"/>
      <c r="D196" s="571" t="s">
        <v>680</v>
      </c>
      <c r="E196" s="570" t="s">
        <v>681</v>
      </c>
      <c r="F196" s="572">
        <v>3</v>
      </c>
      <c r="G196" s="573">
        <v>3</v>
      </c>
      <c r="H196" s="574">
        <f t="shared" si="8"/>
        <v>0</v>
      </c>
      <c r="I196" s="575">
        <v>42793</v>
      </c>
      <c r="J196" s="576" t="s">
        <v>750</v>
      </c>
      <c r="K196" s="577">
        <v>447</v>
      </c>
      <c r="L196" s="578">
        <v>42791</v>
      </c>
      <c r="M196" s="579">
        <v>970</v>
      </c>
      <c r="N196" s="580">
        <f t="shared" si="9"/>
        <v>2910</v>
      </c>
      <c r="O196" s="679" t="s">
        <v>587</v>
      </c>
      <c r="P196" s="581" t="s">
        <v>573</v>
      </c>
      <c r="Q196" s="581" t="s">
        <v>781</v>
      </c>
      <c r="R196" s="582" t="s">
        <v>908</v>
      </c>
      <c r="S196" s="581" t="s">
        <v>422</v>
      </c>
      <c r="T196" s="581"/>
      <c r="U196" s="583" t="s">
        <v>775</v>
      </c>
      <c r="V196" s="601"/>
      <c r="W196" s="549"/>
    </row>
    <row r="197" spans="1:23" s="135" customFormat="1" ht="15" hidden="1" customHeight="1">
      <c r="A197" s="306">
        <v>196</v>
      </c>
      <c r="B197" s="611" t="s">
        <v>753</v>
      </c>
      <c r="C197" s="610"/>
      <c r="D197" s="611" t="s">
        <v>720</v>
      </c>
      <c r="E197" s="352" t="s">
        <v>721</v>
      </c>
      <c r="F197" s="183">
        <v>1</v>
      </c>
      <c r="G197" s="609">
        <v>1</v>
      </c>
      <c r="H197" s="380">
        <f t="shared" si="8"/>
        <v>0</v>
      </c>
      <c r="I197" s="607">
        <v>42793</v>
      </c>
      <c r="J197" s="606" t="s">
        <v>751</v>
      </c>
      <c r="K197" s="317">
        <v>456</v>
      </c>
      <c r="L197" s="605">
        <v>42791</v>
      </c>
      <c r="M197" s="202">
        <v>917</v>
      </c>
      <c r="N197" s="615">
        <f t="shared" si="9"/>
        <v>917</v>
      </c>
      <c r="O197" s="559" t="s">
        <v>587</v>
      </c>
      <c r="P197" s="602" t="s">
        <v>640</v>
      </c>
      <c r="Q197" s="602" t="s">
        <v>783</v>
      </c>
      <c r="R197" s="607" t="s">
        <v>908</v>
      </c>
      <c r="S197" s="602" t="s">
        <v>422</v>
      </c>
      <c r="T197" s="602" t="s">
        <v>423</v>
      </c>
      <c r="U197" s="602"/>
      <c r="V197" s="601"/>
      <c r="W197" s="549"/>
    </row>
    <row r="198" spans="1:23" s="135" customFormat="1" ht="15" hidden="1" customHeight="1">
      <c r="A198" s="306">
        <v>197</v>
      </c>
      <c r="B198" s="611" t="s">
        <v>753</v>
      </c>
      <c r="C198" s="610"/>
      <c r="D198" s="611" t="s">
        <v>722</v>
      </c>
      <c r="E198" s="601" t="s">
        <v>723</v>
      </c>
      <c r="F198" s="609">
        <v>1</v>
      </c>
      <c r="G198" s="608">
        <v>1</v>
      </c>
      <c r="H198" s="380">
        <f t="shared" si="8"/>
        <v>0</v>
      </c>
      <c r="I198" s="607">
        <v>42793</v>
      </c>
      <c r="J198" s="606" t="s">
        <v>751</v>
      </c>
      <c r="K198" s="317">
        <v>456</v>
      </c>
      <c r="L198" s="605">
        <v>42791</v>
      </c>
      <c r="M198" s="423">
        <v>4195</v>
      </c>
      <c r="N198" s="615">
        <f t="shared" si="9"/>
        <v>4195</v>
      </c>
      <c r="O198" s="559" t="s">
        <v>587</v>
      </c>
      <c r="P198" s="602" t="s">
        <v>640</v>
      </c>
      <c r="Q198" s="602" t="s">
        <v>783</v>
      </c>
      <c r="R198" s="607" t="s">
        <v>908</v>
      </c>
      <c r="S198" s="602" t="s">
        <v>422</v>
      </c>
      <c r="T198" s="602" t="s">
        <v>423</v>
      </c>
      <c r="U198" s="600"/>
      <c r="V198" s="601"/>
      <c r="W198" s="549"/>
    </row>
    <row r="199" spans="1:23" s="135" customFormat="1" ht="15" hidden="1" customHeight="1">
      <c r="A199" s="306">
        <v>198</v>
      </c>
      <c r="B199" s="611" t="s">
        <v>753</v>
      </c>
      <c r="C199" s="610"/>
      <c r="D199" s="613" t="s">
        <v>724</v>
      </c>
      <c r="E199" s="559" t="s">
        <v>725</v>
      </c>
      <c r="F199" s="609">
        <v>1</v>
      </c>
      <c r="G199" s="608">
        <v>1</v>
      </c>
      <c r="H199" s="614">
        <f t="shared" si="8"/>
        <v>0</v>
      </c>
      <c r="I199" s="607">
        <v>42793</v>
      </c>
      <c r="J199" s="606" t="s">
        <v>751</v>
      </c>
      <c r="K199" s="317">
        <v>456</v>
      </c>
      <c r="L199" s="605">
        <v>42791</v>
      </c>
      <c r="M199" s="423">
        <v>1185</v>
      </c>
      <c r="N199" s="615">
        <f t="shared" si="9"/>
        <v>1185</v>
      </c>
      <c r="O199" s="559" t="s">
        <v>587</v>
      </c>
      <c r="P199" s="602" t="s">
        <v>640</v>
      </c>
      <c r="Q199" s="602" t="s">
        <v>783</v>
      </c>
      <c r="R199" s="607" t="s">
        <v>908</v>
      </c>
      <c r="S199" s="602" t="s">
        <v>422</v>
      </c>
      <c r="T199" s="602" t="s">
        <v>423</v>
      </c>
      <c r="U199" s="600"/>
      <c r="V199" s="601"/>
      <c r="W199" s="276"/>
    </row>
    <row r="200" spans="1:23" s="135" customFormat="1" ht="15" hidden="1" customHeight="1">
      <c r="A200" s="306">
        <v>199</v>
      </c>
      <c r="B200" s="611" t="s">
        <v>753</v>
      </c>
      <c r="C200" s="610"/>
      <c r="D200" s="613" t="s">
        <v>288</v>
      </c>
      <c r="E200" s="601" t="s">
        <v>727</v>
      </c>
      <c r="F200" s="609">
        <v>1</v>
      </c>
      <c r="G200" s="608">
        <v>1</v>
      </c>
      <c r="H200" s="380">
        <f t="shared" si="8"/>
        <v>0</v>
      </c>
      <c r="I200" s="607">
        <v>42793</v>
      </c>
      <c r="J200" s="606" t="s">
        <v>751</v>
      </c>
      <c r="K200" s="317">
        <v>456</v>
      </c>
      <c r="L200" s="605">
        <v>42791</v>
      </c>
      <c r="M200" s="423">
        <v>300</v>
      </c>
      <c r="N200" s="615">
        <f t="shared" si="9"/>
        <v>300</v>
      </c>
      <c r="O200" s="559" t="s">
        <v>587</v>
      </c>
      <c r="P200" s="602" t="s">
        <v>640</v>
      </c>
      <c r="Q200" s="602" t="s">
        <v>783</v>
      </c>
      <c r="R200" s="607" t="s">
        <v>908</v>
      </c>
      <c r="S200" s="602" t="s">
        <v>422</v>
      </c>
      <c r="T200" s="602" t="s">
        <v>423</v>
      </c>
      <c r="U200" s="600"/>
      <c r="V200" s="601"/>
      <c r="W200" s="276"/>
    </row>
    <row r="201" spans="1:23" s="135" customFormat="1" ht="15" hidden="1" customHeight="1">
      <c r="A201" s="306">
        <v>200</v>
      </c>
      <c r="B201" s="375" t="s">
        <v>753</v>
      </c>
      <c r="C201" s="374"/>
      <c r="D201" s="613" t="s">
        <v>726</v>
      </c>
      <c r="E201" s="601" t="s">
        <v>728</v>
      </c>
      <c r="F201" s="373">
        <v>1</v>
      </c>
      <c r="G201" s="608">
        <v>1</v>
      </c>
      <c r="H201" s="380">
        <f t="shared" si="8"/>
        <v>0</v>
      </c>
      <c r="I201" s="371">
        <v>42793</v>
      </c>
      <c r="J201" s="606" t="s">
        <v>751</v>
      </c>
      <c r="K201" s="317">
        <v>456</v>
      </c>
      <c r="L201" s="605">
        <v>42791</v>
      </c>
      <c r="M201" s="423">
        <v>921</v>
      </c>
      <c r="N201" s="173">
        <f t="shared" si="9"/>
        <v>921</v>
      </c>
      <c r="O201" s="559" t="s">
        <v>587</v>
      </c>
      <c r="P201" s="369" t="s">
        <v>640</v>
      </c>
      <c r="Q201" s="369" t="s">
        <v>783</v>
      </c>
      <c r="R201" s="371" t="s">
        <v>908</v>
      </c>
      <c r="S201" s="413" t="s">
        <v>422</v>
      </c>
      <c r="T201" s="369" t="s">
        <v>423</v>
      </c>
      <c r="U201" s="600"/>
      <c r="V201" s="601"/>
      <c r="W201" s="276"/>
    </row>
    <row r="202" spans="1:23" s="135" customFormat="1" ht="15" hidden="1" customHeight="1">
      <c r="A202" s="306">
        <v>201</v>
      </c>
      <c r="B202" s="611">
        <v>358</v>
      </c>
      <c r="C202" s="374"/>
      <c r="D202" s="613" t="s">
        <v>682</v>
      </c>
      <c r="E202" s="331" t="s">
        <v>683</v>
      </c>
      <c r="F202" s="373">
        <v>2</v>
      </c>
      <c r="G202" s="608">
        <v>2</v>
      </c>
      <c r="H202" s="380">
        <f t="shared" si="8"/>
        <v>0</v>
      </c>
      <c r="I202" s="371">
        <v>42793</v>
      </c>
      <c r="J202" s="561" t="s">
        <v>624</v>
      </c>
      <c r="K202" s="317">
        <v>460</v>
      </c>
      <c r="L202" s="424">
        <v>42792</v>
      </c>
      <c r="M202" s="423">
        <v>2100</v>
      </c>
      <c r="N202" s="173">
        <f t="shared" si="9"/>
        <v>4200</v>
      </c>
      <c r="O202" s="559" t="s">
        <v>587</v>
      </c>
      <c r="P202" s="602" t="s">
        <v>573</v>
      </c>
      <c r="Q202" s="602" t="s">
        <v>782</v>
      </c>
      <c r="R202" s="371" t="s">
        <v>908</v>
      </c>
      <c r="S202" s="413" t="s">
        <v>422</v>
      </c>
      <c r="T202" s="369" t="s">
        <v>423</v>
      </c>
      <c r="U202" s="600" t="s">
        <v>752</v>
      </c>
      <c r="V202" s="601"/>
      <c r="W202" s="276"/>
    </row>
    <row r="203" spans="1:23" s="135" customFormat="1" ht="15" hidden="1" customHeight="1">
      <c r="A203" s="306">
        <v>202</v>
      </c>
      <c r="B203" s="162"/>
      <c r="C203" s="161"/>
      <c r="D203" s="613" t="s">
        <v>80</v>
      </c>
      <c r="E203" s="350" t="s">
        <v>79</v>
      </c>
      <c r="F203" s="373">
        <v>5</v>
      </c>
      <c r="G203" s="608">
        <v>5</v>
      </c>
      <c r="H203" s="380">
        <f t="shared" si="8"/>
        <v>0</v>
      </c>
      <c r="I203" s="160">
        <v>42793</v>
      </c>
      <c r="J203" s="155" t="s">
        <v>754</v>
      </c>
      <c r="K203" s="317">
        <v>459</v>
      </c>
      <c r="L203" s="424">
        <v>42792</v>
      </c>
      <c r="M203" s="423">
        <v>900</v>
      </c>
      <c r="N203" s="173">
        <f t="shared" si="9"/>
        <v>4500</v>
      </c>
      <c r="O203" s="559" t="s">
        <v>587</v>
      </c>
      <c r="P203" s="602" t="s">
        <v>589</v>
      </c>
      <c r="Q203" s="602"/>
      <c r="R203" s="607" t="s">
        <v>908</v>
      </c>
      <c r="S203" s="602" t="s">
        <v>422</v>
      </c>
      <c r="T203" s="602" t="s">
        <v>423</v>
      </c>
      <c r="U203" s="600"/>
      <c r="V203" s="601"/>
      <c r="W203" s="549"/>
    </row>
    <row r="204" spans="1:23" s="135" customFormat="1" ht="15" hidden="1" customHeight="1">
      <c r="A204" s="306">
        <v>203</v>
      </c>
      <c r="B204" s="162" t="s">
        <v>756</v>
      </c>
      <c r="C204" s="161"/>
      <c r="D204" s="613" t="s">
        <v>219</v>
      </c>
      <c r="E204" s="6" t="s">
        <v>218</v>
      </c>
      <c r="F204" s="373">
        <v>4</v>
      </c>
      <c r="G204" s="608">
        <v>4</v>
      </c>
      <c r="H204" s="380">
        <f t="shared" si="8"/>
        <v>0</v>
      </c>
      <c r="I204" s="371">
        <v>42793</v>
      </c>
      <c r="J204" s="155" t="s">
        <v>755</v>
      </c>
      <c r="K204" s="317">
        <v>462</v>
      </c>
      <c r="L204" s="424">
        <v>42792</v>
      </c>
      <c r="M204" s="423">
        <v>1900</v>
      </c>
      <c r="N204" s="173">
        <f t="shared" si="9"/>
        <v>7600</v>
      </c>
      <c r="O204" s="559" t="s">
        <v>587</v>
      </c>
      <c r="P204" s="154" t="s">
        <v>589</v>
      </c>
      <c r="Q204" s="602"/>
      <c r="R204" s="160" t="s">
        <v>908</v>
      </c>
      <c r="S204" s="413" t="s">
        <v>422</v>
      </c>
      <c r="T204" s="154" t="s">
        <v>423</v>
      </c>
      <c r="U204" s="600"/>
      <c r="V204" s="601"/>
    </row>
    <row r="205" spans="1:23" s="135" customFormat="1" ht="15" hidden="1" customHeight="1">
      <c r="A205" s="306">
        <v>204</v>
      </c>
      <c r="B205" s="162" t="s">
        <v>758</v>
      </c>
      <c r="C205" s="161"/>
      <c r="D205" s="613" t="s">
        <v>39</v>
      </c>
      <c r="E205" s="350" t="s">
        <v>38</v>
      </c>
      <c r="F205" s="373">
        <v>1</v>
      </c>
      <c r="G205" s="608">
        <v>1</v>
      </c>
      <c r="H205" s="380">
        <f t="shared" si="8"/>
        <v>0</v>
      </c>
      <c r="I205" s="371">
        <v>42793</v>
      </c>
      <c r="J205" s="606" t="s">
        <v>757</v>
      </c>
      <c r="K205" s="316">
        <v>461</v>
      </c>
      <c r="L205" s="424">
        <v>42792</v>
      </c>
      <c r="M205" s="205">
        <v>4650</v>
      </c>
      <c r="N205" s="173">
        <f t="shared" si="9"/>
        <v>4650</v>
      </c>
      <c r="O205" s="559" t="s">
        <v>587</v>
      </c>
      <c r="P205" s="369" t="s">
        <v>589</v>
      </c>
      <c r="Q205" s="602"/>
      <c r="R205" s="371" t="s">
        <v>908</v>
      </c>
      <c r="S205" s="413" t="s">
        <v>422</v>
      </c>
      <c r="T205" s="369" t="s">
        <v>423</v>
      </c>
      <c r="U205" s="600"/>
      <c r="V205" s="153"/>
      <c r="W205" s="276"/>
    </row>
    <row r="206" spans="1:23" s="135" customFormat="1" ht="15" hidden="1" customHeight="1">
      <c r="A206" s="306">
        <v>205</v>
      </c>
      <c r="B206" s="375" t="s">
        <v>758</v>
      </c>
      <c r="C206" s="161"/>
      <c r="D206" s="613" t="s">
        <v>80</v>
      </c>
      <c r="E206" s="350" t="s">
        <v>79</v>
      </c>
      <c r="F206" s="373">
        <v>2</v>
      </c>
      <c r="G206" s="608">
        <v>2</v>
      </c>
      <c r="H206" s="380">
        <f t="shared" si="8"/>
        <v>0</v>
      </c>
      <c r="I206" s="371">
        <v>42793</v>
      </c>
      <c r="J206" s="606" t="s">
        <v>757</v>
      </c>
      <c r="K206" s="316">
        <v>461</v>
      </c>
      <c r="L206" s="424">
        <v>42792</v>
      </c>
      <c r="M206" s="604">
        <v>995</v>
      </c>
      <c r="N206" s="173">
        <f t="shared" si="9"/>
        <v>1990</v>
      </c>
      <c r="O206" s="559" t="s">
        <v>587</v>
      </c>
      <c r="P206" s="602" t="s">
        <v>589</v>
      </c>
      <c r="Q206" s="602"/>
      <c r="R206" s="371" t="s">
        <v>908</v>
      </c>
      <c r="S206" s="413" t="s">
        <v>422</v>
      </c>
      <c r="T206" s="369" t="s">
        <v>423</v>
      </c>
      <c r="U206" s="600"/>
      <c r="V206" s="153"/>
      <c r="W206" s="276"/>
    </row>
    <row r="207" spans="1:23" s="135" customFormat="1" ht="15" hidden="1" customHeight="1">
      <c r="A207" s="306">
        <v>206</v>
      </c>
      <c r="B207" s="375" t="s">
        <v>758</v>
      </c>
      <c r="C207" s="161"/>
      <c r="D207" s="613" t="s">
        <v>605</v>
      </c>
      <c r="E207" s="331" t="s">
        <v>393</v>
      </c>
      <c r="F207" s="373">
        <v>1</v>
      </c>
      <c r="G207" s="608">
        <v>1</v>
      </c>
      <c r="H207" s="380">
        <f t="shared" si="8"/>
        <v>0</v>
      </c>
      <c r="I207" s="371">
        <v>42793</v>
      </c>
      <c r="J207" s="606" t="s">
        <v>757</v>
      </c>
      <c r="K207" s="316">
        <v>461</v>
      </c>
      <c r="L207" s="424">
        <v>42792</v>
      </c>
      <c r="M207" s="203">
        <v>6870</v>
      </c>
      <c r="N207" s="173">
        <f t="shared" si="9"/>
        <v>6870</v>
      </c>
      <c r="O207" s="559" t="s">
        <v>587</v>
      </c>
      <c r="P207" s="369" t="s">
        <v>589</v>
      </c>
      <c r="Q207" s="602"/>
      <c r="R207" s="371" t="s">
        <v>908</v>
      </c>
      <c r="S207" s="413" t="s">
        <v>422</v>
      </c>
      <c r="T207" s="369" t="s">
        <v>423</v>
      </c>
      <c r="U207" s="67"/>
      <c r="V207" s="153"/>
      <c r="W207" s="276"/>
    </row>
    <row r="208" spans="1:23" s="135" customFormat="1" ht="15" hidden="1" customHeight="1">
      <c r="A208" s="306">
        <v>207</v>
      </c>
      <c r="B208" s="162">
        <v>932293</v>
      </c>
      <c r="C208" s="161"/>
      <c r="D208" s="613" t="s">
        <v>62</v>
      </c>
      <c r="E208" s="350" t="s">
        <v>61</v>
      </c>
      <c r="F208" s="373">
        <v>10</v>
      </c>
      <c r="G208" s="372">
        <v>10</v>
      </c>
      <c r="H208" s="614">
        <f t="shared" ref="H208:H271" si="10">F208-G208</f>
        <v>0</v>
      </c>
      <c r="I208" s="160">
        <v>42793</v>
      </c>
      <c r="J208" s="363" t="s">
        <v>1702</v>
      </c>
      <c r="K208" s="317">
        <v>444</v>
      </c>
      <c r="L208" s="424">
        <v>42789</v>
      </c>
      <c r="M208" s="423">
        <v>1850</v>
      </c>
      <c r="N208" s="615">
        <f t="shared" si="9"/>
        <v>18500</v>
      </c>
      <c r="O208" s="559" t="s">
        <v>587</v>
      </c>
      <c r="P208" s="154" t="s">
        <v>612</v>
      </c>
      <c r="Q208" s="154"/>
      <c r="R208" s="607" t="s">
        <v>908</v>
      </c>
      <c r="S208" s="413" t="s">
        <v>422</v>
      </c>
      <c r="T208" s="154" t="s">
        <v>423</v>
      </c>
      <c r="U208" s="67"/>
      <c r="V208" s="153"/>
      <c r="W208" s="276"/>
    </row>
    <row r="209" spans="1:23" s="135" customFormat="1" ht="15" hidden="1" customHeight="1">
      <c r="A209" s="306">
        <v>208</v>
      </c>
      <c r="B209" s="375" t="s">
        <v>760</v>
      </c>
      <c r="C209" s="161"/>
      <c r="D209" s="613" t="s">
        <v>701</v>
      </c>
      <c r="E209" s="252" t="s">
        <v>703</v>
      </c>
      <c r="F209" s="373">
        <v>5</v>
      </c>
      <c r="G209" s="372">
        <v>5</v>
      </c>
      <c r="H209" s="614">
        <f t="shared" si="10"/>
        <v>0</v>
      </c>
      <c r="I209" s="371">
        <v>42793</v>
      </c>
      <c r="J209" s="606" t="s">
        <v>759</v>
      </c>
      <c r="K209" s="308">
        <v>454</v>
      </c>
      <c r="L209" s="358">
        <v>42791</v>
      </c>
      <c r="M209" s="207">
        <v>14300</v>
      </c>
      <c r="N209" s="615">
        <f t="shared" si="9"/>
        <v>71500</v>
      </c>
      <c r="O209" s="559" t="s">
        <v>587</v>
      </c>
      <c r="P209" s="369" t="s">
        <v>612</v>
      </c>
      <c r="Q209" s="154"/>
      <c r="R209" s="607" t="s">
        <v>908</v>
      </c>
      <c r="S209" s="413" t="s">
        <v>422</v>
      </c>
      <c r="T209" s="154" t="s">
        <v>423</v>
      </c>
      <c r="U209" s="67"/>
      <c r="V209" s="153"/>
    </row>
    <row r="210" spans="1:23" s="135" customFormat="1" ht="15" hidden="1" customHeight="1">
      <c r="A210" s="306">
        <v>209</v>
      </c>
      <c r="B210" s="162" t="s">
        <v>760</v>
      </c>
      <c r="C210" s="161"/>
      <c r="D210" s="613" t="s">
        <v>700</v>
      </c>
      <c r="E210" s="252" t="s">
        <v>702</v>
      </c>
      <c r="F210" s="373">
        <v>3</v>
      </c>
      <c r="G210" s="608">
        <v>3</v>
      </c>
      <c r="H210" s="614">
        <f t="shared" si="10"/>
        <v>0</v>
      </c>
      <c r="I210" s="371">
        <v>42793</v>
      </c>
      <c r="J210" s="606" t="s">
        <v>759</v>
      </c>
      <c r="K210" s="308">
        <v>454</v>
      </c>
      <c r="L210" s="358">
        <v>42791</v>
      </c>
      <c r="M210" s="423">
        <v>1460</v>
      </c>
      <c r="N210" s="615">
        <f t="shared" si="9"/>
        <v>4380</v>
      </c>
      <c r="O210" s="559" t="s">
        <v>587</v>
      </c>
      <c r="P210" s="369" t="s">
        <v>612</v>
      </c>
      <c r="Q210" s="154"/>
      <c r="R210" s="160" t="s">
        <v>908</v>
      </c>
      <c r="S210" s="413" t="s">
        <v>422</v>
      </c>
      <c r="T210" s="154" t="s">
        <v>423</v>
      </c>
      <c r="U210" s="600"/>
      <c r="V210" s="601"/>
      <c r="W210" s="549"/>
    </row>
    <row r="211" spans="1:23" s="135" customFormat="1" ht="15" hidden="1" customHeight="1">
      <c r="A211" s="306">
        <v>210</v>
      </c>
      <c r="B211" s="162">
        <v>4034809</v>
      </c>
      <c r="C211" s="161"/>
      <c r="D211" s="613" t="s">
        <v>761</v>
      </c>
      <c r="E211" s="601" t="s">
        <v>762</v>
      </c>
      <c r="F211" s="373">
        <v>186</v>
      </c>
      <c r="G211" s="608">
        <v>186</v>
      </c>
      <c r="H211" s="380">
        <f t="shared" si="10"/>
        <v>0</v>
      </c>
      <c r="I211" s="160">
        <v>42794</v>
      </c>
      <c r="J211" s="606" t="s">
        <v>477</v>
      </c>
      <c r="K211" s="317">
        <v>465</v>
      </c>
      <c r="L211" s="424">
        <v>42793</v>
      </c>
      <c r="M211" s="423">
        <v>66</v>
      </c>
      <c r="N211" s="173">
        <f t="shared" si="9"/>
        <v>12276</v>
      </c>
      <c r="O211" s="559" t="s">
        <v>587</v>
      </c>
      <c r="P211" s="154" t="s">
        <v>589</v>
      </c>
      <c r="Q211" s="154"/>
      <c r="R211" s="160" t="s">
        <v>908</v>
      </c>
      <c r="S211" s="413" t="s">
        <v>422</v>
      </c>
      <c r="T211" s="154" t="s">
        <v>423</v>
      </c>
      <c r="U211" s="600" t="s">
        <v>769</v>
      </c>
      <c r="V211" s="601"/>
      <c r="W211" s="276"/>
    </row>
    <row r="212" spans="1:23" s="135" customFormat="1" ht="15" hidden="1" customHeight="1">
      <c r="A212" s="306">
        <v>211</v>
      </c>
      <c r="B212" s="611" t="s">
        <v>764</v>
      </c>
      <c r="C212" s="610"/>
      <c r="D212" s="613" t="s">
        <v>690</v>
      </c>
      <c r="E212" s="602" t="s">
        <v>695</v>
      </c>
      <c r="F212" s="609">
        <v>1</v>
      </c>
      <c r="G212" s="608">
        <v>1</v>
      </c>
      <c r="H212" s="380">
        <f t="shared" si="10"/>
        <v>0</v>
      </c>
      <c r="I212" s="607">
        <v>42794</v>
      </c>
      <c r="J212" s="159" t="s">
        <v>763</v>
      </c>
      <c r="K212" s="317">
        <v>455</v>
      </c>
      <c r="L212" s="358">
        <v>42791</v>
      </c>
      <c r="M212" s="604">
        <v>1505</v>
      </c>
      <c r="N212" s="615">
        <f t="shared" si="9"/>
        <v>1505</v>
      </c>
      <c r="O212" s="559" t="s">
        <v>587</v>
      </c>
      <c r="P212" s="602" t="s">
        <v>612</v>
      </c>
      <c r="Q212" s="602"/>
      <c r="R212" s="607" t="s">
        <v>908</v>
      </c>
      <c r="S212" s="602" t="s">
        <v>422</v>
      </c>
      <c r="T212" s="602" t="s">
        <v>423</v>
      </c>
      <c r="U212" s="600"/>
      <c r="V212" s="601"/>
      <c r="W212" s="549"/>
    </row>
    <row r="213" spans="1:23" s="135" customFormat="1" ht="15" hidden="1" customHeight="1">
      <c r="A213" s="306">
        <v>212</v>
      </c>
      <c r="B213" s="611" t="s">
        <v>764</v>
      </c>
      <c r="C213" s="610"/>
      <c r="D213" s="613" t="s">
        <v>691</v>
      </c>
      <c r="E213" s="188" t="s">
        <v>696</v>
      </c>
      <c r="F213" s="609">
        <v>1</v>
      </c>
      <c r="G213" s="608">
        <v>1</v>
      </c>
      <c r="H213" s="380">
        <f t="shared" si="10"/>
        <v>0</v>
      </c>
      <c r="I213" s="607">
        <v>42794</v>
      </c>
      <c r="J213" s="606" t="s">
        <v>763</v>
      </c>
      <c r="K213" s="317">
        <v>455</v>
      </c>
      <c r="L213" s="358">
        <v>42791</v>
      </c>
      <c r="M213" s="423">
        <v>15090</v>
      </c>
      <c r="N213" s="615">
        <f t="shared" si="9"/>
        <v>15090</v>
      </c>
      <c r="O213" s="559" t="s">
        <v>587</v>
      </c>
      <c r="P213" s="602" t="s">
        <v>612</v>
      </c>
      <c r="Q213" s="602"/>
      <c r="R213" s="607" t="s">
        <v>908</v>
      </c>
      <c r="S213" s="602" t="s">
        <v>422</v>
      </c>
      <c r="T213" s="602" t="s">
        <v>423</v>
      </c>
      <c r="U213" s="600"/>
      <c r="V213" s="601"/>
    </row>
    <row r="214" spans="1:23" s="135" customFormat="1" ht="15" hidden="1" customHeight="1">
      <c r="A214" s="306">
        <v>213</v>
      </c>
      <c r="B214" s="611" t="s">
        <v>764</v>
      </c>
      <c r="C214" s="610"/>
      <c r="D214" s="611" t="s">
        <v>692</v>
      </c>
      <c r="E214" s="418" t="s">
        <v>697</v>
      </c>
      <c r="F214" s="609">
        <v>1</v>
      </c>
      <c r="G214" s="608">
        <v>1</v>
      </c>
      <c r="H214" s="614">
        <f t="shared" si="10"/>
        <v>0</v>
      </c>
      <c r="I214" s="607">
        <v>42794</v>
      </c>
      <c r="J214" s="606" t="s">
        <v>763</v>
      </c>
      <c r="K214" s="317">
        <v>455</v>
      </c>
      <c r="L214" s="358">
        <v>42791</v>
      </c>
      <c r="M214" s="423">
        <v>12708</v>
      </c>
      <c r="N214" s="615">
        <f t="shared" si="9"/>
        <v>12708</v>
      </c>
      <c r="O214" s="559" t="s">
        <v>587</v>
      </c>
      <c r="P214" s="602" t="s">
        <v>612</v>
      </c>
      <c r="Q214" s="602"/>
      <c r="R214" s="607" t="s">
        <v>908</v>
      </c>
      <c r="S214" s="602" t="s">
        <v>422</v>
      </c>
      <c r="T214" s="602" t="s">
        <v>423</v>
      </c>
      <c r="U214" s="67"/>
      <c r="V214" s="601"/>
      <c r="W214" s="276"/>
    </row>
    <row r="215" spans="1:23" s="135" customFormat="1" ht="15" hidden="1" customHeight="1">
      <c r="A215" s="306">
        <v>214</v>
      </c>
      <c r="B215" s="611" t="s">
        <v>764</v>
      </c>
      <c r="C215" s="610"/>
      <c r="D215" s="611" t="s">
        <v>693</v>
      </c>
      <c r="E215" s="418" t="s">
        <v>698</v>
      </c>
      <c r="F215" s="609">
        <v>1</v>
      </c>
      <c r="G215" s="609">
        <v>1</v>
      </c>
      <c r="H215" s="614">
        <f t="shared" si="10"/>
        <v>0</v>
      </c>
      <c r="I215" s="607">
        <v>42794</v>
      </c>
      <c r="J215" s="606" t="s">
        <v>763</v>
      </c>
      <c r="K215" s="317">
        <v>455</v>
      </c>
      <c r="L215" s="358">
        <v>42791</v>
      </c>
      <c r="M215" s="423">
        <v>3971</v>
      </c>
      <c r="N215" s="615">
        <f t="shared" si="9"/>
        <v>3971</v>
      </c>
      <c r="O215" s="559" t="s">
        <v>587</v>
      </c>
      <c r="P215" s="602" t="s">
        <v>612</v>
      </c>
      <c r="Q215" s="602"/>
      <c r="R215" s="607" t="s">
        <v>908</v>
      </c>
      <c r="S215" s="602" t="s">
        <v>422</v>
      </c>
      <c r="T215" s="602" t="s">
        <v>423</v>
      </c>
      <c r="U215" s="602"/>
      <c r="V215" s="601"/>
      <c r="W215" s="276"/>
    </row>
    <row r="216" spans="1:23" s="135" customFormat="1" ht="15" hidden="1" customHeight="1">
      <c r="A216" s="306">
        <v>215</v>
      </c>
      <c r="B216" s="611" t="s">
        <v>764</v>
      </c>
      <c r="C216" s="610"/>
      <c r="D216" s="611" t="s">
        <v>694</v>
      </c>
      <c r="E216" s="184" t="s">
        <v>699</v>
      </c>
      <c r="F216" s="609">
        <v>1</v>
      </c>
      <c r="G216" s="609">
        <v>1</v>
      </c>
      <c r="H216" s="614">
        <f t="shared" si="10"/>
        <v>0</v>
      </c>
      <c r="I216" s="607">
        <v>42794</v>
      </c>
      <c r="J216" s="606" t="s">
        <v>763</v>
      </c>
      <c r="K216" s="317">
        <v>455</v>
      </c>
      <c r="L216" s="358">
        <v>42791</v>
      </c>
      <c r="M216" s="423">
        <v>1095</v>
      </c>
      <c r="N216" s="615">
        <f t="shared" si="9"/>
        <v>1095</v>
      </c>
      <c r="O216" s="559" t="s">
        <v>587</v>
      </c>
      <c r="P216" s="602" t="s">
        <v>612</v>
      </c>
      <c r="Q216" s="602"/>
      <c r="R216" s="607" t="s">
        <v>908</v>
      </c>
      <c r="S216" s="602" t="s">
        <v>422</v>
      </c>
      <c r="T216" s="602" t="s">
        <v>423</v>
      </c>
      <c r="U216" s="602"/>
      <c r="V216" s="601"/>
      <c r="W216" s="276"/>
    </row>
    <row r="217" spans="1:23" s="135" customFormat="1" ht="15" hidden="1" customHeight="1">
      <c r="A217" s="306">
        <v>216</v>
      </c>
      <c r="B217" s="162"/>
      <c r="C217" s="161"/>
      <c r="D217" s="613" t="s">
        <v>219</v>
      </c>
      <c r="E217" s="6" t="s">
        <v>218</v>
      </c>
      <c r="F217" s="373">
        <v>14</v>
      </c>
      <c r="G217" s="608">
        <v>14</v>
      </c>
      <c r="H217" s="380">
        <f t="shared" si="10"/>
        <v>0</v>
      </c>
      <c r="I217" s="371">
        <v>42794</v>
      </c>
      <c r="J217" s="606" t="s">
        <v>470</v>
      </c>
      <c r="K217" s="317">
        <v>449</v>
      </c>
      <c r="L217" s="201">
        <v>42791</v>
      </c>
      <c r="M217" s="200">
        <v>1660</v>
      </c>
      <c r="N217" s="173">
        <f t="shared" si="9"/>
        <v>23240</v>
      </c>
      <c r="O217" s="559" t="s">
        <v>587</v>
      </c>
      <c r="P217" s="154" t="s">
        <v>612</v>
      </c>
      <c r="Q217" s="154"/>
      <c r="R217" s="160" t="s">
        <v>908</v>
      </c>
      <c r="S217" s="413" t="s">
        <v>422</v>
      </c>
      <c r="T217" s="154" t="s">
        <v>423</v>
      </c>
      <c r="U217" s="600"/>
      <c r="V217" s="153"/>
      <c r="W217" s="276"/>
    </row>
    <row r="218" spans="1:23" s="135" customFormat="1" ht="15" hidden="1" customHeight="1">
      <c r="A218" s="306">
        <v>217</v>
      </c>
      <c r="B218" s="162">
        <v>179469</v>
      </c>
      <c r="C218" s="161"/>
      <c r="D218" s="611" t="s">
        <v>716</v>
      </c>
      <c r="E218" s="331" t="s">
        <v>717</v>
      </c>
      <c r="F218" s="373">
        <v>1</v>
      </c>
      <c r="G218" s="373">
        <v>1</v>
      </c>
      <c r="H218" s="380">
        <f t="shared" si="10"/>
        <v>0</v>
      </c>
      <c r="I218" s="160">
        <v>42794</v>
      </c>
      <c r="J218" s="561" t="s">
        <v>765</v>
      </c>
      <c r="K218" s="317">
        <v>464</v>
      </c>
      <c r="L218" s="424">
        <v>42793</v>
      </c>
      <c r="M218" s="423">
        <v>2540</v>
      </c>
      <c r="N218" s="173">
        <f t="shared" ref="N218:N281" si="11">IFERROR(M218*G218,0)</f>
        <v>2540</v>
      </c>
      <c r="O218" s="559" t="s">
        <v>587</v>
      </c>
      <c r="P218" s="369" t="s">
        <v>612</v>
      </c>
      <c r="Q218" s="154"/>
      <c r="R218" s="160" t="s">
        <v>908</v>
      </c>
      <c r="S218" s="413" t="s">
        <v>422</v>
      </c>
      <c r="T218" s="154" t="s">
        <v>423</v>
      </c>
      <c r="U218" s="154"/>
      <c r="V218" s="601"/>
      <c r="W218" s="549"/>
    </row>
    <row r="219" spans="1:23" s="135" customFormat="1" ht="15" hidden="1" customHeight="1">
      <c r="A219" s="306">
        <v>218</v>
      </c>
      <c r="B219" s="375">
        <v>179469</v>
      </c>
      <c r="C219" s="161"/>
      <c r="D219" s="611" t="s">
        <v>249</v>
      </c>
      <c r="E219" s="188" t="s">
        <v>28</v>
      </c>
      <c r="F219" s="373">
        <v>1</v>
      </c>
      <c r="G219" s="609">
        <v>1</v>
      </c>
      <c r="H219" s="614">
        <f t="shared" si="10"/>
        <v>0</v>
      </c>
      <c r="I219" s="371">
        <v>42794</v>
      </c>
      <c r="J219" s="155" t="s">
        <v>765</v>
      </c>
      <c r="K219" s="317">
        <v>464</v>
      </c>
      <c r="L219" s="424">
        <v>42793</v>
      </c>
      <c r="M219" s="423">
        <v>450</v>
      </c>
      <c r="N219" s="615">
        <f t="shared" si="11"/>
        <v>450</v>
      </c>
      <c r="O219" s="559" t="s">
        <v>587</v>
      </c>
      <c r="P219" s="369" t="s">
        <v>612</v>
      </c>
      <c r="Q219" s="154"/>
      <c r="R219" s="607" t="s">
        <v>908</v>
      </c>
      <c r="S219" s="413" t="s">
        <v>422</v>
      </c>
      <c r="T219" s="154" t="s">
        <v>423</v>
      </c>
      <c r="U219" s="602"/>
      <c r="V219" s="153"/>
      <c r="W219" s="549"/>
    </row>
    <row r="220" spans="1:23" s="135" customFormat="1" ht="15" hidden="1" customHeight="1">
      <c r="A220" s="306">
        <v>219</v>
      </c>
      <c r="B220" s="375">
        <v>179469</v>
      </c>
      <c r="C220" s="161"/>
      <c r="D220" s="611" t="s">
        <v>246</v>
      </c>
      <c r="E220" s="600" t="s">
        <v>258</v>
      </c>
      <c r="F220" s="373">
        <v>1</v>
      </c>
      <c r="G220" s="373">
        <v>1</v>
      </c>
      <c r="H220" s="380">
        <f t="shared" si="10"/>
        <v>0</v>
      </c>
      <c r="I220" s="371">
        <v>42794</v>
      </c>
      <c r="J220" s="561" t="s">
        <v>765</v>
      </c>
      <c r="K220" s="317">
        <v>464</v>
      </c>
      <c r="L220" s="201">
        <v>42793</v>
      </c>
      <c r="M220" s="205">
        <v>6100</v>
      </c>
      <c r="N220" s="173">
        <f t="shared" si="11"/>
        <v>6100</v>
      </c>
      <c r="O220" s="559" t="s">
        <v>587</v>
      </c>
      <c r="P220" s="369" t="s">
        <v>612</v>
      </c>
      <c r="Q220" s="154"/>
      <c r="R220" s="160" t="s">
        <v>908</v>
      </c>
      <c r="S220" s="413" t="s">
        <v>422</v>
      </c>
      <c r="T220" s="154" t="s">
        <v>423</v>
      </c>
      <c r="U220" s="154"/>
      <c r="V220" s="153"/>
      <c r="W220" s="549"/>
    </row>
    <row r="221" spans="1:23" s="135" customFormat="1" ht="15" hidden="1" customHeight="1">
      <c r="A221" s="306">
        <v>220</v>
      </c>
      <c r="B221" s="375">
        <v>179469</v>
      </c>
      <c r="C221" s="161"/>
      <c r="D221" s="611" t="s">
        <v>658</v>
      </c>
      <c r="E221" s="331" t="s">
        <v>659</v>
      </c>
      <c r="F221" s="373">
        <v>2</v>
      </c>
      <c r="G221" s="609">
        <v>2</v>
      </c>
      <c r="H221" s="380">
        <f t="shared" si="10"/>
        <v>0</v>
      </c>
      <c r="I221" s="371">
        <v>42794</v>
      </c>
      <c r="J221" s="561" t="s">
        <v>765</v>
      </c>
      <c r="K221" s="317">
        <v>464</v>
      </c>
      <c r="L221" s="424">
        <v>42793</v>
      </c>
      <c r="M221" s="202">
        <v>1700</v>
      </c>
      <c r="N221" s="173">
        <f t="shared" si="11"/>
        <v>3400</v>
      </c>
      <c r="O221" s="559" t="s">
        <v>587</v>
      </c>
      <c r="P221" s="602" t="s">
        <v>612</v>
      </c>
      <c r="Q221" s="154"/>
      <c r="R221" s="177" t="s">
        <v>908</v>
      </c>
      <c r="S221" s="413" t="s">
        <v>422</v>
      </c>
      <c r="T221" s="154" t="s">
        <v>423</v>
      </c>
      <c r="U221" s="602"/>
      <c r="V221" s="153"/>
      <c r="W221" s="276"/>
    </row>
    <row r="222" spans="1:23" s="135" customFormat="1" ht="15" hidden="1" customHeight="1">
      <c r="A222" s="306">
        <v>221</v>
      </c>
      <c r="B222" s="375">
        <v>179469</v>
      </c>
      <c r="C222" s="161"/>
      <c r="D222" s="611" t="s">
        <v>550</v>
      </c>
      <c r="E222" s="331" t="s">
        <v>551</v>
      </c>
      <c r="F222" s="373">
        <v>1</v>
      </c>
      <c r="G222" s="609">
        <v>1</v>
      </c>
      <c r="H222" s="380">
        <f t="shared" si="10"/>
        <v>0</v>
      </c>
      <c r="I222" s="371">
        <v>42794</v>
      </c>
      <c r="J222" s="561" t="s">
        <v>765</v>
      </c>
      <c r="K222" s="317">
        <v>464</v>
      </c>
      <c r="L222" s="424">
        <v>42793</v>
      </c>
      <c r="M222" s="423">
        <v>4900</v>
      </c>
      <c r="N222" s="173">
        <f t="shared" si="11"/>
        <v>4900</v>
      </c>
      <c r="O222" s="559" t="s">
        <v>587</v>
      </c>
      <c r="P222" s="602" t="s">
        <v>612</v>
      </c>
      <c r="Q222" s="154"/>
      <c r="R222" s="177" t="s">
        <v>908</v>
      </c>
      <c r="S222" s="413" t="s">
        <v>422</v>
      </c>
      <c r="T222" s="154" t="s">
        <v>423</v>
      </c>
      <c r="U222" s="602"/>
      <c r="V222" s="153"/>
      <c r="W222" s="276"/>
    </row>
    <row r="223" spans="1:23" s="135" customFormat="1" ht="15" hidden="1" customHeight="1">
      <c r="A223" s="306">
        <v>222</v>
      </c>
      <c r="B223" s="162">
        <v>932330</v>
      </c>
      <c r="C223" s="161"/>
      <c r="D223" s="611" t="s">
        <v>62</v>
      </c>
      <c r="E223" s="350" t="s">
        <v>61</v>
      </c>
      <c r="F223" s="373">
        <v>10</v>
      </c>
      <c r="G223" s="373">
        <v>10</v>
      </c>
      <c r="H223" s="380">
        <f t="shared" si="10"/>
        <v>0</v>
      </c>
      <c r="I223" s="371">
        <v>42794</v>
      </c>
      <c r="J223" s="363" t="s">
        <v>1702</v>
      </c>
      <c r="K223" s="317">
        <v>467</v>
      </c>
      <c r="L223" s="424">
        <v>42793</v>
      </c>
      <c r="M223" s="423">
        <v>1850</v>
      </c>
      <c r="N223" s="173">
        <f t="shared" si="11"/>
        <v>18500</v>
      </c>
      <c r="O223" s="559" t="s">
        <v>587</v>
      </c>
      <c r="P223" s="369" t="s">
        <v>612</v>
      </c>
      <c r="Q223" s="154"/>
      <c r="R223" s="607" t="s">
        <v>908</v>
      </c>
      <c r="S223" s="413" t="s">
        <v>422</v>
      </c>
      <c r="T223" s="369" t="s">
        <v>423</v>
      </c>
      <c r="U223" s="154"/>
      <c r="V223" s="601"/>
      <c r="W223" s="276"/>
    </row>
    <row r="224" spans="1:23" s="135" customFormat="1" ht="15" hidden="1" customHeight="1">
      <c r="A224" s="306">
        <v>223</v>
      </c>
      <c r="B224" s="611">
        <v>932330</v>
      </c>
      <c r="C224" s="610"/>
      <c r="D224" s="611" t="s">
        <v>60</v>
      </c>
      <c r="E224" s="367" t="s">
        <v>59</v>
      </c>
      <c r="F224" s="609">
        <v>20</v>
      </c>
      <c r="G224" s="609">
        <v>20</v>
      </c>
      <c r="H224" s="614">
        <f t="shared" si="10"/>
        <v>0</v>
      </c>
      <c r="I224" s="607">
        <v>42794</v>
      </c>
      <c r="J224" s="363" t="s">
        <v>1702</v>
      </c>
      <c r="K224" s="317">
        <v>467</v>
      </c>
      <c r="L224" s="424">
        <v>42793</v>
      </c>
      <c r="M224" s="423">
        <v>1350</v>
      </c>
      <c r="N224" s="615">
        <f t="shared" si="11"/>
        <v>27000</v>
      </c>
      <c r="O224" s="559" t="s">
        <v>587</v>
      </c>
      <c r="P224" s="602" t="s">
        <v>612</v>
      </c>
      <c r="Q224" s="602"/>
      <c r="R224" s="607" t="s">
        <v>908</v>
      </c>
      <c r="S224" s="602" t="s">
        <v>422</v>
      </c>
      <c r="T224" s="602" t="s">
        <v>423</v>
      </c>
      <c r="U224" s="602"/>
      <c r="V224" s="153"/>
      <c r="W224" s="276"/>
    </row>
    <row r="225" spans="1:23" s="135" customFormat="1" ht="15" hidden="1" customHeight="1">
      <c r="A225" s="306">
        <v>224</v>
      </c>
      <c r="B225" s="162"/>
      <c r="C225" s="161"/>
      <c r="D225" s="611" t="s">
        <v>62</v>
      </c>
      <c r="E225" s="350" t="s">
        <v>61</v>
      </c>
      <c r="F225" s="373">
        <v>1</v>
      </c>
      <c r="G225" s="609">
        <v>1</v>
      </c>
      <c r="H225" s="380">
        <f t="shared" si="10"/>
        <v>0</v>
      </c>
      <c r="I225" s="177">
        <v>42795</v>
      </c>
      <c r="J225" s="561" t="s">
        <v>607</v>
      </c>
      <c r="K225" s="317">
        <v>470</v>
      </c>
      <c r="L225" s="424">
        <v>42794</v>
      </c>
      <c r="M225" s="423">
        <v>1700</v>
      </c>
      <c r="N225" s="173">
        <f t="shared" si="11"/>
        <v>1700</v>
      </c>
      <c r="O225" s="559" t="s">
        <v>425</v>
      </c>
      <c r="P225" s="154" t="s">
        <v>555</v>
      </c>
      <c r="Q225" s="154"/>
      <c r="R225" s="177" t="s">
        <v>908</v>
      </c>
      <c r="S225" s="413" t="s">
        <v>422</v>
      </c>
      <c r="T225" s="154" t="s">
        <v>423</v>
      </c>
      <c r="U225" s="602"/>
      <c r="V225" s="153"/>
      <c r="W225" s="276"/>
    </row>
    <row r="226" spans="1:23" s="135" customFormat="1" ht="15" hidden="1" customHeight="1">
      <c r="A226" s="306">
        <v>225</v>
      </c>
      <c r="B226" s="375" t="s">
        <v>794</v>
      </c>
      <c r="C226" s="374"/>
      <c r="D226" s="611" t="s">
        <v>37</v>
      </c>
      <c r="E226" s="354" t="s">
        <v>36</v>
      </c>
      <c r="F226" s="373">
        <v>2</v>
      </c>
      <c r="G226" s="373">
        <v>2</v>
      </c>
      <c r="H226" s="614">
        <f t="shared" si="10"/>
        <v>0</v>
      </c>
      <c r="I226" s="177">
        <v>42795</v>
      </c>
      <c r="J226" s="155" t="s">
        <v>767</v>
      </c>
      <c r="K226" s="317">
        <v>469</v>
      </c>
      <c r="L226" s="201">
        <v>42794</v>
      </c>
      <c r="M226" s="200">
        <v>7500</v>
      </c>
      <c r="N226" s="615">
        <f t="shared" si="11"/>
        <v>15000</v>
      </c>
      <c r="O226" s="559" t="s">
        <v>587</v>
      </c>
      <c r="P226" s="369" t="s">
        <v>768</v>
      </c>
      <c r="Q226" s="369" t="s">
        <v>795</v>
      </c>
      <c r="R226" s="177" t="s">
        <v>908</v>
      </c>
      <c r="S226" s="413" t="s">
        <v>422</v>
      </c>
      <c r="T226" s="369" t="s">
        <v>423</v>
      </c>
      <c r="U226" s="154"/>
      <c r="V226" s="153"/>
      <c r="W226" s="549"/>
    </row>
    <row r="227" spans="1:23" s="135" customFormat="1" ht="15" hidden="1" customHeight="1">
      <c r="A227" s="306">
        <v>226</v>
      </c>
      <c r="B227" s="375" t="s">
        <v>794</v>
      </c>
      <c r="C227" s="374"/>
      <c r="D227" s="558" t="s">
        <v>939</v>
      </c>
      <c r="E227" s="602" t="s">
        <v>940</v>
      </c>
      <c r="F227" s="373">
        <v>20</v>
      </c>
      <c r="G227" s="373">
        <v>20</v>
      </c>
      <c r="H227" s="380">
        <f t="shared" si="10"/>
        <v>0</v>
      </c>
      <c r="I227" s="177">
        <v>42795</v>
      </c>
      <c r="J227" s="155" t="s">
        <v>767</v>
      </c>
      <c r="K227" s="317">
        <v>469</v>
      </c>
      <c r="L227" s="424">
        <v>42794</v>
      </c>
      <c r="M227" s="423">
        <v>85</v>
      </c>
      <c r="N227" s="173">
        <f t="shared" si="11"/>
        <v>1700</v>
      </c>
      <c r="O227" s="559" t="s">
        <v>587</v>
      </c>
      <c r="P227" s="369" t="s">
        <v>768</v>
      </c>
      <c r="Q227" s="413" t="s">
        <v>795</v>
      </c>
      <c r="R227" s="177" t="s">
        <v>908</v>
      </c>
      <c r="S227" s="413" t="s">
        <v>422</v>
      </c>
      <c r="T227" s="369" t="s">
        <v>423</v>
      </c>
      <c r="U227" s="154"/>
      <c r="V227" s="601"/>
      <c r="W227" s="276"/>
    </row>
    <row r="228" spans="1:23" s="135" customFormat="1" ht="15" hidden="1" customHeight="1">
      <c r="A228" s="306">
        <v>227</v>
      </c>
      <c r="B228" s="611"/>
      <c r="C228" s="610"/>
      <c r="D228" s="613" t="s">
        <v>761</v>
      </c>
      <c r="E228" s="601" t="s">
        <v>762</v>
      </c>
      <c r="F228" s="609">
        <v>14</v>
      </c>
      <c r="G228" s="608">
        <v>14</v>
      </c>
      <c r="H228" s="614">
        <f t="shared" si="10"/>
        <v>0</v>
      </c>
      <c r="I228" s="607">
        <v>42796</v>
      </c>
      <c r="J228" s="606" t="s">
        <v>771</v>
      </c>
      <c r="K228" s="651" t="s">
        <v>1698</v>
      </c>
      <c r="L228" s="424"/>
      <c r="M228" s="423">
        <v>0</v>
      </c>
      <c r="N228" s="615">
        <f t="shared" si="11"/>
        <v>0</v>
      </c>
      <c r="O228" s="559" t="s">
        <v>587</v>
      </c>
      <c r="P228" s="602" t="s">
        <v>589</v>
      </c>
      <c r="Q228" s="602"/>
      <c r="R228" s="607" t="s">
        <v>908</v>
      </c>
      <c r="S228" s="602" t="s">
        <v>343</v>
      </c>
      <c r="T228" s="602" t="s">
        <v>423</v>
      </c>
      <c r="U228" s="390" t="s">
        <v>770</v>
      </c>
      <c r="V228" s="333"/>
      <c r="W228" s="276"/>
    </row>
    <row r="229" spans="1:23" s="135" customFormat="1" ht="15" hidden="1" customHeight="1">
      <c r="A229" s="306">
        <v>228</v>
      </c>
      <c r="B229" s="611">
        <v>800533</v>
      </c>
      <c r="C229" s="610"/>
      <c r="D229" s="611" t="s">
        <v>90</v>
      </c>
      <c r="E229" s="700" t="s">
        <v>89</v>
      </c>
      <c r="F229" s="609">
        <v>3</v>
      </c>
      <c r="G229" s="609">
        <v>3</v>
      </c>
      <c r="H229" s="380">
        <f t="shared" si="10"/>
        <v>0</v>
      </c>
      <c r="I229" s="607">
        <v>42799</v>
      </c>
      <c r="J229" s="561" t="s">
        <v>772</v>
      </c>
      <c r="K229" s="318">
        <v>472</v>
      </c>
      <c r="L229" s="259">
        <v>42796</v>
      </c>
      <c r="M229" s="260">
        <v>270</v>
      </c>
      <c r="N229" s="615">
        <f t="shared" si="11"/>
        <v>810</v>
      </c>
      <c r="O229" s="559" t="s">
        <v>587</v>
      </c>
      <c r="P229" s="602" t="s">
        <v>773</v>
      </c>
      <c r="Q229" s="602" t="s">
        <v>839</v>
      </c>
      <c r="R229" s="607" t="s">
        <v>908</v>
      </c>
      <c r="S229" s="602" t="s">
        <v>422</v>
      </c>
      <c r="T229" s="602" t="s">
        <v>423</v>
      </c>
      <c r="U229" s="602"/>
      <c r="V229" s="601"/>
      <c r="W229" s="276"/>
    </row>
    <row r="230" spans="1:23" s="135" customFormat="1" ht="15" hidden="1" customHeight="1">
      <c r="A230" s="306">
        <v>229</v>
      </c>
      <c r="B230" s="611">
        <v>1064</v>
      </c>
      <c r="C230" s="610"/>
      <c r="D230" s="611" t="s">
        <v>37</v>
      </c>
      <c r="E230" s="354" t="s">
        <v>36</v>
      </c>
      <c r="F230" s="609">
        <v>1</v>
      </c>
      <c r="G230" s="609">
        <v>1</v>
      </c>
      <c r="H230" s="614">
        <f t="shared" si="10"/>
        <v>0</v>
      </c>
      <c r="I230" s="607">
        <v>42799</v>
      </c>
      <c r="J230" s="561" t="s">
        <v>644</v>
      </c>
      <c r="K230" s="318">
        <v>471</v>
      </c>
      <c r="L230" s="259">
        <v>42796</v>
      </c>
      <c r="M230" s="260">
        <v>7600</v>
      </c>
      <c r="N230" s="615">
        <f t="shared" si="11"/>
        <v>7600</v>
      </c>
      <c r="O230" s="559" t="s">
        <v>587</v>
      </c>
      <c r="P230" s="602" t="s">
        <v>646</v>
      </c>
      <c r="Q230" s="602" t="s">
        <v>860</v>
      </c>
      <c r="R230" s="607" t="s">
        <v>908</v>
      </c>
      <c r="S230" s="602" t="s">
        <v>422</v>
      </c>
      <c r="T230" s="602" t="s">
        <v>423</v>
      </c>
      <c r="U230" s="602"/>
      <c r="V230" s="601"/>
      <c r="W230" s="549"/>
    </row>
    <row r="231" spans="1:23" s="135" customFormat="1" ht="15" hidden="1" customHeight="1">
      <c r="A231" s="306">
        <v>230</v>
      </c>
      <c r="B231" s="375">
        <v>686</v>
      </c>
      <c r="C231" s="374"/>
      <c r="D231" s="613" t="s">
        <v>680</v>
      </c>
      <c r="E231" s="331" t="s">
        <v>681</v>
      </c>
      <c r="F231" s="373">
        <v>3</v>
      </c>
      <c r="G231" s="372">
        <v>3</v>
      </c>
      <c r="H231" s="380">
        <f t="shared" si="10"/>
        <v>0</v>
      </c>
      <c r="I231" s="607">
        <v>42793</v>
      </c>
      <c r="J231" s="606" t="s">
        <v>774</v>
      </c>
      <c r="K231" s="612">
        <v>468</v>
      </c>
      <c r="L231" s="605">
        <v>42794</v>
      </c>
      <c r="M231" s="604">
        <v>650</v>
      </c>
      <c r="N231" s="173">
        <f t="shared" si="11"/>
        <v>1950</v>
      </c>
      <c r="O231" s="559" t="s">
        <v>587</v>
      </c>
      <c r="P231" s="369" t="s">
        <v>573</v>
      </c>
      <c r="Q231" s="369" t="s">
        <v>840</v>
      </c>
      <c r="R231" s="377" t="s">
        <v>908</v>
      </c>
      <c r="S231" s="413" t="s">
        <v>422</v>
      </c>
      <c r="T231" s="369" t="s">
        <v>423</v>
      </c>
      <c r="U231" s="368"/>
      <c r="V231" s="352"/>
      <c r="W231" s="276"/>
    </row>
    <row r="232" spans="1:23" s="135" customFormat="1" ht="15" hidden="1" customHeight="1">
      <c r="A232" s="306">
        <v>231</v>
      </c>
      <c r="B232" s="162" t="s">
        <v>777</v>
      </c>
      <c r="C232" s="161"/>
      <c r="D232" s="611" t="s">
        <v>224</v>
      </c>
      <c r="E232" s="350" t="s">
        <v>941</v>
      </c>
      <c r="F232" s="373">
        <v>4</v>
      </c>
      <c r="G232" s="609">
        <v>4</v>
      </c>
      <c r="H232" s="380">
        <f t="shared" si="10"/>
        <v>0</v>
      </c>
      <c r="I232" s="160">
        <v>42799</v>
      </c>
      <c r="J232" s="561" t="s">
        <v>776</v>
      </c>
      <c r="K232" s="317">
        <v>463</v>
      </c>
      <c r="L232" s="201">
        <v>42793</v>
      </c>
      <c r="M232" s="200">
        <f>480/4</f>
        <v>120</v>
      </c>
      <c r="N232" s="173">
        <f t="shared" si="11"/>
        <v>480</v>
      </c>
      <c r="O232" s="559" t="s">
        <v>425</v>
      </c>
      <c r="P232" s="154" t="s">
        <v>555</v>
      </c>
      <c r="Q232" s="154"/>
      <c r="R232" s="160" t="s">
        <v>908</v>
      </c>
      <c r="S232" s="413" t="s">
        <v>422</v>
      </c>
      <c r="T232" s="154" t="s">
        <v>423</v>
      </c>
      <c r="U232" s="602"/>
      <c r="V232" s="153"/>
      <c r="W232" s="276"/>
    </row>
    <row r="233" spans="1:23" s="135" customFormat="1" ht="15" hidden="1" customHeight="1">
      <c r="A233" s="306">
        <v>232</v>
      </c>
      <c r="B233" s="375" t="s">
        <v>777</v>
      </c>
      <c r="C233" s="161"/>
      <c r="D233" s="611" t="s">
        <v>70</v>
      </c>
      <c r="E233" s="367" t="s">
        <v>69</v>
      </c>
      <c r="F233" s="373">
        <v>1</v>
      </c>
      <c r="G233" s="373">
        <v>1</v>
      </c>
      <c r="H233" s="380">
        <f t="shared" si="10"/>
        <v>0</v>
      </c>
      <c r="I233" s="371">
        <v>42799</v>
      </c>
      <c r="J233" s="155" t="s">
        <v>648</v>
      </c>
      <c r="K233" s="317">
        <v>473</v>
      </c>
      <c r="L233" s="201">
        <v>42796</v>
      </c>
      <c r="M233" s="423">
        <v>14560</v>
      </c>
      <c r="N233" s="173">
        <f t="shared" si="11"/>
        <v>14560</v>
      </c>
      <c r="O233" s="559" t="s">
        <v>587</v>
      </c>
      <c r="P233" s="154" t="s">
        <v>612</v>
      </c>
      <c r="Q233" s="154"/>
      <c r="R233" s="607" t="s">
        <v>908</v>
      </c>
      <c r="S233" s="413" t="s">
        <v>422</v>
      </c>
      <c r="T233" s="369" t="s">
        <v>423</v>
      </c>
      <c r="U233" s="154"/>
      <c r="V233" s="153"/>
      <c r="W233" s="276"/>
    </row>
    <row r="234" spans="1:23" s="135" customFormat="1" ht="15" hidden="1" customHeight="1">
      <c r="A234" s="306">
        <v>233</v>
      </c>
      <c r="B234" s="375" t="s">
        <v>777</v>
      </c>
      <c r="C234" s="161"/>
      <c r="D234" s="611" t="s">
        <v>91</v>
      </c>
      <c r="E234" s="367" t="s">
        <v>50</v>
      </c>
      <c r="F234" s="373">
        <v>2</v>
      </c>
      <c r="G234" s="373">
        <v>2</v>
      </c>
      <c r="H234" s="380">
        <f t="shared" si="10"/>
        <v>0</v>
      </c>
      <c r="I234" s="371">
        <v>42799</v>
      </c>
      <c r="J234" s="155" t="s">
        <v>648</v>
      </c>
      <c r="K234" s="317">
        <v>473</v>
      </c>
      <c r="L234" s="201">
        <v>42796</v>
      </c>
      <c r="M234" s="200">
        <v>2810</v>
      </c>
      <c r="N234" s="173">
        <f t="shared" si="11"/>
        <v>5620</v>
      </c>
      <c r="O234" s="559" t="s">
        <v>587</v>
      </c>
      <c r="P234" s="154" t="s">
        <v>612</v>
      </c>
      <c r="Q234" s="154"/>
      <c r="R234" s="160" t="s">
        <v>908</v>
      </c>
      <c r="S234" s="413" t="s">
        <v>422</v>
      </c>
      <c r="T234" s="369" t="s">
        <v>423</v>
      </c>
      <c r="U234" s="154"/>
      <c r="V234" s="153"/>
      <c r="W234" s="276"/>
    </row>
    <row r="235" spans="1:23" s="135" customFormat="1" ht="15" hidden="1" customHeight="1">
      <c r="A235" s="306">
        <v>234</v>
      </c>
      <c r="B235" s="375" t="s">
        <v>777</v>
      </c>
      <c r="C235" s="161"/>
      <c r="D235" s="611" t="s">
        <v>29</v>
      </c>
      <c r="E235" s="5" t="s">
        <v>28</v>
      </c>
      <c r="F235" s="373">
        <v>3</v>
      </c>
      <c r="G235" s="373">
        <v>3</v>
      </c>
      <c r="H235" s="614">
        <f t="shared" si="10"/>
        <v>0</v>
      </c>
      <c r="I235" s="371">
        <v>42799</v>
      </c>
      <c r="J235" s="155" t="s">
        <v>648</v>
      </c>
      <c r="K235" s="317">
        <v>473</v>
      </c>
      <c r="L235" s="424">
        <v>42796</v>
      </c>
      <c r="M235" s="423">
        <v>450</v>
      </c>
      <c r="N235" s="615">
        <f t="shared" si="11"/>
        <v>1350</v>
      </c>
      <c r="O235" s="559" t="s">
        <v>587</v>
      </c>
      <c r="P235" s="154" t="s">
        <v>612</v>
      </c>
      <c r="Q235" s="154"/>
      <c r="R235" s="371" t="s">
        <v>908</v>
      </c>
      <c r="S235" s="413" t="s">
        <v>422</v>
      </c>
      <c r="T235" s="369" t="s">
        <v>423</v>
      </c>
      <c r="U235" s="154"/>
      <c r="V235" s="601"/>
      <c r="W235" s="549"/>
    </row>
    <row r="236" spans="1:23" s="135" customFormat="1" ht="15" hidden="1" customHeight="1">
      <c r="A236" s="306">
        <v>235</v>
      </c>
      <c r="B236" s="375" t="s">
        <v>777</v>
      </c>
      <c r="C236" s="196"/>
      <c r="D236" s="611" t="s">
        <v>71</v>
      </c>
      <c r="E236" s="350" t="s">
        <v>65</v>
      </c>
      <c r="F236" s="373">
        <v>14</v>
      </c>
      <c r="G236" s="373">
        <v>14</v>
      </c>
      <c r="H236" s="614">
        <f t="shared" si="10"/>
        <v>0</v>
      </c>
      <c r="I236" s="371">
        <v>42799</v>
      </c>
      <c r="J236" s="155" t="s">
        <v>648</v>
      </c>
      <c r="K236" s="317">
        <v>473</v>
      </c>
      <c r="L236" s="424">
        <v>42796</v>
      </c>
      <c r="M236" s="260">
        <v>1950</v>
      </c>
      <c r="N236" s="615">
        <f t="shared" si="11"/>
        <v>27300</v>
      </c>
      <c r="O236" s="559" t="s">
        <v>587</v>
      </c>
      <c r="P236" s="189" t="s">
        <v>612</v>
      </c>
      <c r="Q236" s="189"/>
      <c r="R236" s="371" t="s">
        <v>908</v>
      </c>
      <c r="S236" s="413" t="s">
        <v>422</v>
      </c>
      <c r="T236" s="369" t="s">
        <v>423</v>
      </c>
      <c r="U236" s="154"/>
      <c r="V236" s="601"/>
      <c r="W236" s="549"/>
    </row>
    <row r="237" spans="1:23" s="135" customFormat="1" ht="15" hidden="1" customHeight="1">
      <c r="A237" s="306">
        <v>236</v>
      </c>
      <c r="B237" s="375" t="s">
        <v>777</v>
      </c>
      <c r="C237" s="161"/>
      <c r="D237" s="611" t="s">
        <v>31</v>
      </c>
      <c r="E237" s="5" t="s">
        <v>28</v>
      </c>
      <c r="F237" s="373">
        <v>14</v>
      </c>
      <c r="G237" s="373">
        <v>14</v>
      </c>
      <c r="H237" s="614">
        <f t="shared" si="10"/>
        <v>0</v>
      </c>
      <c r="I237" s="371">
        <v>42799</v>
      </c>
      <c r="J237" s="155" t="s">
        <v>648</v>
      </c>
      <c r="K237" s="317">
        <v>473</v>
      </c>
      <c r="L237" s="424">
        <v>42796</v>
      </c>
      <c r="M237" s="423">
        <v>450</v>
      </c>
      <c r="N237" s="615">
        <f t="shared" si="11"/>
        <v>6300</v>
      </c>
      <c r="O237" s="559" t="s">
        <v>587</v>
      </c>
      <c r="P237" s="154" t="s">
        <v>612</v>
      </c>
      <c r="Q237" s="602"/>
      <c r="R237" s="371" t="s">
        <v>908</v>
      </c>
      <c r="S237" s="413" t="s">
        <v>422</v>
      </c>
      <c r="T237" s="369" t="s">
        <v>423</v>
      </c>
      <c r="U237" s="154"/>
      <c r="V237" s="601"/>
      <c r="W237" s="276"/>
    </row>
    <row r="238" spans="1:23" s="135" customFormat="1" ht="15" hidden="1" customHeight="1">
      <c r="A238" s="306">
        <v>237</v>
      </c>
      <c r="B238" s="375" t="s">
        <v>777</v>
      </c>
      <c r="C238" s="161"/>
      <c r="D238" s="611" t="s">
        <v>39</v>
      </c>
      <c r="E238" s="350" t="s">
        <v>38</v>
      </c>
      <c r="F238" s="373">
        <v>1</v>
      </c>
      <c r="G238" s="373">
        <v>1</v>
      </c>
      <c r="H238" s="380">
        <f t="shared" si="10"/>
        <v>0</v>
      </c>
      <c r="I238" s="371">
        <v>42799</v>
      </c>
      <c r="J238" s="155" t="s">
        <v>648</v>
      </c>
      <c r="K238" s="317">
        <v>473</v>
      </c>
      <c r="L238" s="424">
        <v>42796</v>
      </c>
      <c r="M238" s="423">
        <v>4500</v>
      </c>
      <c r="N238" s="173">
        <f t="shared" si="11"/>
        <v>4500</v>
      </c>
      <c r="O238" s="559" t="s">
        <v>587</v>
      </c>
      <c r="P238" s="154" t="s">
        <v>612</v>
      </c>
      <c r="Q238" s="154"/>
      <c r="R238" s="371" t="s">
        <v>908</v>
      </c>
      <c r="S238" s="413" t="s">
        <v>422</v>
      </c>
      <c r="T238" s="369" t="s">
        <v>423</v>
      </c>
      <c r="U238" s="154"/>
      <c r="V238" s="601"/>
      <c r="W238" s="276"/>
    </row>
    <row r="239" spans="1:23" s="135" customFormat="1" ht="15" hidden="1" customHeight="1">
      <c r="A239" s="306">
        <v>238</v>
      </c>
      <c r="B239" s="162" t="s">
        <v>784</v>
      </c>
      <c r="C239" s="161"/>
      <c r="D239" s="611" t="s">
        <v>247</v>
      </c>
      <c r="E239" s="600" t="s">
        <v>259</v>
      </c>
      <c r="F239" s="373">
        <v>1</v>
      </c>
      <c r="G239" s="373">
        <v>1</v>
      </c>
      <c r="H239" s="380">
        <f t="shared" si="10"/>
        <v>0</v>
      </c>
      <c r="I239" s="160">
        <v>42800</v>
      </c>
      <c r="J239" s="606" t="s">
        <v>611</v>
      </c>
      <c r="K239" s="317">
        <v>475</v>
      </c>
      <c r="L239" s="424">
        <v>42800</v>
      </c>
      <c r="M239" s="423">
        <v>3800</v>
      </c>
      <c r="N239" s="173">
        <f t="shared" si="11"/>
        <v>3800</v>
      </c>
      <c r="O239" s="559" t="s">
        <v>785</v>
      </c>
      <c r="P239" s="154" t="s">
        <v>786</v>
      </c>
      <c r="Q239" s="154"/>
      <c r="R239" s="371" t="s">
        <v>908</v>
      </c>
      <c r="S239" s="413" t="s">
        <v>422</v>
      </c>
      <c r="T239" s="154" t="s">
        <v>423</v>
      </c>
      <c r="U239" s="154"/>
      <c r="V239" s="601"/>
      <c r="W239" s="276"/>
    </row>
    <row r="240" spans="1:23" s="135" customFormat="1" ht="15" hidden="1" customHeight="1">
      <c r="A240" s="306">
        <v>239</v>
      </c>
      <c r="B240" s="162" t="s">
        <v>788</v>
      </c>
      <c r="C240" s="161"/>
      <c r="D240" s="611" t="s">
        <v>51</v>
      </c>
      <c r="E240" s="367" t="s">
        <v>50</v>
      </c>
      <c r="F240" s="609">
        <v>1</v>
      </c>
      <c r="G240" s="373">
        <v>1</v>
      </c>
      <c r="H240" s="614">
        <f t="shared" si="10"/>
        <v>0</v>
      </c>
      <c r="I240" s="160">
        <v>42801</v>
      </c>
      <c r="J240" s="606" t="s">
        <v>787</v>
      </c>
      <c r="K240" s="317">
        <v>485</v>
      </c>
      <c r="L240" s="424">
        <v>42801</v>
      </c>
      <c r="M240" s="423">
        <v>2510</v>
      </c>
      <c r="N240" s="615">
        <f t="shared" si="11"/>
        <v>2510</v>
      </c>
      <c r="O240" s="559" t="s">
        <v>785</v>
      </c>
      <c r="P240" s="154" t="s">
        <v>555</v>
      </c>
      <c r="Q240" s="154"/>
      <c r="R240" s="371" t="s">
        <v>908</v>
      </c>
      <c r="S240" s="413" t="s">
        <v>422</v>
      </c>
      <c r="T240" s="369" t="s">
        <v>423</v>
      </c>
      <c r="U240" s="154"/>
      <c r="V240" s="601"/>
      <c r="W240" s="276"/>
    </row>
    <row r="241" spans="1:23" s="135" customFormat="1" ht="15" hidden="1" customHeight="1">
      <c r="A241" s="306">
        <v>240</v>
      </c>
      <c r="B241" s="162">
        <v>50998</v>
      </c>
      <c r="C241" s="161"/>
      <c r="D241" s="611" t="s">
        <v>684</v>
      </c>
      <c r="E241" s="331" t="s">
        <v>685</v>
      </c>
      <c r="F241" s="373">
        <v>5</v>
      </c>
      <c r="G241" s="373">
        <v>5</v>
      </c>
      <c r="H241" s="614">
        <f t="shared" si="10"/>
        <v>0</v>
      </c>
      <c r="I241" s="160">
        <v>42802</v>
      </c>
      <c r="J241" s="606" t="s">
        <v>789</v>
      </c>
      <c r="K241" s="317">
        <v>487</v>
      </c>
      <c r="L241" s="424">
        <v>42801</v>
      </c>
      <c r="M241" s="423">
        <v>2000</v>
      </c>
      <c r="N241" s="615">
        <f t="shared" si="11"/>
        <v>10000</v>
      </c>
      <c r="O241" s="559" t="s">
        <v>785</v>
      </c>
      <c r="P241" s="154" t="s">
        <v>612</v>
      </c>
      <c r="Q241" s="154"/>
      <c r="R241" s="371" t="s">
        <v>908</v>
      </c>
      <c r="S241" s="413" t="s">
        <v>422</v>
      </c>
      <c r="T241" s="154" t="s">
        <v>423</v>
      </c>
      <c r="U241" s="154"/>
      <c r="V241" s="601"/>
      <c r="W241" s="549"/>
    </row>
    <row r="242" spans="1:23" s="135" customFormat="1" ht="15" hidden="1" customHeight="1">
      <c r="A242" s="306">
        <v>241</v>
      </c>
      <c r="B242" s="375" t="s">
        <v>790</v>
      </c>
      <c r="C242" s="374"/>
      <c r="D242" s="611" t="s">
        <v>146</v>
      </c>
      <c r="E242" s="188" t="s">
        <v>145</v>
      </c>
      <c r="F242" s="373">
        <v>4</v>
      </c>
      <c r="G242" s="373">
        <v>4</v>
      </c>
      <c r="H242" s="380">
        <f t="shared" si="10"/>
        <v>0</v>
      </c>
      <c r="I242" s="177">
        <v>42803</v>
      </c>
      <c r="J242" s="155" t="s">
        <v>791</v>
      </c>
      <c r="K242" s="376">
        <v>448</v>
      </c>
      <c r="L242" s="424">
        <v>42791</v>
      </c>
      <c r="M242" s="423">
        <v>470</v>
      </c>
      <c r="N242" s="173">
        <f t="shared" si="11"/>
        <v>1880</v>
      </c>
      <c r="O242" s="559" t="s">
        <v>587</v>
      </c>
      <c r="P242" s="369" t="s">
        <v>792</v>
      </c>
      <c r="Q242" s="600" t="s">
        <v>841</v>
      </c>
      <c r="R242" s="177" t="s">
        <v>908</v>
      </c>
      <c r="S242" s="413" t="s">
        <v>422</v>
      </c>
      <c r="T242" s="369" t="s">
        <v>423</v>
      </c>
      <c r="U242" s="154"/>
      <c r="V242" s="601"/>
      <c r="W242" s="276"/>
    </row>
    <row r="243" spans="1:23" s="135" customFormat="1" ht="15" hidden="1" customHeight="1">
      <c r="A243" s="306">
        <v>242</v>
      </c>
      <c r="B243" s="375"/>
      <c r="C243" s="374"/>
      <c r="D243" s="611" t="s">
        <v>64</v>
      </c>
      <c r="E243" s="601" t="s">
        <v>63</v>
      </c>
      <c r="F243" s="373">
        <v>1</v>
      </c>
      <c r="G243" s="373">
        <v>1</v>
      </c>
      <c r="H243" s="614">
        <f t="shared" si="10"/>
        <v>0</v>
      </c>
      <c r="I243" s="177">
        <v>42803</v>
      </c>
      <c r="J243" s="606" t="s">
        <v>793</v>
      </c>
      <c r="K243" s="376">
        <v>488</v>
      </c>
      <c r="L243" s="424">
        <v>42803</v>
      </c>
      <c r="M243" s="423">
        <v>2300</v>
      </c>
      <c r="N243" s="173">
        <f t="shared" si="11"/>
        <v>2300</v>
      </c>
      <c r="O243" s="559" t="s">
        <v>587</v>
      </c>
      <c r="P243" s="369" t="s">
        <v>555</v>
      </c>
      <c r="Q243" s="600"/>
      <c r="R243" s="177" t="s">
        <v>908</v>
      </c>
      <c r="S243" s="413" t="s">
        <v>422</v>
      </c>
      <c r="T243" s="602" t="s">
        <v>423</v>
      </c>
      <c r="U243" s="154"/>
      <c r="V243" s="601"/>
      <c r="W243" s="276"/>
    </row>
    <row r="244" spans="1:23" s="135" customFormat="1" ht="15" hidden="1" customHeight="1">
      <c r="A244" s="306">
        <v>243</v>
      </c>
      <c r="B244" s="162">
        <v>4034639</v>
      </c>
      <c r="C244" s="161"/>
      <c r="D244" s="611" t="s">
        <v>503</v>
      </c>
      <c r="E244" s="247" t="s">
        <v>504</v>
      </c>
      <c r="F244" s="373">
        <v>5</v>
      </c>
      <c r="G244" s="373">
        <v>5</v>
      </c>
      <c r="H244" s="380">
        <f t="shared" si="10"/>
        <v>0</v>
      </c>
      <c r="I244" s="160">
        <v>42807</v>
      </c>
      <c r="J244" s="155" t="s">
        <v>477</v>
      </c>
      <c r="K244" s="317">
        <v>490</v>
      </c>
      <c r="L244" s="424">
        <v>42806</v>
      </c>
      <c r="M244" s="423">
        <v>5740</v>
      </c>
      <c r="N244" s="173">
        <f t="shared" si="11"/>
        <v>28700</v>
      </c>
      <c r="O244" s="559" t="s">
        <v>587</v>
      </c>
      <c r="P244" s="154" t="s">
        <v>589</v>
      </c>
      <c r="Q244" s="154"/>
      <c r="R244" s="177" t="s">
        <v>908</v>
      </c>
      <c r="S244" s="413" t="s">
        <v>422</v>
      </c>
      <c r="T244" s="154" t="s">
        <v>423</v>
      </c>
      <c r="U244" s="154"/>
      <c r="V244" s="601"/>
      <c r="W244" s="276"/>
    </row>
    <row r="245" spans="1:23" s="135" customFormat="1" ht="15" hidden="1" customHeight="1">
      <c r="A245" s="306">
        <v>244</v>
      </c>
      <c r="B245" s="375">
        <v>4034639</v>
      </c>
      <c r="C245" s="161"/>
      <c r="D245" s="611" t="s">
        <v>249</v>
      </c>
      <c r="E245" s="600" t="s">
        <v>261</v>
      </c>
      <c r="F245" s="373">
        <v>20</v>
      </c>
      <c r="G245" s="373">
        <v>20</v>
      </c>
      <c r="H245" s="614">
        <f t="shared" si="10"/>
        <v>0</v>
      </c>
      <c r="I245" s="371">
        <v>42807</v>
      </c>
      <c r="J245" s="155" t="s">
        <v>477</v>
      </c>
      <c r="K245" s="317">
        <v>490</v>
      </c>
      <c r="L245" s="424">
        <v>42806</v>
      </c>
      <c r="M245" s="423">
        <v>430</v>
      </c>
      <c r="N245" s="615">
        <f t="shared" si="11"/>
        <v>8600</v>
      </c>
      <c r="O245" s="559" t="s">
        <v>587</v>
      </c>
      <c r="P245" s="369" t="s">
        <v>589</v>
      </c>
      <c r="Q245" s="154"/>
      <c r="R245" s="177" t="s">
        <v>908</v>
      </c>
      <c r="S245" s="413" t="s">
        <v>422</v>
      </c>
      <c r="T245" s="154" t="s">
        <v>423</v>
      </c>
      <c r="U245" s="602"/>
      <c r="V245" s="601"/>
      <c r="W245" s="549"/>
    </row>
    <row r="246" spans="1:23" s="135" customFormat="1" ht="15" customHeight="1">
      <c r="A246" s="306">
        <v>245</v>
      </c>
      <c r="B246" s="434" t="s">
        <v>809</v>
      </c>
      <c r="C246" s="433"/>
      <c r="D246" s="611" t="s">
        <v>80</v>
      </c>
      <c r="E246" s="350" t="s">
        <v>79</v>
      </c>
      <c r="F246" s="432">
        <v>3</v>
      </c>
      <c r="G246" s="432">
        <v>3</v>
      </c>
      <c r="H246" s="437">
        <f t="shared" si="10"/>
        <v>0</v>
      </c>
      <c r="I246" s="431">
        <v>42809</v>
      </c>
      <c r="J246" s="438" t="s">
        <v>507</v>
      </c>
      <c r="K246" s="318">
        <v>693</v>
      </c>
      <c r="L246" s="259">
        <v>42898</v>
      </c>
      <c r="M246" s="260">
        <v>743.49</v>
      </c>
      <c r="N246" s="439">
        <f t="shared" si="11"/>
        <v>2230.4700000000003</v>
      </c>
      <c r="O246" s="559" t="s">
        <v>587</v>
      </c>
      <c r="P246" s="602" t="s">
        <v>612</v>
      </c>
      <c r="Q246" s="189"/>
      <c r="R246" s="177" t="s">
        <v>908</v>
      </c>
      <c r="S246" s="429" t="s">
        <v>422</v>
      </c>
      <c r="T246" s="429" t="s">
        <v>423</v>
      </c>
      <c r="U246" s="154"/>
      <c r="V246" s="601"/>
      <c r="W246" s="549"/>
    </row>
    <row r="247" spans="1:23" s="135" customFormat="1" ht="15" hidden="1" customHeight="1">
      <c r="A247" s="306">
        <v>246</v>
      </c>
      <c r="B247" s="375"/>
      <c r="C247" s="374"/>
      <c r="D247" s="558" t="s">
        <v>939</v>
      </c>
      <c r="E247" s="602" t="s">
        <v>940</v>
      </c>
      <c r="F247" s="373">
        <v>8</v>
      </c>
      <c r="G247" s="373">
        <v>8</v>
      </c>
      <c r="H247" s="380">
        <f t="shared" si="10"/>
        <v>0</v>
      </c>
      <c r="I247" s="371">
        <v>42820</v>
      </c>
      <c r="J247" s="155" t="s">
        <v>811</v>
      </c>
      <c r="K247" s="317">
        <v>493</v>
      </c>
      <c r="L247" s="424">
        <v>42810</v>
      </c>
      <c r="M247" s="423">
        <f>900/8</f>
        <v>112.5</v>
      </c>
      <c r="N247" s="173">
        <f t="shared" si="11"/>
        <v>900</v>
      </c>
      <c r="O247" s="559" t="s">
        <v>425</v>
      </c>
      <c r="P247" s="369" t="s">
        <v>555</v>
      </c>
      <c r="Q247" s="369"/>
      <c r="R247" s="177" t="s">
        <v>908</v>
      </c>
      <c r="S247" s="413" t="s">
        <v>422</v>
      </c>
      <c r="T247" s="369" t="s">
        <v>423</v>
      </c>
      <c r="U247" s="423"/>
      <c r="V247" s="601"/>
      <c r="W247" s="276"/>
    </row>
    <row r="248" spans="1:23" s="135" customFormat="1" ht="15" hidden="1" customHeight="1">
      <c r="A248" s="306">
        <v>247</v>
      </c>
      <c r="B248" s="375">
        <v>174</v>
      </c>
      <c r="C248" s="374"/>
      <c r="D248" s="611" t="s">
        <v>219</v>
      </c>
      <c r="E248" s="6" t="s">
        <v>218</v>
      </c>
      <c r="F248" s="373">
        <v>8</v>
      </c>
      <c r="G248" s="609">
        <v>8</v>
      </c>
      <c r="H248" s="614">
        <f t="shared" si="10"/>
        <v>0</v>
      </c>
      <c r="I248" s="371">
        <v>42820</v>
      </c>
      <c r="J248" s="561" t="s">
        <v>812</v>
      </c>
      <c r="K248" s="316">
        <v>491</v>
      </c>
      <c r="L248" s="424">
        <v>42810</v>
      </c>
      <c r="M248" s="205">
        <v>1620</v>
      </c>
      <c r="N248" s="173">
        <f t="shared" si="11"/>
        <v>12960</v>
      </c>
      <c r="O248" s="559" t="s">
        <v>587</v>
      </c>
      <c r="P248" s="369" t="s">
        <v>612</v>
      </c>
      <c r="Q248" s="369"/>
      <c r="R248" s="177" t="s">
        <v>908</v>
      </c>
      <c r="S248" s="413" t="s">
        <v>422</v>
      </c>
      <c r="T248" s="369" t="s">
        <v>423</v>
      </c>
      <c r="U248" s="602"/>
      <c r="V248" s="352"/>
      <c r="W248" s="276"/>
    </row>
    <row r="249" spans="1:23" s="135" customFormat="1" ht="15" hidden="1" customHeight="1">
      <c r="A249" s="306">
        <v>248</v>
      </c>
      <c r="B249" s="375" t="s">
        <v>813</v>
      </c>
      <c r="C249" s="374"/>
      <c r="D249" s="611" t="s">
        <v>54</v>
      </c>
      <c r="E249" s="350" t="s">
        <v>368</v>
      </c>
      <c r="F249" s="373">
        <v>2</v>
      </c>
      <c r="G249" s="609">
        <v>2</v>
      </c>
      <c r="H249" s="614">
        <f t="shared" si="10"/>
        <v>0</v>
      </c>
      <c r="I249" s="371">
        <v>42820</v>
      </c>
      <c r="J249" s="561" t="s">
        <v>599</v>
      </c>
      <c r="K249" s="316">
        <v>492</v>
      </c>
      <c r="L249" s="381">
        <v>42810</v>
      </c>
      <c r="M249" s="205">
        <v>4000</v>
      </c>
      <c r="N249" s="615">
        <f t="shared" si="11"/>
        <v>8000</v>
      </c>
      <c r="O249" s="559" t="s">
        <v>587</v>
      </c>
      <c r="P249" s="369" t="s">
        <v>612</v>
      </c>
      <c r="Q249" s="369"/>
      <c r="R249" s="177" t="s">
        <v>908</v>
      </c>
      <c r="S249" s="413" t="s">
        <v>422</v>
      </c>
      <c r="T249" s="369" t="s">
        <v>423</v>
      </c>
      <c r="U249" s="602"/>
      <c r="V249" s="352"/>
      <c r="W249" s="276"/>
    </row>
    <row r="250" spans="1:23" s="365" customFormat="1" ht="15" hidden="1" customHeight="1">
      <c r="A250" s="306">
        <v>249</v>
      </c>
      <c r="B250" s="417" t="s">
        <v>810</v>
      </c>
      <c r="C250" s="416"/>
      <c r="D250" s="558" t="s">
        <v>95</v>
      </c>
      <c r="E250" s="367" t="s">
        <v>94</v>
      </c>
      <c r="F250" s="415">
        <v>1</v>
      </c>
      <c r="G250" s="609">
        <v>1</v>
      </c>
      <c r="H250" s="614">
        <f t="shared" si="10"/>
        <v>0</v>
      </c>
      <c r="I250" s="414">
        <v>42810</v>
      </c>
      <c r="J250" s="561" t="s">
        <v>823</v>
      </c>
      <c r="K250" s="557">
        <v>489</v>
      </c>
      <c r="L250" s="259">
        <v>42803</v>
      </c>
      <c r="M250" s="260">
        <v>28560</v>
      </c>
      <c r="N250" s="615">
        <f t="shared" si="11"/>
        <v>28560</v>
      </c>
      <c r="O250" s="559" t="s">
        <v>419</v>
      </c>
      <c r="P250" s="413" t="s">
        <v>581</v>
      </c>
      <c r="Q250" s="600" t="s">
        <v>824</v>
      </c>
      <c r="R250" s="607" t="s">
        <v>908</v>
      </c>
      <c r="S250" s="413" t="s">
        <v>422</v>
      </c>
      <c r="T250" s="413" t="s">
        <v>423</v>
      </c>
      <c r="U250" s="602"/>
      <c r="V250" s="412"/>
      <c r="W250" s="273"/>
    </row>
    <row r="251" spans="1:23" s="135" customFormat="1" ht="15" hidden="1" customHeight="1">
      <c r="A251" s="306">
        <v>250</v>
      </c>
      <c r="B251" s="611" t="s">
        <v>827</v>
      </c>
      <c r="C251" s="610"/>
      <c r="D251" s="611" t="s">
        <v>814</v>
      </c>
      <c r="E251" s="601" t="s">
        <v>818</v>
      </c>
      <c r="F251" s="609">
        <v>1</v>
      </c>
      <c r="G251" s="609">
        <v>1</v>
      </c>
      <c r="H251" s="614">
        <f t="shared" si="10"/>
        <v>0</v>
      </c>
      <c r="I251" s="607">
        <v>42813</v>
      </c>
      <c r="J251" s="561" t="s">
        <v>826</v>
      </c>
      <c r="K251" s="317">
        <v>518</v>
      </c>
      <c r="L251" s="424">
        <v>42820</v>
      </c>
      <c r="M251" s="423">
        <v>798</v>
      </c>
      <c r="N251" s="615">
        <f t="shared" si="11"/>
        <v>798</v>
      </c>
      <c r="O251" s="559" t="s">
        <v>419</v>
      </c>
      <c r="P251" s="602" t="s">
        <v>844</v>
      </c>
      <c r="Q251" s="602"/>
      <c r="R251" s="607" t="s">
        <v>908</v>
      </c>
      <c r="S251" s="602" t="s">
        <v>422</v>
      </c>
      <c r="T251" s="602" t="s">
        <v>423</v>
      </c>
      <c r="U251" s="602"/>
      <c r="V251" s="601"/>
      <c r="W251" s="276"/>
    </row>
    <row r="252" spans="1:23" s="135" customFormat="1" ht="15" hidden="1" customHeight="1">
      <c r="A252" s="306">
        <v>251</v>
      </c>
      <c r="B252" s="611" t="s">
        <v>827</v>
      </c>
      <c r="C252" s="610"/>
      <c r="D252" s="611" t="s">
        <v>815</v>
      </c>
      <c r="E252" s="601" t="s">
        <v>819</v>
      </c>
      <c r="F252" s="609">
        <v>1</v>
      </c>
      <c r="G252" s="609">
        <v>1</v>
      </c>
      <c r="H252" s="614">
        <f t="shared" si="10"/>
        <v>0</v>
      </c>
      <c r="I252" s="607">
        <v>42813</v>
      </c>
      <c r="J252" s="561" t="s">
        <v>826</v>
      </c>
      <c r="K252" s="317">
        <v>518</v>
      </c>
      <c r="L252" s="424">
        <v>42820</v>
      </c>
      <c r="M252" s="423">
        <v>572</v>
      </c>
      <c r="N252" s="615">
        <f t="shared" si="11"/>
        <v>572</v>
      </c>
      <c r="O252" s="559" t="s">
        <v>419</v>
      </c>
      <c r="P252" s="602" t="s">
        <v>844</v>
      </c>
      <c r="Q252" s="602"/>
      <c r="R252" s="607" t="s">
        <v>908</v>
      </c>
      <c r="S252" s="602" t="s">
        <v>422</v>
      </c>
      <c r="T252" s="602" t="s">
        <v>423</v>
      </c>
      <c r="U252" s="602"/>
      <c r="V252" s="601"/>
      <c r="W252" s="276"/>
    </row>
    <row r="253" spans="1:23" s="135" customFormat="1" ht="15" hidden="1" customHeight="1">
      <c r="A253" s="306">
        <v>252</v>
      </c>
      <c r="B253" s="162"/>
      <c r="C253" s="161"/>
      <c r="D253" s="611" t="s">
        <v>64</v>
      </c>
      <c r="E253" s="367" t="s">
        <v>63</v>
      </c>
      <c r="F253" s="373">
        <v>1</v>
      </c>
      <c r="G253" s="373">
        <v>1</v>
      </c>
      <c r="H253" s="380">
        <f t="shared" si="10"/>
        <v>0</v>
      </c>
      <c r="I253" s="160">
        <v>42813</v>
      </c>
      <c r="J253" s="155" t="s">
        <v>828</v>
      </c>
      <c r="K253" s="317">
        <v>502</v>
      </c>
      <c r="L253" s="424">
        <v>42814</v>
      </c>
      <c r="M253" s="203">
        <v>2250</v>
      </c>
      <c r="N253" s="173">
        <f t="shared" si="11"/>
        <v>2250</v>
      </c>
      <c r="O253" s="559" t="s">
        <v>785</v>
      </c>
      <c r="P253" s="154" t="s">
        <v>555</v>
      </c>
      <c r="Q253" s="154"/>
      <c r="R253" s="371" t="s">
        <v>908</v>
      </c>
      <c r="S253" s="413" t="s">
        <v>422</v>
      </c>
      <c r="T253" s="154" t="s">
        <v>423</v>
      </c>
      <c r="U253" s="154"/>
      <c r="V253" s="601"/>
      <c r="W253" s="276"/>
    </row>
    <row r="254" spans="1:23" s="135" customFormat="1" ht="15" hidden="1" customHeight="1">
      <c r="A254" s="306">
        <v>253</v>
      </c>
      <c r="B254" s="611" t="s">
        <v>851</v>
      </c>
      <c r="C254" s="180"/>
      <c r="D254" s="611" t="s">
        <v>73</v>
      </c>
      <c r="E254" s="350" t="s">
        <v>72</v>
      </c>
      <c r="F254" s="609">
        <v>1</v>
      </c>
      <c r="G254" s="609">
        <v>1</v>
      </c>
      <c r="H254" s="614">
        <f t="shared" si="10"/>
        <v>0</v>
      </c>
      <c r="I254" s="607">
        <v>42814</v>
      </c>
      <c r="J254" s="606" t="s">
        <v>584</v>
      </c>
      <c r="K254" s="317">
        <v>539</v>
      </c>
      <c r="L254" s="424">
        <v>42829</v>
      </c>
      <c r="M254" s="423">
        <v>8817</v>
      </c>
      <c r="N254" s="615">
        <f t="shared" si="11"/>
        <v>8817</v>
      </c>
      <c r="O254" s="559" t="s">
        <v>587</v>
      </c>
      <c r="P254" s="602" t="s">
        <v>555</v>
      </c>
      <c r="Q254" s="602"/>
      <c r="R254" s="607" t="s">
        <v>908</v>
      </c>
      <c r="S254" s="602" t="s">
        <v>422</v>
      </c>
      <c r="T254" s="602" t="s">
        <v>423</v>
      </c>
      <c r="U254" s="602" t="s">
        <v>911</v>
      </c>
      <c r="V254" s="601"/>
      <c r="W254" s="276"/>
    </row>
    <row r="255" spans="1:23" s="135" customFormat="1" ht="15" hidden="1" customHeight="1">
      <c r="A255" s="306">
        <v>254</v>
      </c>
      <c r="B255" s="417" t="s">
        <v>851</v>
      </c>
      <c r="C255" s="161"/>
      <c r="D255" s="611" t="s">
        <v>250</v>
      </c>
      <c r="E255" s="600" t="s">
        <v>262</v>
      </c>
      <c r="F255" s="373">
        <v>6</v>
      </c>
      <c r="G255" s="609">
        <v>6</v>
      </c>
      <c r="H255" s="380">
        <f t="shared" si="10"/>
        <v>0</v>
      </c>
      <c r="I255" s="371">
        <v>42814</v>
      </c>
      <c r="J255" s="370" t="s">
        <v>584</v>
      </c>
      <c r="K255" s="317">
        <v>539</v>
      </c>
      <c r="L255" s="424">
        <v>42829</v>
      </c>
      <c r="M255" s="207">
        <v>1202.1600000000001</v>
      </c>
      <c r="N255" s="173">
        <f t="shared" si="11"/>
        <v>7212.9600000000009</v>
      </c>
      <c r="O255" s="559" t="s">
        <v>587</v>
      </c>
      <c r="P255" s="429" t="s">
        <v>555</v>
      </c>
      <c r="Q255" s="154"/>
      <c r="R255" s="371" t="s">
        <v>908</v>
      </c>
      <c r="S255" s="413" t="s">
        <v>422</v>
      </c>
      <c r="T255" s="154" t="s">
        <v>423</v>
      </c>
      <c r="U255" s="602" t="s">
        <v>911</v>
      </c>
      <c r="V255" s="153"/>
      <c r="W255" s="276"/>
    </row>
    <row r="256" spans="1:23" s="135" customFormat="1" ht="15" hidden="1" customHeight="1">
      <c r="A256" s="306">
        <v>255</v>
      </c>
      <c r="B256" s="417" t="s">
        <v>851</v>
      </c>
      <c r="C256" s="161"/>
      <c r="D256" s="611" t="s">
        <v>80</v>
      </c>
      <c r="E256" s="350" t="s">
        <v>79</v>
      </c>
      <c r="F256" s="373">
        <v>11</v>
      </c>
      <c r="G256" s="373">
        <v>11</v>
      </c>
      <c r="H256" s="380">
        <f t="shared" si="10"/>
        <v>0</v>
      </c>
      <c r="I256" s="371">
        <v>42814</v>
      </c>
      <c r="J256" s="606" t="s">
        <v>584</v>
      </c>
      <c r="K256" s="317">
        <v>539</v>
      </c>
      <c r="L256" s="424">
        <v>42829</v>
      </c>
      <c r="M256" s="207">
        <v>830</v>
      </c>
      <c r="N256" s="173">
        <f t="shared" si="11"/>
        <v>9130</v>
      </c>
      <c r="O256" s="559" t="s">
        <v>587</v>
      </c>
      <c r="P256" s="602" t="s">
        <v>555</v>
      </c>
      <c r="Q256" s="154"/>
      <c r="R256" s="371" t="s">
        <v>908</v>
      </c>
      <c r="S256" s="413" t="s">
        <v>422</v>
      </c>
      <c r="T256" s="154" t="s">
        <v>423</v>
      </c>
      <c r="U256" s="429" t="s">
        <v>911</v>
      </c>
      <c r="V256" s="153"/>
      <c r="W256" s="276"/>
    </row>
    <row r="257" spans="1:23" s="365" customFormat="1" ht="15" hidden="1" customHeight="1">
      <c r="A257" s="306">
        <v>256</v>
      </c>
      <c r="B257" s="417" t="s">
        <v>829</v>
      </c>
      <c r="C257" s="416"/>
      <c r="D257" s="611" t="s">
        <v>817</v>
      </c>
      <c r="E257" s="284" t="s">
        <v>820</v>
      </c>
      <c r="F257" s="415">
        <v>45</v>
      </c>
      <c r="G257" s="415">
        <v>45</v>
      </c>
      <c r="H257" s="420">
        <f t="shared" si="10"/>
        <v>0</v>
      </c>
      <c r="I257" s="414">
        <v>42814</v>
      </c>
      <c r="J257" s="421" t="s">
        <v>492</v>
      </c>
      <c r="K257" s="426">
        <v>503</v>
      </c>
      <c r="L257" s="257">
        <v>42814</v>
      </c>
      <c r="M257" s="256">
        <v>1540</v>
      </c>
      <c r="N257" s="422">
        <f t="shared" si="11"/>
        <v>69300</v>
      </c>
      <c r="O257" s="559" t="s">
        <v>587</v>
      </c>
      <c r="P257" s="413"/>
      <c r="Q257" s="413"/>
      <c r="R257" s="414" t="s">
        <v>908</v>
      </c>
      <c r="S257" s="413" t="s">
        <v>422</v>
      </c>
      <c r="T257" s="413" t="s">
        <v>423</v>
      </c>
      <c r="U257" s="413"/>
      <c r="V257" s="601"/>
      <c r="W257" s="273"/>
    </row>
    <row r="258" spans="1:23" s="135" customFormat="1" ht="15" hidden="1" customHeight="1">
      <c r="A258" s="306">
        <v>257</v>
      </c>
      <c r="B258" s="162">
        <v>391594</v>
      </c>
      <c r="C258" s="161"/>
      <c r="D258" s="613" t="s">
        <v>281</v>
      </c>
      <c r="E258" s="600" t="s">
        <v>280</v>
      </c>
      <c r="F258" s="373">
        <v>7</v>
      </c>
      <c r="G258" s="608">
        <v>7</v>
      </c>
      <c r="H258" s="380">
        <f t="shared" si="10"/>
        <v>0</v>
      </c>
      <c r="I258" s="371">
        <v>42814</v>
      </c>
      <c r="J258" s="606" t="s">
        <v>830</v>
      </c>
      <c r="K258" s="310">
        <v>544</v>
      </c>
      <c r="L258" s="171">
        <v>42813</v>
      </c>
      <c r="M258" s="170">
        <v>3500</v>
      </c>
      <c r="N258" s="173">
        <f t="shared" si="11"/>
        <v>24500</v>
      </c>
      <c r="O258" s="559" t="s">
        <v>587</v>
      </c>
      <c r="P258" s="602"/>
      <c r="Q258" s="154"/>
      <c r="R258" s="371" t="s">
        <v>908</v>
      </c>
      <c r="S258" s="413" t="s">
        <v>422</v>
      </c>
      <c r="T258" s="154" t="s">
        <v>423</v>
      </c>
      <c r="U258" s="600"/>
      <c r="V258" s="601"/>
      <c r="W258" s="549"/>
    </row>
    <row r="259" spans="1:23" s="135" customFormat="1" ht="15" hidden="1" customHeight="1">
      <c r="A259" s="306">
        <v>258</v>
      </c>
      <c r="B259" s="375">
        <v>391594</v>
      </c>
      <c r="C259" s="610"/>
      <c r="D259" s="613" t="s">
        <v>323</v>
      </c>
      <c r="E259" s="251" t="s">
        <v>322</v>
      </c>
      <c r="F259" s="373">
        <v>5</v>
      </c>
      <c r="G259" s="608">
        <v>5</v>
      </c>
      <c r="H259" s="380">
        <f t="shared" si="10"/>
        <v>0</v>
      </c>
      <c r="I259" s="371">
        <v>42814</v>
      </c>
      <c r="J259" s="606" t="s">
        <v>830</v>
      </c>
      <c r="K259" s="310">
        <v>5544</v>
      </c>
      <c r="L259" s="171">
        <v>42813</v>
      </c>
      <c r="M259" s="604">
        <v>2800</v>
      </c>
      <c r="N259" s="173">
        <f t="shared" si="11"/>
        <v>14000</v>
      </c>
      <c r="O259" s="559" t="s">
        <v>587</v>
      </c>
      <c r="P259" s="602"/>
      <c r="Q259" s="602"/>
      <c r="R259" s="371" t="s">
        <v>908</v>
      </c>
      <c r="S259" s="413" t="s">
        <v>422</v>
      </c>
      <c r="T259" s="154" t="s">
        <v>423</v>
      </c>
      <c r="U259" s="600"/>
      <c r="V259" s="601"/>
      <c r="W259" s="276"/>
    </row>
    <row r="260" spans="1:23" s="135" customFormat="1" ht="15" hidden="1" customHeight="1">
      <c r="A260" s="306">
        <v>259</v>
      </c>
      <c r="B260" s="162" t="s">
        <v>604</v>
      </c>
      <c r="C260" s="161"/>
      <c r="D260" s="611" t="s">
        <v>77</v>
      </c>
      <c r="E260" s="367" t="s">
        <v>76</v>
      </c>
      <c r="F260" s="373">
        <v>2</v>
      </c>
      <c r="G260" s="373">
        <v>2</v>
      </c>
      <c r="H260" s="380">
        <f t="shared" si="10"/>
        <v>0</v>
      </c>
      <c r="I260" s="371">
        <v>42814</v>
      </c>
      <c r="J260" s="155" t="s">
        <v>600</v>
      </c>
      <c r="K260" s="317">
        <v>497</v>
      </c>
      <c r="L260" s="424">
        <v>42813</v>
      </c>
      <c r="M260" s="423">
        <v>800</v>
      </c>
      <c r="N260" s="173">
        <f t="shared" si="11"/>
        <v>1600</v>
      </c>
      <c r="O260" s="559" t="s">
        <v>587</v>
      </c>
      <c r="P260" s="154"/>
      <c r="Q260" s="154"/>
      <c r="R260" s="371" t="s">
        <v>908</v>
      </c>
      <c r="S260" s="413" t="s">
        <v>422</v>
      </c>
      <c r="T260" s="154" t="s">
        <v>423</v>
      </c>
      <c r="U260" s="154"/>
      <c r="V260" s="601"/>
      <c r="W260" s="276"/>
    </row>
    <row r="261" spans="1:23" s="135" customFormat="1" ht="15" hidden="1" customHeight="1">
      <c r="A261" s="306">
        <v>260</v>
      </c>
      <c r="B261" s="162">
        <v>4034639</v>
      </c>
      <c r="C261" s="161"/>
      <c r="D261" s="611" t="s">
        <v>503</v>
      </c>
      <c r="E261" s="247" t="s">
        <v>504</v>
      </c>
      <c r="F261" s="373">
        <v>11</v>
      </c>
      <c r="G261" s="373">
        <v>11</v>
      </c>
      <c r="H261" s="380">
        <f t="shared" si="10"/>
        <v>0</v>
      </c>
      <c r="I261" s="160">
        <v>42814</v>
      </c>
      <c r="J261" s="155" t="s">
        <v>477</v>
      </c>
      <c r="K261" s="317">
        <v>498</v>
      </c>
      <c r="L261" s="424">
        <v>42813</v>
      </c>
      <c r="M261" s="423">
        <v>5740</v>
      </c>
      <c r="N261" s="173">
        <f t="shared" si="11"/>
        <v>63140</v>
      </c>
      <c r="O261" s="559" t="s">
        <v>587</v>
      </c>
      <c r="P261" s="154"/>
      <c r="Q261" s="154"/>
      <c r="R261" s="371" t="s">
        <v>908</v>
      </c>
      <c r="S261" s="413" t="s">
        <v>422</v>
      </c>
      <c r="T261" s="369" t="s">
        <v>423</v>
      </c>
      <c r="U261" s="154"/>
      <c r="V261" s="601"/>
      <c r="W261" s="276"/>
    </row>
    <row r="262" spans="1:23" s="135" customFormat="1" ht="15" hidden="1" customHeight="1">
      <c r="A262" s="306">
        <v>261</v>
      </c>
      <c r="B262" s="162">
        <v>179469</v>
      </c>
      <c r="C262" s="161"/>
      <c r="D262" s="611" t="s">
        <v>321</v>
      </c>
      <c r="E262" s="354" t="s">
        <v>320</v>
      </c>
      <c r="F262" s="373">
        <v>1</v>
      </c>
      <c r="G262" s="373">
        <v>1</v>
      </c>
      <c r="H262" s="380">
        <f t="shared" si="10"/>
        <v>0</v>
      </c>
      <c r="I262" s="371">
        <v>42814</v>
      </c>
      <c r="J262" s="155" t="s">
        <v>765</v>
      </c>
      <c r="K262" s="317">
        <v>495</v>
      </c>
      <c r="L262" s="424">
        <v>42813</v>
      </c>
      <c r="M262" s="423">
        <v>600</v>
      </c>
      <c r="N262" s="173">
        <f t="shared" si="11"/>
        <v>600</v>
      </c>
      <c r="O262" s="559" t="s">
        <v>587</v>
      </c>
      <c r="P262" s="154"/>
      <c r="Q262" s="154"/>
      <c r="R262" s="371" t="s">
        <v>908</v>
      </c>
      <c r="S262" s="413" t="s">
        <v>422</v>
      </c>
      <c r="T262" s="369" t="s">
        <v>423</v>
      </c>
      <c r="U262" s="154"/>
      <c r="V262" s="601"/>
      <c r="W262" s="276"/>
    </row>
    <row r="263" spans="1:23" s="135" customFormat="1" ht="15" hidden="1" customHeight="1">
      <c r="A263" s="306">
        <v>262</v>
      </c>
      <c r="B263" s="375">
        <v>12989</v>
      </c>
      <c r="C263" s="196"/>
      <c r="D263" s="613" t="s">
        <v>80</v>
      </c>
      <c r="E263" s="350" t="s">
        <v>79</v>
      </c>
      <c r="F263" s="373">
        <v>4</v>
      </c>
      <c r="G263" s="608">
        <v>4</v>
      </c>
      <c r="H263" s="380">
        <f t="shared" si="10"/>
        <v>0</v>
      </c>
      <c r="I263" s="371">
        <v>42814</v>
      </c>
      <c r="J263" s="606" t="s">
        <v>831</v>
      </c>
      <c r="K263" s="612">
        <v>501</v>
      </c>
      <c r="L263" s="605">
        <v>42813</v>
      </c>
      <c r="M263" s="604">
        <v>1030</v>
      </c>
      <c r="N263" s="173">
        <f t="shared" si="11"/>
        <v>4120</v>
      </c>
      <c r="O263" s="559" t="s">
        <v>587</v>
      </c>
      <c r="P263" s="189"/>
      <c r="Q263" s="189"/>
      <c r="R263" s="371" t="s">
        <v>908</v>
      </c>
      <c r="S263" s="413" t="s">
        <v>422</v>
      </c>
      <c r="T263" s="369" t="s">
        <v>423</v>
      </c>
      <c r="U263" s="390" t="s">
        <v>912</v>
      </c>
      <c r="V263" s="601"/>
      <c r="W263" s="549"/>
    </row>
    <row r="264" spans="1:23" s="135" customFormat="1" ht="15" hidden="1" customHeight="1">
      <c r="A264" s="306">
        <v>263</v>
      </c>
      <c r="B264" s="417">
        <v>4505109424</v>
      </c>
      <c r="C264" s="416"/>
      <c r="D264" s="611" t="s">
        <v>816</v>
      </c>
      <c r="E264" s="252" t="s">
        <v>681</v>
      </c>
      <c r="F264" s="415">
        <v>3</v>
      </c>
      <c r="G264" s="609">
        <v>3</v>
      </c>
      <c r="H264" s="420">
        <f t="shared" si="10"/>
        <v>0</v>
      </c>
      <c r="I264" s="607">
        <v>42814</v>
      </c>
      <c r="J264" s="561" t="s">
        <v>750</v>
      </c>
      <c r="K264" s="317">
        <v>499</v>
      </c>
      <c r="L264" s="424">
        <v>42813</v>
      </c>
      <c r="M264" s="423">
        <v>970</v>
      </c>
      <c r="N264" s="422">
        <f t="shared" si="11"/>
        <v>2910</v>
      </c>
      <c r="O264" s="559" t="s">
        <v>587</v>
      </c>
      <c r="P264" s="413" t="s">
        <v>573</v>
      </c>
      <c r="Q264" s="602" t="s">
        <v>936</v>
      </c>
      <c r="R264" s="607" t="s">
        <v>908</v>
      </c>
      <c r="S264" s="413" t="s">
        <v>422</v>
      </c>
      <c r="T264" s="413" t="s">
        <v>423</v>
      </c>
      <c r="U264" s="154"/>
      <c r="V264" s="153"/>
      <c r="W264" s="276"/>
    </row>
    <row r="265" spans="1:23" s="135" customFormat="1" ht="15" hidden="1" customHeight="1">
      <c r="A265" s="306">
        <v>264</v>
      </c>
      <c r="B265" s="162"/>
      <c r="C265" s="161"/>
      <c r="D265" s="558" t="s">
        <v>939</v>
      </c>
      <c r="E265" s="602" t="s">
        <v>940</v>
      </c>
      <c r="F265" s="373">
        <v>32</v>
      </c>
      <c r="G265" s="609">
        <v>32</v>
      </c>
      <c r="H265" s="614">
        <f t="shared" si="10"/>
        <v>0</v>
      </c>
      <c r="I265" s="160">
        <v>42815</v>
      </c>
      <c r="J265" s="155" t="s">
        <v>833</v>
      </c>
      <c r="K265" s="240">
        <v>510</v>
      </c>
      <c r="L265" s="607">
        <v>42815</v>
      </c>
      <c r="M265" s="616">
        <f>1800/32</f>
        <v>56.25</v>
      </c>
      <c r="N265" s="615">
        <f t="shared" si="11"/>
        <v>1800</v>
      </c>
      <c r="O265" s="559" t="s">
        <v>587</v>
      </c>
      <c r="P265" s="154" t="s">
        <v>555</v>
      </c>
      <c r="Q265" s="154"/>
      <c r="R265" s="607" t="s">
        <v>908</v>
      </c>
      <c r="S265" s="413" t="s">
        <v>422</v>
      </c>
      <c r="T265" s="154" t="s">
        <v>423</v>
      </c>
      <c r="U265" s="602"/>
      <c r="V265" s="153"/>
      <c r="W265" s="276"/>
    </row>
    <row r="266" spans="1:23" s="135" customFormat="1" ht="15" hidden="1" customHeight="1">
      <c r="A266" s="306">
        <v>265</v>
      </c>
      <c r="B266" s="162"/>
      <c r="C266" s="161"/>
      <c r="D266" s="611" t="s">
        <v>90</v>
      </c>
      <c r="E266" s="410" t="s">
        <v>89</v>
      </c>
      <c r="F266" s="373">
        <v>10</v>
      </c>
      <c r="G266" s="609">
        <v>10</v>
      </c>
      <c r="H266" s="614">
        <f t="shared" si="10"/>
        <v>0</v>
      </c>
      <c r="I266" s="371">
        <v>42815</v>
      </c>
      <c r="J266" s="155" t="s">
        <v>424</v>
      </c>
      <c r="K266" s="240">
        <v>507</v>
      </c>
      <c r="L266" s="607">
        <v>42815</v>
      </c>
      <c r="M266" s="616">
        <v>275</v>
      </c>
      <c r="N266" s="615">
        <f t="shared" si="11"/>
        <v>2750</v>
      </c>
      <c r="O266" s="559" t="s">
        <v>587</v>
      </c>
      <c r="P266" s="369" t="s">
        <v>555</v>
      </c>
      <c r="Q266" s="154"/>
      <c r="R266" s="607" t="s">
        <v>908</v>
      </c>
      <c r="S266" s="413" t="s">
        <v>422</v>
      </c>
      <c r="T266" s="369" t="s">
        <v>423</v>
      </c>
      <c r="U266" s="602"/>
      <c r="V266" s="153"/>
      <c r="W266" s="276"/>
    </row>
    <row r="267" spans="1:23" s="135" customFormat="1" ht="15" hidden="1" customHeight="1">
      <c r="A267" s="306">
        <v>266</v>
      </c>
      <c r="B267" s="611" t="s">
        <v>835</v>
      </c>
      <c r="C267" s="610"/>
      <c r="D267" s="611" t="s">
        <v>73</v>
      </c>
      <c r="E267" s="350" t="s">
        <v>72</v>
      </c>
      <c r="F267" s="609">
        <v>1</v>
      </c>
      <c r="G267" s="609">
        <v>1</v>
      </c>
      <c r="H267" s="614">
        <f t="shared" si="10"/>
        <v>0</v>
      </c>
      <c r="I267" s="607">
        <v>42815</v>
      </c>
      <c r="J267" s="561" t="s">
        <v>834</v>
      </c>
      <c r="K267" s="557">
        <v>508</v>
      </c>
      <c r="L267" s="607">
        <v>42815</v>
      </c>
      <c r="M267" s="423">
        <v>33430</v>
      </c>
      <c r="N267" s="615">
        <f t="shared" si="11"/>
        <v>33430</v>
      </c>
      <c r="O267" s="559" t="s">
        <v>587</v>
      </c>
      <c r="P267" s="602" t="s">
        <v>589</v>
      </c>
      <c r="Q267" s="602"/>
      <c r="R267" s="607" t="s">
        <v>908</v>
      </c>
      <c r="S267" s="602" t="s">
        <v>422</v>
      </c>
      <c r="T267" s="602" t="s">
        <v>423</v>
      </c>
      <c r="U267" s="602"/>
      <c r="V267" s="601"/>
      <c r="W267" s="549"/>
    </row>
    <row r="268" spans="1:23" s="135" customFormat="1" ht="15" hidden="1" customHeight="1">
      <c r="A268" s="306">
        <v>267</v>
      </c>
      <c r="B268" s="375" t="s">
        <v>835</v>
      </c>
      <c r="C268" s="161"/>
      <c r="D268" s="611" t="s">
        <v>75</v>
      </c>
      <c r="E268" s="367" t="s">
        <v>74</v>
      </c>
      <c r="F268" s="373">
        <v>1</v>
      </c>
      <c r="G268" s="373">
        <v>1</v>
      </c>
      <c r="H268" s="614">
        <f t="shared" si="10"/>
        <v>0</v>
      </c>
      <c r="I268" s="371">
        <v>42815</v>
      </c>
      <c r="J268" s="155" t="s">
        <v>834</v>
      </c>
      <c r="K268" s="557">
        <v>508</v>
      </c>
      <c r="L268" s="607">
        <v>42815</v>
      </c>
      <c r="M268" s="275">
        <v>23560</v>
      </c>
      <c r="N268" s="615">
        <f t="shared" si="11"/>
        <v>23560</v>
      </c>
      <c r="O268" s="559" t="s">
        <v>587</v>
      </c>
      <c r="P268" s="369" t="s">
        <v>589</v>
      </c>
      <c r="Q268" s="154"/>
      <c r="R268" s="607" t="s">
        <v>908</v>
      </c>
      <c r="S268" s="413" t="s">
        <v>422</v>
      </c>
      <c r="T268" s="369" t="s">
        <v>423</v>
      </c>
      <c r="U268" s="154"/>
      <c r="V268" s="153"/>
      <c r="W268" s="549"/>
    </row>
    <row r="269" spans="1:23" s="135" customFormat="1" ht="15" hidden="1" customHeight="1">
      <c r="A269" s="306">
        <v>268</v>
      </c>
      <c r="B269" s="162" t="s">
        <v>836</v>
      </c>
      <c r="C269" s="161"/>
      <c r="D269" s="611" t="s">
        <v>75</v>
      </c>
      <c r="E269" s="367" t="s">
        <v>74</v>
      </c>
      <c r="F269" s="373">
        <v>1</v>
      </c>
      <c r="G269" s="609">
        <v>1</v>
      </c>
      <c r="H269" s="614">
        <f t="shared" si="10"/>
        <v>0</v>
      </c>
      <c r="I269" s="160">
        <v>42816</v>
      </c>
      <c r="J269" s="561" t="s">
        <v>838</v>
      </c>
      <c r="K269" s="317">
        <v>505</v>
      </c>
      <c r="L269" s="424">
        <v>42814</v>
      </c>
      <c r="M269" s="423">
        <v>31550</v>
      </c>
      <c r="N269" s="615">
        <f t="shared" si="11"/>
        <v>31550</v>
      </c>
      <c r="O269" s="559" t="s">
        <v>587</v>
      </c>
      <c r="P269" s="602" t="s">
        <v>1994</v>
      </c>
      <c r="Q269" s="154"/>
      <c r="R269" s="607" t="s">
        <v>908</v>
      </c>
      <c r="S269" s="413" t="s">
        <v>422</v>
      </c>
      <c r="T269" s="154" t="s">
        <v>423</v>
      </c>
      <c r="U269" s="602"/>
      <c r="V269" s="153"/>
      <c r="W269" s="276"/>
    </row>
    <row r="270" spans="1:23" s="135" customFormat="1" ht="15" hidden="1" customHeight="1">
      <c r="A270" s="306">
        <v>269</v>
      </c>
      <c r="B270" s="375" t="s">
        <v>837</v>
      </c>
      <c r="C270" s="161"/>
      <c r="D270" s="611" t="s">
        <v>75</v>
      </c>
      <c r="E270" s="367" t="s">
        <v>74</v>
      </c>
      <c r="F270" s="373">
        <v>1</v>
      </c>
      <c r="G270" s="609">
        <v>1</v>
      </c>
      <c r="H270" s="614">
        <f t="shared" si="10"/>
        <v>0</v>
      </c>
      <c r="I270" s="371">
        <v>42816</v>
      </c>
      <c r="J270" s="561" t="s">
        <v>838</v>
      </c>
      <c r="K270" s="317">
        <v>506</v>
      </c>
      <c r="L270" s="201">
        <v>42814</v>
      </c>
      <c r="M270" s="423">
        <v>31550</v>
      </c>
      <c r="N270" s="615">
        <f t="shared" si="11"/>
        <v>31550</v>
      </c>
      <c r="O270" s="559" t="s">
        <v>587</v>
      </c>
      <c r="P270" s="154" t="s">
        <v>1995</v>
      </c>
      <c r="Q270" s="154"/>
      <c r="R270" s="371" t="s">
        <v>908</v>
      </c>
      <c r="S270" s="413" t="s">
        <v>422</v>
      </c>
      <c r="T270" s="154" t="s">
        <v>423</v>
      </c>
      <c r="U270" s="602"/>
      <c r="V270" s="153"/>
      <c r="W270" s="276"/>
    </row>
    <row r="271" spans="1:23" s="411" customFormat="1" ht="15" hidden="1" customHeight="1">
      <c r="A271" s="306">
        <v>270</v>
      </c>
      <c r="B271" s="417" t="s">
        <v>842</v>
      </c>
      <c r="C271" s="416"/>
      <c r="D271" s="611" t="s">
        <v>77</v>
      </c>
      <c r="E271" s="418" t="s">
        <v>76</v>
      </c>
      <c r="F271" s="415">
        <v>3</v>
      </c>
      <c r="G271" s="415">
        <v>3</v>
      </c>
      <c r="H271" s="420">
        <f t="shared" si="10"/>
        <v>0</v>
      </c>
      <c r="I271" s="414">
        <v>42820</v>
      </c>
      <c r="J271" s="421" t="s">
        <v>845</v>
      </c>
      <c r="K271" s="317">
        <v>509</v>
      </c>
      <c r="L271" s="424">
        <v>42815</v>
      </c>
      <c r="M271" s="423">
        <v>720</v>
      </c>
      <c r="N271" s="422">
        <f t="shared" si="11"/>
        <v>2160</v>
      </c>
      <c r="O271" s="559" t="s">
        <v>587</v>
      </c>
      <c r="P271" s="413" t="s">
        <v>1128</v>
      </c>
      <c r="Q271" s="413"/>
      <c r="R271" s="414" t="s">
        <v>908</v>
      </c>
      <c r="S271" s="413" t="s">
        <v>422</v>
      </c>
      <c r="T271" s="413" t="s">
        <v>423</v>
      </c>
      <c r="U271" s="413"/>
      <c r="V271" s="601"/>
      <c r="W271" s="549"/>
    </row>
    <row r="272" spans="1:23" s="135" customFormat="1" ht="15" hidden="1" customHeight="1">
      <c r="A272" s="306">
        <v>271</v>
      </c>
      <c r="B272" s="162"/>
      <c r="C272" s="161"/>
      <c r="D272" s="611" t="s">
        <v>172</v>
      </c>
      <c r="E272" s="458" t="s">
        <v>171</v>
      </c>
      <c r="F272" s="373">
        <v>4</v>
      </c>
      <c r="G272" s="373">
        <v>4</v>
      </c>
      <c r="H272" s="614">
        <f t="shared" ref="H272:H335" si="12">F272-G272</f>
        <v>0</v>
      </c>
      <c r="I272" s="160">
        <v>42817</v>
      </c>
      <c r="J272" s="326" t="s">
        <v>843</v>
      </c>
      <c r="K272" s="240">
        <v>511</v>
      </c>
      <c r="L272" s="371">
        <v>42816</v>
      </c>
      <c r="M272" s="175">
        <v>1130</v>
      </c>
      <c r="N272" s="615">
        <f t="shared" si="11"/>
        <v>4520</v>
      </c>
      <c r="O272" s="559" t="s">
        <v>587</v>
      </c>
      <c r="P272" s="154" t="s">
        <v>844</v>
      </c>
      <c r="Q272" s="154"/>
      <c r="R272" s="371" t="s">
        <v>908</v>
      </c>
      <c r="S272" s="413" t="s">
        <v>422</v>
      </c>
      <c r="T272" s="154" t="s">
        <v>423</v>
      </c>
      <c r="U272" s="154" t="s">
        <v>910</v>
      </c>
      <c r="V272" s="601"/>
      <c r="W272" s="276"/>
    </row>
    <row r="273" spans="1:23" s="135" customFormat="1" ht="15" hidden="1" customHeight="1">
      <c r="A273" s="306">
        <v>272</v>
      </c>
      <c r="B273" s="417"/>
      <c r="C273" s="416"/>
      <c r="D273" s="611" t="s">
        <v>90</v>
      </c>
      <c r="E273" s="601" t="s">
        <v>417</v>
      </c>
      <c r="F273" s="415">
        <v>1</v>
      </c>
      <c r="G273" s="415">
        <v>1</v>
      </c>
      <c r="H273" s="420">
        <f t="shared" si="12"/>
        <v>0</v>
      </c>
      <c r="I273" s="414">
        <v>42819</v>
      </c>
      <c r="J273" s="421" t="s">
        <v>569</v>
      </c>
      <c r="K273" s="317">
        <v>517</v>
      </c>
      <c r="L273" s="424">
        <v>42820</v>
      </c>
      <c r="M273" s="423">
        <v>290</v>
      </c>
      <c r="N273" s="422">
        <f t="shared" si="11"/>
        <v>290</v>
      </c>
      <c r="O273" s="559" t="s">
        <v>425</v>
      </c>
      <c r="P273" s="413" t="s">
        <v>555</v>
      </c>
      <c r="Q273" s="413"/>
      <c r="R273" s="414" t="s">
        <v>908</v>
      </c>
      <c r="S273" s="413" t="s">
        <v>825</v>
      </c>
      <c r="T273" s="413" t="s">
        <v>423</v>
      </c>
      <c r="U273" s="602"/>
      <c r="V273" s="601"/>
      <c r="W273" s="276"/>
    </row>
    <row r="274" spans="1:23" s="365" customFormat="1" ht="15" hidden="1" customHeight="1">
      <c r="A274" s="306">
        <v>273</v>
      </c>
      <c r="B274" s="417"/>
      <c r="C274" s="416"/>
      <c r="D274" s="611" t="s">
        <v>246</v>
      </c>
      <c r="E274" s="600" t="s">
        <v>258</v>
      </c>
      <c r="F274" s="415">
        <v>3</v>
      </c>
      <c r="G274" s="609">
        <v>3</v>
      </c>
      <c r="H274" s="614">
        <f t="shared" si="12"/>
        <v>0</v>
      </c>
      <c r="I274" s="414">
        <v>42820</v>
      </c>
      <c r="J274" s="174" t="s">
        <v>644</v>
      </c>
      <c r="K274" s="318">
        <v>516</v>
      </c>
      <c r="L274" s="259">
        <v>42819</v>
      </c>
      <c r="M274" s="260">
        <v>6055</v>
      </c>
      <c r="N274" s="615">
        <f t="shared" si="11"/>
        <v>18165</v>
      </c>
      <c r="O274" s="559" t="s">
        <v>587</v>
      </c>
      <c r="P274" s="413"/>
      <c r="Q274" s="413"/>
      <c r="R274" s="607" t="s">
        <v>908</v>
      </c>
      <c r="S274" s="413" t="s">
        <v>422</v>
      </c>
      <c r="T274" s="413" t="s">
        <v>423</v>
      </c>
      <c r="U274" s="602"/>
      <c r="V274" s="412"/>
      <c r="W274" s="273"/>
    </row>
    <row r="275" spans="1:23" s="365" customFormat="1" ht="15" hidden="1" customHeight="1">
      <c r="A275" s="306">
        <v>274</v>
      </c>
      <c r="B275" s="417"/>
      <c r="C275" s="416"/>
      <c r="D275" s="611" t="s">
        <v>248</v>
      </c>
      <c r="E275" s="600" t="s">
        <v>260</v>
      </c>
      <c r="F275" s="415">
        <v>5</v>
      </c>
      <c r="G275" s="415">
        <v>5</v>
      </c>
      <c r="H275" s="614">
        <f t="shared" si="12"/>
        <v>0</v>
      </c>
      <c r="I275" s="414">
        <v>42820</v>
      </c>
      <c r="J275" s="174" t="s">
        <v>644</v>
      </c>
      <c r="K275" s="318">
        <v>516</v>
      </c>
      <c r="L275" s="259">
        <v>42819</v>
      </c>
      <c r="M275" s="260">
        <v>2090</v>
      </c>
      <c r="N275" s="615">
        <f t="shared" si="11"/>
        <v>10450</v>
      </c>
      <c r="O275" s="559" t="s">
        <v>587</v>
      </c>
      <c r="P275" s="413"/>
      <c r="Q275" s="413"/>
      <c r="R275" s="414" t="s">
        <v>908</v>
      </c>
      <c r="S275" s="413" t="s">
        <v>422</v>
      </c>
      <c r="T275" s="413" t="s">
        <v>423</v>
      </c>
      <c r="U275" s="413"/>
      <c r="V275" s="601"/>
      <c r="W275" s="273"/>
    </row>
    <row r="276" spans="1:23" s="135" customFormat="1" ht="15" hidden="1" customHeight="1">
      <c r="A276" s="306">
        <v>275</v>
      </c>
      <c r="B276" s="434" t="s">
        <v>913</v>
      </c>
      <c r="C276" s="433"/>
      <c r="D276" s="611" t="s">
        <v>95</v>
      </c>
      <c r="E276" s="367" t="s">
        <v>94</v>
      </c>
      <c r="F276" s="432">
        <v>2</v>
      </c>
      <c r="G276" s="609">
        <v>2</v>
      </c>
      <c r="H276" s="614">
        <f t="shared" si="12"/>
        <v>0</v>
      </c>
      <c r="I276" s="431">
        <v>42820</v>
      </c>
      <c r="J276" s="561" t="s">
        <v>846</v>
      </c>
      <c r="K276" s="441">
        <v>536</v>
      </c>
      <c r="L276" s="442">
        <v>42828</v>
      </c>
      <c r="M276" s="443">
        <v>48000</v>
      </c>
      <c r="N276" s="615">
        <f t="shared" si="11"/>
        <v>96000</v>
      </c>
      <c r="O276" s="559" t="s">
        <v>587</v>
      </c>
      <c r="P276" s="429" t="s">
        <v>1996</v>
      </c>
      <c r="Q276" s="429"/>
      <c r="R276" s="607" t="s">
        <v>908</v>
      </c>
      <c r="S276" s="429" t="s">
        <v>422</v>
      </c>
      <c r="T276" s="429" t="s">
        <v>423</v>
      </c>
      <c r="U276" s="602"/>
      <c r="V276" s="153"/>
      <c r="W276" s="276"/>
    </row>
    <row r="277" spans="1:23" s="365" customFormat="1" ht="15" hidden="1" customHeight="1">
      <c r="A277" s="306">
        <v>276</v>
      </c>
      <c r="B277" s="417"/>
      <c r="C277" s="416"/>
      <c r="D277" s="611" t="s">
        <v>82</v>
      </c>
      <c r="E277" s="367" t="s">
        <v>81</v>
      </c>
      <c r="F277" s="415">
        <v>1</v>
      </c>
      <c r="G277" s="609">
        <v>1</v>
      </c>
      <c r="H277" s="614">
        <f t="shared" si="12"/>
        <v>0</v>
      </c>
      <c r="I277" s="414">
        <v>42820</v>
      </c>
      <c r="J277" s="421" t="s">
        <v>847</v>
      </c>
      <c r="K277" s="376">
        <v>515</v>
      </c>
      <c r="L277" s="607">
        <v>42819</v>
      </c>
      <c r="M277" s="616">
        <v>4310</v>
      </c>
      <c r="N277" s="615">
        <f t="shared" si="11"/>
        <v>4310</v>
      </c>
      <c r="O277" s="559" t="s">
        <v>587</v>
      </c>
      <c r="P277" s="413"/>
      <c r="Q277" s="413"/>
      <c r="R277" s="607" t="s">
        <v>908</v>
      </c>
      <c r="S277" s="413" t="s">
        <v>422</v>
      </c>
      <c r="T277" s="413"/>
      <c r="U277" s="602"/>
      <c r="V277" s="412"/>
      <c r="W277" s="273"/>
    </row>
    <row r="278" spans="1:23" s="135" customFormat="1" ht="15" hidden="1" customHeight="1">
      <c r="A278" s="306">
        <v>277</v>
      </c>
      <c r="B278" s="162" t="s">
        <v>849</v>
      </c>
      <c r="C278" s="161"/>
      <c r="D278" s="611" t="s">
        <v>219</v>
      </c>
      <c r="E278" s="6" t="s">
        <v>218</v>
      </c>
      <c r="F278" s="373">
        <v>20</v>
      </c>
      <c r="G278" s="373">
        <v>20</v>
      </c>
      <c r="H278" s="420">
        <f t="shared" si="12"/>
        <v>0</v>
      </c>
      <c r="I278" s="160">
        <v>42821</v>
      </c>
      <c r="J278" s="155" t="s">
        <v>492</v>
      </c>
      <c r="K278" s="317">
        <v>504</v>
      </c>
      <c r="L278" s="424">
        <v>42814</v>
      </c>
      <c r="M278" s="423">
        <v>1550</v>
      </c>
      <c r="N278" s="422">
        <f t="shared" si="11"/>
        <v>31000</v>
      </c>
      <c r="O278" s="559" t="s">
        <v>587</v>
      </c>
      <c r="P278" s="154" t="s">
        <v>1997</v>
      </c>
      <c r="Q278" s="154"/>
      <c r="R278" s="414" t="s">
        <v>908</v>
      </c>
      <c r="S278" s="413" t="s">
        <v>422</v>
      </c>
      <c r="T278" s="154" t="s">
        <v>423</v>
      </c>
      <c r="U278" s="154"/>
      <c r="V278" s="601"/>
      <c r="W278" s="549"/>
    </row>
    <row r="279" spans="1:23" s="135" customFormat="1" ht="15" hidden="1" customHeight="1">
      <c r="A279" s="306">
        <v>278</v>
      </c>
      <c r="B279" s="162" t="s">
        <v>848</v>
      </c>
      <c r="C279" s="161"/>
      <c r="D279" s="613" t="s">
        <v>761</v>
      </c>
      <c r="E279" s="252" t="s">
        <v>766</v>
      </c>
      <c r="F279" s="373">
        <v>152</v>
      </c>
      <c r="G279" s="609">
        <v>152</v>
      </c>
      <c r="H279" s="614">
        <f t="shared" si="12"/>
        <v>0</v>
      </c>
      <c r="I279" s="414">
        <v>42821</v>
      </c>
      <c r="J279" s="421" t="s">
        <v>492</v>
      </c>
      <c r="K279" s="317">
        <v>512</v>
      </c>
      <c r="L279" s="424">
        <v>42816</v>
      </c>
      <c r="M279" s="202">
        <v>85</v>
      </c>
      <c r="N279" s="615">
        <f t="shared" si="11"/>
        <v>12920</v>
      </c>
      <c r="O279" s="559" t="s">
        <v>587</v>
      </c>
      <c r="P279" s="154" t="s">
        <v>1997</v>
      </c>
      <c r="Q279" s="154"/>
      <c r="R279" s="607" t="s">
        <v>908</v>
      </c>
      <c r="S279" s="413" t="s">
        <v>422</v>
      </c>
      <c r="T279" s="154" t="s">
        <v>423</v>
      </c>
      <c r="U279" s="602"/>
      <c r="V279" s="153"/>
      <c r="W279" s="276"/>
    </row>
    <row r="280" spans="1:23" s="135" customFormat="1" ht="15" hidden="1" customHeight="1">
      <c r="A280" s="306">
        <v>279</v>
      </c>
      <c r="B280" s="611">
        <v>17002</v>
      </c>
      <c r="C280" s="433"/>
      <c r="D280" s="611" t="s">
        <v>90</v>
      </c>
      <c r="E280" s="601" t="s">
        <v>417</v>
      </c>
      <c r="F280" s="432">
        <v>20</v>
      </c>
      <c r="G280" s="609">
        <v>20</v>
      </c>
      <c r="H280" s="614">
        <f t="shared" si="12"/>
        <v>0</v>
      </c>
      <c r="I280" s="431">
        <v>42821</v>
      </c>
      <c r="J280" s="363" t="s">
        <v>852</v>
      </c>
      <c r="K280" s="318">
        <v>522</v>
      </c>
      <c r="L280" s="259">
        <v>42821</v>
      </c>
      <c r="M280" s="260">
        <v>280</v>
      </c>
      <c r="N280" s="615">
        <f t="shared" si="11"/>
        <v>5600</v>
      </c>
      <c r="O280" s="559" t="s">
        <v>587</v>
      </c>
      <c r="P280" s="602" t="s">
        <v>983</v>
      </c>
      <c r="Q280" s="429" t="s">
        <v>935</v>
      </c>
      <c r="R280" s="607" t="s">
        <v>908</v>
      </c>
      <c r="S280" s="429" t="s">
        <v>422</v>
      </c>
      <c r="T280" s="429" t="s">
        <v>423</v>
      </c>
      <c r="U280" s="602"/>
      <c r="V280" s="428"/>
      <c r="W280" s="276"/>
    </row>
    <row r="281" spans="1:23" s="135" customFormat="1" ht="15" hidden="1" customHeight="1">
      <c r="A281" s="306">
        <v>280</v>
      </c>
      <c r="B281" s="162" t="s">
        <v>853</v>
      </c>
      <c r="C281" s="161"/>
      <c r="D281" s="611" t="s">
        <v>75</v>
      </c>
      <c r="E281" s="367" t="s">
        <v>74</v>
      </c>
      <c r="F281" s="609">
        <v>1</v>
      </c>
      <c r="G281" s="609">
        <v>1</v>
      </c>
      <c r="H281" s="614">
        <f t="shared" si="12"/>
        <v>0</v>
      </c>
      <c r="I281" s="160">
        <v>42822</v>
      </c>
      <c r="J281" s="561" t="s">
        <v>611</v>
      </c>
      <c r="K281" s="557">
        <v>521</v>
      </c>
      <c r="L281" s="607">
        <v>42821</v>
      </c>
      <c r="M281" s="616">
        <v>33000</v>
      </c>
      <c r="N281" s="615">
        <f t="shared" si="11"/>
        <v>33000</v>
      </c>
      <c r="O281" s="559" t="s">
        <v>587</v>
      </c>
      <c r="P281" s="154" t="s">
        <v>854</v>
      </c>
      <c r="Q281" s="154"/>
      <c r="R281" s="607" t="s">
        <v>908</v>
      </c>
      <c r="S281" s="413" t="s">
        <v>422</v>
      </c>
      <c r="T281" s="154" t="s">
        <v>423</v>
      </c>
      <c r="U281" s="602"/>
      <c r="V281" s="153"/>
      <c r="W281" s="276"/>
    </row>
    <row r="282" spans="1:23" s="135" customFormat="1" ht="15" hidden="1" customHeight="1">
      <c r="A282" s="306">
        <v>281</v>
      </c>
      <c r="B282" s="417" t="s">
        <v>853</v>
      </c>
      <c r="C282" s="161"/>
      <c r="D282" s="611" t="s">
        <v>73</v>
      </c>
      <c r="E282" s="350" t="s">
        <v>72</v>
      </c>
      <c r="F282" s="373">
        <v>1</v>
      </c>
      <c r="G282" s="609">
        <v>1</v>
      </c>
      <c r="H282" s="614">
        <f t="shared" si="12"/>
        <v>0</v>
      </c>
      <c r="I282" s="414">
        <v>42822</v>
      </c>
      <c r="J282" s="561" t="s">
        <v>611</v>
      </c>
      <c r="K282" s="557">
        <v>521</v>
      </c>
      <c r="L282" s="607">
        <v>42821</v>
      </c>
      <c r="M282" s="616">
        <v>23000</v>
      </c>
      <c r="N282" s="615">
        <f t="shared" ref="N282:N345" si="13">IFERROR(M282*G282,0)</f>
        <v>23000</v>
      </c>
      <c r="O282" s="559" t="s">
        <v>587</v>
      </c>
      <c r="P282" s="413" t="s">
        <v>854</v>
      </c>
      <c r="Q282" s="154"/>
      <c r="R282" s="607" t="s">
        <v>908</v>
      </c>
      <c r="S282" s="413" t="s">
        <v>422</v>
      </c>
      <c r="T282" s="154" t="s">
        <v>423</v>
      </c>
      <c r="U282" s="602"/>
      <c r="V282" s="153"/>
      <c r="W282" s="549"/>
    </row>
    <row r="283" spans="1:23" s="135" customFormat="1" ht="15" hidden="1" customHeight="1">
      <c r="A283" s="306">
        <v>282</v>
      </c>
      <c r="B283" s="611" t="s">
        <v>855</v>
      </c>
      <c r="C283" s="610"/>
      <c r="D283" s="611" t="s">
        <v>706</v>
      </c>
      <c r="E283" s="601" t="s">
        <v>711</v>
      </c>
      <c r="F283" s="609">
        <v>1</v>
      </c>
      <c r="G283" s="609">
        <v>1</v>
      </c>
      <c r="H283" s="380">
        <f t="shared" si="12"/>
        <v>0</v>
      </c>
      <c r="I283" s="607">
        <v>42821</v>
      </c>
      <c r="J283" s="561" t="s">
        <v>643</v>
      </c>
      <c r="K283" s="612">
        <v>519</v>
      </c>
      <c r="L283" s="424">
        <v>42820</v>
      </c>
      <c r="M283" s="604">
        <v>240</v>
      </c>
      <c r="N283" s="615">
        <f t="shared" si="13"/>
        <v>240</v>
      </c>
      <c r="O283" s="559" t="s">
        <v>587</v>
      </c>
      <c r="P283" s="602" t="s">
        <v>555</v>
      </c>
      <c r="Q283" s="602"/>
      <c r="R283" s="607" t="s">
        <v>908</v>
      </c>
      <c r="S283" s="602" t="s">
        <v>422</v>
      </c>
      <c r="T283" s="602" t="s">
        <v>423</v>
      </c>
      <c r="U283" s="602"/>
      <c r="V283" s="601"/>
      <c r="W283" s="549"/>
    </row>
    <row r="284" spans="1:23" s="135" customFormat="1" ht="15" hidden="1" customHeight="1">
      <c r="A284" s="306">
        <v>283</v>
      </c>
      <c r="B284" s="611" t="s">
        <v>855</v>
      </c>
      <c r="C284" s="610"/>
      <c r="D284" s="611" t="s">
        <v>707</v>
      </c>
      <c r="E284" s="601" t="s">
        <v>712</v>
      </c>
      <c r="F284" s="609">
        <v>11</v>
      </c>
      <c r="G284" s="609">
        <v>11</v>
      </c>
      <c r="H284" s="614">
        <f t="shared" si="12"/>
        <v>0</v>
      </c>
      <c r="I284" s="607">
        <v>42821</v>
      </c>
      <c r="J284" s="421" t="s">
        <v>643</v>
      </c>
      <c r="K284" s="612">
        <v>519</v>
      </c>
      <c r="L284" s="424">
        <v>42820</v>
      </c>
      <c r="M284" s="616">
        <v>411</v>
      </c>
      <c r="N284" s="615">
        <f t="shared" si="13"/>
        <v>4521</v>
      </c>
      <c r="O284" s="559" t="s">
        <v>587</v>
      </c>
      <c r="P284" s="602" t="s">
        <v>555</v>
      </c>
      <c r="Q284" s="602"/>
      <c r="R284" s="607" t="s">
        <v>908</v>
      </c>
      <c r="S284" s="602" t="s">
        <v>422</v>
      </c>
      <c r="T284" s="602" t="s">
        <v>423</v>
      </c>
      <c r="U284" s="602"/>
      <c r="V284" s="601"/>
      <c r="W284" s="276"/>
    </row>
    <row r="285" spans="1:23" s="135" customFormat="1" ht="15" hidden="1" customHeight="1">
      <c r="A285" s="306">
        <v>284</v>
      </c>
      <c r="B285" s="611" t="s">
        <v>855</v>
      </c>
      <c r="C285" s="610"/>
      <c r="D285" s="611" t="s">
        <v>708</v>
      </c>
      <c r="E285" s="601" t="s">
        <v>713</v>
      </c>
      <c r="F285" s="609">
        <v>2</v>
      </c>
      <c r="G285" s="609">
        <v>2</v>
      </c>
      <c r="H285" s="614">
        <f t="shared" si="12"/>
        <v>0</v>
      </c>
      <c r="I285" s="607">
        <v>42821</v>
      </c>
      <c r="J285" s="561" t="s">
        <v>643</v>
      </c>
      <c r="K285" s="612">
        <v>519</v>
      </c>
      <c r="L285" s="424">
        <v>42820</v>
      </c>
      <c r="M285" s="616">
        <v>1060</v>
      </c>
      <c r="N285" s="615">
        <f t="shared" si="13"/>
        <v>2120</v>
      </c>
      <c r="O285" s="559" t="s">
        <v>587</v>
      </c>
      <c r="P285" s="602" t="s">
        <v>555</v>
      </c>
      <c r="Q285" s="602"/>
      <c r="R285" s="607" t="s">
        <v>908</v>
      </c>
      <c r="S285" s="602" t="s">
        <v>422</v>
      </c>
      <c r="T285" s="602" t="s">
        <v>423</v>
      </c>
      <c r="U285" s="602"/>
      <c r="V285" s="601"/>
      <c r="W285" s="276"/>
    </row>
    <row r="286" spans="1:23" s="135" customFormat="1" ht="15" hidden="1" customHeight="1">
      <c r="A286" s="306">
        <v>285</v>
      </c>
      <c r="B286" s="611" t="s">
        <v>855</v>
      </c>
      <c r="C286" s="196"/>
      <c r="D286" s="611" t="s">
        <v>709</v>
      </c>
      <c r="E286" s="418" t="s">
        <v>714</v>
      </c>
      <c r="F286" s="609">
        <v>5</v>
      </c>
      <c r="G286" s="609">
        <v>5</v>
      </c>
      <c r="H286" s="380">
        <f t="shared" si="12"/>
        <v>0</v>
      </c>
      <c r="I286" s="607">
        <v>42821</v>
      </c>
      <c r="J286" s="561" t="s">
        <v>643</v>
      </c>
      <c r="K286" s="239">
        <v>519</v>
      </c>
      <c r="L286" s="424">
        <v>42820</v>
      </c>
      <c r="M286" s="616">
        <v>440</v>
      </c>
      <c r="N286" s="615">
        <f t="shared" si="13"/>
        <v>2200</v>
      </c>
      <c r="O286" s="559" t="s">
        <v>587</v>
      </c>
      <c r="P286" s="602" t="s">
        <v>555</v>
      </c>
      <c r="Q286" s="189"/>
      <c r="R286" s="607" t="s">
        <v>908</v>
      </c>
      <c r="S286" s="602" t="s">
        <v>422</v>
      </c>
      <c r="T286" s="602" t="s">
        <v>423</v>
      </c>
      <c r="U286" s="602"/>
      <c r="V286" s="601"/>
      <c r="W286" s="276"/>
    </row>
    <row r="287" spans="1:23" s="365" customFormat="1" ht="15" hidden="1" customHeight="1">
      <c r="A287" s="306">
        <v>286</v>
      </c>
      <c r="B287" s="611">
        <v>2182</v>
      </c>
      <c r="C287" s="610"/>
      <c r="D287" s="611" t="s">
        <v>856</v>
      </c>
      <c r="E287" s="331" t="s">
        <v>857</v>
      </c>
      <c r="F287" s="609">
        <v>1</v>
      </c>
      <c r="G287" s="609">
        <v>1</v>
      </c>
      <c r="H287" s="420">
        <f t="shared" si="12"/>
        <v>0</v>
      </c>
      <c r="I287" s="607">
        <v>42820</v>
      </c>
      <c r="J287" s="174" t="s">
        <v>826</v>
      </c>
      <c r="K287" s="376">
        <v>518</v>
      </c>
      <c r="L287" s="607">
        <v>42820</v>
      </c>
      <c r="M287" s="616">
        <v>572</v>
      </c>
      <c r="N287" s="422">
        <f t="shared" si="13"/>
        <v>572</v>
      </c>
      <c r="O287" s="559" t="s">
        <v>587</v>
      </c>
      <c r="P287" s="602" t="s">
        <v>589</v>
      </c>
      <c r="Q287" s="602"/>
      <c r="R287" s="607" t="s">
        <v>908</v>
      </c>
      <c r="S287" s="602" t="s">
        <v>422</v>
      </c>
      <c r="T287" s="602" t="s">
        <v>423</v>
      </c>
      <c r="U287" s="602"/>
      <c r="V287" s="601"/>
      <c r="W287" s="273"/>
    </row>
    <row r="288" spans="1:23" s="135" customFormat="1" ht="15" hidden="1" customHeight="1">
      <c r="A288" s="306">
        <v>287</v>
      </c>
      <c r="B288" s="162"/>
      <c r="C288" s="161"/>
      <c r="D288" s="611" t="s">
        <v>247</v>
      </c>
      <c r="E288" s="600" t="s">
        <v>259</v>
      </c>
      <c r="F288" s="373">
        <v>1</v>
      </c>
      <c r="G288" s="373">
        <v>1</v>
      </c>
      <c r="H288" s="380">
        <f t="shared" si="12"/>
        <v>0</v>
      </c>
      <c r="I288" s="160">
        <v>42821</v>
      </c>
      <c r="J288" s="606" t="s">
        <v>828</v>
      </c>
      <c r="K288" s="317">
        <v>524</v>
      </c>
      <c r="L288" s="424">
        <v>42821</v>
      </c>
      <c r="M288" s="423">
        <v>3750</v>
      </c>
      <c r="N288" s="422">
        <f t="shared" si="13"/>
        <v>3750</v>
      </c>
      <c r="O288" s="559" t="s">
        <v>587</v>
      </c>
      <c r="P288" s="154" t="s">
        <v>555</v>
      </c>
      <c r="Q288" s="154"/>
      <c r="R288" s="414" t="s">
        <v>908</v>
      </c>
      <c r="S288" s="413" t="s">
        <v>422</v>
      </c>
      <c r="T288" s="154" t="s">
        <v>423</v>
      </c>
      <c r="U288" s="154"/>
      <c r="V288" s="601"/>
      <c r="W288" s="549"/>
    </row>
    <row r="289" spans="1:23" s="135" customFormat="1" ht="15" hidden="1" customHeight="1">
      <c r="A289" s="306">
        <v>288</v>
      </c>
      <c r="B289" s="611" t="s">
        <v>859</v>
      </c>
      <c r="C289" s="610"/>
      <c r="D289" s="611" t="s">
        <v>247</v>
      </c>
      <c r="E289" s="600" t="s">
        <v>259</v>
      </c>
      <c r="F289" s="373">
        <v>1</v>
      </c>
      <c r="G289" s="373">
        <v>1</v>
      </c>
      <c r="H289" s="380">
        <f t="shared" si="12"/>
        <v>0</v>
      </c>
      <c r="I289" s="160">
        <v>42822</v>
      </c>
      <c r="J289" s="606" t="s">
        <v>609</v>
      </c>
      <c r="K289" s="317">
        <v>523</v>
      </c>
      <c r="L289" s="424">
        <v>42821</v>
      </c>
      <c r="M289" s="423">
        <v>3800</v>
      </c>
      <c r="N289" s="422">
        <f t="shared" si="13"/>
        <v>3800</v>
      </c>
      <c r="O289" s="559" t="s">
        <v>587</v>
      </c>
      <c r="P289" s="154" t="s">
        <v>530</v>
      </c>
      <c r="Q289" s="154"/>
      <c r="R289" s="607" t="s">
        <v>908</v>
      </c>
      <c r="S289" s="413" t="s">
        <v>422</v>
      </c>
      <c r="T289" s="602" t="s">
        <v>423</v>
      </c>
      <c r="U289" s="602"/>
      <c r="V289" s="153"/>
    </row>
    <row r="290" spans="1:23" s="135" customFormat="1" ht="15" hidden="1" customHeight="1">
      <c r="A290" s="306">
        <v>289</v>
      </c>
      <c r="B290" s="417" t="s">
        <v>859</v>
      </c>
      <c r="C290" s="161"/>
      <c r="D290" s="611" t="s">
        <v>250</v>
      </c>
      <c r="E290" s="600" t="s">
        <v>262</v>
      </c>
      <c r="F290" s="373">
        <v>4</v>
      </c>
      <c r="G290" s="609">
        <v>4</v>
      </c>
      <c r="H290" s="380">
        <f t="shared" si="12"/>
        <v>0</v>
      </c>
      <c r="I290" s="414">
        <v>42822</v>
      </c>
      <c r="J290" s="370" t="s">
        <v>609</v>
      </c>
      <c r="K290" s="317">
        <v>523</v>
      </c>
      <c r="L290" s="424">
        <v>42821</v>
      </c>
      <c r="M290" s="616">
        <v>1520</v>
      </c>
      <c r="N290" s="422">
        <f t="shared" si="13"/>
        <v>6080</v>
      </c>
      <c r="O290" s="559" t="s">
        <v>587</v>
      </c>
      <c r="P290" s="413" t="s">
        <v>530</v>
      </c>
      <c r="Q290" s="154"/>
      <c r="R290" s="607" t="s">
        <v>908</v>
      </c>
      <c r="S290" s="413" t="s">
        <v>422</v>
      </c>
      <c r="T290" s="154" t="s">
        <v>423</v>
      </c>
      <c r="U290" s="602"/>
      <c r="V290" s="153"/>
      <c r="W290" s="276"/>
    </row>
    <row r="291" spans="1:23" s="135" customFormat="1" ht="15" hidden="1" customHeight="1">
      <c r="A291" s="306">
        <v>290</v>
      </c>
      <c r="B291" s="162"/>
      <c r="C291" s="161"/>
      <c r="D291" s="611" t="s">
        <v>47</v>
      </c>
      <c r="E291" s="350" t="s">
        <v>46</v>
      </c>
      <c r="F291" s="373">
        <v>1</v>
      </c>
      <c r="G291" s="373">
        <v>1</v>
      </c>
      <c r="H291" s="380">
        <f t="shared" si="12"/>
        <v>0</v>
      </c>
      <c r="I291" s="160">
        <v>42823</v>
      </c>
      <c r="J291" s="155" t="s">
        <v>861</v>
      </c>
      <c r="K291" s="557">
        <v>525</v>
      </c>
      <c r="L291" s="607">
        <v>42822</v>
      </c>
      <c r="M291" s="616">
        <v>2600</v>
      </c>
      <c r="N291" s="422">
        <f t="shared" si="13"/>
        <v>2600</v>
      </c>
      <c r="O291" s="559" t="s">
        <v>587</v>
      </c>
      <c r="P291" s="154" t="s">
        <v>612</v>
      </c>
      <c r="Q291" s="154"/>
      <c r="R291" s="160" t="s">
        <v>908</v>
      </c>
      <c r="S291" s="413" t="s">
        <v>422</v>
      </c>
      <c r="T291" s="154" t="s">
        <v>423</v>
      </c>
      <c r="U291" s="154"/>
      <c r="V291" s="153"/>
      <c r="W291" s="276"/>
    </row>
    <row r="292" spans="1:23" s="135" customFormat="1" ht="15" hidden="1" customHeight="1">
      <c r="A292" s="306">
        <v>291</v>
      </c>
      <c r="B292" s="611" t="s">
        <v>877</v>
      </c>
      <c r="C292" s="610"/>
      <c r="D292" s="611" t="s">
        <v>251</v>
      </c>
      <c r="E292" s="153" t="s">
        <v>263</v>
      </c>
      <c r="F292" s="609">
        <v>2</v>
      </c>
      <c r="G292" s="609">
        <v>2</v>
      </c>
      <c r="H292" s="380">
        <f t="shared" si="12"/>
        <v>0</v>
      </c>
      <c r="I292" s="607">
        <v>42824</v>
      </c>
      <c r="J292" s="425" t="s">
        <v>878</v>
      </c>
      <c r="K292" s="240">
        <v>531</v>
      </c>
      <c r="L292" s="607">
        <v>42824</v>
      </c>
      <c r="M292" s="175">
        <v>3679</v>
      </c>
      <c r="N292" s="615">
        <f t="shared" si="13"/>
        <v>7358</v>
      </c>
      <c r="O292" s="559" t="s">
        <v>587</v>
      </c>
      <c r="P292" s="602" t="s">
        <v>555</v>
      </c>
      <c r="Q292" s="602"/>
      <c r="R292" s="607" t="s">
        <v>908</v>
      </c>
      <c r="S292" s="602" t="s">
        <v>422</v>
      </c>
      <c r="T292" s="602" t="s">
        <v>423</v>
      </c>
      <c r="U292" s="154"/>
      <c r="V292" s="601"/>
      <c r="W292" s="276"/>
    </row>
    <row r="293" spans="1:23" s="135" customFormat="1" ht="15" hidden="1" customHeight="1">
      <c r="A293" s="306">
        <v>292</v>
      </c>
      <c r="B293" s="611" t="s">
        <v>877</v>
      </c>
      <c r="C293" s="610"/>
      <c r="D293" s="611" t="s">
        <v>874</v>
      </c>
      <c r="E293" s="153" t="s">
        <v>868</v>
      </c>
      <c r="F293" s="609">
        <v>1</v>
      </c>
      <c r="G293" s="609">
        <v>1</v>
      </c>
      <c r="H293" s="380">
        <f t="shared" si="12"/>
        <v>0</v>
      </c>
      <c r="I293" s="607">
        <v>42824</v>
      </c>
      <c r="J293" s="425" t="s">
        <v>878</v>
      </c>
      <c r="K293" s="376">
        <v>531</v>
      </c>
      <c r="L293" s="607">
        <v>42824</v>
      </c>
      <c r="M293" s="423">
        <v>1981</v>
      </c>
      <c r="N293" s="615">
        <f t="shared" si="13"/>
        <v>1981</v>
      </c>
      <c r="O293" s="559" t="s">
        <v>587</v>
      </c>
      <c r="P293" s="602" t="s">
        <v>555</v>
      </c>
      <c r="Q293" s="602"/>
      <c r="R293" s="607" t="s">
        <v>908</v>
      </c>
      <c r="S293" s="602" t="s">
        <v>422</v>
      </c>
      <c r="T293" s="602" t="s">
        <v>423</v>
      </c>
      <c r="U293" s="602"/>
      <c r="V293" s="600"/>
      <c r="W293" s="169"/>
    </row>
    <row r="294" spans="1:23" s="135" customFormat="1" ht="15" hidden="1" customHeight="1">
      <c r="A294" s="306">
        <v>293</v>
      </c>
      <c r="B294" s="611" t="s">
        <v>877</v>
      </c>
      <c r="C294" s="610"/>
      <c r="D294" s="611" t="s">
        <v>863</v>
      </c>
      <c r="E294" s="601" t="s">
        <v>869</v>
      </c>
      <c r="F294" s="609">
        <v>6</v>
      </c>
      <c r="G294" s="609">
        <v>6</v>
      </c>
      <c r="H294" s="380">
        <f t="shared" si="12"/>
        <v>0</v>
      </c>
      <c r="I294" s="607">
        <v>42824</v>
      </c>
      <c r="J294" s="425" t="s">
        <v>878</v>
      </c>
      <c r="K294" s="557">
        <v>531</v>
      </c>
      <c r="L294" s="607">
        <v>42824</v>
      </c>
      <c r="M294" s="616">
        <v>392</v>
      </c>
      <c r="N294" s="615">
        <f t="shared" si="13"/>
        <v>2352</v>
      </c>
      <c r="O294" s="559" t="s">
        <v>587</v>
      </c>
      <c r="P294" s="602" t="s">
        <v>555</v>
      </c>
      <c r="Q294" s="602"/>
      <c r="R294" s="607" t="s">
        <v>908</v>
      </c>
      <c r="S294" s="602" t="s">
        <v>422</v>
      </c>
      <c r="T294" s="602" t="s">
        <v>423</v>
      </c>
      <c r="U294" s="602"/>
      <c r="V294" s="601"/>
      <c r="W294" s="276"/>
    </row>
    <row r="295" spans="1:23" s="135" customFormat="1" ht="15" hidden="1" customHeight="1">
      <c r="A295" s="306">
        <v>294</v>
      </c>
      <c r="B295" s="611" t="s">
        <v>877</v>
      </c>
      <c r="C295" s="610"/>
      <c r="D295" s="611" t="s">
        <v>875</v>
      </c>
      <c r="E295" s="601" t="s">
        <v>870</v>
      </c>
      <c r="F295" s="609">
        <v>6</v>
      </c>
      <c r="G295" s="609">
        <v>6</v>
      </c>
      <c r="H295" s="380">
        <f t="shared" si="12"/>
        <v>0</v>
      </c>
      <c r="I295" s="607">
        <v>42824</v>
      </c>
      <c r="J295" s="425" t="s">
        <v>878</v>
      </c>
      <c r="K295" s="557">
        <v>531</v>
      </c>
      <c r="L295" s="607">
        <v>42824</v>
      </c>
      <c r="M295" s="616">
        <v>354</v>
      </c>
      <c r="N295" s="615">
        <f t="shared" si="13"/>
        <v>2124</v>
      </c>
      <c r="O295" s="559" t="s">
        <v>587</v>
      </c>
      <c r="P295" s="602" t="s">
        <v>555</v>
      </c>
      <c r="Q295" s="602"/>
      <c r="R295" s="607" t="s">
        <v>908</v>
      </c>
      <c r="S295" s="602" t="s">
        <v>422</v>
      </c>
      <c r="T295" s="602" t="s">
        <v>423</v>
      </c>
      <c r="U295" s="602"/>
      <c r="V295" s="601"/>
      <c r="W295" s="276"/>
    </row>
    <row r="296" spans="1:23" s="135" customFormat="1" ht="15" hidden="1" customHeight="1">
      <c r="A296" s="306">
        <v>295</v>
      </c>
      <c r="B296" s="611" t="s">
        <v>877</v>
      </c>
      <c r="C296" s="610"/>
      <c r="D296" s="611" t="s">
        <v>865</v>
      </c>
      <c r="E296" s="601" t="s">
        <v>871</v>
      </c>
      <c r="F296" s="609">
        <v>2</v>
      </c>
      <c r="G296" s="609">
        <v>2</v>
      </c>
      <c r="H296" s="380">
        <f t="shared" si="12"/>
        <v>0</v>
      </c>
      <c r="I296" s="607">
        <v>42824</v>
      </c>
      <c r="J296" s="425" t="s">
        <v>878</v>
      </c>
      <c r="K296" s="557">
        <v>531</v>
      </c>
      <c r="L296" s="607">
        <v>42824</v>
      </c>
      <c r="M296" s="616">
        <v>98</v>
      </c>
      <c r="N296" s="615">
        <f t="shared" si="13"/>
        <v>196</v>
      </c>
      <c r="O296" s="559" t="s">
        <v>587</v>
      </c>
      <c r="P296" s="602" t="s">
        <v>555</v>
      </c>
      <c r="Q296" s="602"/>
      <c r="R296" s="607" t="s">
        <v>908</v>
      </c>
      <c r="S296" s="602" t="s">
        <v>422</v>
      </c>
      <c r="T296" s="602" t="s">
        <v>423</v>
      </c>
      <c r="U296" s="602"/>
      <c r="V296" s="600"/>
      <c r="W296" s="169"/>
    </row>
    <row r="297" spans="1:23" s="135" customFormat="1" ht="15" hidden="1" customHeight="1">
      <c r="A297" s="306">
        <v>296</v>
      </c>
      <c r="B297" s="162" t="s">
        <v>877</v>
      </c>
      <c r="C297" s="161"/>
      <c r="D297" s="611" t="s">
        <v>876</v>
      </c>
      <c r="E297" s="418" t="s">
        <v>872</v>
      </c>
      <c r="F297" s="373">
        <v>1</v>
      </c>
      <c r="G297" s="609">
        <v>1</v>
      </c>
      <c r="H297" s="614">
        <f t="shared" si="12"/>
        <v>0</v>
      </c>
      <c r="I297" s="414">
        <v>42824</v>
      </c>
      <c r="J297" s="425" t="s">
        <v>878</v>
      </c>
      <c r="K297" s="557">
        <v>531</v>
      </c>
      <c r="L297" s="607">
        <v>42824</v>
      </c>
      <c r="M297" s="616">
        <v>2983</v>
      </c>
      <c r="N297" s="615">
        <f t="shared" si="13"/>
        <v>2983</v>
      </c>
      <c r="O297" s="559" t="s">
        <v>587</v>
      </c>
      <c r="P297" s="413" t="s">
        <v>555</v>
      </c>
      <c r="Q297" s="154"/>
      <c r="R297" s="607" t="s">
        <v>908</v>
      </c>
      <c r="S297" s="413" t="s">
        <v>422</v>
      </c>
      <c r="T297" s="413" t="s">
        <v>423</v>
      </c>
      <c r="U297" s="602"/>
      <c r="V297" s="600"/>
      <c r="W297" s="169"/>
    </row>
    <row r="298" spans="1:23" s="135" customFormat="1" ht="15" hidden="1" customHeight="1">
      <c r="A298" s="306">
        <v>297</v>
      </c>
      <c r="B298" s="611" t="s">
        <v>877</v>
      </c>
      <c r="C298" s="610"/>
      <c r="D298" s="611" t="s">
        <v>867</v>
      </c>
      <c r="E298" s="601" t="s">
        <v>873</v>
      </c>
      <c r="F298" s="609">
        <v>2</v>
      </c>
      <c r="G298" s="609">
        <v>2</v>
      </c>
      <c r="H298" s="380">
        <f t="shared" si="12"/>
        <v>0</v>
      </c>
      <c r="I298" s="607">
        <v>42824</v>
      </c>
      <c r="J298" s="425" t="s">
        <v>878</v>
      </c>
      <c r="K298" s="376">
        <v>531</v>
      </c>
      <c r="L298" s="607">
        <v>42824</v>
      </c>
      <c r="M298" s="175">
        <v>569</v>
      </c>
      <c r="N298" s="615">
        <f t="shared" si="13"/>
        <v>1138</v>
      </c>
      <c r="O298" s="559" t="s">
        <v>587</v>
      </c>
      <c r="P298" s="602" t="s">
        <v>555</v>
      </c>
      <c r="Q298" s="602"/>
      <c r="R298" s="607" t="s">
        <v>908</v>
      </c>
      <c r="S298" s="602" t="s">
        <v>422</v>
      </c>
      <c r="T298" s="602" t="s">
        <v>423</v>
      </c>
      <c r="U298" s="602"/>
      <c r="V298" s="601"/>
      <c r="W298" s="276"/>
    </row>
    <row r="299" spans="1:23" s="135" customFormat="1" ht="15" hidden="1" customHeight="1">
      <c r="A299" s="306">
        <v>298</v>
      </c>
      <c r="B299" s="162"/>
      <c r="C299" s="161"/>
      <c r="D299" s="186" t="s">
        <v>226</v>
      </c>
      <c r="E299" s="350" t="s">
        <v>944</v>
      </c>
      <c r="F299" s="373">
        <v>8</v>
      </c>
      <c r="G299" s="373">
        <v>8</v>
      </c>
      <c r="H299" s="380">
        <f t="shared" si="12"/>
        <v>0</v>
      </c>
      <c r="I299" s="160">
        <v>42827</v>
      </c>
      <c r="J299" s="155" t="s">
        <v>554</v>
      </c>
      <c r="K299" s="240">
        <v>533</v>
      </c>
      <c r="L299" s="371">
        <v>42827</v>
      </c>
      <c r="M299" s="175">
        <v>300</v>
      </c>
      <c r="N299" s="422">
        <f t="shared" si="13"/>
        <v>2400</v>
      </c>
      <c r="O299" s="559" t="s">
        <v>587</v>
      </c>
      <c r="P299" s="413" t="s">
        <v>555</v>
      </c>
      <c r="Q299" s="154"/>
      <c r="R299" s="414" t="s">
        <v>908</v>
      </c>
      <c r="S299" s="413" t="s">
        <v>422</v>
      </c>
      <c r="T299" s="413" t="s">
        <v>423</v>
      </c>
      <c r="U299" s="154"/>
      <c r="V299" s="67"/>
      <c r="W299" s="169"/>
    </row>
    <row r="300" spans="1:23" s="135" customFormat="1" ht="15" hidden="1" customHeight="1">
      <c r="A300" s="306">
        <v>299</v>
      </c>
      <c r="B300" s="417">
        <v>391594</v>
      </c>
      <c r="C300" s="196"/>
      <c r="D300" s="611" t="s">
        <v>93</v>
      </c>
      <c r="E300" s="458" t="s">
        <v>92</v>
      </c>
      <c r="F300" s="373">
        <v>2</v>
      </c>
      <c r="G300" s="373">
        <v>2</v>
      </c>
      <c r="H300" s="380">
        <f t="shared" si="12"/>
        <v>0</v>
      </c>
      <c r="I300" s="160">
        <v>42828</v>
      </c>
      <c r="J300" s="155" t="s">
        <v>879</v>
      </c>
      <c r="K300" s="240">
        <v>544</v>
      </c>
      <c r="L300" s="371">
        <v>42830</v>
      </c>
      <c r="M300" s="175">
        <v>31880</v>
      </c>
      <c r="N300" s="422">
        <f t="shared" si="13"/>
        <v>63760</v>
      </c>
      <c r="O300" s="559" t="s">
        <v>587</v>
      </c>
      <c r="P300" s="189" t="s">
        <v>1996</v>
      </c>
      <c r="Q300" s="189"/>
      <c r="R300" s="414" t="s">
        <v>908</v>
      </c>
      <c r="S300" s="413" t="s">
        <v>422</v>
      </c>
      <c r="T300" s="413" t="s">
        <v>423</v>
      </c>
      <c r="U300" s="154"/>
      <c r="V300" s="601"/>
      <c r="W300" s="276"/>
    </row>
    <row r="301" spans="1:23" s="135" customFormat="1" ht="15" hidden="1" customHeight="1">
      <c r="A301" s="306">
        <v>300</v>
      </c>
      <c r="B301" s="417">
        <v>391594</v>
      </c>
      <c r="C301" s="196"/>
      <c r="D301" s="611" t="s">
        <v>84</v>
      </c>
      <c r="E301" s="153" t="s">
        <v>83</v>
      </c>
      <c r="F301" s="373">
        <v>2</v>
      </c>
      <c r="G301" s="373">
        <v>2</v>
      </c>
      <c r="H301" s="380">
        <f t="shared" si="12"/>
        <v>0</v>
      </c>
      <c r="I301" s="414">
        <v>42828</v>
      </c>
      <c r="J301" s="561" t="s">
        <v>879</v>
      </c>
      <c r="K301" s="557">
        <v>544</v>
      </c>
      <c r="L301" s="553">
        <v>42830</v>
      </c>
      <c r="M301" s="175">
        <v>32030</v>
      </c>
      <c r="N301" s="422">
        <f t="shared" si="13"/>
        <v>64060</v>
      </c>
      <c r="O301" s="559" t="s">
        <v>587</v>
      </c>
      <c r="P301" s="189" t="s">
        <v>1996</v>
      </c>
      <c r="Q301" s="189"/>
      <c r="R301" s="414" t="s">
        <v>908</v>
      </c>
      <c r="S301" s="413" t="s">
        <v>422</v>
      </c>
      <c r="T301" s="413" t="s">
        <v>423</v>
      </c>
      <c r="U301" s="154"/>
      <c r="V301" s="601"/>
      <c r="W301" s="197"/>
    </row>
    <row r="302" spans="1:23" s="135" customFormat="1" ht="15" hidden="1" customHeight="1">
      <c r="A302" s="306">
        <v>301</v>
      </c>
      <c r="B302" s="611">
        <v>391594</v>
      </c>
      <c r="C302" s="196"/>
      <c r="D302" s="611" t="s">
        <v>86</v>
      </c>
      <c r="E302" s="559" t="s">
        <v>85</v>
      </c>
      <c r="F302" s="373">
        <v>6</v>
      </c>
      <c r="G302" s="373">
        <v>6</v>
      </c>
      <c r="H302" s="380">
        <f t="shared" si="12"/>
        <v>0</v>
      </c>
      <c r="I302" s="414">
        <v>42828</v>
      </c>
      <c r="J302" s="421" t="s">
        <v>879</v>
      </c>
      <c r="K302" s="557">
        <v>544</v>
      </c>
      <c r="L302" s="553">
        <v>42830</v>
      </c>
      <c r="M302" s="175">
        <v>9860</v>
      </c>
      <c r="N302" s="422">
        <f t="shared" si="13"/>
        <v>59160</v>
      </c>
      <c r="O302" s="559" t="s">
        <v>587</v>
      </c>
      <c r="P302" s="189" t="s">
        <v>1996</v>
      </c>
      <c r="Q302" s="189"/>
      <c r="R302" s="414" t="s">
        <v>908</v>
      </c>
      <c r="S302" s="413" t="s">
        <v>422</v>
      </c>
      <c r="T302" s="413" t="s">
        <v>423</v>
      </c>
      <c r="U302" s="154"/>
      <c r="V302" s="601"/>
      <c r="W302" s="197"/>
    </row>
    <row r="303" spans="1:23" s="135" customFormat="1" ht="15" hidden="1" customHeight="1">
      <c r="A303" s="306">
        <v>302</v>
      </c>
      <c r="B303" s="417">
        <v>391594</v>
      </c>
      <c r="C303" s="196"/>
      <c r="D303" s="611" t="s">
        <v>29</v>
      </c>
      <c r="E303" s="5" t="s">
        <v>28</v>
      </c>
      <c r="F303" s="373">
        <v>6</v>
      </c>
      <c r="G303" s="373">
        <v>6</v>
      </c>
      <c r="H303" s="614">
        <f t="shared" si="12"/>
        <v>0</v>
      </c>
      <c r="I303" s="414">
        <v>42828</v>
      </c>
      <c r="J303" s="561" t="s">
        <v>879</v>
      </c>
      <c r="K303" s="557">
        <v>544</v>
      </c>
      <c r="L303" s="553">
        <v>42830</v>
      </c>
      <c r="M303" s="175">
        <v>450</v>
      </c>
      <c r="N303" s="615">
        <f t="shared" si="13"/>
        <v>2700</v>
      </c>
      <c r="O303" s="559" t="s">
        <v>587</v>
      </c>
      <c r="P303" s="189" t="s">
        <v>1996</v>
      </c>
      <c r="Q303" s="189"/>
      <c r="R303" s="414" t="s">
        <v>908</v>
      </c>
      <c r="S303" s="413" t="s">
        <v>422</v>
      </c>
      <c r="T303" s="413" t="s">
        <v>423</v>
      </c>
      <c r="U303" s="154"/>
      <c r="V303" s="601"/>
      <c r="W303" s="197"/>
    </row>
    <row r="304" spans="1:23" s="135" customFormat="1" ht="15" hidden="1" customHeight="1">
      <c r="A304" s="306">
        <v>303</v>
      </c>
      <c r="B304" s="417">
        <v>391594</v>
      </c>
      <c r="C304" s="161"/>
      <c r="D304" s="611" t="s">
        <v>68</v>
      </c>
      <c r="E304" s="367" t="s">
        <v>67</v>
      </c>
      <c r="F304" s="373">
        <v>1</v>
      </c>
      <c r="G304" s="373">
        <v>1</v>
      </c>
      <c r="H304" s="380">
        <f t="shared" si="12"/>
        <v>0</v>
      </c>
      <c r="I304" s="414">
        <v>42828</v>
      </c>
      <c r="J304" s="421" t="s">
        <v>879</v>
      </c>
      <c r="K304" s="557">
        <v>544</v>
      </c>
      <c r="L304" s="553">
        <v>42830</v>
      </c>
      <c r="M304" s="175">
        <v>3750</v>
      </c>
      <c r="N304" s="422">
        <f t="shared" si="13"/>
        <v>3750</v>
      </c>
      <c r="O304" s="559" t="s">
        <v>587</v>
      </c>
      <c r="P304" s="189" t="s">
        <v>1996</v>
      </c>
      <c r="Q304" s="154"/>
      <c r="R304" s="414" t="s">
        <v>908</v>
      </c>
      <c r="S304" s="413" t="s">
        <v>422</v>
      </c>
      <c r="T304" s="413" t="s">
        <v>423</v>
      </c>
      <c r="U304" s="154"/>
      <c r="V304" s="67"/>
      <c r="W304" s="153"/>
    </row>
    <row r="305" spans="1:23" s="135" customFormat="1" ht="15" hidden="1" customHeight="1">
      <c r="A305" s="306">
        <v>304</v>
      </c>
      <c r="B305" s="434">
        <v>45001388614</v>
      </c>
      <c r="C305" s="433"/>
      <c r="D305" s="611" t="s">
        <v>247</v>
      </c>
      <c r="E305" s="600" t="s">
        <v>259</v>
      </c>
      <c r="F305" s="432">
        <v>2</v>
      </c>
      <c r="G305" s="432">
        <v>2</v>
      </c>
      <c r="H305" s="437">
        <f t="shared" si="12"/>
        <v>0</v>
      </c>
      <c r="I305" s="431">
        <v>42829</v>
      </c>
      <c r="J305" s="438" t="s">
        <v>883</v>
      </c>
      <c r="K305" s="435">
        <v>563</v>
      </c>
      <c r="L305" s="431">
        <v>42837</v>
      </c>
      <c r="M305" s="440">
        <v>4200</v>
      </c>
      <c r="N305" s="439">
        <f t="shared" si="13"/>
        <v>8400</v>
      </c>
      <c r="O305" s="559" t="s">
        <v>587</v>
      </c>
      <c r="P305" s="429" t="s">
        <v>844</v>
      </c>
      <c r="Q305" s="429" t="s">
        <v>884</v>
      </c>
      <c r="R305" s="431" t="s">
        <v>908</v>
      </c>
      <c r="S305" s="429" t="s">
        <v>422</v>
      </c>
      <c r="T305" s="429" t="s">
        <v>423</v>
      </c>
      <c r="U305" s="154"/>
      <c r="V305" s="67"/>
      <c r="W305" s="601"/>
    </row>
    <row r="306" spans="1:23" s="135" customFormat="1" ht="15" hidden="1" customHeight="1">
      <c r="A306" s="306">
        <v>305</v>
      </c>
      <c r="B306" s="434">
        <v>45001388614</v>
      </c>
      <c r="C306" s="433"/>
      <c r="D306" s="611" t="s">
        <v>249</v>
      </c>
      <c r="E306" s="601" t="s">
        <v>28</v>
      </c>
      <c r="F306" s="432">
        <v>2</v>
      </c>
      <c r="G306" s="432">
        <v>2</v>
      </c>
      <c r="H306" s="614">
        <f t="shared" si="12"/>
        <v>0</v>
      </c>
      <c r="I306" s="431">
        <v>42829</v>
      </c>
      <c r="J306" s="438" t="s">
        <v>883</v>
      </c>
      <c r="K306" s="435">
        <v>563</v>
      </c>
      <c r="L306" s="607">
        <v>42837</v>
      </c>
      <c r="M306" s="616">
        <v>450</v>
      </c>
      <c r="N306" s="615">
        <f t="shared" si="13"/>
        <v>900</v>
      </c>
      <c r="O306" s="559" t="s">
        <v>587</v>
      </c>
      <c r="P306" s="429" t="s">
        <v>844</v>
      </c>
      <c r="Q306" s="429" t="s">
        <v>884</v>
      </c>
      <c r="R306" s="607" t="s">
        <v>908</v>
      </c>
      <c r="S306" s="429" t="s">
        <v>422</v>
      </c>
      <c r="T306" s="429" t="s">
        <v>423</v>
      </c>
      <c r="U306" s="602"/>
      <c r="V306" s="600"/>
      <c r="W306" s="601"/>
    </row>
    <row r="307" spans="1:23" s="135" customFormat="1" ht="15" hidden="1" customHeight="1">
      <c r="A307" s="306">
        <v>306</v>
      </c>
      <c r="B307" s="162">
        <v>4501385770</v>
      </c>
      <c r="C307" s="161"/>
      <c r="D307" s="611" t="s">
        <v>71</v>
      </c>
      <c r="E307" s="350" t="s">
        <v>65</v>
      </c>
      <c r="F307" s="373">
        <v>1</v>
      </c>
      <c r="G307" s="373">
        <v>1</v>
      </c>
      <c r="H307" s="614">
        <f t="shared" si="12"/>
        <v>0</v>
      </c>
      <c r="I307" s="414">
        <v>42829</v>
      </c>
      <c r="J307" s="421" t="s">
        <v>883</v>
      </c>
      <c r="K307" s="240">
        <v>530</v>
      </c>
      <c r="L307" s="371">
        <v>42824</v>
      </c>
      <c r="M307" s="175">
        <v>2070</v>
      </c>
      <c r="N307" s="615">
        <f t="shared" si="13"/>
        <v>2070</v>
      </c>
      <c r="O307" s="559" t="s">
        <v>587</v>
      </c>
      <c r="P307" s="154" t="s">
        <v>844</v>
      </c>
      <c r="Q307" s="413" t="s">
        <v>884</v>
      </c>
      <c r="R307" s="414" t="s">
        <v>908</v>
      </c>
      <c r="S307" s="413" t="s">
        <v>422</v>
      </c>
      <c r="T307" s="413" t="s">
        <v>423</v>
      </c>
      <c r="U307" s="154"/>
      <c r="V307" s="67"/>
      <c r="W307" s="601"/>
    </row>
    <row r="308" spans="1:23" s="135" customFormat="1" ht="15" hidden="1" customHeight="1">
      <c r="A308" s="306">
        <v>307</v>
      </c>
      <c r="B308" s="417">
        <v>4501385770</v>
      </c>
      <c r="C308" s="161"/>
      <c r="D308" s="611" t="s">
        <v>31</v>
      </c>
      <c r="E308" s="418" t="s">
        <v>28</v>
      </c>
      <c r="F308" s="373">
        <v>1</v>
      </c>
      <c r="G308" s="373">
        <v>1</v>
      </c>
      <c r="H308" s="614">
        <f t="shared" si="12"/>
        <v>0</v>
      </c>
      <c r="I308" s="414">
        <v>42829</v>
      </c>
      <c r="J308" s="421" t="s">
        <v>883</v>
      </c>
      <c r="K308" s="376">
        <v>530</v>
      </c>
      <c r="L308" s="414">
        <v>42824</v>
      </c>
      <c r="M308" s="175">
        <v>450</v>
      </c>
      <c r="N308" s="615">
        <f t="shared" si="13"/>
        <v>450</v>
      </c>
      <c r="O308" s="559" t="s">
        <v>587</v>
      </c>
      <c r="P308" s="154" t="s">
        <v>844</v>
      </c>
      <c r="Q308" s="413" t="s">
        <v>884</v>
      </c>
      <c r="R308" s="414" t="s">
        <v>908</v>
      </c>
      <c r="S308" s="413" t="s">
        <v>422</v>
      </c>
      <c r="T308" s="413" t="s">
        <v>423</v>
      </c>
      <c r="U308" s="154"/>
      <c r="V308" s="67"/>
      <c r="W308" s="601"/>
    </row>
    <row r="309" spans="1:23" s="135" customFormat="1" ht="15" hidden="1" customHeight="1">
      <c r="A309" s="306">
        <v>308</v>
      </c>
      <c r="B309" s="417"/>
      <c r="C309" s="416"/>
      <c r="D309" s="611" t="s">
        <v>880</v>
      </c>
      <c r="E309" s="601" t="s">
        <v>881</v>
      </c>
      <c r="F309" s="415">
        <v>1</v>
      </c>
      <c r="G309" s="415">
        <v>1</v>
      </c>
      <c r="H309" s="614">
        <f t="shared" si="12"/>
        <v>0</v>
      </c>
      <c r="I309" s="414">
        <v>42829</v>
      </c>
      <c r="J309" s="425" t="s">
        <v>885</v>
      </c>
      <c r="K309" s="376" t="s">
        <v>343</v>
      </c>
      <c r="L309" s="607"/>
      <c r="M309" s="616"/>
      <c r="N309" s="615">
        <f t="shared" si="13"/>
        <v>0</v>
      </c>
      <c r="O309" s="559"/>
      <c r="P309" s="413"/>
      <c r="Q309" s="413"/>
      <c r="R309" s="607" t="s">
        <v>908</v>
      </c>
      <c r="S309" s="413" t="s">
        <v>343</v>
      </c>
      <c r="T309" s="413" t="s">
        <v>423</v>
      </c>
      <c r="U309" s="602" t="s">
        <v>882</v>
      </c>
      <c r="V309" s="412"/>
      <c r="W309" s="601"/>
    </row>
    <row r="310" spans="1:23" s="135" customFormat="1" ht="15" hidden="1" customHeight="1">
      <c r="A310" s="306">
        <v>309</v>
      </c>
      <c r="B310" s="162"/>
      <c r="C310" s="161"/>
      <c r="D310" s="611" t="s">
        <v>29</v>
      </c>
      <c r="E310" s="5" t="s">
        <v>28</v>
      </c>
      <c r="F310" s="373">
        <v>1</v>
      </c>
      <c r="G310" s="373">
        <v>1</v>
      </c>
      <c r="H310" s="380">
        <f t="shared" si="12"/>
        <v>0</v>
      </c>
      <c r="I310" s="414">
        <v>42829</v>
      </c>
      <c r="J310" s="425" t="s">
        <v>885</v>
      </c>
      <c r="K310" s="376" t="s">
        <v>343</v>
      </c>
      <c r="L310" s="371"/>
      <c r="M310" s="175"/>
      <c r="N310" s="422">
        <f t="shared" si="13"/>
        <v>0</v>
      </c>
      <c r="O310" s="559"/>
      <c r="P310" s="154"/>
      <c r="Q310" s="154"/>
      <c r="R310" s="414" t="s">
        <v>908</v>
      </c>
      <c r="S310" s="413" t="s">
        <v>343</v>
      </c>
      <c r="T310" s="413" t="s">
        <v>423</v>
      </c>
      <c r="U310" s="413" t="s">
        <v>882</v>
      </c>
      <c r="V310" s="67"/>
      <c r="W310" s="153"/>
    </row>
    <row r="311" spans="1:23" s="135" customFormat="1" ht="15" hidden="1" customHeight="1">
      <c r="A311" s="306">
        <v>310</v>
      </c>
      <c r="B311" s="162">
        <v>13005</v>
      </c>
      <c r="C311" s="161"/>
      <c r="D311" s="611" t="s">
        <v>172</v>
      </c>
      <c r="E311" s="7" t="s">
        <v>171</v>
      </c>
      <c r="F311" s="373">
        <v>20</v>
      </c>
      <c r="G311" s="373">
        <v>20</v>
      </c>
      <c r="H311" s="614">
        <f t="shared" si="12"/>
        <v>0</v>
      </c>
      <c r="I311" s="414">
        <v>42829</v>
      </c>
      <c r="J311" s="155" t="s">
        <v>831</v>
      </c>
      <c r="K311" s="240">
        <v>535</v>
      </c>
      <c r="L311" s="371">
        <v>42827</v>
      </c>
      <c r="M311" s="175">
        <v>1080</v>
      </c>
      <c r="N311" s="615">
        <f t="shared" si="13"/>
        <v>21600</v>
      </c>
      <c r="O311" s="559" t="s">
        <v>587</v>
      </c>
      <c r="P311" s="154" t="s">
        <v>530</v>
      </c>
      <c r="Q311" s="154"/>
      <c r="R311" s="160" t="s">
        <v>908</v>
      </c>
      <c r="S311" s="413" t="s">
        <v>422</v>
      </c>
      <c r="T311" s="154" t="s">
        <v>423</v>
      </c>
      <c r="U311" s="154"/>
      <c r="V311" s="67"/>
      <c r="W311" s="601"/>
    </row>
    <row r="312" spans="1:23" s="135" customFormat="1" ht="15" hidden="1" customHeight="1">
      <c r="A312" s="306">
        <v>311</v>
      </c>
      <c r="B312" s="162"/>
      <c r="C312" s="161"/>
      <c r="D312" s="611" t="s">
        <v>35</v>
      </c>
      <c r="E312" s="367" t="s">
        <v>34</v>
      </c>
      <c r="F312" s="373">
        <v>4</v>
      </c>
      <c r="G312" s="609">
        <v>4</v>
      </c>
      <c r="H312" s="614">
        <f t="shared" si="12"/>
        <v>0</v>
      </c>
      <c r="I312" s="160">
        <v>42830</v>
      </c>
      <c r="J312" s="155" t="s">
        <v>634</v>
      </c>
      <c r="K312" s="240">
        <v>537</v>
      </c>
      <c r="L312" s="607">
        <v>42828</v>
      </c>
      <c r="M312" s="616">
        <v>2715</v>
      </c>
      <c r="N312" s="615">
        <f t="shared" si="13"/>
        <v>10860</v>
      </c>
      <c r="O312" s="559" t="s">
        <v>587</v>
      </c>
      <c r="P312" s="154" t="s">
        <v>612</v>
      </c>
      <c r="Q312" s="154"/>
      <c r="R312" s="607" t="s">
        <v>908</v>
      </c>
      <c r="S312" s="429" t="s">
        <v>422</v>
      </c>
      <c r="T312" s="154" t="s">
        <v>423</v>
      </c>
      <c r="U312" s="602"/>
      <c r="V312" s="600"/>
      <c r="W312" s="601"/>
    </row>
    <row r="313" spans="1:23" s="135" customFormat="1" ht="15" hidden="1" customHeight="1">
      <c r="A313" s="306">
        <v>312</v>
      </c>
      <c r="B313" s="162"/>
      <c r="C313" s="161"/>
      <c r="D313" s="611" t="s">
        <v>91</v>
      </c>
      <c r="E313" s="418" t="s">
        <v>50</v>
      </c>
      <c r="F313" s="373">
        <v>4</v>
      </c>
      <c r="G313" s="609">
        <v>4</v>
      </c>
      <c r="H313" s="193">
        <f t="shared" si="12"/>
        <v>0</v>
      </c>
      <c r="I313" s="414">
        <v>42830</v>
      </c>
      <c r="J313" s="561" t="s">
        <v>634</v>
      </c>
      <c r="K313" s="557">
        <v>537</v>
      </c>
      <c r="L313" s="607">
        <v>42828</v>
      </c>
      <c r="M313" s="616">
        <v>2815</v>
      </c>
      <c r="N313" s="422">
        <f t="shared" si="13"/>
        <v>11260</v>
      </c>
      <c r="O313" s="559" t="s">
        <v>587</v>
      </c>
      <c r="P313" s="413" t="s">
        <v>612</v>
      </c>
      <c r="Q313" s="154"/>
      <c r="R313" s="160" t="s">
        <v>908</v>
      </c>
      <c r="S313" s="429" t="s">
        <v>422</v>
      </c>
      <c r="T313" s="154" t="s">
        <v>423</v>
      </c>
      <c r="U313" s="602"/>
      <c r="V313" s="600"/>
      <c r="W313" s="601"/>
    </row>
    <row r="314" spans="1:23" s="135" customFormat="1" ht="15" hidden="1" customHeight="1">
      <c r="A314" s="306">
        <v>313</v>
      </c>
      <c r="B314" s="162" t="s">
        <v>887</v>
      </c>
      <c r="C314" s="161"/>
      <c r="D314" s="611" t="s">
        <v>47</v>
      </c>
      <c r="E314" s="350" t="s">
        <v>46</v>
      </c>
      <c r="F314" s="373">
        <v>1</v>
      </c>
      <c r="G314" s="609">
        <v>1</v>
      </c>
      <c r="H314" s="380">
        <f t="shared" si="12"/>
        <v>0</v>
      </c>
      <c r="I314" s="414">
        <v>42830</v>
      </c>
      <c r="J314" s="561" t="s">
        <v>430</v>
      </c>
      <c r="K314" s="557">
        <v>542</v>
      </c>
      <c r="L314" s="607">
        <v>42829</v>
      </c>
      <c r="M314" s="616">
        <v>2800</v>
      </c>
      <c r="N314" s="422">
        <f t="shared" si="13"/>
        <v>2800</v>
      </c>
      <c r="O314" s="559" t="s">
        <v>587</v>
      </c>
      <c r="P314" s="154" t="s">
        <v>844</v>
      </c>
      <c r="Q314" s="154"/>
      <c r="R314" s="160" t="s">
        <v>908</v>
      </c>
      <c r="S314" s="413" t="s">
        <v>422</v>
      </c>
      <c r="T314" s="154" t="s">
        <v>423</v>
      </c>
      <c r="U314" s="602"/>
      <c r="V314" s="600"/>
      <c r="W314" s="601"/>
    </row>
    <row r="315" spans="1:23" s="135" customFormat="1" ht="15" hidden="1" customHeight="1">
      <c r="A315" s="306">
        <v>314</v>
      </c>
      <c r="B315" s="162"/>
      <c r="C315" s="161"/>
      <c r="D315" s="558" t="s">
        <v>939</v>
      </c>
      <c r="E315" s="602" t="s">
        <v>940</v>
      </c>
      <c r="F315" s="373">
        <v>8</v>
      </c>
      <c r="G315" s="373">
        <v>8</v>
      </c>
      <c r="H315" s="437">
        <f t="shared" si="12"/>
        <v>0</v>
      </c>
      <c r="I315" s="414">
        <v>42830</v>
      </c>
      <c r="J315" s="155" t="s">
        <v>888</v>
      </c>
      <c r="K315" s="240">
        <v>543</v>
      </c>
      <c r="L315" s="414">
        <v>42829</v>
      </c>
      <c r="M315" s="175">
        <v>120</v>
      </c>
      <c r="N315" s="422">
        <f t="shared" si="13"/>
        <v>960</v>
      </c>
      <c r="O315" s="559" t="s">
        <v>587</v>
      </c>
      <c r="P315" s="413" t="s">
        <v>844</v>
      </c>
      <c r="Q315" s="154"/>
      <c r="R315" s="414" t="s">
        <v>908</v>
      </c>
      <c r="S315" s="413" t="s">
        <v>422</v>
      </c>
      <c r="T315" s="413" t="s">
        <v>423</v>
      </c>
      <c r="U315" s="154"/>
      <c r="V315" s="67"/>
      <c r="W315" s="153"/>
    </row>
    <row r="316" spans="1:23" s="135" customFormat="1" ht="15" hidden="1" customHeight="1">
      <c r="A316" s="306">
        <v>315</v>
      </c>
      <c r="B316" s="162" t="s">
        <v>889</v>
      </c>
      <c r="C316" s="161"/>
      <c r="D316" s="611" t="s">
        <v>64</v>
      </c>
      <c r="E316" s="367" t="s">
        <v>63</v>
      </c>
      <c r="F316" s="373">
        <v>1</v>
      </c>
      <c r="G316" s="373">
        <v>1</v>
      </c>
      <c r="H316" s="437">
        <f t="shared" si="12"/>
        <v>0</v>
      </c>
      <c r="I316" s="414">
        <v>42830</v>
      </c>
      <c r="J316" s="155" t="s">
        <v>538</v>
      </c>
      <c r="K316" s="240">
        <v>529</v>
      </c>
      <c r="L316" s="371">
        <v>42824</v>
      </c>
      <c r="M316" s="175">
        <v>1710</v>
      </c>
      <c r="N316" s="422">
        <f t="shared" si="13"/>
        <v>1710</v>
      </c>
      <c r="O316" s="559" t="s">
        <v>587</v>
      </c>
      <c r="P316" s="413" t="s">
        <v>530</v>
      </c>
      <c r="Q316" s="154"/>
      <c r="R316" s="414" t="s">
        <v>908</v>
      </c>
      <c r="S316" s="413" t="s">
        <v>422</v>
      </c>
      <c r="T316" s="413" t="s">
        <v>423</v>
      </c>
      <c r="U316" s="154"/>
      <c r="V316" s="67"/>
      <c r="W316" s="601"/>
    </row>
    <row r="317" spans="1:23" s="135" customFormat="1" ht="15" hidden="1" customHeight="1">
      <c r="A317" s="306">
        <v>316</v>
      </c>
      <c r="B317" s="162">
        <v>391891</v>
      </c>
      <c r="C317" s="161"/>
      <c r="D317" s="611" t="s">
        <v>249</v>
      </c>
      <c r="E317" s="601" t="s">
        <v>28</v>
      </c>
      <c r="F317" s="373">
        <v>4</v>
      </c>
      <c r="G317" s="373">
        <v>4</v>
      </c>
      <c r="H317" s="614">
        <f t="shared" si="12"/>
        <v>0</v>
      </c>
      <c r="I317" s="160">
        <v>42829</v>
      </c>
      <c r="J317" s="155" t="s">
        <v>830</v>
      </c>
      <c r="K317" s="240">
        <v>541</v>
      </c>
      <c r="L317" s="371">
        <v>42829</v>
      </c>
      <c r="M317" s="175">
        <v>450</v>
      </c>
      <c r="N317" s="615">
        <f t="shared" si="13"/>
        <v>1800</v>
      </c>
      <c r="O317" s="559"/>
      <c r="P317" s="154"/>
      <c r="Q317" s="154"/>
      <c r="R317" s="414" t="s">
        <v>908</v>
      </c>
      <c r="S317" s="413" t="s">
        <v>422</v>
      </c>
      <c r="T317" s="154" t="s">
        <v>423</v>
      </c>
      <c r="U317" s="154"/>
      <c r="V317" s="67"/>
      <c r="W317" s="601"/>
    </row>
    <row r="318" spans="1:23" s="135" customFormat="1" ht="15" hidden="1" customHeight="1">
      <c r="A318" s="306">
        <v>317</v>
      </c>
      <c r="B318" s="162" t="s">
        <v>890</v>
      </c>
      <c r="C318" s="161"/>
      <c r="D318" s="611" t="s">
        <v>77</v>
      </c>
      <c r="E318" s="367" t="s">
        <v>76</v>
      </c>
      <c r="F318" s="373">
        <v>1</v>
      </c>
      <c r="G318" s="373">
        <v>1</v>
      </c>
      <c r="H318" s="437">
        <f t="shared" si="12"/>
        <v>0</v>
      </c>
      <c r="I318" s="160">
        <v>42831</v>
      </c>
      <c r="J318" s="155" t="s">
        <v>787</v>
      </c>
      <c r="K318" s="240">
        <v>546</v>
      </c>
      <c r="L318" s="371">
        <v>42831</v>
      </c>
      <c r="M318" s="175">
        <v>800</v>
      </c>
      <c r="N318" s="439">
        <f t="shared" si="13"/>
        <v>800</v>
      </c>
      <c r="O318" s="559" t="s">
        <v>587</v>
      </c>
      <c r="P318" s="154" t="s">
        <v>844</v>
      </c>
      <c r="Q318" s="154"/>
      <c r="R318" s="414" t="s">
        <v>908</v>
      </c>
      <c r="S318" s="413" t="s">
        <v>422</v>
      </c>
      <c r="T318" s="413" t="s">
        <v>423</v>
      </c>
      <c r="U318" s="154"/>
      <c r="V318" s="67"/>
      <c r="W318" s="601"/>
    </row>
    <row r="319" spans="1:23" s="135" customFormat="1" ht="15" hidden="1" customHeight="1">
      <c r="A319" s="306">
        <v>318</v>
      </c>
      <c r="B319" s="434" t="s">
        <v>906</v>
      </c>
      <c r="C319" s="433"/>
      <c r="D319" s="611" t="s">
        <v>892</v>
      </c>
      <c r="E319" s="428" t="s">
        <v>899</v>
      </c>
      <c r="F319" s="432">
        <v>2</v>
      </c>
      <c r="G319" s="432">
        <v>2</v>
      </c>
      <c r="H319" s="614">
        <f t="shared" si="12"/>
        <v>0</v>
      </c>
      <c r="I319" s="431">
        <v>42833</v>
      </c>
      <c r="J319" s="438" t="s">
        <v>2002</v>
      </c>
      <c r="K319" s="435">
        <v>556</v>
      </c>
      <c r="L319" s="431">
        <v>42831</v>
      </c>
      <c r="M319" s="440">
        <v>850</v>
      </c>
      <c r="N319" s="439">
        <f t="shared" si="13"/>
        <v>1700</v>
      </c>
      <c r="O319" s="559" t="s">
        <v>419</v>
      </c>
      <c r="P319" s="429" t="s">
        <v>844</v>
      </c>
      <c r="Q319" s="429" t="s">
        <v>907</v>
      </c>
      <c r="R319" s="431" t="s">
        <v>908</v>
      </c>
      <c r="S319" s="429" t="s">
        <v>422</v>
      </c>
      <c r="T319" s="429" t="s">
        <v>423</v>
      </c>
      <c r="U319" s="429"/>
      <c r="V319" s="427"/>
      <c r="W319" s="601"/>
    </row>
    <row r="320" spans="1:23" s="135" customFormat="1" ht="15" hidden="1" customHeight="1">
      <c r="A320" s="306">
        <v>319</v>
      </c>
      <c r="B320" s="434" t="s">
        <v>906</v>
      </c>
      <c r="C320" s="433"/>
      <c r="D320" s="611" t="s">
        <v>893</v>
      </c>
      <c r="E320" s="601" t="s">
        <v>900</v>
      </c>
      <c r="F320" s="432">
        <v>2</v>
      </c>
      <c r="G320" s="432">
        <v>2</v>
      </c>
      <c r="H320" s="437">
        <f t="shared" si="12"/>
        <v>0</v>
      </c>
      <c r="I320" s="431">
        <v>42833</v>
      </c>
      <c r="J320" s="606" t="s">
        <v>2002</v>
      </c>
      <c r="K320" s="435">
        <v>556</v>
      </c>
      <c r="L320" s="431">
        <v>42831</v>
      </c>
      <c r="M320" s="440">
        <v>370</v>
      </c>
      <c r="N320" s="439">
        <f t="shared" si="13"/>
        <v>740</v>
      </c>
      <c r="O320" s="559" t="s">
        <v>419</v>
      </c>
      <c r="P320" s="429" t="s">
        <v>844</v>
      </c>
      <c r="Q320" s="429" t="s">
        <v>907</v>
      </c>
      <c r="R320" s="431" t="s">
        <v>908</v>
      </c>
      <c r="S320" s="429" t="s">
        <v>422</v>
      </c>
      <c r="T320" s="429" t="s">
        <v>423</v>
      </c>
      <c r="U320" s="429"/>
      <c r="V320" s="427"/>
      <c r="W320" s="153"/>
    </row>
    <row r="321" spans="1:23" s="135" customFormat="1" ht="15" hidden="1" customHeight="1">
      <c r="A321" s="306">
        <v>320</v>
      </c>
      <c r="B321" s="434" t="s">
        <v>906</v>
      </c>
      <c r="C321" s="433"/>
      <c r="D321" s="611" t="s">
        <v>894</v>
      </c>
      <c r="E321" s="601" t="s">
        <v>901</v>
      </c>
      <c r="F321" s="432">
        <v>2</v>
      </c>
      <c r="G321" s="432">
        <v>2</v>
      </c>
      <c r="H321" s="437">
        <f t="shared" si="12"/>
        <v>0</v>
      </c>
      <c r="I321" s="431">
        <v>42833</v>
      </c>
      <c r="J321" s="438" t="s">
        <v>2002</v>
      </c>
      <c r="K321" s="435">
        <v>556</v>
      </c>
      <c r="L321" s="431">
        <v>42831</v>
      </c>
      <c r="M321" s="440">
        <v>650</v>
      </c>
      <c r="N321" s="439">
        <f t="shared" si="13"/>
        <v>1300</v>
      </c>
      <c r="O321" s="559" t="s">
        <v>419</v>
      </c>
      <c r="P321" s="429" t="s">
        <v>844</v>
      </c>
      <c r="Q321" s="429" t="s">
        <v>907</v>
      </c>
      <c r="R321" s="431" t="s">
        <v>908</v>
      </c>
      <c r="S321" s="429" t="s">
        <v>422</v>
      </c>
      <c r="T321" s="429" t="s">
        <v>423</v>
      </c>
      <c r="U321" s="429"/>
      <c r="V321" s="427"/>
      <c r="W321" s="153"/>
    </row>
    <row r="322" spans="1:23" s="135" customFormat="1" ht="15" hidden="1" customHeight="1">
      <c r="A322" s="306">
        <v>321</v>
      </c>
      <c r="B322" s="434" t="s">
        <v>906</v>
      </c>
      <c r="C322" s="433"/>
      <c r="D322" s="611" t="s">
        <v>140</v>
      </c>
      <c r="E322" s="601" t="s">
        <v>139</v>
      </c>
      <c r="F322" s="432">
        <v>2</v>
      </c>
      <c r="G322" s="432">
        <v>2</v>
      </c>
      <c r="H322" s="614">
        <f t="shared" si="12"/>
        <v>0</v>
      </c>
      <c r="I322" s="431">
        <v>42833</v>
      </c>
      <c r="J322" s="561" t="s">
        <v>2002</v>
      </c>
      <c r="K322" s="435">
        <v>556</v>
      </c>
      <c r="L322" s="607">
        <v>42831</v>
      </c>
      <c r="M322" s="616">
        <v>350</v>
      </c>
      <c r="N322" s="615">
        <f t="shared" si="13"/>
        <v>700</v>
      </c>
      <c r="O322" s="559" t="s">
        <v>419</v>
      </c>
      <c r="P322" s="429" t="s">
        <v>844</v>
      </c>
      <c r="Q322" s="429" t="s">
        <v>907</v>
      </c>
      <c r="R322" s="607" t="s">
        <v>908</v>
      </c>
      <c r="S322" s="429" t="s">
        <v>422</v>
      </c>
      <c r="T322" s="429" t="s">
        <v>423</v>
      </c>
      <c r="U322" s="602"/>
      <c r="V322" s="600"/>
      <c r="W322" s="601"/>
    </row>
    <row r="323" spans="1:23" s="135" customFormat="1" ht="15" hidden="1" customHeight="1">
      <c r="A323" s="306">
        <v>322</v>
      </c>
      <c r="B323" s="434" t="s">
        <v>906</v>
      </c>
      <c r="C323" s="433"/>
      <c r="D323" s="611" t="s">
        <v>142</v>
      </c>
      <c r="E323" s="428" t="s">
        <v>141</v>
      </c>
      <c r="F323" s="432">
        <v>2</v>
      </c>
      <c r="G323" s="432">
        <v>2</v>
      </c>
      <c r="H323" s="437">
        <f t="shared" si="12"/>
        <v>0</v>
      </c>
      <c r="I323" s="431">
        <v>42833</v>
      </c>
      <c r="J323" s="438" t="s">
        <v>2002</v>
      </c>
      <c r="K323" s="435">
        <v>556</v>
      </c>
      <c r="L323" s="431">
        <v>42831</v>
      </c>
      <c r="M323" s="440">
        <v>1010</v>
      </c>
      <c r="N323" s="439">
        <f t="shared" si="13"/>
        <v>2020</v>
      </c>
      <c r="O323" s="559" t="s">
        <v>419</v>
      </c>
      <c r="P323" s="429" t="s">
        <v>844</v>
      </c>
      <c r="Q323" s="429" t="s">
        <v>907</v>
      </c>
      <c r="R323" s="431" t="s">
        <v>908</v>
      </c>
      <c r="S323" s="429" t="s">
        <v>422</v>
      </c>
      <c r="T323" s="429" t="s">
        <v>423</v>
      </c>
      <c r="U323" s="600"/>
      <c r="V323" s="427"/>
      <c r="W323" s="153"/>
    </row>
    <row r="324" spans="1:23" s="135" customFormat="1" ht="15" hidden="1" customHeight="1">
      <c r="A324" s="306">
        <v>323</v>
      </c>
      <c r="B324" s="434" t="s">
        <v>906</v>
      </c>
      <c r="C324" s="433"/>
      <c r="D324" s="611" t="s">
        <v>895</v>
      </c>
      <c r="E324" s="601" t="s">
        <v>902</v>
      </c>
      <c r="F324" s="432">
        <v>2</v>
      </c>
      <c r="G324" s="432">
        <v>2</v>
      </c>
      <c r="H324" s="437">
        <f t="shared" si="12"/>
        <v>0</v>
      </c>
      <c r="I324" s="431">
        <v>42833</v>
      </c>
      <c r="J324" s="438" t="s">
        <v>2002</v>
      </c>
      <c r="K324" s="435">
        <v>556</v>
      </c>
      <c r="L324" s="431">
        <v>42831</v>
      </c>
      <c r="M324" s="440">
        <v>930</v>
      </c>
      <c r="N324" s="439">
        <f t="shared" si="13"/>
        <v>1860</v>
      </c>
      <c r="O324" s="559" t="s">
        <v>419</v>
      </c>
      <c r="P324" s="429" t="s">
        <v>844</v>
      </c>
      <c r="Q324" s="429" t="s">
        <v>907</v>
      </c>
      <c r="R324" s="431" t="s">
        <v>908</v>
      </c>
      <c r="S324" s="429" t="s">
        <v>422</v>
      </c>
      <c r="T324" s="429" t="s">
        <v>423</v>
      </c>
      <c r="U324" s="429"/>
      <c r="V324" s="427"/>
      <c r="W324" s="153"/>
    </row>
    <row r="325" spans="1:23" s="135" customFormat="1" ht="15" hidden="1" customHeight="1">
      <c r="A325" s="306">
        <v>324</v>
      </c>
      <c r="B325" s="434" t="s">
        <v>906</v>
      </c>
      <c r="C325" s="433"/>
      <c r="D325" s="611" t="s">
        <v>896</v>
      </c>
      <c r="E325" s="601" t="s">
        <v>903</v>
      </c>
      <c r="F325" s="432">
        <v>2</v>
      </c>
      <c r="G325" s="432">
        <v>2</v>
      </c>
      <c r="H325" s="437">
        <f t="shared" si="12"/>
        <v>0</v>
      </c>
      <c r="I325" s="431">
        <v>42833</v>
      </c>
      <c r="J325" s="561" t="s">
        <v>2002</v>
      </c>
      <c r="K325" s="435">
        <v>556</v>
      </c>
      <c r="L325" s="431">
        <v>42831</v>
      </c>
      <c r="M325" s="440">
        <v>1800</v>
      </c>
      <c r="N325" s="439">
        <f t="shared" si="13"/>
        <v>3600</v>
      </c>
      <c r="O325" s="559" t="s">
        <v>419</v>
      </c>
      <c r="P325" s="429" t="s">
        <v>844</v>
      </c>
      <c r="Q325" s="429" t="s">
        <v>907</v>
      </c>
      <c r="R325" s="431" t="s">
        <v>908</v>
      </c>
      <c r="S325" s="429" t="s">
        <v>422</v>
      </c>
      <c r="T325" s="429" t="s">
        <v>423</v>
      </c>
      <c r="U325" s="429"/>
      <c r="V325" s="427"/>
      <c r="W325" s="153"/>
    </row>
    <row r="326" spans="1:23" s="135" customFormat="1" ht="15" hidden="1" customHeight="1">
      <c r="A326" s="306">
        <v>325</v>
      </c>
      <c r="B326" s="162" t="s">
        <v>914</v>
      </c>
      <c r="C326" s="161"/>
      <c r="D326" s="611" t="s">
        <v>915</v>
      </c>
      <c r="E326" s="601" t="s">
        <v>917</v>
      </c>
      <c r="F326" s="373">
        <v>1</v>
      </c>
      <c r="G326" s="373">
        <v>1</v>
      </c>
      <c r="H326" s="437">
        <f t="shared" si="12"/>
        <v>0</v>
      </c>
      <c r="I326" s="160">
        <v>42829</v>
      </c>
      <c r="J326" s="155" t="s">
        <v>749</v>
      </c>
      <c r="K326" s="240">
        <v>553</v>
      </c>
      <c r="L326" s="371">
        <v>42830</v>
      </c>
      <c r="M326" s="175">
        <v>223195.53</v>
      </c>
      <c r="N326" s="439">
        <f t="shared" si="13"/>
        <v>223195.53</v>
      </c>
      <c r="O326" s="559" t="s">
        <v>419</v>
      </c>
      <c r="P326" s="154" t="s">
        <v>916</v>
      </c>
      <c r="Q326" s="154"/>
      <c r="R326" s="431" t="s">
        <v>908</v>
      </c>
      <c r="S326" s="429" t="s">
        <v>422</v>
      </c>
      <c r="T326" s="154"/>
      <c r="U326" s="154" t="s">
        <v>918</v>
      </c>
      <c r="V326" s="67"/>
      <c r="W326" s="153"/>
    </row>
    <row r="327" spans="1:23" s="135" customFormat="1" ht="15" hidden="1" customHeight="1">
      <c r="A327" s="306">
        <v>326</v>
      </c>
      <c r="B327" s="162" t="s">
        <v>932</v>
      </c>
      <c r="C327" s="161"/>
      <c r="D327" s="611" t="s">
        <v>219</v>
      </c>
      <c r="E327" s="6" t="s">
        <v>218</v>
      </c>
      <c r="F327" s="373">
        <v>4</v>
      </c>
      <c r="G327" s="609">
        <v>4</v>
      </c>
      <c r="H327" s="614">
        <f t="shared" si="12"/>
        <v>0</v>
      </c>
      <c r="I327" s="160">
        <v>42837</v>
      </c>
      <c r="J327" s="155" t="s">
        <v>931</v>
      </c>
      <c r="K327" s="240">
        <v>558</v>
      </c>
      <c r="L327" s="607">
        <v>42835</v>
      </c>
      <c r="M327" s="616">
        <v>1720</v>
      </c>
      <c r="N327" s="615">
        <f t="shared" si="13"/>
        <v>6880</v>
      </c>
      <c r="O327" s="559" t="s">
        <v>419</v>
      </c>
      <c r="P327" s="154" t="s">
        <v>1998</v>
      </c>
      <c r="Q327" s="154"/>
      <c r="R327" s="607" t="s">
        <v>908</v>
      </c>
      <c r="S327" s="429" t="s">
        <v>422</v>
      </c>
      <c r="T327" s="429" t="s">
        <v>423</v>
      </c>
      <c r="U327" s="602"/>
      <c r="V327" s="600"/>
      <c r="W327" s="601"/>
    </row>
    <row r="328" spans="1:23" s="135" customFormat="1" ht="15" hidden="1" customHeight="1">
      <c r="A328" s="306">
        <v>327</v>
      </c>
      <c r="B328" s="162" t="s">
        <v>933</v>
      </c>
      <c r="C328" s="161"/>
      <c r="D328" s="611" t="s">
        <v>219</v>
      </c>
      <c r="E328" s="6" t="s">
        <v>218</v>
      </c>
      <c r="F328" s="373">
        <v>2</v>
      </c>
      <c r="G328" s="609">
        <v>2</v>
      </c>
      <c r="H328" s="614">
        <f t="shared" si="12"/>
        <v>0</v>
      </c>
      <c r="I328" s="431">
        <v>42837</v>
      </c>
      <c r="J328" s="155" t="s">
        <v>934</v>
      </c>
      <c r="K328" s="240">
        <v>560</v>
      </c>
      <c r="L328" s="607">
        <v>42836</v>
      </c>
      <c r="M328" s="616">
        <v>2000</v>
      </c>
      <c r="N328" s="615">
        <f t="shared" si="13"/>
        <v>4000</v>
      </c>
      <c r="O328" s="559" t="s">
        <v>419</v>
      </c>
      <c r="P328" s="154" t="s">
        <v>844</v>
      </c>
      <c r="Q328" s="154"/>
      <c r="R328" s="607" t="s">
        <v>908</v>
      </c>
      <c r="S328" s="429" t="s">
        <v>422</v>
      </c>
      <c r="T328" s="429" t="s">
        <v>423</v>
      </c>
      <c r="U328" s="602"/>
      <c r="V328" s="600"/>
      <c r="W328" s="601"/>
    </row>
    <row r="329" spans="1:23" s="135" customFormat="1" ht="15" hidden="1" customHeight="1">
      <c r="A329" s="306">
        <v>328</v>
      </c>
      <c r="B329" s="162">
        <v>932603</v>
      </c>
      <c r="C329" s="161"/>
      <c r="D329" s="611" t="s">
        <v>62</v>
      </c>
      <c r="E329" s="350" t="s">
        <v>61</v>
      </c>
      <c r="F329" s="373">
        <v>10</v>
      </c>
      <c r="G329" s="609">
        <v>10</v>
      </c>
      <c r="H329" s="614">
        <f t="shared" si="12"/>
        <v>0</v>
      </c>
      <c r="I329" s="431">
        <v>42837</v>
      </c>
      <c r="J329" s="363" t="s">
        <v>1702</v>
      </c>
      <c r="K329" s="240">
        <v>561</v>
      </c>
      <c r="L329" s="371">
        <v>42836</v>
      </c>
      <c r="M329" s="616">
        <v>1850</v>
      </c>
      <c r="N329" s="615">
        <f t="shared" si="13"/>
        <v>18500</v>
      </c>
      <c r="O329" s="559" t="s">
        <v>419</v>
      </c>
      <c r="P329" s="429" t="s">
        <v>844</v>
      </c>
      <c r="Q329" s="154"/>
      <c r="R329" s="607" t="s">
        <v>908</v>
      </c>
      <c r="S329" s="429" t="s">
        <v>422</v>
      </c>
      <c r="T329" s="429" t="s">
        <v>423</v>
      </c>
      <c r="U329" s="602"/>
      <c r="V329" s="600"/>
      <c r="W329" s="601"/>
    </row>
    <row r="330" spans="1:23" s="135" customFormat="1" ht="15" hidden="1" customHeight="1">
      <c r="A330" s="306">
        <v>329</v>
      </c>
      <c r="B330" s="434">
        <v>932603</v>
      </c>
      <c r="C330" s="161"/>
      <c r="D330" s="611" t="s">
        <v>47</v>
      </c>
      <c r="E330" s="350" t="s">
        <v>46</v>
      </c>
      <c r="F330" s="373">
        <v>5</v>
      </c>
      <c r="G330" s="609">
        <v>5</v>
      </c>
      <c r="H330" s="614">
        <f t="shared" si="12"/>
        <v>0</v>
      </c>
      <c r="I330" s="431">
        <v>42837</v>
      </c>
      <c r="J330" s="363" t="s">
        <v>1702</v>
      </c>
      <c r="K330" s="435">
        <v>561</v>
      </c>
      <c r="L330" s="607">
        <v>42836</v>
      </c>
      <c r="M330" s="616">
        <v>2850</v>
      </c>
      <c r="N330" s="615">
        <f t="shared" si="13"/>
        <v>14250</v>
      </c>
      <c r="O330" s="559" t="s">
        <v>419</v>
      </c>
      <c r="P330" s="429" t="s">
        <v>844</v>
      </c>
      <c r="Q330" s="154"/>
      <c r="R330" s="607" t="s">
        <v>908</v>
      </c>
      <c r="S330" s="429" t="s">
        <v>422</v>
      </c>
      <c r="T330" s="429" t="s">
        <v>423</v>
      </c>
      <c r="U330" s="602"/>
      <c r="V330" s="600"/>
      <c r="W330" s="601"/>
    </row>
    <row r="331" spans="1:23" s="135" customFormat="1" ht="15" hidden="1" customHeight="1">
      <c r="A331" s="306">
        <v>330</v>
      </c>
      <c r="B331" s="162">
        <v>4501395582</v>
      </c>
      <c r="C331" s="161"/>
      <c r="D331" s="611" t="s">
        <v>71</v>
      </c>
      <c r="E331" s="350" t="s">
        <v>65</v>
      </c>
      <c r="F331" s="373">
        <v>1</v>
      </c>
      <c r="G331" s="609">
        <v>1</v>
      </c>
      <c r="H331" s="614">
        <f t="shared" si="12"/>
        <v>0</v>
      </c>
      <c r="I331" s="160">
        <v>42838</v>
      </c>
      <c r="J331" s="155" t="s">
        <v>883</v>
      </c>
      <c r="K331" s="240">
        <v>566</v>
      </c>
      <c r="L331" s="371">
        <v>42837</v>
      </c>
      <c r="M331" s="616">
        <v>2070</v>
      </c>
      <c r="N331" s="615">
        <f t="shared" si="13"/>
        <v>2070</v>
      </c>
      <c r="O331" s="559" t="s">
        <v>587</v>
      </c>
      <c r="P331" s="154" t="s">
        <v>844</v>
      </c>
      <c r="Q331" s="154"/>
      <c r="R331" s="607" t="s">
        <v>908</v>
      </c>
      <c r="S331" s="429" t="s">
        <v>422</v>
      </c>
      <c r="T331" s="154" t="s">
        <v>423</v>
      </c>
      <c r="U331" s="602"/>
      <c r="V331" s="600"/>
      <c r="W331" s="601"/>
    </row>
    <row r="332" spans="1:23" s="135" customFormat="1" ht="15" hidden="1" customHeight="1">
      <c r="A332" s="306">
        <v>331</v>
      </c>
      <c r="B332" s="434">
        <v>4501395582</v>
      </c>
      <c r="C332" s="161"/>
      <c r="D332" s="611" t="s">
        <v>31</v>
      </c>
      <c r="E332" s="601" t="s">
        <v>28</v>
      </c>
      <c r="F332" s="373">
        <v>1</v>
      </c>
      <c r="G332" s="373">
        <v>1</v>
      </c>
      <c r="H332" s="614">
        <f t="shared" si="12"/>
        <v>0</v>
      </c>
      <c r="I332" s="431">
        <v>42838</v>
      </c>
      <c r="J332" s="438" t="s">
        <v>883</v>
      </c>
      <c r="K332" s="435">
        <v>566</v>
      </c>
      <c r="L332" s="431">
        <v>42837</v>
      </c>
      <c r="M332" s="175">
        <v>450</v>
      </c>
      <c r="N332" s="615">
        <f t="shared" si="13"/>
        <v>450</v>
      </c>
      <c r="O332" s="559" t="s">
        <v>587</v>
      </c>
      <c r="P332" s="154" t="s">
        <v>844</v>
      </c>
      <c r="Q332" s="154"/>
      <c r="R332" s="607" t="s">
        <v>908</v>
      </c>
      <c r="S332" s="413" t="s">
        <v>422</v>
      </c>
      <c r="T332" s="154" t="s">
        <v>423</v>
      </c>
      <c r="U332" s="154"/>
      <c r="V332" s="67"/>
      <c r="W332" s="601"/>
    </row>
    <row r="333" spans="1:23" s="135" customFormat="1" ht="15" hidden="1" customHeight="1">
      <c r="A333" s="306">
        <v>332</v>
      </c>
      <c r="B333" s="162"/>
      <c r="C333" s="161"/>
      <c r="D333" s="611" t="s">
        <v>29</v>
      </c>
      <c r="E333" s="5" t="s">
        <v>28</v>
      </c>
      <c r="F333" s="373">
        <v>2</v>
      </c>
      <c r="G333" s="373">
        <v>2</v>
      </c>
      <c r="H333" s="437">
        <f t="shared" si="12"/>
        <v>0</v>
      </c>
      <c r="I333" s="160">
        <v>42840</v>
      </c>
      <c r="J333" s="155" t="s">
        <v>828</v>
      </c>
      <c r="K333" s="240">
        <v>567</v>
      </c>
      <c r="L333" s="371">
        <v>42840</v>
      </c>
      <c r="M333" s="175">
        <v>450</v>
      </c>
      <c r="N333" s="439">
        <f t="shared" si="13"/>
        <v>900</v>
      </c>
      <c r="O333" s="559" t="s">
        <v>587</v>
      </c>
      <c r="P333" s="429" t="s">
        <v>555</v>
      </c>
      <c r="Q333" s="154"/>
      <c r="R333" s="431" t="s">
        <v>908</v>
      </c>
      <c r="S333" s="413" t="s">
        <v>422</v>
      </c>
      <c r="T333" s="154" t="s">
        <v>423</v>
      </c>
      <c r="U333" s="154"/>
      <c r="V333" s="67"/>
      <c r="W333" s="153"/>
    </row>
    <row r="334" spans="1:23" s="135" customFormat="1" ht="15" hidden="1" customHeight="1">
      <c r="A334" s="306">
        <v>333</v>
      </c>
      <c r="B334" s="162"/>
      <c r="C334" s="161"/>
      <c r="D334" s="558" t="s">
        <v>939</v>
      </c>
      <c r="E334" s="602" t="s">
        <v>940</v>
      </c>
      <c r="F334" s="373">
        <v>16</v>
      </c>
      <c r="G334" s="373">
        <v>16</v>
      </c>
      <c r="H334" s="614">
        <f t="shared" si="12"/>
        <v>0</v>
      </c>
      <c r="I334" s="431">
        <v>42840</v>
      </c>
      <c r="J334" s="155" t="s">
        <v>656</v>
      </c>
      <c r="K334" s="240">
        <v>570</v>
      </c>
      <c r="L334" s="607">
        <v>42841</v>
      </c>
      <c r="M334" s="616">
        <v>125</v>
      </c>
      <c r="N334" s="615">
        <f t="shared" si="13"/>
        <v>2000</v>
      </c>
      <c r="O334" s="559" t="s">
        <v>587</v>
      </c>
      <c r="P334" s="154" t="s">
        <v>555</v>
      </c>
      <c r="Q334" s="154"/>
      <c r="R334" s="607" t="s">
        <v>908</v>
      </c>
      <c r="S334" s="429" t="s">
        <v>422</v>
      </c>
      <c r="T334" s="429" t="s">
        <v>423</v>
      </c>
      <c r="U334" s="602"/>
      <c r="V334" s="600"/>
      <c r="W334" s="601"/>
    </row>
    <row r="335" spans="1:23" s="135" customFormat="1" ht="15" hidden="1" customHeight="1">
      <c r="A335" s="306">
        <v>334</v>
      </c>
      <c r="B335" s="162" t="s">
        <v>937</v>
      </c>
      <c r="C335" s="161"/>
      <c r="D335" s="611" t="s">
        <v>93</v>
      </c>
      <c r="E335" s="458" t="s">
        <v>92</v>
      </c>
      <c r="F335" s="373">
        <v>1</v>
      </c>
      <c r="G335" s="609">
        <v>1</v>
      </c>
      <c r="H335" s="437">
        <f t="shared" si="12"/>
        <v>0</v>
      </c>
      <c r="I335" s="160">
        <v>42845</v>
      </c>
      <c r="J335" s="159" t="s">
        <v>749</v>
      </c>
      <c r="K335" s="557">
        <v>572</v>
      </c>
      <c r="L335" s="607">
        <v>42841</v>
      </c>
      <c r="M335" s="616">
        <v>36000</v>
      </c>
      <c r="N335" s="439">
        <f t="shared" si="13"/>
        <v>36000</v>
      </c>
      <c r="O335" s="559" t="s">
        <v>587</v>
      </c>
      <c r="P335" s="154" t="s">
        <v>612</v>
      </c>
      <c r="Q335" s="154"/>
      <c r="R335" s="607" t="s">
        <v>908</v>
      </c>
      <c r="S335" s="429" t="s">
        <v>422</v>
      </c>
      <c r="T335" s="429" t="s">
        <v>423</v>
      </c>
      <c r="U335" s="602"/>
      <c r="V335" s="600"/>
      <c r="W335" s="601"/>
    </row>
    <row r="336" spans="1:23" s="135" customFormat="1" ht="15" hidden="1" customHeight="1">
      <c r="A336" s="306">
        <v>335</v>
      </c>
      <c r="B336" s="611" t="s">
        <v>938</v>
      </c>
      <c r="C336" s="610"/>
      <c r="D336" s="611" t="s">
        <v>84</v>
      </c>
      <c r="E336" s="367" t="s">
        <v>83</v>
      </c>
      <c r="F336" s="609">
        <v>1</v>
      </c>
      <c r="G336" s="609">
        <v>1</v>
      </c>
      <c r="H336" s="437">
        <f t="shared" ref="H336:H365" si="14">F336-G336</f>
        <v>0</v>
      </c>
      <c r="I336" s="607">
        <v>42845</v>
      </c>
      <c r="J336" s="606" t="s">
        <v>749</v>
      </c>
      <c r="K336" s="435">
        <v>571</v>
      </c>
      <c r="L336" s="607">
        <v>42841</v>
      </c>
      <c r="M336" s="616">
        <v>35000</v>
      </c>
      <c r="N336" s="615">
        <f t="shared" si="13"/>
        <v>35000</v>
      </c>
      <c r="O336" s="559" t="s">
        <v>587</v>
      </c>
      <c r="P336" s="602" t="s">
        <v>612</v>
      </c>
      <c r="Q336" s="602"/>
      <c r="R336" s="607" t="s">
        <v>908</v>
      </c>
      <c r="S336" s="602" t="s">
        <v>422</v>
      </c>
      <c r="T336" s="602" t="s">
        <v>423</v>
      </c>
      <c r="U336" s="602"/>
      <c r="V336" s="600"/>
      <c r="W336" s="601"/>
    </row>
    <row r="337" spans="1:23" s="135" customFormat="1" ht="15" hidden="1" customHeight="1">
      <c r="A337" s="306">
        <v>336</v>
      </c>
      <c r="B337" s="162">
        <v>391946</v>
      </c>
      <c r="C337" s="161"/>
      <c r="D337" s="611" t="s">
        <v>75</v>
      </c>
      <c r="E337" s="367" t="s">
        <v>74</v>
      </c>
      <c r="F337" s="373">
        <v>1</v>
      </c>
      <c r="G337" s="609">
        <v>1</v>
      </c>
      <c r="H337" s="614">
        <f t="shared" si="14"/>
        <v>0</v>
      </c>
      <c r="I337" s="431">
        <v>42845</v>
      </c>
      <c r="J337" s="561" t="s">
        <v>830</v>
      </c>
      <c r="K337" s="557">
        <v>575</v>
      </c>
      <c r="L337" s="607">
        <v>42845</v>
      </c>
      <c r="M337" s="616">
        <v>30105</v>
      </c>
      <c r="N337" s="615">
        <f t="shared" si="13"/>
        <v>30105</v>
      </c>
      <c r="O337" s="559" t="s">
        <v>587</v>
      </c>
      <c r="P337" s="154" t="s">
        <v>844</v>
      </c>
      <c r="Q337" s="154"/>
      <c r="R337" s="607" t="s">
        <v>908</v>
      </c>
      <c r="S337" s="429" t="s">
        <v>422</v>
      </c>
      <c r="T337" s="602" t="s">
        <v>423</v>
      </c>
      <c r="U337" s="602"/>
      <c r="V337" s="600"/>
      <c r="W337" s="601"/>
    </row>
    <row r="338" spans="1:23" s="135" customFormat="1" ht="15" hidden="1" customHeight="1">
      <c r="A338" s="306">
        <v>337</v>
      </c>
      <c r="B338" s="162">
        <v>1476132</v>
      </c>
      <c r="C338" s="161"/>
      <c r="D338" s="611" t="s">
        <v>225</v>
      </c>
      <c r="E338" s="601" t="s">
        <v>945</v>
      </c>
      <c r="F338" s="373">
        <v>40</v>
      </c>
      <c r="G338" s="609">
        <v>40</v>
      </c>
      <c r="H338" s="437">
        <f t="shared" si="14"/>
        <v>0</v>
      </c>
      <c r="I338" s="160">
        <v>42850</v>
      </c>
      <c r="J338" s="561" t="s">
        <v>580</v>
      </c>
      <c r="K338" s="557">
        <v>577</v>
      </c>
      <c r="L338" s="607">
        <v>42848</v>
      </c>
      <c r="M338" s="616">
        <v>430</v>
      </c>
      <c r="N338" s="615">
        <f t="shared" si="13"/>
        <v>17200</v>
      </c>
      <c r="O338" s="559" t="s">
        <v>587</v>
      </c>
      <c r="P338" s="154" t="s">
        <v>612</v>
      </c>
      <c r="Q338" s="154"/>
      <c r="R338" s="607" t="s">
        <v>908</v>
      </c>
      <c r="S338" s="602" t="s">
        <v>422</v>
      </c>
      <c r="T338" s="602" t="s">
        <v>423</v>
      </c>
      <c r="U338" s="602"/>
      <c r="V338" s="600"/>
      <c r="W338" s="601"/>
    </row>
    <row r="339" spans="1:23" s="135" customFormat="1" ht="15" hidden="1" customHeight="1">
      <c r="A339" s="306">
        <v>338</v>
      </c>
      <c r="B339" s="162"/>
      <c r="C339" s="161"/>
      <c r="D339" s="186" t="s">
        <v>226</v>
      </c>
      <c r="E339" s="350" t="s">
        <v>944</v>
      </c>
      <c r="F339" s="373">
        <v>4</v>
      </c>
      <c r="G339" s="373">
        <v>4</v>
      </c>
      <c r="H339" s="437">
        <f t="shared" si="14"/>
        <v>0</v>
      </c>
      <c r="I339" s="431">
        <v>42850</v>
      </c>
      <c r="J339" s="155" t="s">
        <v>946</v>
      </c>
      <c r="K339" s="557">
        <v>580</v>
      </c>
      <c r="L339" s="607">
        <v>42850</v>
      </c>
      <c r="M339" s="616">
        <v>250</v>
      </c>
      <c r="N339" s="173">
        <f t="shared" si="13"/>
        <v>1000</v>
      </c>
      <c r="O339" s="559" t="s">
        <v>425</v>
      </c>
      <c r="P339" s="154" t="s">
        <v>555</v>
      </c>
      <c r="Q339" s="154"/>
      <c r="R339" s="431" t="s">
        <v>908</v>
      </c>
      <c r="S339" s="429" t="s">
        <v>422</v>
      </c>
      <c r="T339" s="429" t="s">
        <v>423</v>
      </c>
      <c r="U339" s="154"/>
      <c r="V339" s="600"/>
      <c r="W339" s="601"/>
    </row>
    <row r="340" spans="1:23" s="135" customFormat="1" ht="15" hidden="1" customHeight="1">
      <c r="A340" s="306">
        <v>339</v>
      </c>
      <c r="B340" s="434" t="s">
        <v>947</v>
      </c>
      <c r="C340" s="433"/>
      <c r="D340" s="558" t="s">
        <v>91</v>
      </c>
      <c r="E340" s="418" t="s">
        <v>50</v>
      </c>
      <c r="F340" s="432">
        <v>2</v>
      </c>
      <c r="G340" s="432">
        <v>2</v>
      </c>
      <c r="H340" s="437">
        <f t="shared" si="14"/>
        <v>0</v>
      </c>
      <c r="I340" s="431">
        <v>42851</v>
      </c>
      <c r="J340" s="438" t="s">
        <v>948</v>
      </c>
      <c r="K340" s="435">
        <v>579</v>
      </c>
      <c r="L340" s="431">
        <v>42850</v>
      </c>
      <c r="M340" s="440">
        <v>2800</v>
      </c>
      <c r="N340" s="439">
        <f t="shared" si="13"/>
        <v>5600</v>
      </c>
      <c r="O340" s="559" t="s">
        <v>587</v>
      </c>
      <c r="P340" s="429" t="s">
        <v>949</v>
      </c>
      <c r="Q340" s="600" t="s">
        <v>1062</v>
      </c>
      <c r="R340" s="431" t="s">
        <v>908</v>
      </c>
      <c r="S340" s="429" t="s">
        <v>422</v>
      </c>
      <c r="T340" s="429" t="s">
        <v>423</v>
      </c>
      <c r="U340" s="429"/>
      <c r="V340" s="600"/>
      <c r="W340" s="601"/>
    </row>
    <row r="341" spans="1:23" s="135" customFormat="1" ht="15" hidden="1" customHeight="1">
      <c r="A341" s="306">
        <v>340</v>
      </c>
      <c r="B341" s="434">
        <v>171208</v>
      </c>
      <c r="C341" s="433"/>
      <c r="D341" s="601" t="s">
        <v>60</v>
      </c>
      <c r="E341" s="559" t="s">
        <v>438</v>
      </c>
      <c r="F341" s="432">
        <v>1</v>
      </c>
      <c r="G341" s="432">
        <v>1</v>
      </c>
      <c r="H341" s="437">
        <f t="shared" si="14"/>
        <v>0</v>
      </c>
      <c r="I341" s="431">
        <v>42851</v>
      </c>
      <c r="J341" s="606" t="s">
        <v>513</v>
      </c>
      <c r="K341" s="557">
        <v>583</v>
      </c>
      <c r="L341" s="607">
        <v>42851</v>
      </c>
      <c r="M341" s="616">
        <v>1370</v>
      </c>
      <c r="N341" s="439">
        <f t="shared" si="13"/>
        <v>1370</v>
      </c>
      <c r="O341" s="559" t="s">
        <v>587</v>
      </c>
      <c r="P341" s="429" t="s">
        <v>555</v>
      </c>
      <c r="Q341" s="600" t="s">
        <v>950</v>
      </c>
      <c r="R341" s="431" t="s">
        <v>908</v>
      </c>
      <c r="S341" s="429" t="s">
        <v>422</v>
      </c>
      <c r="T341" s="429" t="s">
        <v>423</v>
      </c>
      <c r="U341" s="470"/>
      <c r="V341" s="600"/>
      <c r="W341" s="601"/>
    </row>
    <row r="342" spans="1:23" s="135" customFormat="1" ht="15" hidden="1" customHeight="1">
      <c r="A342" s="306">
        <v>341</v>
      </c>
      <c r="B342" s="434"/>
      <c r="C342" s="433"/>
      <c r="D342" s="611" t="s">
        <v>224</v>
      </c>
      <c r="E342" s="350" t="s">
        <v>941</v>
      </c>
      <c r="F342" s="432">
        <v>4</v>
      </c>
      <c r="G342" s="432">
        <v>4</v>
      </c>
      <c r="H342" s="437">
        <f t="shared" si="14"/>
        <v>0</v>
      </c>
      <c r="I342" s="431">
        <v>42852</v>
      </c>
      <c r="J342" s="561" t="s">
        <v>951</v>
      </c>
      <c r="K342" s="557">
        <v>584</v>
      </c>
      <c r="L342" s="607">
        <v>42852</v>
      </c>
      <c r="M342" s="616">
        <v>120</v>
      </c>
      <c r="N342" s="439">
        <f t="shared" si="13"/>
        <v>480</v>
      </c>
      <c r="O342" s="559" t="s">
        <v>425</v>
      </c>
      <c r="P342" s="429" t="s">
        <v>555</v>
      </c>
      <c r="Q342" s="600" t="s">
        <v>952</v>
      </c>
      <c r="R342" s="431" t="s">
        <v>908</v>
      </c>
      <c r="S342" s="429" t="s">
        <v>422</v>
      </c>
      <c r="T342" s="429" t="s">
        <v>423</v>
      </c>
      <c r="U342" s="564"/>
      <c r="V342" s="600"/>
      <c r="W342" s="601"/>
    </row>
    <row r="343" spans="1:23" s="135" customFormat="1" ht="15" hidden="1" customHeight="1">
      <c r="A343" s="306">
        <v>342</v>
      </c>
      <c r="B343" s="162">
        <v>1072</v>
      </c>
      <c r="C343" s="161"/>
      <c r="D343" s="198" t="s">
        <v>248</v>
      </c>
      <c r="E343" s="600" t="s">
        <v>260</v>
      </c>
      <c r="F343" s="373">
        <v>1</v>
      </c>
      <c r="G343" s="373">
        <v>1</v>
      </c>
      <c r="H343" s="614">
        <f t="shared" si="14"/>
        <v>0</v>
      </c>
      <c r="I343" s="160">
        <v>42855</v>
      </c>
      <c r="J343" s="155" t="s">
        <v>644</v>
      </c>
      <c r="K343" s="240">
        <v>586</v>
      </c>
      <c r="L343" s="371">
        <v>42854</v>
      </c>
      <c r="M343" s="175">
        <v>2300</v>
      </c>
      <c r="N343" s="615">
        <f t="shared" si="13"/>
        <v>2300</v>
      </c>
      <c r="O343" s="559" t="s">
        <v>587</v>
      </c>
      <c r="P343" s="154" t="s">
        <v>953</v>
      </c>
      <c r="Q343" s="154"/>
      <c r="R343" s="431" t="s">
        <v>908</v>
      </c>
      <c r="S343" s="429" t="s">
        <v>422</v>
      </c>
      <c r="T343" s="429" t="s">
        <v>423</v>
      </c>
      <c r="U343" s="154"/>
      <c r="V343" s="67"/>
      <c r="W343" s="601"/>
    </row>
    <row r="344" spans="1:23" s="135" customFormat="1" ht="15" hidden="1" customHeight="1">
      <c r="A344" s="306">
        <v>343</v>
      </c>
      <c r="B344" s="162"/>
      <c r="C344" s="161"/>
      <c r="D344" s="185" t="s">
        <v>62</v>
      </c>
      <c r="E344" s="350" t="s">
        <v>61</v>
      </c>
      <c r="F344" s="373">
        <v>3</v>
      </c>
      <c r="G344" s="373">
        <v>3</v>
      </c>
      <c r="H344" s="437">
        <f t="shared" si="14"/>
        <v>0</v>
      </c>
      <c r="I344" s="431">
        <v>42855</v>
      </c>
      <c r="J344" s="155" t="s">
        <v>442</v>
      </c>
      <c r="K344" s="240">
        <v>485</v>
      </c>
      <c r="L344" s="431">
        <v>42854</v>
      </c>
      <c r="M344" s="175">
        <v>1750</v>
      </c>
      <c r="N344" s="173">
        <f t="shared" si="13"/>
        <v>5250</v>
      </c>
      <c r="O344" s="559" t="s">
        <v>587</v>
      </c>
      <c r="P344" s="429" t="s">
        <v>953</v>
      </c>
      <c r="Q344" s="154"/>
      <c r="R344" s="431" t="s">
        <v>908</v>
      </c>
      <c r="S344" s="413" t="s">
        <v>422</v>
      </c>
      <c r="T344" s="429" t="s">
        <v>423</v>
      </c>
      <c r="U344" s="154"/>
      <c r="V344" s="67"/>
      <c r="W344" s="153"/>
    </row>
    <row r="345" spans="1:23" s="135" customFormat="1" ht="15" hidden="1" customHeight="1">
      <c r="A345" s="306">
        <v>344</v>
      </c>
      <c r="B345" s="434" t="s">
        <v>956</v>
      </c>
      <c r="C345" s="433"/>
      <c r="D345" s="356" t="s">
        <v>71</v>
      </c>
      <c r="E345" s="602" t="s">
        <v>65</v>
      </c>
      <c r="F345" s="432">
        <v>1</v>
      </c>
      <c r="G345" s="432">
        <v>1</v>
      </c>
      <c r="H345" s="614">
        <f t="shared" si="14"/>
        <v>0</v>
      </c>
      <c r="I345" s="431">
        <v>42856</v>
      </c>
      <c r="J345" s="438" t="s">
        <v>611</v>
      </c>
      <c r="K345" s="435">
        <v>587</v>
      </c>
      <c r="L345" s="431">
        <v>42856</v>
      </c>
      <c r="M345" s="440">
        <v>1955</v>
      </c>
      <c r="N345" s="615">
        <f t="shared" si="13"/>
        <v>1955</v>
      </c>
      <c r="O345" s="559" t="s">
        <v>587</v>
      </c>
      <c r="P345" s="429" t="s">
        <v>844</v>
      </c>
      <c r="Q345" s="600" t="s">
        <v>957</v>
      </c>
      <c r="R345" s="431" t="s">
        <v>908</v>
      </c>
      <c r="S345" s="429" t="s">
        <v>422</v>
      </c>
      <c r="T345" s="429" t="s">
        <v>423</v>
      </c>
      <c r="U345" s="154"/>
      <c r="V345" s="67"/>
      <c r="W345" s="601"/>
    </row>
    <row r="346" spans="1:23" s="135" customFormat="1" ht="15" hidden="1" customHeight="1">
      <c r="A346" s="306">
        <v>345</v>
      </c>
      <c r="B346" s="434"/>
      <c r="C346" s="433"/>
      <c r="D346" s="186" t="s">
        <v>226</v>
      </c>
      <c r="E346" s="350" t="s">
        <v>944</v>
      </c>
      <c r="F346" s="432">
        <v>4</v>
      </c>
      <c r="G346" s="609">
        <v>4</v>
      </c>
      <c r="H346" s="437">
        <f t="shared" si="14"/>
        <v>0</v>
      </c>
      <c r="I346" s="431">
        <v>42856</v>
      </c>
      <c r="J346" s="561" t="s">
        <v>958</v>
      </c>
      <c r="K346" s="557">
        <v>588</v>
      </c>
      <c r="L346" s="607">
        <v>42856</v>
      </c>
      <c r="M346" s="616">
        <v>350</v>
      </c>
      <c r="N346" s="439">
        <f t="shared" ref="N346:N352" si="15">IFERROR(M346*G346,0)</f>
        <v>1400</v>
      </c>
      <c r="O346" s="559" t="s">
        <v>425</v>
      </c>
      <c r="P346" s="429" t="s">
        <v>555</v>
      </c>
      <c r="Q346" s="600" t="s">
        <v>959</v>
      </c>
      <c r="R346" s="431" t="s">
        <v>908</v>
      </c>
      <c r="S346" s="429" t="s">
        <v>422</v>
      </c>
      <c r="T346" s="429" t="s">
        <v>423</v>
      </c>
      <c r="U346" s="602"/>
      <c r="V346" s="600"/>
      <c r="W346" s="601"/>
    </row>
    <row r="347" spans="1:23" s="135" customFormat="1" ht="15" hidden="1" customHeight="1">
      <c r="A347" s="306">
        <v>346</v>
      </c>
      <c r="B347" s="434">
        <v>138</v>
      </c>
      <c r="C347" s="433"/>
      <c r="D347" s="611" t="s">
        <v>77</v>
      </c>
      <c r="E347" s="601" t="s">
        <v>76</v>
      </c>
      <c r="F347" s="432">
        <v>1</v>
      </c>
      <c r="G347" s="432">
        <v>1</v>
      </c>
      <c r="H347" s="437">
        <f t="shared" si="14"/>
        <v>0</v>
      </c>
      <c r="I347" s="431">
        <v>42856</v>
      </c>
      <c r="J347" s="606" t="s">
        <v>960</v>
      </c>
      <c r="K347" s="435">
        <v>591</v>
      </c>
      <c r="L347" s="431">
        <v>42856</v>
      </c>
      <c r="M347" s="440">
        <v>820</v>
      </c>
      <c r="N347" s="439">
        <f t="shared" si="15"/>
        <v>820</v>
      </c>
      <c r="O347" s="559" t="s">
        <v>587</v>
      </c>
      <c r="P347" s="429" t="s">
        <v>555</v>
      </c>
      <c r="Q347" s="427" t="s">
        <v>961</v>
      </c>
      <c r="R347" s="431" t="s">
        <v>908</v>
      </c>
      <c r="S347" s="429" t="s">
        <v>422</v>
      </c>
      <c r="T347" s="429" t="s">
        <v>423</v>
      </c>
      <c r="U347" s="602"/>
      <c r="V347" s="600"/>
      <c r="W347" s="601"/>
    </row>
    <row r="348" spans="1:23" s="135" customFormat="1" ht="15" hidden="1" customHeight="1">
      <c r="A348" s="306">
        <v>347</v>
      </c>
      <c r="B348" s="611"/>
      <c r="C348" s="610"/>
      <c r="D348" s="613" t="s">
        <v>219</v>
      </c>
      <c r="E348" s="559" t="s">
        <v>429</v>
      </c>
      <c r="F348" s="432">
        <v>1</v>
      </c>
      <c r="G348" s="432">
        <v>1</v>
      </c>
      <c r="H348" s="437">
        <f t="shared" si="14"/>
        <v>0</v>
      </c>
      <c r="I348" s="431">
        <v>42856</v>
      </c>
      <c r="J348" s="438" t="s">
        <v>962</v>
      </c>
      <c r="K348" s="557">
        <v>592</v>
      </c>
      <c r="L348" s="607">
        <v>42856</v>
      </c>
      <c r="M348" s="616">
        <v>2045</v>
      </c>
      <c r="N348" s="439">
        <f t="shared" si="15"/>
        <v>2045</v>
      </c>
      <c r="O348" s="559" t="s">
        <v>425</v>
      </c>
      <c r="P348" s="429" t="s">
        <v>555</v>
      </c>
      <c r="Q348" s="600"/>
      <c r="R348" s="607" t="s">
        <v>908</v>
      </c>
      <c r="S348" s="429" t="s">
        <v>422</v>
      </c>
      <c r="T348" s="602" t="s">
        <v>423</v>
      </c>
      <c r="U348" s="602"/>
      <c r="V348" s="600"/>
      <c r="W348" s="601"/>
    </row>
    <row r="349" spans="1:23" s="135" customFormat="1" ht="15" hidden="1" customHeight="1">
      <c r="A349" s="306">
        <v>348</v>
      </c>
      <c r="B349" s="434" t="s">
        <v>963</v>
      </c>
      <c r="C349" s="433"/>
      <c r="D349" s="611" t="s">
        <v>954</v>
      </c>
      <c r="E349" s="601" t="s">
        <v>964</v>
      </c>
      <c r="F349" s="432">
        <v>1</v>
      </c>
      <c r="G349" s="609">
        <v>1</v>
      </c>
      <c r="H349" s="614">
        <f t="shared" si="14"/>
        <v>0</v>
      </c>
      <c r="I349" s="431">
        <v>42857</v>
      </c>
      <c r="J349" s="561" t="s">
        <v>965</v>
      </c>
      <c r="K349" s="557">
        <v>594</v>
      </c>
      <c r="L349" s="607">
        <v>42857</v>
      </c>
      <c r="M349" s="616">
        <v>22280</v>
      </c>
      <c r="N349" s="615">
        <f t="shared" si="15"/>
        <v>22280</v>
      </c>
      <c r="O349" s="559" t="s">
        <v>419</v>
      </c>
      <c r="P349" s="429" t="s">
        <v>637</v>
      </c>
      <c r="Q349" s="600" t="s">
        <v>966</v>
      </c>
      <c r="R349" s="607" t="s">
        <v>908</v>
      </c>
      <c r="S349" s="429" t="s">
        <v>422</v>
      </c>
      <c r="T349" s="429" t="s">
        <v>423</v>
      </c>
      <c r="U349" s="602"/>
      <c r="V349" s="600"/>
      <c r="W349" s="601"/>
    </row>
    <row r="350" spans="1:23" s="135" customFormat="1" ht="15" hidden="1" customHeight="1">
      <c r="A350" s="306">
        <v>349</v>
      </c>
      <c r="B350" s="434" t="s">
        <v>967</v>
      </c>
      <c r="C350" s="433"/>
      <c r="D350" s="611" t="s">
        <v>323</v>
      </c>
      <c r="E350" s="601" t="s">
        <v>322</v>
      </c>
      <c r="F350" s="432">
        <v>3</v>
      </c>
      <c r="G350" s="609">
        <v>3</v>
      </c>
      <c r="H350" s="614">
        <f t="shared" si="14"/>
        <v>0</v>
      </c>
      <c r="I350" s="431">
        <v>42859</v>
      </c>
      <c r="J350" s="438" t="s">
        <v>968</v>
      </c>
      <c r="K350" s="435">
        <v>596</v>
      </c>
      <c r="L350" s="607">
        <v>42858</v>
      </c>
      <c r="M350" s="616">
        <v>2570</v>
      </c>
      <c r="N350" s="615">
        <f t="shared" si="15"/>
        <v>7710</v>
      </c>
      <c r="O350" s="559" t="s">
        <v>419</v>
      </c>
      <c r="P350" s="602" t="s">
        <v>969</v>
      </c>
      <c r="Q350" s="429" t="s">
        <v>970</v>
      </c>
      <c r="R350" s="607" t="s">
        <v>908</v>
      </c>
      <c r="S350" s="429" t="s">
        <v>422</v>
      </c>
      <c r="T350" s="429" t="s">
        <v>423</v>
      </c>
      <c r="U350" s="602"/>
      <c r="V350" s="600"/>
      <c r="W350" s="601"/>
    </row>
    <row r="351" spans="1:23" s="135" customFormat="1" ht="15" hidden="1" customHeight="1">
      <c r="A351" s="306">
        <v>350</v>
      </c>
      <c r="B351" s="434"/>
      <c r="C351" s="433"/>
      <c r="D351" s="186" t="s">
        <v>226</v>
      </c>
      <c r="E351" s="350" t="s">
        <v>944</v>
      </c>
      <c r="F351" s="432">
        <v>4</v>
      </c>
      <c r="G351" s="432">
        <v>4</v>
      </c>
      <c r="H351" s="437">
        <f t="shared" si="14"/>
        <v>0</v>
      </c>
      <c r="I351" s="431">
        <v>42859</v>
      </c>
      <c r="J351" s="438" t="s">
        <v>971</v>
      </c>
      <c r="K351" s="557">
        <v>597</v>
      </c>
      <c r="L351" s="607">
        <v>42859</v>
      </c>
      <c r="M351" s="616">
        <v>350</v>
      </c>
      <c r="N351" s="439">
        <f t="shared" si="15"/>
        <v>1400</v>
      </c>
      <c r="O351" s="559" t="s">
        <v>425</v>
      </c>
      <c r="P351" s="429" t="s">
        <v>555</v>
      </c>
      <c r="Q351" s="429" t="s">
        <v>972</v>
      </c>
      <c r="R351" s="431" t="s">
        <v>908</v>
      </c>
      <c r="S351" s="429" t="s">
        <v>422</v>
      </c>
      <c r="T351" s="429" t="s">
        <v>423</v>
      </c>
      <c r="U351" s="154"/>
      <c r="V351" s="67"/>
      <c r="W351" s="601"/>
    </row>
    <row r="352" spans="1:23" s="135" customFormat="1" ht="15" hidden="1" customHeight="1">
      <c r="A352" s="306">
        <v>351</v>
      </c>
      <c r="B352" s="434"/>
      <c r="C352" s="433"/>
      <c r="D352" s="611" t="s">
        <v>224</v>
      </c>
      <c r="E352" s="350" t="s">
        <v>941</v>
      </c>
      <c r="F352" s="432">
        <v>16</v>
      </c>
      <c r="G352" s="432">
        <v>16</v>
      </c>
      <c r="H352" s="437">
        <f t="shared" si="14"/>
        <v>0</v>
      </c>
      <c r="I352" s="431">
        <v>42859</v>
      </c>
      <c r="J352" s="561" t="s">
        <v>971</v>
      </c>
      <c r="K352" s="435">
        <v>597</v>
      </c>
      <c r="L352" s="431">
        <v>42859</v>
      </c>
      <c r="M352" s="440">
        <v>175</v>
      </c>
      <c r="N352" s="439">
        <f t="shared" si="15"/>
        <v>2800</v>
      </c>
      <c r="O352" s="559" t="s">
        <v>425</v>
      </c>
      <c r="P352" s="429" t="s">
        <v>555</v>
      </c>
      <c r="Q352" s="429" t="s">
        <v>972</v>
      </c>
      <c r="R352" s="431" t="s">
        <v>908</v>
      </c>
      <c r="S352" s="429" t="s">
        <v>422</v>
      </c>
      <c r="T352" s="429" t="s">
        <v>423</v>
      </c>
      <c r="U352" s="154"/>
      <c r="V352" s="67"/>
      <c r="W352" s="153"/>
    </row>
    <row r="353" spans="1:23" s="411" customFormat="1" ht="15" hidden="1" customHeight="1">
      <c r="A353" s="306">
        <v>352</v>
      </c>
      <c r="B353" s="434"/>
      <c r="C353" s="433"/>
      <c r="D353" s="181" t="s">
        <v>939</v>
      </c>
      <c r="E353" s="602" t="s">
        <v>940</v>
      </c>
      <c r="F353" s="432">
        <v>32</v>
      </c>
      <c r="G353" s="609">
        <v>32</v>
      </c>
      <c r="H353" s="183">
        <f t="shared" si="14"/>
        <v>0</v>
      </c>
      <c r="I353" s="431">
        <v>42859</v>
      </c>
      <c r="J353" s="561" t="s">
        <v>977</v>
      </c>
      <c r="K353" s="435">
        <v>600</v>
      </c>
      <c r="L353" s="607">
        <v>42861</v>
      </c>
      <c r="M353" s="616">
        <v>125</v>
      </c>
      <c r="N353" s="172">
        <v>4000</v>
      </c>
      <c r="O353" s="602" t="s">
        <v>425</v>
      </c>
      <c r="P353" s="429" t="s">
        <v>555</v>
      </c>
      <c r="Q353" s="602" t="s">
        <v>978</v>
      </c>
      <c r="R353" s="607" t="s">
        <v>908</v>
      </c>
      <c r="S353" s="429" t="s">
        <v>422</v>
      </c>
      <c r="T353" s="429" t="s">
        <v>423</v>
      </c>
      <c r="U353" s="602"/>
      <c r="V353" s="600"/>
      <c r="W353" s="601"/>
    </row>
    <row r="354" spans="1:23" s="549" customFormat="1" ht="15" hidden="1" customHeight="1">
      <c r="A354" s="306">
        <v>353</v>
      </c>
      <c r="B354" s="663"/>
      <c r="C354" s="664"/>
      <c r="D354" s="665" t="s">
        <v>95</v>
      </c>
      <c r="E354" s="666" t="s">
        <v>94</v>
      </c>
      <c r="F354" s="667">
        <v>1</v>
      </c>
      <c r="G354" s="667">
        <v>1</v>
      </c>
      <c r="H354" s="668">
        <f t="shared" si="14"/>
        <v>0</v>
      </c>
      <c r="I354" s="669">
        <v>42816</v>
      </c>
      <c r="J354" s="670" t="s">
        <v>787</v>
      </c>
      <c r="K354" s="671" t="s">
        <v>1697</v>
      </c>
      <c r="L354" s="669" t="s">
        <v>1677</v>
      </c>
      <c r="M354" s="672">
        <v>0</v>
      </c>
      <c r="N354" s="673">
        <f t="shared" ref="N354:N385" si="16">IFERROR(M354*G354,0)</f>
        <v>0</v>
      </c>
      <c r="O354" s="674" t="s">
        <v>587</v>
      </c>
      <c r="P354" s="674" t="s">
        <v>555</v>
      </c>
      <c r="Q354" s="674" t="s">
        <v>1678</v>
      </c>
      <c r="R354" s="669" t="s">
        <v>908</v>
      </c>
      <c r="S354" s="674" t="s">
        <v>494</v>
      </c>
      <c r="T354" s="674" t="s">
        <v>423</v>
      </c>
      <c r="U354" s="674" t="s">
        <v>1679</v>
      </c>
      <c r="V354" s="675"/>
      <c r="W354" s="676"/>
    </row>
    <row r="355" spans="1:23" s="135" customFormat="1" ht="15" hidden="1" customHeight="1">
      <c r="A355" s="306">
        <v>354</v>
      </c>
      <c r="B355" s="652"/>
      <c r="C355" s="626"/>
      <c r="D355" s="653" t="s">
        <v>95</v>
      </c>
      <c r="E355" s="654" t="s">
        <v>94</v>
      </c>
      <c r="F355" s="655">
        <v>1</v>
      </c>
      <c r="G355" s="655">
        <v>1</v>
      </c>
      <c r="H355" s="656">
        <f t="shared" si="14"/>
        <v>0</v>
      </c>
      <c r="I355" s="657">
        <v>42861</v>
      </c>
      <c r="J355" s="658" t="s">
        <v>974</v>
      </c>
      <c r="K355" s="659">
        <v>598</v>
      </c>
      <c r="L355" s="657">
        <v>42859</v>
      </c>
      <c r="M355" s="275">
        <v>32995</v>
      </c>
      <c r="N355" s="660">
        <f t="shared" si="16"/>
        <v>32995</v>
      </c>
      <c r="O355" s="661" t="s">
        <v>587</v>
      </c>
      <c r="P355" s="662" t="s">
        <v>973</v>
      </c>
      <c r="Q355" s="662"/>
      <c r="R355" s="657" t="s">
        <v>908</v>
      </c>
      <c r="S355" s="662" t="s">
        <v>422</v>
      </c>
      <c r="T355" s="662" t="s">
        <v>423</v>
      </c>
      <c r="U355" s="662"/>
      <c r="V355" s="251"/>
      <c r="W355" s="654"/>
    </row>
    <row r="356" spans="1:23" s="135" customFormat="1" ht="15" hidden="1" customHeight="1">
      <c r="A356" s="306">
        <v>355</v>
      </c>
      <c r="B356" s="434"/>
      <c r="C356" s="433"/>
      <c r="D356" s="611" t="s">
        <v>39</v>
      </c>
      <c r="E356" s="601" t="s">
        <v>38</v>
      </c>
      <c r="F356" s="432">
        <v>1</v>
      </c>
      <c r="G356" s="609">
        <v>1</v>
      </c>
      <c r="H356" s="437">
        <f t="shared" si="14"/>
        <v>0</v>
      </c>
      <c r="I356" s="431">
        <v>42861</v>
      </c>
      <c r="J356" s="438" t="s">
        <v>974</v>
      </c>
      <c r="K356" s="557">
        <v>598</v>
      </c>
      <c r="L356" s="607">
        <v>42859</v>
      </c>
      <c r="M356" s="616">
        <v>4700</v>
      </c>
      <c r="N356" s="439">
        <f t="shared" si="16"/>
        <v>4700</v>
      </c>
      <c r="O356" s="559" t="s">
        <v>587</v>
      </c>
      <c r="P356" s="429" t="s">
        <v>973</v>
      </c>
      <c r="Q356" s="429"/>
      <c r="R356" s="431" t="s">
        <v>908</v>
      </c>
      <c r="S356" s="429" t="s">
        <v>422</v>
      </c>
      <c r="T356" s="429" t="s">
        <v>423</v>
      </c>
      <c r="U356" s="602"/>
      <c r="V356" s="600"/>
      <c r="W356" s="601"/>
    </row>
    <row r="357" spans="1:23" s="135" customFormat="1" ht="15" hidden="1" customHeight="1">
      <c r="A357" s="306">
        <v>356</v>
      </c>
      <c r="B357" s="162" t="s">
        <v>976</v>
      </c>
      <c r="C357" s="161"/>
      <c r="D357" s="611" t="s">
        <v>247</v>
      </c>
      <c r="E357" s="600" t="s">
        <v>259</v>
      </c>
      <c r="F357" s="609">
        <v>1</v>
      </c>
      <c r="G357" s="609">
        <v>1</v>
      </c>
      <c r="H357" s="614">
        <f t="shared" si="14"/>
        <v>0</v>
      </c>
      <c r="I357" s="160">
        <v>42862</v>
      </c>
      <c r="J357" s="155" t="s">
        <v>584</v>
      </c>
      <c r="K357" s="240">
        <v>601</v>
      </c>
      <c r="L357" s="371">
        <v>42861</v>
      </c>
      <c r="M357" s="616">
        <v>3950</v>
      </c>
      <c r="N357" s="615">
        <f t="shared" si="16"/>
        <v>3950</v>
      </c>
      <c r="O357" s="559" t="s">
        <v>587</v>
      </c>
      <c r="P357" s="154" t="s">
        <v>975</v>
      </c>
      <c r="Q357" s="154"/>
      <c r="R357" s="607" t="s">
        <v>908</v>
      </c>
      <c r="S357" s="429" t="s">
        <v>422</v>
      </c>
      <c r="T357" s="154" t="s">
        <v>423</v>
      </c>
      <c r="U357" s="154"/>
      <c r="V357" s="600"/>
      <c r="W357" s="601"/>
    </row>
    <row r="358" spans="1:23" s="135" customFormat="1" ht="15" hidden="1" customHeight="1">
      <c r="A358" s="306">
        <v>357</v>
      </c>
      <c r="B358" s="434" t="s">
        <v>976</v>
      </c>
      <c r="C358" s="161"/>
      <c r="D358" s="611" t="s">
        <v>249</v>
      </c>
      <c r="E358" s="601" t="s">
        <v>28</v>
      </c>
      <c r="F358" s="373">
        <v>1</v>
      </c>
      <c r="G358" s="609">
        <v>1</v>
      </c>
      <c r="H358" s="614">
        <f t="shared" si="14"/>
        <v>0</v>
      </c>
      <c r="I358" s="431">
        <v>42862</v>
      </c>
      <c r="J358" s="561" t="s">
        <v>584</v>
      </c>
      <c r="K358" s="435">
        <v>601</v>
      </c>
      <c r="L358" s="607">
        <v>42861</v>
      </c>
      <c r="M358" s="616">
        <v>450</v>
      </c>
      <c r="N358" s="615">
        <f t="shared" si="16"/>
        <v>450</v>
      </c>
      <c r="O358" s="559" t="s">
        <v>587</v>
      </c>
      <c r="P358" s="429" t="s">
        <v>975</v>
      </c>
      <c r="Q358" s="154"/>
      <c r="R358" s="607" t="s">
        <v>908</v>
      </c>
      <c r="S358" s="429" t="s">
        <v>422</v>
      </c>
      <c r="T358" s="154" t="s">
        <v>423</v>
      </c>
      <c r="U358" s="602"/>
      <c r="V358" s="600"/>
      <c r="W358" s="601"/>
    </row>
    <row r="359" spans="1:23" s="135" customFormat="1" ht="15" hidden="1" customHeight="1">
      <c r="A359" s="306">
        <v>358</v>
      </c>
      <c r="B359" s="162"/>
      <c r="C359" s="161"/>
      <c r="D359" s="611" t="s">
        <v>51</v>
      </c>
      <c r="E359" s="6" t="s">
        <v>50</v>
      </c>
      <c r="F359" s="432">
        <v>2</v>
      </c>
      <c r="G359" s="432">
        <v>2</v>
      </c>
      <c r="H359" s="614">
        <f t="shared" si="14"/>
        <v>0</v>
      </c>
      <c r="I359" s="431">
        <v>42863</v>
      </c>
      <c r="J359" s="561" t="s">
        <v>977</v>
      </c>
      <c r="K359" s="435">
        <v>609</v>
      </c>
      <c r="L359" s="431">
        <v>42863</v>
      </c>
      <c r="M359" s="440">
        <v>2500</v>
      </c>
      <c r="N359" s="615">
        <f t="shared" si="16"/>
        <v>5000</v>
      </c>
      <c r="O359" s="559" t="s">
        <v>587</v>
      </c>
      <c r="P359" s="429" t="s">
        <v>555</v>
      </c>
      <c r="Q359" s="429"/>
      <c r="R359" s="431" t="s">
        <v>908</v>
      </c>
      <c r="S359" s="429" t="s">
        <v>422</v>
      </c>
      <c r="T359" s="429" t="s">
        <v>423</v>
      </c>
      <c r="U359" s="154"/>
      <c r="V359" s="600"/>
      <c r="W359" s="601"/>
    </row>
    <row r="360" spans="1:23" s="135" customFormat="1" ht="15" hidden="1" customHeight="1">
      <c r="A360" s="306">
        <v>359</v>
      </c>
      <c r="B360" s="162" t="s">
        <v>979</v>
      </c>
      <c r="C360" s="161"/>
      <c r="D360" s="611" t="s">
        <v>64</v>
      </c>
      <c r="E360" s="350" t="s">
        <v>61</v>
      </c>
      <c r="F360" s="373">
        <v>2</v>
      </c>
      <c r="G360" s="373">
        <v>2</v>
      </c>
      <c r="H360" s="437">
        <f t="shared" si="14"/>
        <v>0</v>
      </c>
      <c r="I360" s="431">
        <v>42863</v>
      </c>
      <c r="J360" s="155" t="s">
        <v>812</v>
      </c>
      <c r="K360" s="240">
        <v>608</v>
      </c>
      <c r="L360" s="431">
        <v>42862</v>
      </c>
      <c r="M360" s="175">
        <v>2250</v>
      </c>
      <c r="N360" s="439">
        <f t="shared" si="16"/>
        <v>4500</v>
      </c>
      <c r="O360" s="559" t="s">
        <v>587</v>
      </c>
      <c r="P360" s="189" t="s">
        <v>555</v>
      </c>
      <c r="Q360" s="189" t="s">
        <v>990</v>
      </c>
      <c r="R360" s="179" t="s">
        <v>908</v>
      </c>
      <c r="S360" s="429" t="s">
        <v>422</v>
      </c>
      <c r="T360" s="189" t="s">
        <v>423</v>
      </c>
      <c r="U360" s="154"/>
      <c r="V360" s="67"/>
      <c r="W360" s="153"/>
    </row>
    <row r="361" spans="1:23" s="135" customFormat="1" ht="15" hidden="1" customHeight="1">
      <c r="A361" s="306">
        <v>360</v>
      </c>
      <c r="B361" s="434" t="s">
        <v>979</v>
      </c>
      <c r="C361" s="161"/>
      <c r="D361" s="611" t="s">
        <v>68</v>
      </c>
      <c r="E361" s="350" t="s">
        <v>46</v>
      </c>
      <c r="F361" s="373">
        <v>3</v>
      </c>
      <c r="G361" s="373">
        <v>3</v>
      </c>
      <c r="H361" s="614">
        <f t="shared" si="14"/>
        <v>0</v>
      </c>
      <c r="I361" s="431">
        <v>42863</v>
      </c>
      <c r="J361" s="438" t="s">
        <v>812</v>
      </c>
      <c r="K361" s="435">
        <v>608</v>
      </c>
      <c r="L361" s="607">
        <v>42862</v>
      </c>
      <c r="M361" s="616">
        <v>3500</v>
      </c>
      <c r="N361" s="615">
        <f t="shared" si="16"/>
        <v>10500</v>
      </c>
      <c r="O361" s="559" t="s">
        <v>587</v>
      </c>
      <c r="P361" s="429" t="s">
        <v>555</v>
      </c>
      <c r="Q361" s="429" t="s">
        <v>990</v>
      </c>
      <c r="R361" s="607" t="s">
        <v>908</v>
      </c>
      <c r="S361" s="429" t="s">
        <v>422</v>
      </c>
      <c r="T361" s="429" t="s">
        <v>423</v>
      </c>
      <c r="U361" s="602"/>
      <c r="V361" s="600"/>
      <c r="W361" s="601"/>
    </row>
    <row r="362" spans="1:23" s="135" customFormat="1" ht="15" hidden="1" customHeight="1">
      <c r="A362" s="306">
        <v>361</v>
      </c>
      <c r="B362" s="162" t="s">
        <v>980</v>
      </c>
      <c r="C362" s="161"/>
      <c r="D362" s="611" t="s">
        <v>981</v>
      </c>
      <c r="E362" s="153" t="s">
        <v>982</v>
      </c>
      <c r="F362" s="373">
        <v>6</v>
      </c>
      <c r="G362" s="373">
        <v>6</v>
      </c>
      <c r="H362" s="614">
        <f t="shared" si="14"/>
        <v>0</v>
      </c>
      <c r="I362" s="160">
        <v>42864</v>
      </c>
      <c r="J362" s="438" t="s">
        <v>812</v>
      </c>
      <c r="K362" s="240">
        <v>611</v>
      </c>
      <c r="L362" s="607">
        <v>42864</v>
      </c>
      <c r="M362" s="616">
        <v>2400</v>
      </c>
      <c r="N362" s="615">
        <f t="shared" si="16"/>
        <v>14400</v>
      </c>
      <c r="O362" s="559" t="s">
        <v>587</v>
      </c>
      <c r="P362" s="429" t="s">
        <v>530</v>
      </c>
      <c r="Q362" s="154"/>
      <c r="R362" s="607" t="s">
        <v>908</v>
      </c>
      <c r="S362" s="429" t="s">
        <v>422</v>
      </c>
      <c r="T362" s="429" t="s">
        <v>423</v>
      </c>
      <c r="U362" s="602"/>
      <c r="V362" s="600"/>
      <c r="W362" s="601"/>
    </row>
    <row r="363" spans="1:23" s="135" customFormat="1" ht="15" hidden="1" customHeight="1">
      <c r="A363" s="306">
        <v>362</v>
      </c>
      <c r="B363" s="162">
        <v>4521522807</v>
      </c>
      <c r="C363" s="161"/>
      <c r="D363" s="611" t="s">
        <v>77</v>
      </c>
      <c r="E363" s="6" t="s">
        <v>76</v>
      </c>
      <c r="F363" s="373">
        <v>7</v>
      </c>
      <c r="G363" s="373">
        <v>7</v>
      </c>
      <c r="H363" s="614">
        <f t="shared" si="14"/>
        <v>0</v>
      </c>
      <c r="I363" s="160">
        <v>42866</v>
      </c>
      <c r="J363" s="438" t="s">
        <v>988</v>
      </c>
      <c r="K363" s="240">
        <v>615</v>
      </c>
      <c r="L363" s="607">
        <v>42865</v>
      </c>
      <c r="M363" s="616">
        <v>750</v>
      </c>
      <c r="N363" s="615">
        <f t="shared" si="16"/>
        <v>5250</v>
      </c>
      <c r="O363" s="559" t="s">
        <v>587</v>
      </c>
      <c r="P363" s="189" t="s">
        <v>986</v>
      </c>
      <c r="Q363" s="189" t="s">
        <v>989</v>
      </c>
      <c r="R363" s="179" t="s">
        <v>908</v>
      </c>
      <c r="S363" s="189" t="s">
        <v>422</v>
      </c>
      <c r="T363" s="189" t="s">
        <v>423</v>
      </c>
      <c r="U363" s="602"/>
      <c r="V363" s="600"/>
      <c r="W363" s="601"/>
    </row>
    <row r="364" spans="1:23" s="135" customFormat="1" ht="15" hidden="1" customHeight="1">
      <c r="A364" s="306">
        <v>363</v>
      </c>
      <c r="B364" s="611">
        <v>8100012642</v>
      </c>
      <c r="C364" s="192"/>
      <c r="D364" s="613" t="s">
        <v>86</v>
      </c>
      <c r="E364" s="6" t="s">
        <v>85</v>
      </c>
      <c r="F364" s="373">
        <v>1</v>
      </c>
      <c r="G364" s="609">
        <v>1</v>
      </c>
      <c r="H364" s="437">
        <f t="shared" si="14"/>
        <v>0</v>
      </c>
      <c r="I364" s="431">
        <v>42866</v>
      </c>
      <c r="J364" s="561" t="s">
        <v>993</v>
      </c>
      <c r="K364" s="557">
        <v>614</v>
      </c>
      <c r="L364" s="607">
        <v>42864</v>
      </c>
      <c r="M364" s="616">
        <v>11500</v>
      </c>
      <c r="N364" s="439">
        <f t="shared" si="16"/>
        <v>11500</v>
      </c>
      <c r="O364" s="559" t="s">
        <v>587</v>
      </c>
      <c r="P364" s="429" t="s">
        <v>986</v>
      </c>
      <c r="Q364" s="429" t="s">
        <v>987</v>
      </c>
      <c r="R364" s="607" t="s">
        <v>908</v>
      </c>
      <c r="S364" s="429" t="s">
        <v>422</v>
      </c>
      <c r="T364" s="429" t="s">
        <v>423</v>
      </c>
      <c r="U364" s="190"/>
      <c r="V364" s="600"/>
      <c r="W364" s="601"/>
    </row>
    <row r="365" spans="1:23" s="135" customFormat="1" ht="15" hidden="1" customHeight="1">
      <c r="A365" s="306">
        <v>364</v>
      </c>
      <c r="B365" s="162" t="s">
        <v>984</v>
      </c>
      <c r="C365" s="161"/>
      <c r="D365" s="611" t="s">
        <v>78</v>
      </c>
      <c r="E365" s="6" t="s">
        <v>76</v>
      </c>
      <c r="F365" s="373">
        <v>1</v>
      </c>
      <c r="G365" s="373">
        <v>1</v>
      </c>
      <c r="H365" s="437">
        <f t="shared" si="14"/>
        <v>0</v>
      </c>
      <c r="I365" s="431">
        <v>42865</v>
      </c>
      <c r="J365" s="438" t="s">
        <v>985</v>
      </c>
      <c r="K365" s="557">
        <v>613</v>
      </c>
      <c r="L365" s="607">
        <v>42864</v>
      </c>
      <c r="M365" s="175">
        <v>1200</v>
      </c>
      <c r="N365" s="439">
        <f t="shared" si="16"/>
        <v>1200</v>
      </c>
      <c r="O365" s="559" t="s">
        <v>587</v>
      </c>
      <c r="P365" s="154" t="s">
        <v>844</v>
      </c>
      <c r="Q365" s="154"/>
      <c r="R365" s="431" t="s">
        <v>908</v>
      </c>
      <c r="S365" s="413" t="s">
        <v>422</v>
      </c>
      <c r="T365" s="154" t="s">
        <v>423</v>
      </c>
      <c r="U365" s="154"/>
      <c r="V365" s="67"/>
      <c r="W365" s="601"/>
    </row>
    <row r="366" spans="1:23" s="135" customFormat="1" ht="15" hidden="1" customHeight="1">
      <c r="A366" s="306">
        <v>365</v>
      </c>
      <c r="B366" s="434"/>
      <c r="C366" s="610"/>
      <c r="D366" s="558" t="s">
        <v>939</v>
      </c>
      <c r="E366" s="602" t="s">
        <v>940</v>
      </c>
      <c r="F366" s="432">
        <v>8</v>
      </c>
      <c r="G366" s="432">
        <v>8</v>
      </c>
      <c r="H366" s="437">
        <v>0</v>
      </c>
      <c r="I366" s="431">
        <v>42866</v>
      </c>
      <c r="J366" s="438" t="s">
        <v>991</v>
      </c>
      <c r="K366" s="435">
        <v>612</v>
      </c>
      <c r="L366" s="431">
        <v>42864</v>
      </c>
      <c r="M366" s="440">
        <v>125</v>
      </c>
      <c r="N366" s="439">
        <f t="shared" si="16"/>
        <v>1000</v>
      </c>
      <c r="O366" s="559" t="s">
        <v>425</v>
      </c>
      <c r="P366" s="602" t="s">
        <v>555</v>
      </c>
      <c r="Q366" s="602" t="s">
        <v>992</v>
      </c>
      <c r="R366" s="431" t="s">
        <v>908</v>
      </c>
      <c r="S366" s="429" t="s">
        <v>422</v>
      </c>
      <c r="T366" s="429" t="s">
        <v>423</v>
      </c>
      <c r="U366" s="154"/>
      <c r="V366" s="600"/>
      <c r="W366" s="601"/>
    </row>
    <row r="367" spans="1:23" s="135" customFormat="1" ht="15" hidden="1" customHeight="1">
      <c r="A367" s="306">
        <v>366</v>
      </c>
      <c r="B367" s="162">
        <v>171212</v>
      </c>
      <c r="C367" s="161"/>
      <c r="D367" s="611" t="s">
        <v>64</v>
      </c>
      <c r="E367" s="6" t="s">
        <v>63</v>
      </c>
      <c r="F367" s="373">
        <v>2</v>
      </c>
      <c r="G367" s="373">
        <v>2</v>
      </c>
      <c r="H367" s="437">
        <f t="shared" ref="H367:H398" si="17">F367-G367</f>
        <v>0</v>
      </c>
      <c r="I367" s="160">
        <v>42869</v>
      </c>
      <c r="J367" s="561" t="s">
        <v>513</v>
      </c>
      <c r="K367" s="240">
        <v>618</v>
      </c>
      <c r="L367" s="371">
        <v>42869</v>
      </c>
      <c r="M367" s="175">
        <v>2280</v>
      </c>
      <c r="N367" s="439">
        <f t="shared" si="16"/>
        <v>4560</v>
      </c>
      <c r="O367" s="559" t="s">
        <v>587</v>
      </c>
      <c r="P367" s="429" t="s">
        <v>555</v>
      </c>
      <c r="Q367" s="429"/>
      <c r="R367" s="431" t="s">
        <v>908</v>
      </c>
      <c r="S367" s="429" t="s">
        <v>422</v>
      </c>
      <c r="T367" s="429" t="s">
        <v>423</v>
      </c>
      <c r="U367" s="154"/>
      <c r="V367" s="67"/>
      <c r="W367" s="153"/>
    </row>
    <row r="368" spans="1:23" s="135" customFormat="1" ht="15" hidden="1" customHeight="1">
      <c r="A368" s="306">
        <v>367</v>
      </c>
      <c r="B368" s="434">
        <v>4800011281</v>
      </c>
      <c r="C368" s="433"/>
      <c r="D368" s="611" t="s">
        <v>54</v>
      </c>
      <c r="E368" s="350" t="s">
        <v>368</v>
      </c>
      <c r="F368" s="432">
        <v>1</v>
      </c>
      <c r="G368" s="432">
        <v>1</v>
      </c>
      <c r="H368" s="437">
        <f t="shared" si="17"/>
        <v>0</v>
      </c>
      <c r="I368" s="431">
        <v>42869</v>
      </c>
      <c r="J368" s="561" t="s">
        <v>994</v>
      </c>
      <c r="K368" s="435">
        <v>617</v>
      </c>
      <c r="L368" s="431">
        <v>42868</v>
      </c>
      <c r="M368" s="440">
        <v>4360</v>
      </c>
      <c r="N368" s="439">
        <f t="shared" si="16"/>
        <v>4360</v>
      </c>
      <c r="O368" s="559" t="s">
        <v>587</v>
      </c>
      <c r="P368" s="429" t="s">
        <v>995</v>
      </c>
      <c r="Q368" s="429"/>
      <c r="R368" s="431" t="s">
        <v>908</v>
      </c>
      <c r="S368" s="429" t="s">
        <v>422</v>
      </c>
      <c r="T368" s="429" t="s">
        <v>423</v>
      </c>
      <c r="U368" s="189"/>
      <c r="V368" s="427"/>
      <c r="W368" s="153"/>
    </row>
    <row r="369" spans="1:23" s="135" customFormat="1" ht="15" hidden="1" customHeight="1">
      <c r="A369" s="306">
        <v>368</v>
      </c>
      <c r="B369" s="162">
        <v>17128</v>
      </c>
      <c r="C369" s="161"/>
      <c r="D369" s="611" t="s">
        <v>95</v>
      </c>
      <c r="E369" s="6" t="s">
        <v>94</v>
      </c>
      <c r="F369" s="373">
        <v>1</v>
      </c>
      <c r="G369" s="373">
        <v>1</v>
      </c>
      <c r="H369" s="614">
        <f t="shared" si="17"/>
        <v>0</v>
      </c>
      <c r="I369" s="431">
        <v>42869</v>
      </c>
      <c r="J369" s="155" t="s">
        <v>996</v>
      </c>
      <c r="K369" s="240">
        <v>621</v>
      </c>
      <c r="L369" s="607">
        <v>42870</v>
      </c>
      <c r="M369" s="616">
        <v>31060</v>
      </c>
      <c r="N369" s="615">
        <f t="shared" si="16"/>
        <v>31060</v>
      </c>
      <c r="O369" s="559" t="s">
        <v>587</v>
      </c>
      <c r="P369" s="154" t="s">
        <v>844</v>
      </c>
      <c r="Q369" s="154"/>
      <c r="R369" s="607" t="s">
        <v>908</v>
      </c>
      <c r="S369" s="429" t="s">
        <v>422</v>
      </c>
      <c r="T369" s="154"/>
      <c r="U369" s="602"/>
      <c r="V369" s="600"/>
      <c r="W369" s="601"/>
    </row>
    <row r="370" spans="1:23" s="135" customFormat="1" ht="15" hidden="1" customHeight="1">
      <c r="A370" s="306">
        <v>369</v>
      </c>
      <c r="B370" s="434">
        <v>1500089365</v>
      </c>
      <c r="C370" s="433"/>
      <c r="D370" s="611" t="s">
        <v>71</v>
      </c>
      <c r="E370" s="187" t="s">
        <v>65</v>
      </c>
      <c r="F370" s="432">
        <v>2</v>
      </c>
      <c r="G370" s="432">
        <v>2</v>
      </c>
      <c r="H370" s="614">
        <f t="shared" si="17"/>
        <v>0</v>
      </c>
      <c r="I370" s="431">
        <v>42870</v>
      </c>
      <c r="J370" s="438" t="s">
        <v>997</v>
      </c>
      <c r="K370" s="435">
        <v>622</v>
      </c>
      <c r="L370" s="431">
        <v>42869</v>
      </c>
      <c r="M370" s="440">
        <v>2520</v>
      </c>
      <c r="N370" s="615">
        <f t="shared" si="16"/>
        <v>5040</v>
      </c>
      <c r="O370" s="559" t="s">
        <v>587</v>
      </c>
      <c r="P370" s="429" t="s">
        <v>1000</v>
      </c>
      <c r="Q370" s="429" t="s">
        <v>1001</v>
      </c>
      <c r="R370" s="431" t="s">
        <v>908</v>
      </c>
      <c r="S370" s="429" t="s">
        <v>422</v>
      </c>
      <c r="T370" s="429" t="s">
        <v>423</v>
      </c>
      <c r="U370" s="429"/>
      <c r="V370" s="427"/>
      <c r="W370" s="601"/>
    </row>
    <row r="371" spans="1:23" s="135" customFormat="1" ht="15" hidden="1" customHeight="1">
      <c r="A371" s="306">
        <v>370</v>
      </c>
      <c r="B371" s="434">
        <v>1500089365</v>
      </c>
      <c r="C371" s="433"/>
      <c r="D371" s="611" t="s">
        <v>31</v>
      </c>
      <c r="E371" s="601" t="s">
        <v>28</v>
      </c>
      <c r="F371" s="432">
        <v>2</v>
      </c>
      <c r="G371" s="609">
        <v>2</v>
      </c>
      <c r="H371" s="614">
        <f t="shared" si="17"/>
        <v>0</v>
      </c>
      <c r="I371" s="431">
        <v>42870</v>
      </c>
      <c r="J371" s="438" t="s">
        <v>997</v>
      </c>
      <c r="K371" s="557">
        <v>622</v>
      </c>
      <c r="L371" s="607">
        <v>42869</v>
      </c>
      <c r="M371" s="616">
        <v>0</v>
      </c>
      <c r="N371" s="615">
        <f t="shared" si="16"/>
        <v>0</v>
      </c>
      <c r="O371" s="559" t="s">
        <v>587</v>
      </c>
      <c r="P371" s="429" t="s">
        <v>1000</v>
      </c>
      <c r="Q371" s="429" t="s">
        <v>1001</v>
      </c>
      <c r="R371" s="431" t="s">
        <v>908</v>
      </c>
      <c r="S371" s="429" t="s">
        <v>422</v>
      </c>
      <c r="T371" s="429" t="s">
        <v>423</v>
      </c>
      <c r="U371" s="602"/>
      <c r="V371" s="600"/>
      <c r="W371" s="601"/>
    </row>
    <row r="372" spans="1:23" s="135" customFormat="1" ht="15" hidden="1" customHeight="1">
      <c r="A372" s="306">
        <v>371</v>
      </c>
      <c r="B372" s="434">
        <v>27</v>
      </c>
      <c r="C372" s="433"/>
      <c r="D372" s="611" t="s">
        <v>35</v>
      </c>
      <c r="E372" s="367" t="s">
        <v>34</v>
      </c>
      <c r="F372" s="432">
        <v>1</v>
      </c>
      <c r="G372" s="432">
        <v>1</v>
      </c>
      <c r="H372" s="437">
        <f t="shared" si="17"/>
        <v>0</v>
      </c>
      <c r="I372" s="431">
        <v>42870</v>
      </c>
      <c r="J372" s="561" t="s">
        <v>998</v>
      </c>
      <c r="K372" s="435">
        <v>619</v>
      </c>
      <c r="L372" s="431">
        <v>42869</v>
      </c>
      <c r="M372" s="440">
        <v>2650</v>
      </c>
      <c r="N372" s="439">
        <f t="shared" si="16"/>
        <v>2650</v>
      </c>
      <c r="O372" s="559" t="s">
        <v>587</v>
      </c>
      <c r="P372" s="429" t="s">
        <v>999</v>
      </c>
      <c r="Q372" s="429" t="s">
        <v>1002</v>
      </c>
      <c r="R372" s="431" t="s">
        <v>908</v>
      </c>
      <c r="S372" s="429" t="s">
        <v>422</v>
      </c>
      <c r="T372" s="429" t="s">
        <v>423</v>
      </c>
      <c r="U372" s="429"/>
      <c r="V372" s="427"/>
      <c r="W372" s="601"/>
    </row>
    <row r="373" spans="1:23" s="135" customFormat="1" ht="15" hidden="1" customHeight="1">
      <c r="A373" s="306">
        <v>372</v>
      </c>
      <c r="B373" s="199"/>
      <c r="C373" s="610"/>
      <c r="D373" s="611" t="s">
        <v>224</v>
      </c>
      <c r="E373" s="350" t="s">
        <v>941</v>
      </c>
      <c r="F373" s="373">
        <v>4</v>
      </c>
      <c r="G373" s="373">
        <v>4</v>
      </c>
      <c r="H373" s="380">
        <f t="shared" si="17"/>
        <v>0</v>
      </c>
      <c r="I373" s="160">
        <v>42871</v>
      </c>
      <c r="J373" s="155" t="s">
        <v>1034</v>
      </c>
      <c r="K373" s="240">
        <v>623</v>
      </c>
      <c r="L373" s="371">
        <v>42870</v>
      </c>
      <c r="M373" s="175">
        <v>120</v>
      </c>
      <c r="N373" s="439">
        <f t="shared" si="16"/>
        <v>480</v>
      </c>
      <c r="O373" s="559"/>
      <c r="P373" s="602"/>
      <c r="Q373" s="602"/>
      <c r="R373" s="431"/>
      <c r="S373" s="413"/>
      <c r="T373" s="154"/>
      <c r="U373" s="154"/>
      <c r="V373" s="600"/>
      <c r="W373" s="601"/>
    </row>
    <row r="374" spans="1:23" s="135" customFormat="1" ht="15" hidden="1" customHeight="1">
      <c r="A374" s="306">
        <v>373</v>
      </c>
      <c r="B374" s="162"/>
      <c r="C374" s="161"/>
      <c r="D374" s="611" t="s">
        <v>70</v>
      </c>
      <c r="E374" s="6" t="s">
        <v>69</v>
      </c>
      <c r="F374" s="373">
        <v>1</v>
      </c>
      <c r="G374" s="373">
        <v>1</v>
      </c>
      <c r="H374" s="380">
        <f t="shared" si="17"/>
        <v>0</v>
      </c>
      <c r="I374" s="431">
        <v>42871</v>
      </c>
      <c r="J374" s="561" t="s">
        <v>830</v>
      </c>
      <c r="K374" s="240">
        <v>627</v>
      </c>
      <c r="L374" s="431">
        <v>42871</v>
      </c>
      <c r="M374" s="175">
        <v>14500</v>
      </c>
      <c r="N374" s="439">
        <f t="shared" si="16"/>
        <v>14500</v>
      </c>
      <c r="O374" s="559"/>
      <c r="P374" s="154"/>
      <c r="Q374" s="154"/>
      <c r="R374" s="431"/>
      <c r="S374" s="429"/>
      <c r="T374" s="429"/>
      <c r="U374" s="154"/>
      <c r="V374" s="67"/>
      <c r="W374" s="601"/>
    </row>
    <row r="375" spans="1:23" s="135" customFormat="1" ht="15" hidden="1" customHeight="1">
      <c r="A375" s="306">
        <v>374</v>
      </c>
      <c r="B375" s="162">
        <v>4034838</v>
      </c>
      <c r="C375" s="161"/>
      <c r="D375" s="611" t="s">
        <v>39</v>
      </c>
      <c r="E375" s="350" t="s">
        <v>38</v>
      </c>
      <c r="F375" s="373">
        <v>2</v>
      </c>
      <c r="G375" s="373">
        <v>2</v>
      </c>
      <c r="H375" s="380">
        <f t="shared" si="17"/>
        <v>0</v>
      </c>
      <c r="I375" s="431">
        <v>42871</v>
      </c>
      <c r="J375" s="561" t="s">
        <v>477</v>
      </c>
      <c r="K375" s="557">
        <v>687</v>
      </c>
      <c r="L375" s="607">
        <v>42897</v>
      </c>
      <c r="M375" s="616">
        <v>6160</v>
      </c>
      <c r="N375" s="439">
        <f t="shared" si="16"/>
        <v>12320</v>
      </c>
      <c r="O375" s="559" t="s">
        <v>587</v>
      </c>
      <c r="P375" s="154"/>
      <c r="Q375" s="154"/>
      <c r="R375" s="160"/>
      <c r="S375" s="413"/>
      <c r="T375" s="154"/>
      <c r="U375" s="154"/>
      <c r="V375" s="67"/>
      <c r="W375" s="601"/>
    </row>
    <row r="376" spans="1:23" s="135" customFormat="1" ht="15" hidden="1" customHeight="1">
      <c r="A376" s="306">
        <v>375</v>
      </c>
      <c r="B376" s="199" t="s">
        <v>1005</v>
      </c>
      <c r="C376" s="433"/>
      <c r="D376" s="611" t="s">
        <v>47</v>
      </c>
      <c r="E376" s="350" t="s">
        <v>46</v>
      </c>
      <c r="F376" s="432">
        <v>5</v>
      </c>
      <c r="G376" s="432">
        <v>5</v>
      </c>
      <c r="H376" s="614">
        <f t="shared" si="17"/>
        <v>0</v>
      </c>
      <c r="I376" s="431">
        <v>42872</v>
      </c>
      <c r="J376" s="363" t="s">
        <v>1702</v>
      </c>
      <c r="K376" s="435">
        <v>625</v>
      </c>
      <c r="L376" s="607">
        <v>42870</v>
      </c>
      <c r="M376" s="616">
        <v>2850</v>
      </c>
      <c r="N376" s="615">
        <f t="shared" si="16"/>
        <v>14250</v>
      </c>
      <c r="O376" s="559" t="s">
        <v>587</v>
      </c>
      <c r="P376" s="429" t="s">
        <v>612</v>
      </c>
      <c r="Q376" s="429"/>
      <c r="R376" s="607" t="s">
        <v>908</v>
      </c>
      <c r="S376" s="429" t="s">
        <v>422</v>
      </c>
      <c r="T376" s="429" t="s">
        <v>423</v>
      </c>
      <c r="U376" s="602"/>
      <c r="V376" s="600"/>
      <c r="W376" s="601"/>
    </row>
    <row r="377" spans="1:23" s="135" customFormat="1" ht="15" hidden="1" customHeight="1">
      <c r="A377" s="306">
        <v>376</v>
      </c>
      <c r="B377" s="434" t="s">
        <v>1006</v>
      </c>
      <c r="C377" s="433"/>
      <c r="D377" s="611" t="s">
        <v>219</v>
      </c>
      <c r="E377" s="6" t="s">
        <v>218</v>
      </c>
      <c r="F377" s="432">
        <v>2</v>
      </c>
      <c r="G377" s="432">
        <v>2</v>
      </c>
      <c r="H377" s="437">
        <f t="shared" si="17"/>
        <v>0</v>
      </c>
      <c r="I377" s="431">
        <v>42872</v>
      </c>
      <c r="J377" s="438" t="s">
        <v>1003</v>
      </c>
      <c r="K377" s="435">
        <v>629</v>
      </c>
      <c r="L377" s="431">
        <v>42871</v>
      </c>
      <c r="M377" s="440">
        <v>1850</v>
      </c>
      <c r="N377" s="439">
        <f t="shared" si="16"/>
        <v>3700</v>
      </c>
      <c r="O377" s="559" t="s">
        <v>587</v>
      </c>
      <c r="P377" s="429" t="s">
        <v>1004</v>
      </c>
      <c r="Q377" s="429"/>
      <c r="R377" s="431" t="s">
        <v>908</v>
      </c>
      <c r="S377" s="429" t="s">
        <v>422</v>
      </c>
      <c r="T377" s="429" t="s">
        <v>423</v>
      </c>
      <c r="U377" s="429"/>
      <c r="V377" s="67"/>
      <c r="W377" s="601"/>
    </row>
    <row r="378" spans="1:23" s="135" customFormat="1" ht="15" hidden="1" customHeight="1">
      <c r="A378" s="306">
        <v>377</v>
      </c>
      <c r="B378" s="611" t="s">
        <v>1035</v>
      </c>
      <c r="C378" s="610"/>
      <c r="D378" s="611" t="s">
        <v>1020</v>
      </c>
      <c r="E378" s="536" t="s">
        <v>1021</v>
      </c>
      <c r="F378" s="609">
        <v>2</v>
      </c>
      <c r="G378" s="609">
        <v>2</v>
      </c>
      <c r="H378" s="614">
        <f t="shared" si="17"/>
        <v>0</v>
      </c>
      <c r="I378" s="607">
        <v>42873</v>
      </c>
      <c r="J378" s="155" t="s">
        <v>1037</v>
      </c>
      <c r="K378" s="557">
        <v>635</v>
      </c>
      <c r="L378" s="607">
        <v>42872</v>
      </c>
      <c r="M378" s="616">
        <v>1480</v>
      </c>
      <c r="N378" s="615">
        <f t="shared" si="16"/>
        <v>2960</v>
      </c>
      <c r="O378" s="559" t="s">
        <v>587</v>
      </c>
      <c r="P378" s="602" t="s">
        <v>1038</v>
      </c>
      <c r="Q378" s="602" t="s">
        <v>1039</v>
      </c>
      <c r="R378" s="607"/>
      <c r="S378" s="602"/>
      <c r="T378" s="602"/>
      <c r="U378" s="602"/>
      <c r="V378" s="600"/>
      <c r="W378" s="601"/>
    </row>
    <row r="379" spans="1:23" s="135" customFormat="1" ht="15" hidden="1" customHeight="1">
      <c r="A379" s="306">
        <v>378</v>
      </c>
      <c r="B379" s="611" t="s">
        <v>1035</v>
      </c>
      <c r="C379" s="610"/>
      <c r="D379" s="611" t="s">
        <v>867</v>
      </c>
      <c r="E379" s="252" t="s">
        <v>873</v>
      </c>
      <c r="F379" s="609">
        <v>1</v>
      </c>
      <c r="G379" s="609">
        <v>1</v>
      </c>
      <c r="H379" s="380">
        <f t="shared" si="17"/>
        <v>0</v>
      </c>
      <c r="I379" s="607">
        <v>42873</v>
      </c>
      <c r="J379" s="561" t="s">
        <v>1037</v>
      </c>
      <c r="K379" s="435">
        <v>635</v>
      </c>
      <c r="L379" s="607">
        <v>42872</v>
      </c>
      <c r="M379" s="175">
        <v>595</v>
      </c>
      <c r="N379" s="615">
        <f t="shared" si="16"/>
        <v>595</v>
      </c>
      <c r="O379" s="559" t="s">
        <v>587</v>
      </c>
      <c r="P379" s="602" t="s">
        <v>1038</v>
      </c>
      <c r="Q379" s="602" t="s">
        <v>1039</v>
      </c>
      <c r="R379" s="607"/>
      <c r="S379" s="602"/>
      <c r="T379" s="602"/>
      <c r="U379" s="602"/>
      <c r="V379" s="600"/>
      <c r="W379" s="601"/>
    </row>
    <row r="380" spans="1:23" s="135" customFormat="1" ht="15" hidden="1" customHeight="1">
      <c r="A380" s="306">
        <v>379</v>
      </c>
      <c r="B380" s="611" t="s">
        <v>1035</v>
      </c>
      <c r="C380" s="610"/>
      <c r="D380" s="611" t="s">
        <v>301</v>
      </c>
      <c r="E380" s="600" t="s">
        <v>300</v>
      </c>
      <c r="F380" s="609">
        <v>1</v>
      </c>
      <c r="G380" s="609">
        <v>1</v>
      </c>
      <c r="H380" s="380">
        <f t="shared" si="17"/>
        <v>0</v>
      </c>
      <c r="I380" s="607">
        <v>42873</v>
      </c>
      <c r="J380" s="561" t="s">
        <v>1037</v>
      </c>
      <c r="K380" s="435">
        <v>635</v>
      </c>
      <c r="L380" s="607">
        <v>42872</v>
      </c>
      <c r="M380" s="175">
        <v>1480</v>
      </c>
      <c r="N380" s="615">
        <f t="shared" si="16"/>
        <v>1480</v>
      </c>
      <c r="O380" s="559" t="s">
        <v>587</v>
      </c>
      <c r="P380" s="602" t="s">
        <v>1038</v>
      </c>
      <c r="Q380" s="602" t="s">
        <v>1039</v>
      </c>
      <c r="R380" s="607"/>
      <c r="S380" s="602"/>
      <c r="T380" s="602"/>
      <c r="U380" s="602"/>
      <c r="V380" s="600"/>
      <c r="W380" s="601"/>
    </row>
    <row r="381" spans="1:23" s="135" customFormat="1" ht="15" hidden="1" customHeight="1">
      <c r="A381" s="306">
        <v>380</v>
      </c>
      <c r="B381" s="162" t="s">
        <v>1040</v>
      </c>
      <c r="C381" s="161"/>
      <c r="D381" s="611" t="s">
        <v>1024</v>
      </c>
      <c r="E381" s="153" t="s">
        <v>1030</v>
      </c>
      <c r="F381" s="373">
        <v>1</v>
      </c>
      <c r="G381" s="373">
        <v>1</v>
      </c>
      <c r="H381" s="380">
        <f t="shared" si="17"/>
        <v>0</v>
      </c>
      <c r="I381" s="431">
        <v>42873</v>
      </c>
      <c r="J381" s="155" t="s">
        <v>730</v>
      </c>
      <c r="K381" s="240">
        <v>633</v>
      </c>
      <c r="L381" s="431">
        <v>42872</v>
      </c>
      <c r="M381" s="175">
        <v>6030</v>
      </c>
      <c r="N381" s="439">
        <f t="shared" si="16"/>
        <v>6030</v>
      </c>
      <c r="O381" s="559" t="s">
        <v>587</v>
      </c>
      <c r="P381" s="154" t="s">
        <v>612</v>
      </c>
      <c r="Q381" s="154"/>
      <c r="R381" s="431" t="s">
        <v>908</v>
      </c>
      <c r="S381" s="429" t="s">
        <v>422</v>
      </c>
      <c r="T381" s="429" t="s">
        <v>423</v>
      </c>
      <c r="U381" s="602"/>
      <c r="V381" s="67"/>
      <c r="W381" s="153"/>
    </row>
    <row r="382" spans="1:23" s="135" customFormat="1" ht="15" hidden="1" customHeight="1">
      <c r="A382" s="306">
        <v>381</v>
      </c>
      <c r="B382" s="434" t="s">
        <v>1040</v>
      </c>
      <c r="C382" s="161"/>
      <c r="D382" s="611" t="s">
        <v>1025</v>
      </c>
      <c r="E382" s="153" t="s">
        <v>1031</v>
      </c>
      <c r="F382" s="373">
        <v>1</v>
      </c>
      <c r="G382" s="373">
        <v>1</v>
      </c>
      <c r="H382" s="380">
        <f t="shared" si="17"/>
        <v>0</v>
      </c>
      <c r="I382" s="431">
        <v>42873</v>
      </c>
      <c r="J382" s="438" t="s">
        <v>730</v>
      </c>
      <c r="K382" s="435">
        <v>633</v>
      </c>
      <c r="L382" s="431">
        <v>42872</v>
      </c>
      <c r="M382" s="175">
        <v>3160</v>
      </c>
      <c r="N382" s="439">
        <f t="shared" si="16"/>
        <v>3160</v>
      </c>
      <c r="O382" s="559" t="s">
        <v>587</v>
      </c>
      <c r="P382" s="429" t="s">
        <v>612</v>
      </c>
      <c r="Q382" s="602"/>
      <c r="R382" s="431" t="s">
        <v>908</v>
      </c>
      <c r="S382" s="429" t="s">
        <v>422</v>
      </c>
      <c r="T382" s="429" t="s">
        <v>423</v>
      </c>
      <c r="U382" s="154"/>
      <c r="V382" s="67"/>
      <c r="W382" s="153"/>
    </row>
    <row r="383" spans="1:23" s="135" customFormat="1" ht="15" hidden="1" customHeight="1">
      <c r="A383" s="306">
        <v>382</v>
      </c>
      <c r="B383" s="162" t="s">
        <v>1041</v>
      </c>
      <c r="C383" s="161"/>
      <c r="D383" s="611" t="s">
        <v>1015</v>
      </c>
      <c r="E383" s="601" t="s">
        <v>1019</v>
      </c>
      <c r="F383" s="373">
        <v>1</v>
      </c>
      <c r="G383" s="609">
        <v>1</v>
      </c>
      <c r="H383" s="614">
        <f t="shared" si="17"/>
        <v>0</v>
      </c>
      <c r="I383" s="431">
        <v>42873</v>
      </c>
      <c r="J383" s="561" t="s">
        <v>584</v>
      </c>
      <c r="K383" s="557">
        <v>632</v>
      </c>
      <c r="L383" s="607">
        <v>42872</v>
      </c>
      <c r="M383" s="616">
        <v>1482</v>
      </c>
      <c r="N383" s="615">
        <f t="shared" si="16"/>
        <v>1482</v>
      </c>
      <c r="O383" s="559" t="s">
        <v>587</v>
      </c>
      <c r="P383" s="429" t="s">
        <v>612</v>
      </c>
      <c r="Q383" s="154"/>
      <c r="R383" s="431" t="s">
        <v>908</v>
      </c>
      <c r="S383" s="429" t="s">
        <v>422</v>
      </c>
      <c r="T383" s="429" t="s">
        <v>423</v>
      </c>
      <c r="U383" s="602"/>
      <c r="V383" s="600"/>
      <c r="W383" s="601"/>
    </row>
    <row r="384" spans="1:23" s="135" customFormat="1" ht="15" hidden="1" customHeight="1">
      <c r="A384" s="306">
        <v>383</v>
      </c>
      <c r="B384" s="162" t="s">
        <v>1042</v>
      </c>
      <c r="C384" s="161"/>
      <c r="D384" s="611" t="s">
        <v>1022</v>
      </c>
      <c r="E384" s="535" t="s">
        <v>1028</v>
      </c>
      <c r="F384" s="373">
        <v>8</v>
      </c>
      <c r="G384" s="609">
        <v>8</v>
      </c>
      <c r="H384" s="614">
        <f t="shared" si="17"/>
        <v>0</v>
      </c>
      <c r="I384" s="160">
        <v>42876</v>
      </c>
      <c r="J384" s="174" t="s">
        <v>1704</v>
      </c>
      <c r="K384" s="240">
        <v>631</v>
      </c>
      <c r="L384" s="607">
        <v>42872</v>
      </c>
      <c r="M384" s="616">
        <v>4980</v>
      </c>
      <c r="N384" s="615">
        <f t="shared" si="16"/>
        <v>39840</v>
      </c>
      <c r="O384" s="559" t="s">
        <v>587</v>
      </c>
      <c r="P384" s="429" t="s">
        <v>612</v>
      </c>
      <c r="Q384" s="154"/>
      <c r="R384" s="607" t="s">
        <v>908</v>
      </c>
      <c r="S384" s="429" t="s">
        <v>422</v>
      </c>
      <c r="T384" s="429" t="s">
        <v>423</v>
      </c>
      <c r="U384" s="602"/>
      <c r="V384" s="600"/>
      <c r="W384" s="601"/>
    </row>
    <row r="385" spans="1:23" s="135" customFormat="1" ht="15" hidden="1" customHeight="1">
      <c r="A385" s="306">
        <v>384</v>
      </c>
      <c r="B385" s="434" t="s">
        <v>1042</v>
      </c>
      <c r="C385" s="161"/>
      <c r="D385" s="611" t="s">
        <v>62</v>
      </c>
      <c r="E385" s="350" t="s">
        <v>61</v>
      </c>
      <c r="F385" s="373">
        <v>2</v>
      </c>
      <c r="G385" s="609">
        <v>2</v>
      </c>
      <c r="H385" s="614">
        <f t="shared" si="17"/>
        <v>0</v>
      </c>
      <c r="I385" s="431">
        <v>42876</v>
      </c>
      <c r="J385" s="174" t="s">
        <v>1704</v>
      </c>
      <c r="K385" s="435">
        <v>631</v>
      </c>
      <c r="L385" s="607">
        <v>42872</v>
      </c>
      <c r="M385" s="616">
        <v>1745</v>
      </c>
      <c r="N385" s="615">
        <f t="shared" si="16"/>
        <v>3490</v>
      </c>
      <c r="O385" s="559" t="s">
        <v>587</v>
      </c>
      <c r="P385" s="429" t="s">
        <v>612</v>
      </c>
      <c r="Q385" s="602"/>
      <c r="R385" s="607" t="s">
        <v>908</v>
      </c>
      <c r="S385" s="429" t="s">
        <v>422</v>
      </c>
      <c r="T385" s="429" t="s">
        <v>423</v>
      </c>
      <c r="U385" s="602"/>
      <c r="V385" s="600"/>
      <c r="W385" s="601"/>
    </row>
    <row r="386" spans="1:23" s="135" customFormat="1" ht="15" hidden="1" customHeight="1">
      <c r="A386" s="306">
        <v>385</v>
      </c>
      <c r="B386" s="434" t="s">
        <v>1042</v>
      </c>
      <c r="C386" s="161"/>
      <c r="D386" s="186" t="s">
        <v>78</v>
      </c>
      <c r="E386" s="6" t="s">
        <v>76</v>
      </c>
      <c r="F386" s="373">
        <v>10</v>
      </c>
      <c r="G386" s="373">
        <v>10</v>
      </c>
      <c r="H386" s="380">
        <f t="shared" si="17"/>
        <v>0</v>
      </c>
      <c r="I386" s="431">
        <v>42876</v>
      </c>
      <c r="J386" s="174" t="s">
        <v>1704</v>
      </c>
      <c r="K386" s="435">
        <v>631</v>
      </c>
      <c r="L386" s="431">
        <v>42872</v>
      </c>
      <c r="M386" s="175">
        <v>1248</v>
      </c>
      <c r="N386" s="439">
        <f t="shared" ref="N386:N417" si="18">IFERROR(M386*G386,0)</f>
        <v>12480</v>
      </c>
      <c r="O386" s="559" t="s">
        <v>587</v>
      </c>
      <c r="P386" s="429" t="s">
        <v>612</v>
      </c>
      <c r="Q386" s="154"/>
      <c r="R386" s="431" t="s">
        <v>908</v>
      </c>
      <c r="S386" s="429" t="s">
        <v>422</v>
      </c>
      <c r="T386" s="429" t="s">
        <v>423</v>
      </c>
      <c r="U386" s="154"/>
      <c r="V386" s="67"/>
      <c r="W386" s="601"/>
    </row>
    <row r="387" spans="1:23" s="135" customFormat="1" ht="15" hidden="1" customHeight="1">
      <c r="A387" s="306">
        <v>386</v>
      </c>
      <c r="B387" s="611" t="s">
        <v>1042</v>
      </c>
      <c r="C387" s="161"/>
      <c r="D387" s="611" t="s">
        <v>1027</v>
      </c>
      <c r="E387" s="499" t="s">
        <v>1033</v>
      </c>
      <c r="F387" s="373">
        <v>16</v>
      </c>
      <c r="G387" s="609">
        <v>16</v>
      </c>
      <c r="H387" s="380">
        <f t="shared" si="17"/>
        <v>0</v>
      </c>
      <c r="I387" s="431">
        <v>42876</v>
      </c>
      <c r="J387" s="174" t="s">
        <v>1704</v>
      </c>
      <c r="K387" s="557">
        <v>631</v>
      </c>
      <c r="L387" s="607">
        <v>42872</v>
      </c>
      <c r="M387" s="616">
        <v>1920</v>
      </c>
      <c r="N387" s="439">
        <f t="shared" si="18"/>
        <v>30720</v>
      </c>
      <c r="O387" s="559" t="s">
        <v>587</v>
      </c>
      <c r="P387" s="602" t="s">
        <v>612</v>
      </c>
      <c r="Q387" s="154"/>
      <c r="R387" s="607" t="s">
        <v>908</v>
      </c>
      <c r="S387" s="429" t="s">
        <v>422</v>
      </c>
      <c r="T387" s="429" t="s">
        <v>423</v>
      </c>
      <c r="U387" s="602"/>
      <c r="V387" s="600"/>
      <c r="W387" s="601"/>
    </row>
    <row r="388" spans="1:23" s="135" customFormat="1" ht="15" hidden="1" customHeight="1">
      <c r="A388" s="306">
        <v>387</v>
      </c>
      <c r="B388" s="434" t="s">
        <v>1042</v>
      </c>
      <c r="C388" s="161"/>
      <c r="D388" s="611" t="s">
        <v>1023</v>
      </c>
      <c r="E388" s="535" t="s">
        <v>1029</v>
      </c>
      <c r="F388" s="373">
        <v>1</v>
      </c>
      <c r="G388" s="373">
        <v>1</v>
      </c>
      <c r="H388" s="380">
        <f t="shared" si="17"/>
        <v>0</v>
      </c>
      <c r="I388" s="431">
        <v>42876</v>
      </c>
      <c r="J388" s="174" t="s">
        <v>1704</v>
      </c>
      <c r="K388" s="435">
        <v>631</v>
      </c>
      <c r="L388" s="431">
        <v>42872</v>
      </c>
      <c r="M388" s="175">
        <v>10900</v>
      </c>
      <c r="N388" s="439">
        <f t="shared" si="18"/>
        <v>10900</v>
      </c>
      <c r="O388" s="559" t="s">
        <v>587</v>
      </c>
      <c r="P388" s="429" t="s">
        <v>612</v>
      </c>
      <c r="Q388" s="154"/>
      <c r="R388" s="431" t="s">
        <v>908</v>
      </c>
      <c r="S388" s="429" t="s">
        <v>422</v>
      </c>
      <c r="T388" s="429" t="s">
        <v>423</v>
      </c>
      <c r="U388" s="154"/>
      <c r="V388" s="67"/>
      <c r="W388" s="601"/>
    </row>
    <row r="389" spans="1:23" s="135" customFormat="1" ht="15" hidden="1" customHeight="1">
      <c r="A389" s="306">
        <v>388</v>
      </c>
      <c r="B389" s="434" t="s">
        <v>1042</v>
      </c>
      <c r="C389" s="161"/>
      <c r="D389" s="611" t="s">
        <v>222</v>
      </c>
      <c r="E389" s="523" t="s">
        <v>221</v>
      </c>
      <c r="F389" s="373">
        <v>30</v>
      </c>
      <c r="G389" s="373">
        <v>30</v>
      </c>
      <c r="H389" s="380">
        <f t="shared" si="17"/>
        <v>0</v>
      </c>
      <c r="I389" s="431">
        <v>42876</v>
      </c>
      <c r="J389" s="174" t="s">
        <v>1704</v>
      </c>
      <c r="K389" s="435">
        <v>631</v>
      </c>
      <c r="L389" s="431">
        <v>42872</v>
      </c>
      <c r="M389" s="175">
        <v>85</v>
      </c>
      <c r="N389" s="439">
        <f t="shared" si="18"/>
        <v>2550</v>
      </c>
      <c r="O389" s="559" t="s">
        <v>587</v>
      </c>
      <c r="P389" s="429" t="s">
        <v>612</v>
      </c>
      <c r="Q389" s="154"/>
      <c r="R389" s="431" t="s">
        <v>908</v>
      </c>
      <c r="S389" s="429" t="s">
        <v>422</v>
      </c>
      <c r="T389" s="429" t="s">
        <v>423</v>
      </c>
      <c r="U389" s="154"/>
      <c r="V389" s="67"/>
      <c r="W389" s="601"/>
    </row>
    <row r="390" spans="1:23" s="135" customFormat="1" ht="15" hidden="1" customHeight="1">
      <c r="A390" s="306">
        <v>389</v>
      </c>
      <c r="B390" s="162" t="s">
        <v>1044</v>
      </c>
      <c r="C390" s="161"/>
      <c r="D390" s="198" t="s">
        <v>219</v>
      </c>
      <c r="E390" s="6" t="s">
        <v>218</v>
      </c>
      <c r="F390" s="373">
        <v>4</v>
      </c>
      <c r="G390" s="373">
        <v>4</v>
      </c>
      <c r="H390" s="380">
        <f t="shared" si="17"/>
        <v>0</v>
      </c>
      <c r="I390" s="160">
        <v>42875</v>
      </c>
      <c r="J390" s="155" t="s">
        <v>1043</v>
      </c>
      <c r="K390" s="435">
        <v>636</v>
      </c>
      <c r="L390" s="431">
        <v>42875</v>
      </c>
      <c r="M390" s="175">
        <v>1900</v>
      </c>
      <c r="N390" s="173">
        <f t="shared" si="18"/>
        <v>7600</v>
      </c>
      <c r="O390" s="559" t="s">
        <v>587</v>
      </c>
      <c r="P390" s="154" t="s">
        <v>844</v>
      </c>
      <c r="Q390" s="154"/>
      <c r="R390" s="431" t="s">
        <v>908</v>
      </c>
      <c r="S390" s="429" t="s">
        <v>422</v>
      </c>
      <c r="T390" s="429" t="s">
        <v>423</v>
      </c>
      <c r="U390" s="154"/>
      <c r="V390" s="67"/>
      <c r="W390" s="601"/>
    </row>
    <row r="391" spans="1:23" s="135" customFormat="1" ht="15" hidden="1" customHeight="1">
      <c r="A391" s="306">
        <v>390</v>
      </c>
      <c r="B391" s="162">
        <v>8657</v>
      </c>
      <c r="C391" s="161"/>
      <c r="D391" s="611" t="s">
        <v>49</v>
      </c>
      <c r="E391" s="350" t="s">
        <v>48</v>
      </c>
      <c r="F391" s="373">
        <v>1</v>
      </c>
      <c r="G391" s="609">
        <v>1</v>
      </c>
      <c r="H391" s="380">
        <f t="shared" si="17"/>
        <v>0</v>
      </c>
      <c r="I391" s="160">
        <v>42877</v>
      </c>
      <c r="J391" s="159" t="s">
        <v>1045</v>
      </c>
      <c r="K391" s="557">
        <v>646</v>
      </c>
      <c r="L391" s="607">
        <v>42876</v>
      </c>
      <c r="M391" s="616">
        <v>8800</v>
      </c>
      <c r="N391" s="173">
        <f t="shared" si="18"/>
        <v>8800</v>
      </c>
      <c r="O391" s="559" t="s">
        <v>587</v>
      </c>
      <c r="P391" s="602" t="s">
        <v>555</v>
      </c>
      <c r="Q391" s="154"/>
      <c r="R391" s="431" t="s">
        <v>908</v>
      </c>
      <c r="S391" s="429" t="s">
        <v>422</v>
      </c>
      <c r="T391" s="429" t="s">
        <v>423</v>
      </c>
      <c r="U391" s="602"/>
      <c r="V391" s="600"/>
      <c r="W391" s="601"/>
    </row>
    <row r="392" spans="1:23" s="135" customFormat="1" ht="15" hidden="1" customHeight="1">
      <c r="A392" s="306">
        <v>391</v>
      </c>
      <c r="B392" s="162" t="s">
        <v>1049</v>
      </c>
      <c r="C392" s="161"/>
      <c r="D392" s="611" t="s">
        <v>60</v>
      </c>
      <c r="E392" s="6" t="s">
        <v>59</v>
      </c>
      <c r="F392" s="373">
        <v>20</v>
      </c>
      <c r="G392" s="373">
        <v>20</v>
      </c>
      <c r="H392" s="380">
        <f t="shared" si="17"/>
        <v>0</v>
      </c>
      <c r="I392" s="431">
        <v>42877</v>
      </c>
      <c r="J392" s="363" t="s">
        <v>1702</v>
      </c>
      <c r="K392" s="557">
        <v>644</v>
      </c>
      <c r="L392" s="607">
        <v>42876</v>
      </c>
      <c r="M392" s="616">
        <v>1280</v>
      </c>
      <c r="N392" s="439">
        <f t="shared" si="18"/>
        <v>25600</v>
      </c>
      <c r="O392" s="559" t="s">
        <v>587</v>
      </c>
      <c r="P392" s="429" t="s">
        <v>612</v>
      </c>
      <c r="Q392" s="154"/>
      <c r="R392" s="431" t="s">
        <v>908</v>
      </c>
      <c r="S392" s="429" t="s">
        <v>422</v>
      </c>
      <c r="T392" s="429" t="s">
        <v>423</v>
      </c>
      <c r="U392" s="154"/>
      <c r="V392" s="67"/>
      <c r="W392" s="601"/>
    </row>
    <row r="393" spans="1:23" s="135" customFormat="1" ht="15" hidden="1" customHeight="1">
      <c r="A393" s="306">
        <v>392</v>
      </c>
      <c r="B393" s="434" t="s">
        <v>1049</v>
      </c>
      <c r="C393" s="161"/>
      <c r="D393" s="611" t="s">
        <v>62</v>
      </c>
      <c r="E393" s="350" t="s">
        <v>61</v>
      </c>
      <c r="F393" s="373">
        <v>15</v>
      </c>
      <c r="G393" s="373">
        <v>15</v>
      </c>
      <c r="H393" s="380">
        <f t="shared" si="17"/>
        <v>0</v>
      </c>
      <c r="I393" s="431">
        <v>42877</v>
      </c>
      <c r="J393" s="363" t="s">
        <v>1702</v>
      </c>
      <c r="K393" s="435">
        <v>644</v>
      </c>
      <c r="L393" s="431">
        <v>42876</v>
      </c>
      <c r="M393" s="440">
        <v>1725</v>
      </c>
      <c r="N393" s="439">
        <f t="shared" si="18"/>
        <v>25875</v>
      </c>
      <c r="O393" s="559" t="s">
        <v>587</v>
      </c>
      <c r="P393" s="154" t="s">
        <v>612</v>
      </c>
      <c r="Q393" s="154"/>
      <c r="R393" s="431" t="s">
        <v>908</v>
      </c>
      <c r="S393" s="429" t="s">
        <v>422</v>
      </c>
      <c r="T393" s="429" t="s">
        <v>423</v>
      </c>
      <c r="U393" s="154"/>
      <c r="V393" s="67"/>
      <c r="W393" s="153"/>
    </row>
    <row r="394" spans="1:23" s="135" customFormat="1" ht="15" hidden="1" customHeight="1">
      <c r="A394" s="306">
        <v>393</v>
      </c>
      <c r="B394" s="162" t="s">
        <v>1048</v>
      </c>
      <c r="C394" s="161"/>
      <c r="D394" s="611" t="s">
        <v>62</v>
      </c>
      <c r="E394" s="350" t="s">
        <v>61</v>
      </c>
      <c r="F394" s="373">
        <v>5</v>
      </c>
      <c r="G394" s="373">
        <v>5</v>
      </c>
      <c r="H394" s="380">
        <f t="shared" si="17"/>
        <v>0</v>
      </c>
      <c r="I394" s="431">
        <v>42877</v>
      </c>
      <c r="J394" s="363" t="s">
        <v>1702</v>
      </c>
      <c r="K394" s="240">
        <v>641</v>
      </c>
      <c r="L394" s="371">
        <v>42876</v>
      </c>
      <c r="M394" s="175">
        <v>1850</v>
      </c>
      <c r="N394" s="439">
        <f t="shared" si="18"/>
        <v>9250</v>
      </c>
      <c r="O394" s="559" t="s">
        <v>587</v>
      </c>
      <c r="P394" s="429" t="s">
        <v>612</v>
      </c>
      <c r="Q394" s="154"/>
      <c r="R394" s="431" t="s">
        <v>908</v>
      </c>
      <c r="S394" s="429" t="s">
        <v>422</v>
      </c>
      <c r="T394" s="429" t="s">
        <v>423</v>
      </c>
      <c r="U394" s="154"/>
      <c r="V394" s="67"/>
      <c r="W394" s="601"/>
    </row>
    <row r="395" spans="1:23" s="135" customFormat="1" ht="15" hidden="1" customHeight="1">
      <c r="A395" s="306">
        <v>394</v>
      </c>
      <c r="B395" s="162"/>
      <c r="C395" s="161"/>
      <c r="D395" s="611" t="s">
        <v>91</v>
      </c>
      <c r="E395" s="6" t="s">
        <v>50</v>
      </c>
      <c r="F395" s="373">
        <v>5</v>
      </c>
      <c r="G395" s="373">
        <v>5</v>
      </c>
      <c r="H395" s="380">
        <f t="shared" si="17"/>
        <v>0</v>
      </c>
      <c r="I395" s="431">
        <v>42877</v>
      </c>
      <c r="J395" s="606" t="s">
        <v>1046</v>
      </c>
      <c r="K395" s="240">
        <v>645</v>
      </c>
      <c r="L395" s="431">
        <v>42876</v>
      </c>
      <c r="M395" s="175">
        <v>2920</v>
      </c>
      <c r="N395" s="439">
        <f t="shared" si="18"/>
        <v>14600</v>
      </c>
      <c r="O395" s="559" t="s">
        <v>587</v>
      </c>
      <c r="P395" s="429" t="s">
        <v>612</v>
      </c>
      <c r="Q395" s="154"/>
      <c r="R395" s="431" t="s">
        <v>908</v>
      </c>
      <c r="S395" s="429" t="s">
        <v>422</v>
      </c>
      <c r="T395" s="429" t="s">
        <v>423</v>
      </c>
      <c r="U395" s="154"/>
      <c r="V395" s="67"/>
      <c r="W395" s="601"/>
    </row>
    <row r="396" spans="1:23" s="135" customFormat="1" ht="15" hidden="1" customHeight="1">
      <c r="A396" s="306">
        <v>395</v>
      </c>
      <c r="B396" s="162"/>
      <c r="C396" s="161"/>
      <c r="D396" s="611" t="s">
        <v>1014</v>
      </c>
      <c r="E396" s="535" t="s">
        <v>1018</v>
      </c>
      <c r="F396" s="373">
        <v>5</v>
      </c>
      <c r="G396" s="373">
        <v>5</v>
      </c>
      <c r="H396" s="614">
        <f t="shared" si="17"/>
        <v>0</v>
      </c>
      <c r="I396" s="431">
        <v>42877</v>
      </c>
      <c r="J396" s="606" t="s">
        <v>1047</v>
      </c>
      <c r="K396" s="240">
        <v>637</v>
      </c>
      <c r="L396" s="371">
        <v>42875</v>
      </c>
      <c r="M396" s="175">
        <v>815</v>
      </c>
      <c r="N396" s="615">
        <f t="shared" si="18"/>
        <v>4075</v>
      </c>
      <c r="O396" s="559" t="s">
        <v>587</v>
      </c>
      <c r="P396" s="602" t="s">
        <v>612</v>
      </c>
      <c r="Q396" s="602"/>
      <c r="R396" s="431" t="s">
        <v>908</v>
      </c>
      <c r="S396" s="602" t="s">
        <v>422</v>
      </c>
      <c r="T396" s="602" t="s">
        <v>423</v>
      </c>
      <c r="U396" s="154"/>
      <c r="V396" s="67"/>
      <c r="W396" s="601"/>
    </row>
    <row r="397" spans="1:23" s="135" customFormat="1" ht="15" hidden="1" customHeight="1">
      <c r="A397" s="306">
        <v>396</v>
      </c>
      <c r="B397" s="434">
        <v>20162888</v>
      </c>
      <c r="C397" s="433"/>
      <c r="D397" s="611" t="s">
        <v>247</v>
      </c>
      <c r="E397" s="600" t="s">
        <v>259</v>
      </c>
      <c r="F397" s="432">
        <v>1</v>
      </c>
      <c r="G397" s="432">
        <v>1</v>
      </c>
      <c r="H397" s="437">
        <f t="shared" si="17"/>
        <v>0</v>
      </c>
      <c r="I397" s="431">
        <v>42878</v>
      </c>
      <c r="J397" s="606" t="s">
        <v>1050</v>
      </c>
      <c r="K397" s="435">
        <v>670</v>
      </c>
      <c r="L397" s="431">
        <v>42886</v>
      </c>
      <c r="M397" s="440">
        <v>3551</v>
      </c>
      <c r="N397" s="439">
        <f t="shared" si="18"/>
        <v>3551</v>
      </c>
      <c r="O397" s="559" t="s">
        <v>587</v>
      </c>
      <c r="P397" s="429" t="s">
        <v>1051</v>
      </c>
      <c r="Q397" s="429" t="s">
        <v>1055</v>
      </c>
      <c r="R397" s="431" t="s">
        <v>908</v>
      </c>
      <c r="S397" s="429" t="s">
        <v>422</v>
      </c>
      <c r="T397" s="429" t="s">
        <v>423</v>
      </c>
      <c r="U397" s="602"/>
      <c r="V397" s="67"/>
      <c r="W397" s="601"/>
    </row>
    <row r="398" spans="1:23" s="135" customFormat="1" ht="15" hidden="1" customHeight="1">
      <c r="A398" s="306">
        <v>397</v>
      </c>
      <c r="B398" s="434">
        <v>20162888</v>
      </c>
      <c r="C398" s="433"/>
      <c r="D398" s="611" t="s">
        <v>250</v>
      </c>
      <c r="E398" s="600" t="s">
        <v>262</v>
      </c>
      <c r="F398" s="432">
        <v>3</v>
      </c>
      <c r="G398" s="432">
        <v>3</v>
      </c>
      <c r="H398" s="437">
        <f t="shared" si="17"/>
        <v>0</v>
      </c>
      <c r="I398" s="431">
        <v>42878</v>
      </c>
      <c r="J398" s="606" t="s">
        <v>1050</v>
      </c>
      <c r="K398" s="435">
        <v>670</v>
      </c>
      <c r="L398" s="431">
        <v>42886</v>
      </c>
      <c r="M398" s="440">
        <v>1605</v>
      </c>
      <c r="N398" s="439">
        <f t="shared" si="18"/>
        <v>4815</v>
      </c>
      <c r="O398" s="559" t="s">
        <v>587</v>
      </c>
      <c r="P398" s="429" t="s">
        <v>1051</v>
      </c>
      <c r="Q398" s="429" t="s">
        <v>1055</v>
      </c>
      <c r="R398" s="431" t="s">
        <v>908</v>
      </c>
      <c r="S398" s="429" t="s">
        <v>422</v>
      </c>
      <c r="T398" s="429" t="s">
        <v>423</v>
      </c>
      <c r="U398" s="154"/>
      <c r="V398" s="67"/>
      <c r="W398" s="601"/>
    </row>
    <row r="399" spans="1:23" s="135" customFormat="1" ht="15" hidden="1" customHeight="1">
      <c r="A399" s="306">
        <v>398</v>
      </c>
      <c r="B399" s="434">
        <v>20162888</v>
      </c>
      <c r="C399" s="433"/>
      <c r="D399" s="611" t="s">
        <v>249</v>
      </c>
      <c r="E399" s="601" t="s">
        <v>28</v>
      </c>
      <c r="F399" s="432">
        <v>4</v>
      </c>
      <c r="G399" s="432">
        <v>4</v>
      </c>
      <c r="H399" s="614">
        <f t="shared" ref="H399:H430" si="19">F399-G399</f>
        <v>0</v>
      </c>
      <c r="I399" s="431">
        <v>42878</v>
      </c>
      <c r="J399" s="606" t="s">
        <v>1050</v>
      </c>
      <c r="K399" s="435">
        <v>670</v>
      </c>
      <c r="L399" s="431">
        <v>42886</v>
      </c>
      <c r="M399" s="440">
        <v>0</v>
      </c>
      <c r="N399" s="615">
        <f t="shared" si="18"/>
        <v>0</v>
      </c>
      <c r="O399" s="559" t="s">
        <v>587</v>
      </c>
      <c r="P399" s="429" t="s">
        <v>1051</v>
      </c>
      <c r="Q399" s="429" t="s">
        <v>1055</v>
      </c>
      <c r="R399" s="431" t="s">
        <v>908</v>
      </c>
      <c r="S399" s="429" t="s">
        <v>422</v>
      </c>
      <c r="T399" s="429" t="s">
        <v>423</v>
      </c>
      <c r="U399" s="154"/>
      <c r="V399" s="67"/>
      <c r="W399" s="601"/>
    </row>
    <row r="400" spans="1:23" s="135" customFormat="1" ht="15" hidden="1" customHeight="1">
      <c r="A400" s="306">
        <v>399</v>
      </c>
      <c r="B400" s="434">
        <v>20162888</v>
      </c>
      <c r="C400" s="433"/>
      <c r="D400" s="611" t="s">
        <v>78</v>
      </c>
      <c r="E400" s="418" t="s">
        <v>76</v>
      </c>
      <c r="F400" s="432">
        <v>1</v>
      </c>
      <c r="G400" s="432">
        <v>1</v>
      </c>
      <c r="H400" s="437">
        <f t="shared" si="19"/>
        <v>0</v>
      </c>
      <c r="I400" s="431">
        <v>42878</v>
      </c>
      <c r="J400" s="606" t="s">
        <v>1050</v>
      </c>
      <c r="K400" s="435">
        <v>670</v>
      </c>
      <c r="L400" s="607">
        <v>42886</v>
      </c>
      <c r="M400" s="440">
        <v>1288</v>
      </c>
      <c r="N400" s="439">
        <f t="shared" si="18"/>
        <v>1288</v>
      </c>
      <c r="O400" s="559" t="s">
        <v>587</v>
      </c>
      <c r="P400" s="429" t="s">
        <v>1051</v>
      </c>
      <c r="Q400" s="429" t="s">
        <v>1055</v>
      </c>
      <c r="R400" s="431" t="s">
        <v>908</v>
      </c>
      <c r="S400" s="429" t="s">
        <v>422</v>
      </c>
      <c r="T400" s="429" t="s">
        <v>423</v>
      </c>
      <c r="U400" s="154"/>
      <c r="V400" s="67"/>
      <c r="W400" s="601"/>
    </row>
    <row r="401" spans="1:23" s="135" customFormat="1" ht="15" hidden="1" customHeight="1">
      <c r="A401" s="306">
        <v>400</v>
      </c>
      <c r="B401" s="611">
        <v>20171500</v>
      </c>
      <c r="C401" s="433"/>
      <c r="D401" s="611" t="s">
        <v>86</v>
      </c>
      <c r="E401" s="354" t="s">
        <v>85</v>
      </c>
      <c r="F401" s="432">
        <v>5</v>
      </c>
      <c r="G401" s="432">
        <v>5</v>
      </c>
      <c r="H401" s="437">
        <f t="shared" si="19"/>
        <v>0</v>
      </c>
      <c r="I401" s="431">
        <v>42878</v>
      </c>
      <c r="J401" s="438" t="s">
        <v>1052</v>
      </c>
      <c r="K401" s="435">
        <v>651</v>
      </c>
      <c r="L401" s="431">
        <v>42878</v>
      </c>
      <c r="M401" s="616">
        <v>10100</v>
      </c>
      <c r="N401" s="439">
        <f t="shared" si="18"/>
        <v>50500</v>
      </c>
      <c r="O401" s="559" t="s">
        <v>587</v>
      </c>
      <c r="P401" s="429" t="s">
        <v>1053</v>
      </c>
      <c r="Q401" s="429" t="s">
        <v>1054</v>
      </c>
      <c r="R401" s="431" t="s">
        <v>908</v>
      </c>
      <c r="S401" s="429" t="s">
        <v>422</v>
      </c>
      <c r="T401" s="429" t="s">
        <v>423</v>
      </c>
      <c r="U401" s="429"/>
      <c r="V401" s="427"/>
      <c r="W401" s="601"/>
    </row>
    <row r="402" spans="1:23" s="135" customFormat="1" ht="15" hidden="1" customHeight="1">
      <c r="A402" s="306">
        <v>401</v>
      </c>
      <c r="B402" s="162">
        <v>931948</v>
      </c>
      <c r="C402" s="161"/>
      <c r="D402" s="186" t="s">
        <v>62</v>
      </c>
      <c r="E402" s="350" t="s">
        <v>61</v>
      </c>
      <c r="F402" s="373">
        <v>15</v>
      </c>
      <c r="G402" s="373">
        <v>15</v>
      </c>
      <c r="H402" s="380">
        <f t="shared" si="19"/>
        <v>0</v>
      </c>
      <c r="I402" s="160">
        <v>42878</v>
      </c>
      <c r="J402" s="363" t="s">
        <v>1702</v>
      </c>
      <c r="K402" s="240">
        <v>647</v>
      </c>
      <c r="L402" s="371">
        <v>42877</v>
      </c>
      <c r="M402" s="175">
        <v>1725</v>
      </c>
      <c r="N402" s="439">
        <f t="shared" si="18"/>
        <v>25875</v>
      </c>
      <c r="O402" s="559" t="s">
        <v>587</v>
      </c>
      <c r="P402" s="154" t="s">
        <v>612</v>
      </c>
      <c r="Q402" s="154"/>
      <c r="R402" s="431" t="s">
        <v>908</v>
      </c>
      <c r="S402" s="413" t="s">
        <v>422</v>
      </c>
      <c r="T402" s="154" t="s">
        <v>423</v>
      </c>
      <c r="U402" s="154"/>
      <c r="V402" s="67"/>
      <c r="W402" s="601"/>
    </row>
    <row r="403" spans="1:23" s="135" customFormat="1" ht="15" hidden="1" customHeight="1">
      <c r="A403" s="306">
        <v>402</v>
      </c>
      <c r="B403" s="162" t="s">
        <v>1057</v>
      </c>
      <c r="C403" s="161"/>
      <c r="D403" s="601" t="s">
        <v>33</v>
      </c>
      <c r="E403" s="350" t="s">
        <v>32</v>
      </c>
      <c r="F403" s="373">
        <v>42</v>
      </c>
      <c r="G403" s="609">
        <v>42</v>
      </c>
      <c r="H403" s="614">
        <f t="shared" si="19"/>
        <v>0</v>
      </c>
      <c r="I403" s="160">
        <v>42878</v>
      </c>
      <c r="J403" s="561" t="s">
        <v>1056</v>
      </c>
      <c r="K403" s="557">
        <v>648</v>
      </c>
      <c r="L403" s="607">
        <v>42878</v>
      </c>
      <c r="M403" s="616">
        <v>920</v>
      </c>
      <c r="N403" s="615">
        <f t="shared" si="18"/>
        <v>38640</v>
      </c>
      <c r="O403" s="559" t="s">
        <v>587</v>
      </c>
      <c r="P403" s="429" t="s">
        <v>612</v>
      </c>
      <c r="Q403" s="154"/>
      <c r="R403" s="607" t="s">
        <v>908</v>
      </c>
      <c r="S403" s="429" t="s">
        <v>422</v>
      </c>
      <c r="T403" s="429" t="s">
        <v>423</v>
      </c>
      <c r="U403" s="602"/>
      <c r="V403" s="600"/>
      <c r="W403" s="601"/>
    </row>
    <row r="404" spans="1:23" s="135" customFormat="1" ht="15" hidden="1" customHeight="1">
      <c r="A404" s="306">
        <v>403</v>
      </c>
      <c r="B404" s="162"/>
      <c r="C404" s="161"/>
      <c r="D404" s="611" t="s">
        <v>90</v>
      </c>
      <c r="E404" s="521" t="s">
        <v>89</v>
      </c>
      <c r="F404" s="373">
        <v>2</v>
      </c>
      <c r="G404" s="373">
        <v>2</v>
      </c>
      <c r="H404" s="380">
        <f t="shared" si="19"/>
        <v>0</v>
      </c>
      <c r="I404" s="431">
        <v>42878</v>
      </c>
      <c r="J404" s="155" t="s">
        <v>1058</v>
      </c>
      <c r="K404" s="240">
        <v>649</v>
      </c>
      <c r="L404" s="371">
        <v>42878</v>
      </c>
      <c r="M404" s="175">
        <v>290</v>
      </c>
      <c r="N404" s="439">
        <f t="shared" si="18"/>
        <v>580</v>
      </c>
      <c r="O404" s="559" t="s">
        <v>587</v>
      </c>
      <c r="P404" s="429" t="s">
        <v>612</v>
      </c>
      <c r="Q404" s="154"/>
      <c r="R404" s="431" t="s">
        <v>908</v>
      </c>
      <c r="S404" s="429" t="s">
        <v>422</v>
      </c>
      <c r="T404" s="429" t="s">
        <v>423</v>
      </c>
      <c r="U404" s="154"/>
      <c r="V404" s="67"/>
      <c r="W404" s="601"/>
    </row>
    <row r="405" spans="1:23" s="135" customFormat="1" ht="15" hidden="1" customHeight="1">
      <c r="A405" s="306">
        <v>404</v>
      </c>
      <c r="B405" s="434" t="s">
        <v>1061</v>
      </c>
      <c r="C405" s="161"/>
      <c r="D405" s="611" t="s">
        <v>90</v>
      </c>
      <c r="E405" s="521" t="s">
        <v>89</v>
      </c>
      <c r="F405" s="373">
        <v>8</v>
      </c>
      <c r="G405" s="373">
        <v>8</v>
      </c>
      <c r="H405" s="614">
        <f t="shared" si="19"/>
        <v>0</v>
      </c>
      <c r="I405" s="160">
        <v>42880</v>
      </c>
      <c r="J405" s="155" t="s">
        <v>1059</v>
      </c>
      <c r="K405" s="240">
        <v>652</v>
      </c>
      <c r="L405" s="371">
        <v>42878</v>
      </c>
      <c r="M405" s="175">
        <v>285</v>
      </c>
      <c r="N405" s="439">
        <f t="shared" si="18"/>
        <v>2280</v>
      </c>
      <c r="O405" s="559" t="s">
        <v>587</v>
      </c>
      <c r="P405" s="429" t="s">
        <v>612</v>
      </c>
      <c r="Q405" s="154"/>
      <c r="R405" s="431" t="s">
        <v>908</v>
      </c>
      <c r="S405" s="429" t="s">
        <v>422</v>
      </c>
      <c r="T405" s="429" t="s">
        <v>423</v>
      </c>
      <c r="U405" s="154"/>
      <c r="V405" s="67"/>
      <c r="W405" s="601"/>
    </row>
    <row r="406" spans="1:23" s="135" customFormat="1" ht="15" hidden="1" customHeight="1">
      <c r="A406" s="306">
        <v>405</v>
      </c>
      <c r="B406" s="434">
        <v>38111450</v>
      </c>
      <c r="C406" s="161"/>
      <c r="D406" s="198" t="s">
        <v>1026</v>
      </c>
      <c r="E406" s="499" t="s">
        <v>1032</v>
      </c>
      <c r="F406" s="373">
        <v>64</v>
      </c>
      <c r="G406" s="373">
        <v>64</v>
      </c>
      <c r="H406" s="614">
        <f t="shared" si="19"/>
        <v>0</v>
      </c>
      <c r="I406" s="431">
        <v>42880</v>
      </c>
      <c r="J406" s="155" t="s">
        <v>1060</v>
      </c>
      <c r="K406" s="240">
        <v>640</v>
      </c>
      <c r="L406" s="607">
        <v>42875</v>
      </c>
      <c r="M406" s="616">
        <v>1352</v>
      </c>
      <c r="N406" s="615">
        <f t="shared" si="18"/>
        <v>86528</v>
      </c>
      <c r="O406" s="559" t="s">
        <v>587</v>
      </c>
      <c r="P406" s="429" t="s">
        <v>612</v>
      </c>
      <c r="Q406" s="154" t="s">
        <v>1071</v>
      </c>
      <c r="R406" s="607" t="s">
        <v>908</v>
      </c>
      <c r="S406" s="429" t="s">
        <v>422</v>
      </c>
      <c r="T406" s="429" t="s">
        <v>423</v>
      </c>
      <c r="U406" s="602"/>
      <c r="V406" s="600"/>
      <c r="W406" s="601"/>
    </row>
    <row r="407" spans="1:23" s="135" customFormat="1" ht="15" hidden="1" customHeight="1">
      <c r="A407" s="306">
        <v>406</v>
      </c>
      <c r="B407" s="434" t="s">
        <v>1065</v>
      </c>
      <c r="C407" s="433"/>
      <c r="D407" s="186" t="s">
        <v>90</v>
      </c>
      <c r="E407" s="546" t="s">
        <v>89</v>
      </c>
      <c r="F407" s="432">
        <v>11</v>
      </c>
      <c r="G407" s="432">
        <v>11</v>
      </c>
      <c r="H407" s="437">
        <f t="shared" si="19"/>
        <v>0</v>
      </c>
      <c r="I407" s="431">
        <v>42883</v>
      </c>
      <c r="J407" s="438" t="s">
        <v>774</v>
      </c>
      <c r="K407" s="435">
        <v>656</v>
      </c>
      <c r="L407" s="431">
        <v>42880</v>
      </c>
      <c r="M407" s="440">
        <v>290</v>
      </c>
      <c r="N407" s="439">
        <f t="shared" si="18"/>
        <v>3190</v>
      </c>
      <c r="O407" s="559" t="s">
        <v>587</v>
      </c>
      <c r="P407" s="429" t="s">
        <v>1063</v>
      </c>
      <c r="Q407" s="429" t="s">
        <v>1064</v>
      </c>
      <c r="R407" s="431" t="s">
        <v>908</v>
      </c>
      <c r="S407" s="429" t="s">
        <v>422</v>
      </c>
      <c r="T407" s="429" t="s">
        <v>423</v>
      </c>
      <c r="U407" s="429"/>
      <c r="V407" s="427"/>
      <c r="W407" s="428"/>
    </row>
    <row r="408" spans="1:23" s="135" customFormat="1" ht="15" hidden="1" customHeight="1">
      <c r="A408" s="306">
        <v>407</v>
      </c>
      <c r="B408" s="162" t="s">
        <v>1066</v>
      </c>
      <c r="C408" s="161"/>
      <c r="D408" s="186" t="s">
        <v>120</v>
      </c>
      <c r="E408" s="521" t="s">
        <v>119</v>
      </c>
      <c r="F408" s="373">
        <v>1</v>
      </c>
      <c r="G408" s="373">
        <v>1</v>
      </c>
      <c r="H408" s="614">
        <f t="shared" si="19"/>
        <v>0</v>
      </c>
      <c r="I408" s="160">
        <v>42883</v>
      </c>
      <c r="J408" s="155" t="s">
        <v>787</v>
      </c>
      <c r="K408" s="240">
        <v>569</v>
      </c>
      <c r="L408" s="371">
        <v>42840</v>
      </c>
      <c r="M408" s="175">
        <v>24067</v>
      </c>
      <c r="N408" s="615">
        <f t="shared" si="18"/>
        <v>24067</v>
      </c>
      <c r="O408" s="559" t="s">
        <v>587</v>
      </c>
      <c r="P408" s="154" t="s">
        <v>555</v>
      </c>
      <c r="Q408" s="154"/>
      <c r="R408" s="431" t="s">
        <v>908</v>
      </c>
      <c r="S408" s="429" t="s">
        <v>422</v>
      </c>
      <c r="T408" s="154" t="s">
        <v>423</v>
      </c>
      <c r="U408" s="154"/>
      <c r="V408" s="67"/>
      <c r="W408" s="601"/>
    </row>
    <row r="409" spans="1:23" s="135" customFormat="1" ht="15" hidden="1" customHeight="1">
      <c r="A409" s="306">
        <v>408</v>
      </c>
      <c r="B409" s="162" t="s">
        <v>1067</v>
      </c>
      <c r="C409" s="161"/>
      <c r="D409" s="558" t="s">
        <v>51</v>
      </c>
      <c r="E409" s="6" t="s">
        <v>50</v>
      </c>
      <c r="F409" s="373">
        <v>2</v>
      </c>
      <c r="G409" s="373">
        <v>2</v>
      </c>
      <c r="H409" s="614">
        <f t="shared" si="19"/>
        <v>0</v>
      </c>
      <c r="I409" s="160">
        <v>42883</v>
      </c>
      <c r="J409" s="561" t="s">
        <v>611</v>
      </c>
      <c r="K409" s="240">
        <v>655</v>
      </c>
      <c r="L409" s="371">
        <v>42880</v>
      </c>
      <c r="M409" s="175">
        <v>2400</v>
      </c>
      <c r="N409" s="615">
        <f t="shared" si="18"/>
        <v>4800</v>
      </c>
      <c r="O409" s="559" t="s">
        <v>587</v>
      </c>
      <c r="P409" s="154" t="s">
        <v>530</v>
      </c>
      <c r="Q409" s="154"/>
      <c r="R409" s="431" t="s">
        <v>908</v>
      </c>
      <c r="S409" s="429" t="s">
        <v>422</v>
      </c>
      <c r="T409" s="429" t="s">
        <v>423</v>
      </c>
      <c r="U409" s="154"/>
      <c r="V409" s="67"/>
      <c r="W409" s="601"/>
    </row>
    <row r="410" spans="1:23" s="135" customFormat="1" ht="15" hidden="1" customHeight="1">
      <c r="A410" s="306">
        <v>409</v>
      </c>
      <c r="B410" s="162">
        <v>9811</v>
      </c>
      <c r="C410" s="161"/>
      <c r="D410" s="185" t="s">
        <v>49</v>
      </c>
      <c r="E410" s="350" t="s">
        <v>48</v>
      </c>
      <c r="F410" s="373">
        <v>15</v>
      </c>
      <c r="G410" s="609">
        <v>15</v>
      </c>
      <c r="H410" s="380">
        <f t="shared" si="19"/>
        <v>0</v>
      </c>
      <c r="I410" s="431">
        <v>42883</v>
      </c>
      <c r="J410" s="159" t="s">
        <v>1068</v>
      </c>
      <c r="K410" s="557">
        <v>653</v>
      </c>
      <c r="L410" s="607">
        <v>42879</v>
      </c>
      <c r="M410" s="616">
        <v>8380</v>
      </c>
      <c r="N410" s="173">
        <f t="shared" si="18"/>
        <v>125700</v>
      </c>
      <c r="O410" s="559" t="s">
        <v>587</v>
      </c>
      <c r="P410" s="154" t="s">
        <v>612</v>
      </c>
      <c r="Q410" s="154"/>
      <c r="R410" s="431" t="s">
        <v>908</v>
      </c>
      <c r="S410" s="429" t="s">
        <v>422</v>
      </c>
      <c r="T410" s="429" t="s">
        <v>423</v>
      </c>
      <c r="U410" s="602"/>
      <c r="V410" s="600"/>
      <c r="W410" s="601"/>
    </row>
    <row r="411" spans="1:23" s="135" customFormat="1" ht="15" hidden="1" customHeight="1">
      <c r="A411" s="306">
        <v>410</v>
      </c>
      <c r="B411" s="434">
        <v>9811</v>
      </c>
      <c r="C411" s="161"/>
      <c r="D411" s="185" t="s">
        <v>35</v>
      </c>
      <c r="E411" s="367" t="s">
        <v>34</v>
      </c>
      <c r="F411" s="373">
        <v>40</v>
      </c>
      <c r="G411" s="373">
        <v>40</v>
      </c>
      <c r="H411" s="380">
        <f t="shared" si="19"/>
        <v>0</v>
      </c>
      <c r="I411" s="431">
        <v>42883</v>
      </c>
      <c r="J411" s="606" t="s">
        <v>1068</v>
      </c>
      <c r="K411" s="435">
        <v>653</v>
      </c>
      <c r="L411" s="431">
        <v>42879</v>
      </c>
      <c r="M411" s="175">
        <v>2555</v>
      </c>
      <c r="N411" s="173">
        <f t="shared" si="18"/>
        <v>102200</v>
      </c>
      <c r="O411" s="559" t="s">
        <v>587</v>
      </c>
      <c r="P411" s="429" t="s">
        <v>612</v>
      </c>
      <c r="Q411" s="154"/>
      <c r="R411" s="431" t="s">
        <v>908</v>
      </c>
      <c r="S411" s="429" t="s">
        <v>422</v>
      </c>
      <c r="T411" s="429" t="s">
        <v>423</v>
      </c>
      <c r="U411" s="154"/>
      <c r="V411" s="67"/>
      <c r="W411" s="601"/>
    </row>
    <row r="412" spans="1:23" s="135" customFormat="1" ht="15" hidden="1" customHeight="1">
      <c r="A412" s="306">
        <v>411</v>
      </c>
      <c r="B412" s="434">
        <v>9811</v>
      </c>
      <c r="C412" s="161"/>
      <c r="D412" s="611" t="s">
        <v>247</v>
      </c>
      <c r="E412" s="600" t="s">
        <v>259</v>
      </c>
      <c r="F412" s="373">
        <v>10</v>
      </c>
      <c r="G412" s="373">
        <v>10</v>
      </c>
      <c r="H412" s="380">
        <f t="shared" si="19"/>
        <v>0</v>
      </c>
      <c r="I412" s="431">
        <v>42883</v>
      </c>
      <c r="J412" s="606" t="s">
        <v>1068</v>
      </c>
      <c r="K412" s="435">
        <v>653</v>
      </c>
      <c r="L412" s="431">
        <v>42879</v>
      </c>
      <c r="M412" s="175">
        <v>3400</v>
      </c>
      <c r="N412" s="173">
        <f t="shared" si="18"/>
        <v>34000</v>
      </c>
      <c r="O412" s="559" t="s">
        <v>587</v>
      </c>
      <c r="P412" s="429" t="s">
        <v>612</v>
      </c>
      <c r="Q412" s="154"/>
      <c r="R412" s="431" t="s">
        <v>908</v>
      </c>
      <c r="S412" s="429" t="s">
        <v>422</v>
      </c>
      <c r="T412" s="429" t="s">
        <v>423</v>
      </c>
      <c r="U412" s="154"/>
      <c r="V412" s="67"/>
      <c r="W412" s="601"/>
    </row>
    <row r="413" spans="1:23" s="135" customFormat="1" ht="15" hidden="1" customHeight="1">
      <c r="A413" s="306">
        <v>412</v>
      </c>
      <c r="B413" s="434">
        <v>9811</v>
      </c>
      <c r="C413" s="161"/>
      <c r="D413" s="611" t="s">
        <v>250</v>
      </c>
      <c r="E413" s="600" t="s">
        <v>262</v>
      </c>
      <c r="F413" s="373">
        <v>10</v>
      </c>
      <c r="G413" s="609">
        <v>10</v>
      </c>
      <c r="H413" s="614">
        <f t="shared" si="19"/>
        <v>0</v>
      </c>
      <c r="I413" s="431">
        <v>42883</v>
      </c>
      <c r="J413" s="430" t="s">
        <v>1068</v>
      </c>
      <c r="K413" s="557">
        <v>653</v>
      </c>
      <c r="L413" s="607">
        <v>42879</v>
      </c>
      <c r="M413" s="616">
        <v>1310</v>
      </c>
      <c r="N413" s="615">
        <f t="shared" si="18"/>
        <v>13100</v>
      </c>
      <c r="O413" s="559" t="s">
        <v>587</v>
      </c>
      <c r="P413" s="429" t="s">
        <v>612</v>
      </c>
      <c r="Q413" s="154"/>
      <c r="R413" s="607" t="s">
        <v>908</v>
      </c>
      <c r="S413" s="429" t="s">
        <v>422</v>
      </c>
      <c r="T413" s="429" t="s">
        <v>423</v>
      </c>
      <c r="U413" s="602"/>
      <c r="V413" s="600"/>
      <c r="W413" s="601"/>
    </row>
    <row r="414" spans="1:23" s="135" customFormat="1" ht="15" hidden="1" customHeight="1">
      <c r="A414" s="306">
        <v>413</v>
      </c>
      <c r="B414" s="611"/>
      <c r="C414" s="161"/>
      <c r="D414" s="611" t="s">
        <v>86</v>
      </c>
      <c r="E414" s="6" t="s">
        <v>85</v>
      </c>
      <c r="F414" s="373">
        <v>1</v>
      </c>
      <c r="G414" s="373">
        <v>1</v>
      </c>
      <c r="H414" s="614">
        <f t="shared" si="19"/>
        <v>0</v>
      </c>
      <c r="I414" s="160">
        <v>42885</v>
      </c>
      <c r="J414" s="155" t="s">
        <v>1069</v>
      </c>
      <c r="K414" s="240">
        <v>665</v>
      </c>
      <c r="L414" s="607">
        <v>42884</v>
      </c>
      <c r="M414" s="616">
        <v>10300</v>
      </c>
      <c r="N414" s="615">
        <f t="shared" si="18"/>
        <v>10300</v>
      </c>
      <c r="O414" s="559" t="s">
        <v>587</v>
      </c>
      <c r="P414" s="154" t="s">
        <v>555</v>
      </c>
      <c r="Q414" s="154"/>
      <c r="R414" s="607" t="s">
        <v>908</v>
      </c>
      <c r="S414" s="429" t="s">
        <v>422</v>
      </c>
      <c r="T414" s="429" t="s">
        <v>423</v>
      </c>
      <c r="U414" s="602"/>
      <c r="V414" s="600"/>
      <c r="W414" s="601"/>
    </row>
    <row r="415" spans="1:23" s="135" customFormat="1" ht="15" hidden="1" customHeight="1">
      <c r="A415" s="306">
        <v>414</v>
      </c>
      <c r="B415" s="162"/>
      <c r="C415" s="161"/>
      <c r="D415" s="611" t="s">
        <v>224</v>
      </c>
      <c r="E415" s="350" t="s">
        <v>941</v>
      </c>
      <c r="F415" s="373">
        <v>704</v>
      </c>
      <c r="G415" s="373">
        <v>704</v>
      </c>
      <c r="H415" s="380">
        <f t="shared" si="19"/>
        <v>0</v>
      </c>
      <c r="I415" s="160">
        <v>42885</v>
      </c>
      <c r="J415" s="174" t="s">
        <v>1070</v>
      </c>
      <c r="K415" s="240">
        <v>681</v>
      </c>
      <c r="L415" s="371">
        <v>42891</v>
      </c>
      <c r="M415" s="175">
        <v>110</v>
      </c>
      <c r="N415" s="439">
        <f t="shared" si="18"/>
        <v>77440</v>
      </c>
      <c r="O415" s="559" t="s">
        <v>587</v>
      </c>
      <c r="P415" s="154" t="s">
        <v>612</v>
      </c>
      <c r="Q415" s="154"/>
      <c r="R415" s="160" t="s">
        <v>908</v>
      </c>
      <c r="S415" s="413" t="s">
        <v>422</v>
      </c>
      <c r="T415" s="154" t="s">
        <v>423</v>
      </c>
      <c r="U415" s="154"/>
      <c r="V415" s="67"/>
      <c r="W415" s="601"/>
    </row>
    <row r="416" spans="1:23" s="135" customFormat="1" ht="15" hidden="1" customHeight="1">
      <c r="A416" s="306">
        <v>415</v>
      </c>
      <c r="B416" s="162"/>
      <c r="C416" s="161"/>
      <c r="D416" s="186" t="s">
        <v>226</v>
      </c>
      <c r="E416" s="350" t="s">
        <v>944</v>
      </c>
      <c r="F416" s="373">
        <v>4</v>
      </c>
      <c r="G416" s="373">
        <v>4</v>
      </c>
      <c r="H416" s="380">
        <f t="shared" si="19"/>
        <v>0</v>
      </c>
      <c r="I416" s="431">
        <v>42885</v>
      </c>
      <c r="J416" s="155" t="s">
        <v>787</v>
      </c>
      <c r="K416" s="240">
        <v>667</v>
      </c>
      <c r="L416" s="371">
        <v>42886</v>
      </c>
      <c r="M416" s="175">
        <v>195</v>
      </c>
      <c r="N416" s="439">
        <f t="shared" si="18"/>
        <v>780</v>
      </c>
      <c r="O416" s="559" t="s">
        <v>844</v>
      </c>
      <c r="P416" s="154" t="s">
        <v>555</v>
      </c>
      <c r="Q416" s="602"/>
      <c r="R416" s="431" t="s">
        <v>908</v>
      </c>
      <c r="S416" s="429" t="s">
        <v>422</v>
      </c>
      <c r="T416" s="429" t="s">
        <v>423</v>
      </c>
      <c r="U416" s="154"/>
      <c r="V416" s="67"/>
      <c r="W416" s="153"/>
    </row>
    <row r="417" spans="1:23" s="135" customFormat="1" ht="15" hidden="1" customHeight="1">
      <c r="A417" s="306">
        <v>416</v>
      </c>
      <c r="B417" s="162"/>
      <c r="C417" s="161"/>
      <c r="D417" s="611" t="s">
        <v>219</v>
      </c>
      <c r="E417" s="6" t="s">
        <v>218</v>
      </c>
      <c r="F417" s="182">
        <v>4</v>
      </c>
      <c r="G417" s="609">
        <v>4</v>
      </c>
      <c r="H417" s="614">
        <f t="shared" si="19"/>
        <v>0</v>
      </c>
      <c r="I417" s="160">
        <v>42886</v>
      </c>
      <c r="J417" s="561" t="s">
        <v>1072</v>
      </c>
      <c r="K417" s="557">
        <v>668</v>
      </c>
      <c r="L417" s="607">
        <v>42886</v>
      </c>
      <c r="M417" s="616">
        <v>1800</v>
      </c>
      <c r="N417" s="615">
        <f t="shared" si="18"/>
        <v>7200</v>
      </c>
      <c r="O417" s="559" t="s">
        <v>587</v>
      </c>
      <c r="P417" s="429" t="s">
        <v>612</v>
      </c>
      <c r="Q417" s="154"/>
      <c r="R417" s="607" t="s">
        <v>908</v>
      </c>
      <c r="S417" s="429" t="s">
        <v>422</v>
      </c>
      <c r="T417" s="429" t="s">
        <v>423</v>
      </c>
      <c r="U417" s="602"/>
      <c r="V417" s="600"/>
      <c r="W417" s="601"/>
    </row>
    <row r="418" spans="1:23" s="135" customFormat="1" ht="15" hidden="1" customHeight="1">
      <c r="A418" s="306">
        <v>417</v>
      </c>
      <c r="B418" s="162"/>
      <c r="C418" s="161"/>
      <c r="D418" s="611" t="s">
        <v>80</v>
      </c>
      <c r="E418" s="350" t="s">
        <v>79</v>
      </c>
      <c r="F418" s="182">
        <v>2</v>
      </c>
      <c r="G418" s="373">
        <v>2</v>
      </c>
      <c r="H418" s="614">
        <f t="shared" si="19"/>
        <v>0</v>
      </c>
      <c r="I418" s="431">
        <v>42886</v>
      </c>
      <c r="J418" s="155" t="s">
        <v>830</v>
      </c>
      <c r="K418" s="240">
        <v>666</v>
      </c>
      <c r="L418" s="607">
        <v>42886</v>
      </c>
      <c r="M418" s="616">
        <v>870</v>
      </c>
      <c r="N418" s="615">
        <f t="shared" ref="N418:N449" si="20">IFERROR(M418*G418,0)</f>
        <v>1740</v>
      </c>
      <c r="O418" s="559" t="s">
        <v>587</v>
      </c>
      <c r="P418" s="602" t="s">
        <v>612</v>
      </c>
      <c r="Q418" s="154"/>
      <c r="R418" s="607" t="s">
        <v>908</v>
      </c>
      <c r="S418" s="429" t="s">
        <v>422</v>
      </c>
      <c r="T418" s="429" t="s">
        <v>423</v>
      </c>
      <c r="U418" s="602"/>
      <c r="V418" s="600"/>
      <c r="W418" s="601"/>
    </row>
    <row r="419" spans="1:23" s="135" customFormat="1" ht="15" hidden="1" customHeight="1">
      <c r="A419" s="306">
        <v>418</v>
      </c>
      <c r="B419" s="162">
        <v>179469</v>
      </c>
      <c r="C419" s="161"/>
      <c r="D419" s="611" t="s">
        <v>897</v>
      </c>
      <c r="E419" s="498" t="s">
        <v>904</v>
      </c>
      <c r="F419" s="373">
        <v>2</v>
      </c>
      <c r="G419" s="373">
        <v>2</v>
      </c>
      <c r="H419" s="614">
        <f t="shared" si="19"/>
        <v>0</v>
      </c>
      <c r="I419" s="160">
        <v>42887</v>
      </c>
      <c r="J419" s="155" t="s">
        <v>765</v>
      </c>
      <c r="K419" s="240">
        <v>555</v>
      </c>
      <c r="L419" s="607">
        <v>42831</v>
      </c>
      <c r="M419" s="616">
        <v>530</v>
      </c>
      <c r="N419" s="615">
        <f t="shared" si="20"/>
        <v>1060</v>
      </c>
      <c r="O419" s="559" t="s">
        <v>587</v>
      </c>
      <c r="P419" s="602" t="s">
        <v>612</v>
      </c>
      <c r="Q419" s="154"/>
      <c r="R419" s="607" t="s">
        <v>908</v>
      </c>
      <c r="S419" s="429" t="s">
        <v>422</v>
      </c>
      <c r="T419" s="429" t="s">
        <v>423</v>
      </c>
      <c r="U419" s="602"/>
      <c r="V419" s="600"/>
      <c r="W419" s="601"/>
    </row>
    <row r="420" spans="1:23" s="135" customFormat="1" ht="15" hidden="1" customHeight="1">
      <c r="A420" s="306">
        <v>419</v>
      </c>
      <c r="B420" s="611" t="s">
        <v>1074</v>
      </c>
      <c r="C420" s="610"/>
      <c r="D420" s="611" t="s">
        <v>605</v>
      </c>
      <c r="E420" s="498" t="s">
        <v>393</v>
      </c>
      <c r="F420" s="609">
        <v>1</v>
      </c>
      <c r="G420" s="609">
        <v>1</v>
      </c>
      <c r="H420" s="614">
        <f t="shared" si="19"/>
        <v>0</v>
      </c>
      <c r="I420" s="607">
        <v>42887</v>
      </c>
      <c r="J420" s="561" t="s">
        <v>1073</v>
      </c>
      <c r="K420" s="557">
        <v>674</v>
      </c>
      <c r="L420" s="607">
        <v>42886</v>
      </c>
      <c r="M420" s="616">
        <v>4856.7</v>
      </c>
      <c r="N420" s="615">
        <f t="shared" si="20"/>
        <v>4856.7</v>
      </c>
      <c r="O420" s="559" t="s">
        <v>587</v>
      </c>
      <c r="P420" s="602" t="s">
        <v>612</v>
      </c>
      <c r="Q420" s="602"/>
      <c r="R420" s="607" t="s">
        <v>908</v>
      </c>
      <c r="S420" s="602" t="s">
        <v>422</v>
      </c>
      <c r="T420" s="429" t="s">
        <v>423</v>
      </c>
      <c r="U420" s="602"/>
      <c r="V420" s="600"/>
      <c r="W420" s="601"/>
    </row>
    <row r="421" spans="1:23" s="135" customFormat="1" ht="15" hidden="1" customHeight="1">
      <c r="A421" s="306">
        <v>420</v>
      </c>
      <c r="B421" s="611" t="s">
        <v>1074</v>
      </c>
      <c r="C421" s="610"/>
      <c r="D421" s="611" t="s">
        <v>80</v>
      </c>
      <c r="E421" s="350" t="s">
        <v>79</v>
      </c>
      <c r="F421" s="609">
        <v>1</v>
      </c>
      <c r="G421" s="609">
        <v>1</v>
      </c>
      <c r="H421" s="380">
        <f t="shared" si="19"/>
        <v>0</v>
      </c>
      <c r="I421" s="607">
        <v>42887</v>
      </c>
      <c r="J421" s="561" t="s">
        <v>1073</v>
      </c>
      <c r="K421" s="435">
        <v>674</v>
      </c>
      <c r="L421" s="607">
        <v>42886</v>
      </c>
      <c r="M421" s="616">
        <v>883.9</v>
      </c>
      <c r="N421" s="615">
        <f t="shared" si="20"/>
        <v>883.9</v>
      </c>
      <c r="O421" s="559" t="s">
        <v>587</v>
      </c>
      <c r="P421" s="602" t="s">
        <v>612</v>
      </c>
      <c r="Q421" s="602"/>
      <c r="R421" s="607" t="s">
        <v>908</v>
      </c>
      <c r="S421" s="602" t="s">
        <v>422</v>
      </c>
      <c r="T421" s="602" t="s">
        <v>423</v>
      </c>
      <c r="U421" s="602"/>
      <c r="V421" s="600"/>
      <c r="W421" s="601"/>
    </row>
    <row r="422" spans="1:23" s="135" customFormat="1" ht="15" hidden="1" customHeight="1">
      <c r="A422" s="306">
        <v>421</v>
      </c>
      <c r="B422" s="611" t="s">
        <v>1074</v>
      </c>
      <c r="C422" s="610"/>
      <c r="D422" s="611" t="s">
        <v>70</v>
      </c>
      <c r="E422" s="6" t="s">
        <v>69</v>
      </c>
      <c r="F422" s="609">
        <v>1</v>
      </c>
      <c r="G422" s="609">
        <v>1</v>
      </c>
      <c r="H422" s="380">
        <f t="shared" si="19"/>
        <v>0</v>
      </c>
      <c r="I422" s="607">
        <v>42887</v>
      </c>
      <c r="J422" s="561" t="s">
        <v>1073</v>
      </c>
      <c r="K422" s="435">
        <v>674</v>
      </c>
      <c r="L422" s="607">
        <v>42886</v>
      </c>
      <c r="M422" s="616">
        <v>14636.2</v>
      </c>
      <c r="N422" s="615">
        <f t="shared" si="20"/>
        <v>14636.2</v>
      </c>
      <c r="O422" s="559" t="s">
        <v>587</v>
      </c>
      <c r="P422" s="602" t="s">
        <v>612</v>
      </c>
      <c r="Q422" s="602"/>
      <c r="R422" s="607" t="s">
        <v>908</v>
      </c>
      <c r="S422" s="602" t="s">
        <v>422</v>
      </c>
      <c r="T422" s="602" t="s">
        <v>423</v>
      </c>
      <c r="U422" s="602"/>
      <c r="V422" s="600"/>
      <c r="W422" s="601"/>
    </row>
    <row r="423" spans="1:23" s="135" customFormat="1" ht="15" hidden="1" customHeight="1">
      <c r="A423" s="306">
        <v>422</v>
      </c>
      <c r="B423" s="611" t="s">
        <v>1074</v>
      </c>
      <c r="C423" s="610"/>
      <c r="D423" s="611" t="s">
        <v>29</v>
      </c>
      <c r="E423" s="5" t="s">
        <v>28</v>
      </c>
      <c r="F423" s="609">
        <v>1</v>
      </c>
      <c r="G423" s="609">
        <v>1</v>
      </c>
      <c r="H423" s="380">
        <f t="shared" si="19"/>
        <v>0</v>
      </c>
      <c r="I423" s="607">
        <v>42887</v>
      </c>
      <c r="J423" s="561" t="s">
        <v>1073</v>
      </c>
      <c r="K423" s="435">
        <v>674</v>
      </c>
      <c r="L423" s="607">
        <v>42886</v>
      </c>
      <c r="M423" s="616">
        <v>442</v>
      </c>
      <c r="N423" s="615">
        <f t="shared" si="20"/>
        <v>442</v>
      </c>
      <c r="O423" s="559" t="s">
        <v>587</v>
      </c>
      <c r="P423" s="602" t="s">
        <v>612</v>
      </c>
      <c r="Q423" s="602"/>
      <c r="R423" s="607" t="s">
        <v>908</v>
      </c>
      <c r="S423" s="602" t="s">
        <v>422</v>
      </c>
      <c r="T423" s="602" t="s">
        <v>423</v>
      </c>
      <c r="U423" s="602"/>
      <c r="V423" s="600"/>
      <c r="W423" s="601"/>
    </row>
    <row r="424" spans="1:23" s="135" customFormat="1" ht="15" hidden="1" customHeight="1">
      <c r="A424" s="306">
        <v>423</v>
      </c>
      <c r="B424" s="434" t="s">
        <v>1074</v>
      </c>
      <c r="C424" s="161"/>
      <c r="D424" s="611" t="s">
        <v>146</v>
      </c>
      <c r="E424" s="521" t="s">
        <v>145</v>
      </c>
      <c r="F424" s="373">
        <v>1</v>
      </c>
      <c r="G424" s="609">
        <v>1</v>
      </c>
      <c r="H424" s="380">
        <f t="shared" si="19"/>
        <v>0</v>
      </c>
      <c r="I424" s="431">
        <v>42887</v>
      </c>
      <c r="J424" s="561" t="s">
        <v>1073</v>
      </c>
      <c r="K424" s="557">
        <v>674</v>
      </c>
      <c r="L424" s="607">
        <v>42886</v>
      </c>
      <c r="M424" s="616">
        <v>446.6</v>
      </c>
      <c r="N424" s="173">
        <f t="shared" si="20"/>
        <v>446.6</v>
      </c>
      <c r="O424" s="559" t="s">
        <v>587</v>
      </c>
      <c r="P424" s="602" t="s">
        <v>612</v>
      </c>
      <c r="Q424" s="154"/>
      <c r="R424" s="607" t="s">
        <v>908</v>
      </c>
      <c r="S424" s="429" t="s">
        <v>422</v>
      </c>
      <c r="T424" s="429" t="s">
        <v>423</v>
      </c>
      <c r="U424" s="602"/>
      <c r="V424" s="600"/>
      <c r="W424" s="601"/>
    </row>
    <row r="425" spans="1:23" s="135" customFormat="1" ht="15" hidden="1" customHeight="1">
      <c r="A425" s="306">
        <v>424</v>
      </c>
      <c r="B425" s="434">
        <v>4501417195</v>
      </c>
      <c r="C425" s="161"/>
      <c r="D425" s="611" t="s">
        <v>71</v>
      </c>
      <c r="E425" s="350" t="s">
        <v>65</v>
      </c>
      <c r="F425" s="373">
        <v>2</v>
      </c>
      <c r="G425" s="373">
        <v>2</v>
      </c>
      <c r="H425" s="614">
        <f t="shared" si="19"/>
        <v>0</v>
      </c>
      <c r="I425" s="160">
        <v>42890</v>
      </c>
      <c r="J425" s="561" t="s">
        <v>776</v>
      </c>
      <c r="K425" s="240">
        <v>654</v>
      </c>
      <c r="L425" s="607">
        <v>42879</v>
      </c>
      <c r="M425" s="616">
        <v>2520</v>
      </c>
      <c r="N425" s="615">
        <f t="shared" si="20"/>
        <v>5040</v>
      </c>
      <c r="O425" s="559" t="s">
        <v>587</v>
      </c>
      <c r="P425" s="602" t="s">
        <v>530</v>
      </c>
      <c r="Q425" s="602"/>
      <c r="R425" s="431" t="s">
        <v>908</v>
      </c>
      <c r="S425" s="429" t="s">
        <v>422</v>
      </c>
      <c r="T425" s="429" t="s">
        <v>423</v>
      </c>
      <c r="U425" s="602"/>
      <c r="V425" s="600"/>
      <c r="W425" s="601"/>
    </row>
    <row r="426" spans="1:23" s="135" customFormat="1" ht="15" hidden="1" customHeight="1">
      <c r="A426" s="306">
        <v>425</v>
      </c>
      <c r="B426" s="434">
        <v>4501417195</v>
      </c>
      <c r="C426" s="161"/>
      <c r="D426" s="613" t="s">
        <v>31</v>
      </c>
      <c r="E426" s="602" t="s">
        <v>28</v>
      </c>
      <c r="F426" s="373">
        <v>2</v>
      </c>
      <c r="G426" s="608">
        <v>2</v>
      </c>
      <c r="H426" s="614">
        <f t="shared" si="19"/>
        <v>0</v>
      </c>
      <c r="I426" s="431">
        <v>42890</v>
      </c>
      <c r="J426" s="438" t="s">
        <v>776</v>
      </c>
      <c r="K426" s="435">
        <v>654</v>
      </c>
      <c r="L426" s="431">
        <v>42879</v>
      </c>
      <c r="M426" s="604">
        <v>0</v>
      </c>
      <c r="N426" s="615">
        <f t="shared" si="20"/>
        <v>0</v>
      </c>
      <c r="O426" s="559" t="s">
        <v>587</v>
      </c>
      <c r="P426" s="429" t="s">
        <v>530</v>
      </c>
      <c r="Q426" s="154"/>
      <c r="R426" s="431" t="s">
        <v>908</v>
      </c>
      <c r="S426" s="429" t="s">
        <v>422</v>
      </c>
      <c r="T426" s="429" t="s">
        <v>423</v>
      </c>
      <c r="U426" s="600"/>
      <c r="V426" s="601"/>
      <c r="W426" s="197"/>
    </row>
    <row r="427" spans="1:23" s="135" customFormat="1" ht="15" hidden="1" customHeight="1">
      <c r="A427" s="306">
        <v>426</v>
      </c>
      <c r="B427" s="162">
        <v>4501417537</v>
      </c>
      <c r="C427" s="161"/>
      <c r="D427" s="613" t="s">
        <v>71</v>
      </c>
      <c r="E427" s="350" t="s">
        <v>65</v>
      </c>
      <c r="F427" s="373">
        <v>4</v>
      </c>
      <c r="G427" s="373">
        <v>4</v>
      </c>
      <c r="H427" s="614">
        <f t="shared" si="19"/>
        <v>0</v>
      </c>
      <c r="I427" s="160">
        <v>42890</v>
      </c>
      <c r="J427" s="438" t="s">
        <v>776</v>
      </c>
      <c r="K427" s="240">
        <v>675</v>
      </c>
      <c r="L427" s="371">
        <v>42890</v>
      </c>
      <c r="M427" s="175">
        <v>2070</v>
      </c>
      <c r="N427" s="615">
        <f t="shared" si="20"/>
        <v>8280</v>
      </c>
      <c r="O427" s="559" t="s">
        <v>587</v>
      </c>
      <c r="P427" s="429" t="s">
        <v>530</v>
      </c>
      <c r="Q427" s="154"/>
      <c r="R427" s="431" t="s">
        <v>908</v>
      </c>
      <c r="S427" s="429" t="s">
        <v>422</v>
      </c>
      <c r="T427" s="429" t="s">
        <v>423</v>
      </c>
      <c r="U427" s="154"/>
      <c r="V427" s="67"/>
      <c r="W427" s="601"/>
    </row>
    <row r="428" spans="1:23" s="135" customFormat="1" ht="15" hidden="1" customHeight="1">
      <c r="A428" s="306">
        <v>427</v>
      </c>
      <c r="B428" s="162">
        <v>4501417545</v>
      </c>
      <c r="C428" s="161"/>
      <c r="D428" s="613" t="s">
        <v>49</v>
      </c>
      <c r="E428" s="350" t="s">
        <v>48</v>
      </c>
      <c r="F428" s="373">
        <v>1</v>
      </c>
      <c r="G428" s="608">
        <v>1</v>
      </c>
      <c r="H428" s="380">
        <f t="shared" si="19"/>
        <v>0</v>
      </c>
      <c r="I428" s="431">
        <v>42890</v>
      </c>
      <c r="J428" s="438" t="s">
        <v>776</v>
      </c>
      <c r="K428" s="612">
        <v>678</v>
      </c>
      <c r="L428" s="607">
        <v>42890</v>
      </c>
      <c r="M428" s="604">
        <v>8775</v>
      </c>
      <c r="N428" s="173">
        <f t="shared" si="20"/>
        <v>8775</v>
      </c>
      <c r="O428" s="559" t="s">
        <v>587</v>
      </c>
      <c r="P428" s="429" t="s">
        <v>530</v>
      </c>
      <c r="Q428" s="602"/>
      <c r="R428" s="431" t="s">
        <v>908</v>
      </c>
      <c r="S428" s="429" t="s">
        <v>422</v>
      </c>
      <c r="T428" s="429" t="s">
        <v>423</v>
      </c>
      <c r="U428" s="600"/>
      <c r="V428" s="601"/>
      <c r="W428" s="197"/>
    </row>
    <row r="429" spans="1:23" s="135" customFormat="1" ht="15" hidden="1" customHeight="1">
      <c r="A429" s="306">
        <v>428</v>
      </c>
      <c r="B429" s="434">
        <v>4501417545</v>
      </c>
      <c r="C429" s="161"/>
      <c r="D429" s="611" t="s">
        <v>91</v>
      </c>
      <c r="E429" s="6" t="s">
        <v>50</v>
      </c>
      <c r="F429" s="373">
        <v>1</v>
      </c>
      <c r="G429" s="373">
        <v>1</v>
      </c>
      <c r="H429" s="380">
        <f t="shared" si="19"/>
        <v>0</v>
      </c>
      <c r="I429" s="431">
        <v>42890</v>
      </c>
      <c r="J429" s="438" t="s">
        <v>776</v>
      </c>
      <c r="K429" s="612">
        <v>678</v>
      </c>
      <c r="L429" s="431">
        <v>42890</v>
      </c>
      <c r="M429" s="175">
        <v>2825</v>
      </c>
      <c r="N429" s="173">
        <f t="shared" si="20"/>
        <v>2825</v>
      </c>
      <c r="O429" s="559" t="s">
        <v>587</v>
      </c>
      <c r="P429" s="429" t="s">
        <v>530</v>
      </c>
      <c r="Q429" s="154"/>
      <c r="R429" s="431" t="s">
        <v>908</v>
      </c>
      <c r="S429" s="429" t="s">
        <v>422</v>
      </c>
      <c r="T429" s="429" t="s">
        <v>423</v>
      </c>
      <c r="U429" s="154"/>
      <c r="V429" s="67"/>
      <c r="W429" s="601"/>
    </row>
    <row r="430" spans="1:23" s="135" customFormat="1" ht="15" hidden="1" customHeight="1">
      <c r="A430" s="306">
        <v>429</v>
      </c>
      <c r="B430" s="434">
        <v>4501417545</v>
      </c>
      <c r="C430" s="161"/>
      <c r="D430" s="611" t="s">
        <v>29</v>
      </c>
      <c r="E430" s="5" t="s">
        <v>28</v>
      </c>
      <c r="F430" s="373">
        <v>1</v>
      </c>
      <c r="G430" s="373">
        <v>1</v>
      </c>
      <c r="H430" s="380">
        <f t="shared" si="19"/>
        <v>0</v>
      </c>
      <c r="I430" s="431">
        <v>42890</v>
      </c>
      <c r="J430" s="438" t="s">
        <v>776</v>
      </c>
      <c r="K430" s="612">
        <v>678</v>
      </c>
      <c r="L430" s="431">
        <v>42890</v>
      </c>
      <c r="M430" s="175">
        <v>450</v>
      </c>
      <c r="N430" s="173">
        <f t="shared" si="20"/>
        <v>450</v>
      </c>
      <c r="O430" s="559" t="s">
        <v>587</v>
      </c>
      <c r="P430" s="429" t="s">
        <v>530</v>
      </c>
      <c r="Q430" s="154"/>
      <c r="R430" s="431" t="s">
        <v>908</v>
      </c>
      <c r="S430" s="429" t="s">
        <v>422</v>
      </c>
      <c r="T430" s="429" t="s">
        <v>423</v>
      </c>
      <c r="U430" s="154"/>
      <c r="V430" s="67"/>
      <c r="W430" s="153"/>
    </row>
    <row r="431" spans="1:23" s="135" customFormat="1" ht="15" hidden="1" customHeight="1">
      <c r="A431" s="306">
        <v>430</v>
      </c>
      <c r="B431" s="162">
        <v>4540000027</v>
      </c>
      <c r="C431" s="161"/>
      <c r="D431" s="611" t="s">
        <v>448</v>
      </c>
      <c r="E431" s="6" t="s">
        <v>449</v>
      </c>
      <c r="F431" s="183">
        <v>1</v>
      </c>
      <c r="G431" s="373">
        <v>1</v>
      </c>
      <c r="H431" s="614">
        <f t="shared" ref="H431:H462" si="21">F431-G431</f>
        <v>0</v>
      </c>
      <c r="I431" s="160">
        <v>42890</v>
      </c>
      <c r="J431" s="155" t="s">
        <v>1075</v>
      </c>
      <c r="K431" s="240">
        <v>679</v>
      </c>
      <c r="L431" s="371">
        <v>42890</v>
      </c>
      <c r="M431" s="175">
        <v>27140</v>
      </c>
      <c r="N431" s="615">
        <f t="shared" si="20"/>
        <v>27140</v>
      </c>
      <c r="O431" s="559" t="s">
        <v>587</v>
      </c>
      <c r="P431" s="429" t="s">
        <v>1999</v>
      </c>
      <c r="Q431" s="602"/>
      <c r="R431" s="431" t="s">
        <v>908</v>
      </c>
      <c r="S431" s="429" t="s">
        <v>422</v>
      </c>
      <c r="T431" s="429" t="s">
        <v>423</v>
      </c>
      <c r="U431" s="154"/>
      <c r="V431" s="67"/>
      <c r="W431" s="601"/>
    </row>
    <row r="432" spans="1:23" s="135" customFormat="1" ht="15" hidden="1" customHeight="1">
      <c r="A432" s="306">
        <v>431</v>
      </c>
      <c r="B432" s="162" t="s">
        <v>1076</v>
      </c>
      <c r="C432" s="161"/>
      <c r="D432" s="611" t="s">
        <v>939</v>
      </c>
      <c r="E432" s="602" t="s">
        <v>940</v>
      </c>
      <c r="F432" s="183">
        <v>16</v>
      </c>
      <c r="G432" s="373">
        <v>16</v>
      </c>
      <c r="H432" s="380">
        <f t="shared" si="21"/>
        <v>0</v>
      </c>
      <c r="I432" s="160">
        <v>42891</v>
      </c>
      <c r="J432" s="155" t="s">
        <v>572</v>
      </c>
      <c r="K432" s="240">
        <v>682</v>
      </c>
      <c r="L432" s="371">
        <v>42891</v>
      </c>
      <c r="M432" s="175">
        <f>2000/16</f>
        <v>125</v>
      </c>
      <c r="N432" s="439">
        <f t="shared" si="20"/>
        <v>2000</v>
      </c>
      <c r="O432" s="559" t="s">
        <v>587</v>
      </c>
      <c r="P432" s="429" t="s">
        <v>555</v>
      </c>
      <c r="Q432" s="154"/>
      <c r="R432" s="160" t="s">
        <v>908</v>
      </c>
      <c r="S432" s="413" t="s">
        <v>422</v>
      </c>
      <c r="T432" s="154" t="s">
        <v>423</v>
      </c>
      <c r="U432" s="154"/>
      <c r="V432" s="67"/>
      <c r="W432" s="153"/>
    </row>
    <row r="433" spans="1:23" s="135" customFormat="1" ht="15" hidden="1" customHeight="1">
      <c r="A433" s="306">
        <v>432</v>
      </c>
      <c r="B433" s="162">
        <v>4800011492</v>
      </c>
      <c r="C433" s="161"/>
      <c r="D433" s="611" t="s">
        <v>70</v>
      </c>
      <c r="E433" s="6" t="s">
        <v>69</v>
      </c>
      <c r="F433" s="373">
        <v>1</v>
      </c>
      <c r="G433" s="373">
        <v>1</v>
      </c>
      <c r="H433" s="380">
        <f t="shared" si="21"/>
        <v>0</v>
      </c>
      <c r="I433" s="160">
        <v>42893</v>
      </c>
      <c r="J433" s="155" t="s">
        <v>1077</v>
      </c>
      <c r="K433" s="557">
        <v>683</v>
      </c>
      <c r="L433" s="607">
        <v>42892</v>
      </c>
      <c r="M433" s="616">
        <v>13100</v>
      </c>
      <c r="N433" s="439">
        <f t="shared" si="20"/>
        <v>13100</v>
      </c>
      <c r="O433" s="559" t="s">
        <v>587</v>
      </c>
      <c r="P433" s="154" t="s">
        <v>612</v>
      </c>
      <c r="Q433" s="154"/>
      <c r="R433" s="431" t="s">
        <v>908</v>
      </c>
      <c r="S433" s="429" t="s">
        <v>422</v>
      </c>
      <c r="T433" s="429" t="s">
        <v>423</v>
      </c>
      <c r="U433" s="601"/>
      <c r="V433" s="67"/>
      <c r="W433" s="601"/>
    </row>
    <row r="434" spans="1:23" s="135" customFormat="1" ht="15" hidden="1" customHeight="1">
      <c r="A434" s="306">
        <v>433</v>
      </c>
      <c r="B434" s="434">
        <v>4800011492</v>
      </c>
      <c r="C434" s="161"/>
      <c r="D434" s="613" t="s">
        <v>29</v>
      </c>
      <c r="E434" s="5" t="s">
        <v>28</v>
      </c>
      <c r="F434" s="373">
        <v>1</v>
      </c>
      <c r="G434" s="609">
        <v>1</v>
      </c>
      <c r="H434" s="380">
        <f t="shared" si="21"/>
        <v>0</v>
      </c>
      <c r="I434" s="431">
        <v>42893</v>
      </c>
      <c r="J434" s="561" t="s">
        <v>1077</v>
      </c>
      <c r="K434" s="435">
        <v>683</v>
      </c>
      <c r="L434" s="607">
        <v>42892</v>
      </c>
      <c r="M434" s="616">
        <v>440</v>
      </c>
      <c r="N434" s="439">
        <f t="shared" si="20"/>
        <v>440</v>
      </c>
      <c r="O434" s="559" t="s">
        <v>587</v>
      </c>
      <c r="P434" s="429" t="s">
        <v>612</v>
      </c>
      <c r="Q434" s="602"/>
      <c r="R434" s="431" t="s">
        <v>908</v>
      </c>
      <c r="S434" s="429" t="s">
        <v>422</v>
      </c>
      <c r="T434" s="429" t="s">
        <v>423</v>
      </c>
      <c r="U434" s="602"/>
      <c r="V434" s="600"/>
      <c r="W434" s="601"/>
    </row>
    <row r="435" spans="1:23" s="135" customFormat="1" ht="15" hidden="1" customHeight="1">
      <c r="A435" s="306">
        <v>434</v>
      </c>
      <c r="B435" s="162">
        <v>1101</v>
      </c>
      <c r="C435" s="161"/>
      <c r="D435" s="611" t="s">
        <v>95</v>
      </c>
      <c r="E435" s="6" t="s">
        <v>94</v>
      </c>
      <c r="F435" s="373">
        <v>1</v>
      </c>
      <c r="G435" s="609">
        <v>1</v>
      </c>
      <c r="H435" s="614">
        <f t="shared" si="21"/>
        <v>0</v>
      </c>
      <c r="I435" s="160">
        <v>42894</v>
      </c>
      <c r="J435" s="155" t="s">
        <v>1079</v>
      </c>
      <c r="K435" s="240">
        <v>684</v>
      </c>
      <c r="L435" s="371">
        <v>42893</v>
      </c>
      <c r="M435" s="616">
        <v>31060</v>
      </c>
      <c r="N435" s="615">
        <f t="shared" si="20"/>
        <v>31060</v>
      </c>
      <c r="O435" s="559" t="s">
        <v>587</v>
      </c>
      <c r="P435" s="154" t="s">
        <v>581</v>
      </c>
      <c r="Q435" s="154"/>
      <c r="R435" s="607" t="s">
        <v>908</v>
      </c>
      <c r="S435" s="429" t="s">
        <v>422</v>
      </c>
      <c r="T435" s="429" t="s">
        <v>423</v>
      </c>
      <c r="U435" s="602"/>
      <c r="V435" s="600"/>
      <c r="W435" s="601"/>
    </row>
    <row r="436" spans="1:23" s="135" customFormat="1" ht="15" hidden="1" customHeight="1">
      <c r="A436" s="306">
        <v>435</v>
      </c>
      <c r="B436" s="434">
        <v>1101</v>
      </c>
      <c r="C436" s="161"/>
      <c r="D436" s="611" t="s">
        <v>70</v>
      </c>
      <c r="E436" s="6" t="s">
        <v>69</v>
      </c>
      <c r="F436" s="373">
        <v>1</v>
      </c>
      <c r="G436" s="609">
        <v>1</v>
      </c>
      <c r="H436" s="614">
        <f t="shared" si="21"/>
        <v>0</v>
      </c>
      <c r="I436" s="431">
        <v>42894</v>
      </c>
      <c r="J436" s="438" t="s">
        <v>1079</v>
      </c>
      <c r="K436" s="435">
        <v>684</v>
      </c>
      <c r="L436" s="431">
        <v>42893</v>
      </c>
      <c r="M436" s="616">
        <v>14810</v>
      </c>
      <c r="N436" s="615">
        <f t="shared" si="20"/>
        <v>14810</v>
      </c>
      <c r="O436" s="559" t="s">
        <v>587</v>
      </c>
      <c r="P436" s="429" t="s">
        <v>581</v>
      </c>
      <c r="Q436" s="154"/>
      <c r="R436" s="607" t="s">
        <v>908</v>
      </c>
      <c r="S436" s="429" t="s">
        <v>422</v>
      </c>
      <c r="T436" s="429" t="s">
        <v>423</v>
      </c>
      <c r="U436" s="602"/>
      <c r="V436" s="600"/>
      <c r="W436" s="601"/>
    </row>
    <row r="437" spans="1:23" s="135" customFormat="1" ht="15" hidden="1" customHeight="1">
      <c r="A437" s="306">
        <v>436</v>
      </c>
      <c r="B437" s="434">
        <v>1101</v>
      </c>
      <c r="C437" s="161"/>
      <c r="D437" s="611" t="s">
        <v>29</v>
      </c>
      <c r="E437" s="5" t="s">
        <v>28</v>
      </c>
      <c r="F437" s="373">
        <v>1</v>
      </c>
      <c r="G437" s="609">
        <v>1</v>
      </c>
      <c r="H437" s="614">
        <f t="shared" si="21"/>
        <v>0</v>
      </c>
      <c r="I437" s="431">
        <v>42894</v>
      </c>
      <c r="J437" s="561" t="s">
        <v>1079</v>
      </c>
      <c r="K437" s="557">
        <v>684</v>
      </c>
      <c r="L437" s="607">
        <v>42893</v>
      </c>
      <c r="M437" s="616">
        <v>450</v>
      </c>
      <c r="N437" s="615">
        <f t="shared" si="20"/>
        <v>450</v>
      </c>
      <c r="O437" s="559" t="s">
        <v>587</v>
      </c>
      <c r="P437" s="429" t="s">
        <v>581</v>
      </c>
      <c r="Q437" s="154"/>
      <c r="R437" s="607" t="s">
        <v>908</v>
      </c>
      <c r="S437" s="429" t="s">
        <v>422</v>
      </c>
      <c r="T437" s="429" t="s">
        <v>423</v>
      </c>
      <c r="U437" s="602"/>
      <c r="V437" s="600"/>
      <c r="W437" s="601"/>
    </row>
    <row r="438" spans="1:23" s="135" customFormat="1" ht="15" hidden="1" customHeight="1">
      <c r="A438" s="306">
        <v>437</v>
      </c>
      <c r="B438" s="434">
        <v>1101</v>
      </c>
      <c r="C438" s="161"/>
      <c r="D438" s="185" t="s">
        <v>821</v>
      </c>
      <c r="E438" s="498" t="s">
        <v>822</v>
      </c>
      <c r="F438" s="373">
        <v>10</v>
      </c>
      <c r="G438" s="373">
        <v>10</v>
      </c>
      <c r="H438" s="614">
        <f t="shared" si="21"/>
        <v>0</v>
      </c>
      <c r="I438" s="431">
        <v>42894</v>
      </c>
      <c r="J438" s="438" t="s">
        <v>1079</v>
      </c>
      <c r="K438" s="435">
        <v>684</v>
      </c>
      <c r="L438" s="607">
        <v>42893</v>
      </c>
      <c r="M438" s="616">
        <v>910</v>
      </c>
      <c r="N438" s="615">
        <f t="shared" si="20"/>
        <v>9100</v>
      </c>
      <c r="O438" s="559" t="s">
        <v>587</v>
      </c>
      <c r="P438" s="602" t="s">
        <v>581</v>
      </c>
      <c r="Q438" s="154"/>
      <c r="R438" s="607" t="s">
        <v>908</v>
      </c>
      <c r="S438" s="429" t="s">
        <v>422</v>
      </c>
      <c r="T438" s="429" t="s">
        <v>423</v>
      </c>
      <c r="U438" s="602"/>
      <c r="V438" s="600"/>
      <c r="W438" s="601"/>
    </row>
    <row r="439" spans="1:23" s="135" customFormat="1" ht="15" hidden="1" customHeight="1">
      <c r="A439" s="306">
        <v>438</v>
      </c>
      <c r="B439" s="434">
        <v>1101</v>
      </c>
      <c r="C439" s="161"/>
      <c r="D439" s="611" t="s">
        <v>1078</v>
      </c>
      <c r="E439" s="602" t="s">
        <v>1080</v>
      </c>
      <c r="F439" s="373">
        <v>10</v>
      </c>
      <c r="G439" s="609">
        <v>10</v>
      </c>
      <c r="H439" s="614">
        <f t="shared" si="21"/>
        <v>0</v>
      </c>
      <c r="I439" s="607">
        <v>42894</v>
      </c>
      <c r="J439" s="438" t="s">
        <v>1079</v>
      </c>
      <c r="K439" s="435">
        <v>684</v>
      </c>
      <c r="L439" s="607">
        <v>42893</v>
      </c>
      <c r="M439" s="616">
        <v>100</v>
      </c>
      <c r="N439" s="615">
        <f t="shared" si="20"/>
        <v>1000</v>
      </c>
      <c r="O439" s="559" t="s">
        <v>587</v>
      </c>
      <c r="P439" s="429" t="s">
        <v>581</v>
      </c>
      <c r="Q439" s="154"/>
      <c r="R439" s="607" t="s">
        <v>908</v>
      </c>
      <c r="S439" s="429" t="s">
        <v>422</v>
      </c>
      <c r="T439" s="429" t="s">
        <v>423</v>
      </c>
      <c r="U439" s="602"/>
      <c r="V439" s="600"/>
      <c r="W439" s="601"/>
    </row>
    <row r="440" spans="1:23" s="135" customFormat="1" ht="15" hidden="1" customHeight="1">
      <c r="A440" s="306">
        <v>439</v>
      </c>
      <c r="B440" s="434">
        <v>4034838</v>
      </c>
      <c r="C440" s="161"/>
      <c r="D440" s="611" t="s">
        <v>896</v>
      </c>
      <c r="E440" s="601" t="s">
        <v>903</v>
      </c>
      <c r="F440" s="373">
        <v>1</v>
      </c>
      <c r="G440" s="609">
        <v>1</v>
      </c>
      <c r="H440" s="614">
        <f t="shared" si="21"/>
        <v>0</v>
      </c>
      <c r="I440" s="160">
        <v>42897</v>
      </c>
      <c r="J440" s="155" t="s">
        <v>477</v>
      </c>
      <c r="K440" s="240">
        <v>687</v>
      </c>
      <c r="L440" s="607">
        <v>42897</v>
      </c>
      <c r="M440" s="616">
        <v>1790</v>
      </c>
      <c r="N440" s="615">
        <f t="shared" si="20"/>
        <v>1790</v>
      </c>
      <c r="O440" s="559" t="s">
        <v>587</v>
      </c>
      <c r="P440" s="154" t="s">
        <v>612</v>
      </c>
      <c r="Q440" s="154"/>
      <c r="R440" s="607" t="s">
        <v>908</v>
      </c>
      <c r="S440" s="429" t="s">
        <v>422</v>
      </c>
      <c r="T440" s="429" t="s">
        <v>423</v>
      </c>
      <c r="U440" s="602"/>
      <c r="V440" s="600"/>
      <c r="W440" s="601"/>
    </row>
    <row r="441" spans="1:23" s="135" customFormat="1" ht="15" hidden="1" customHeight="1">
      <c r="A441" s="306">
        <v>440</v>
      </c>
      <c r="B441" s="611">
        <v>4034838</v>
      </c>
      <c r="C441" s="161"/>
      <c r="D441" s="611" t="s">
        <v>1081</v>
      </c>
      <c r="E441" s="601" t="s">
        <v>1088</v>
      </c>
      <c r="F441" s="373">
        <v>1</v>
      </c>
      <c r="G441" s="609">
        <v>1</v>
      </c>
      <c r="H441" s="614">
        <f t="shared" si="21"/>
        <v>0</v>
      </c>
      <c r="I441" s="431">
        <v>42897</v>
      </c>
      <c r="J441" s="438" t="s">
        <v>477</v>
      </c>
      <c r="K441" s="435">
        <v>687</v>
      </c>
      <c r="L441" s="607">
        <v>42897</v>
      </c>
      <c r="M441" s="616">
        <v>460</v>
      </c>
      <c r="N441" s="615">
        <f t="shared" si="20"/>
        <v>460</v>
      </c>
      <c r="O441" s="559" t="s">
        <v>587</v>
      </c>
      <c r="P441" s="429" t="s">
        <v>612</v>
      </c>
      <c r="Q441" s="154"/>
      <c r="R441" s="607" t="s">
        <v>908</v>
      </c>
      <c r="S441" s="429" t="s">
        <v>422</v>
      </c>
      <c r="T441" s="429" t="s">
        <v>423</v>
      </c>
      <c r="U441" s="602"/>
      <c r="V441" s="600"/>
      <c r="W441" s="601"/>
    </row>
    <row r="442" spans="1:23" s="135" customFormat="1" ht="15" hidden="1" customHeight="1">
      <c r="A442" s="306">
        <v>441</v>
      </c>
      <c r="B442" s="434">
        <v>4034838</v>
      </c>
      <c r="C442" s="161"/>
      <c r="D442" s="611" t="s">
        <v>1082</v>
      </c>
      <c r="E442" s="418" t="s">
        <v>1089</v>
      </c>
      <c r="F442" s="373">
        <v>2</v>
      </c>
      <c r="G442" s="373">
        <v>2</v>
      </c>
      <c r="H442" s="380">
        <f t="shared" si="21"/>
        <v>0</v>
      </c>
      <c r="I442" s="431">
        <v>42897</v>
      </c>
      <c r="J442" s="561" t="s">
        <v>477</v>
      </c>
      <c r="K442" s="435">
        <v>687</v>
      </c>
      <c r="L442" s="431">
        <v>42897</v>
      </c>
      <c r="M442" s="175">
        <v>125</v>
      </c>
      <c r="N442" s="173">
        <f t="shared" si="20"/>
        <v>250</v>
      </c>
      <c r="O442" s="559" t="s">
        <v>587</v>
      </c>
      <c r="P442" s="429" t="s">
        <v>612</v>
      </c>
      <c r="Q442" s="154"/>
      <c r="R442" s="431" t="s">
        <v>908</v>
      </c>
      <c r="S442" s="429" t="s">
        <v>422</v>
      </c>
      <c r="T442" s="429" t="s">
        <v>423</v>
      </c>
      <c r="U442" s="154"/>
      <c r="V442" s="67"/>
      <c r="W442" s="601"/>
    </row>
    <row r="443" spans="1:23" s="135" customFormat="1" ht="15" hidden="1" customHeight="1">
      <c r="A443" s="306">
        <v>442</v>
      </c>
      <c r="B443" s="434">
        <v>4034838</v>
      </c>
      <c r="C443" s="161"/>
      <c r="D443" s="611" t="s">
        <v>321</v>
      </c>
      <c r="E443" s="601" t="s">
        <v>320</v>
      </c>
      <c r="F443" s="373">
        <v>4</v>
      </c>
      <c r="G443" s="373">
        <v>4</v>
      </c>
      <c r="H443" s="614">
        <f t="shared" si="21"/>
        <v>0</v>
      </c>
      <c r="I443" s="431">
        <v>42897</v>
      </c>
      <c r="J443" s="438" t="s">
        <v>477</v>
      </c>
      <c r="K443" s="435">
        <v>687</v>
      </c>
      <c r="L443" s="607">
        <v>42897</v>
      </c>
      <c r="M443" s="616">
        <v>492</v>
      </c>
      <c r="N443" s="615">
        <f t="shared" si="20"/>
        <v>1968</v>
      </c>
      <c r="O443" s="559" t="s">
        <v>587</v>
      </c>
      <c r="P443" s="429" t="s">
        <v>612</v>
      </c>
      <c r="Q443" s="154"/>
      <c r="R443" s="607" t="s">
        <v>908</v>
      </c>
      <c r="S443" s="429" t="s">
        <v>422</v>
      </c>
      <c r="T443" s="429" t="s">
        <v>423</v>
      </c>
      <c r="U443" s="602"/>
      <c r="V443" s="600"/>
      <c r="W443" s="601"/>
    </row>
    <row r="444" spans="1:23" s="135" customFormat="1" ht="15" hidden="1" customHeight="1">
      <c r="A444" s="306">
        <v>443</v>
      </c>
      <c r="B444" s="611">
        <v>4034838</v>
      </c>
      <c r="C444" s="610"/>
      <c r="D444" s="611" t="s">
        <v>1083</v>
      </c>
      <c r="E444" s="601" t="s">
        <v>1090</v>
      </c>
      <c r="F444" s="609">
        <v>1</v>
      </c>
      <c r="G444" s="609">
        <v>1</v>
      </c>
      <c r="H444" s="380">
        <f t="shared" si="21"/>
        <v>0</v>
      </c>
      <c r="I444" s="607">
        <v>42897</v>
      </c>
      <c r="J444" s="561" t="s">
        <v>477</v>
      </c>
      <c r="K444" s="557">
        <v>687</v>
      </c>
      <c r="L444" s="607">
        <v>42897</v>
      </c>
      <c r="M444" s="616">
        <v>4090</v>
      </c>
      <c r="N444" s="439">
        <f t="shared" si="20"/>
        <v>4090</v>
      </c>
      <c r="O444" s="559" t="s">
        <v>587</v>
      </c>
      <c r="P444" s="602" t="s">
        <v>612</v>
      </c>
      <c r="Q444" s="602"/>
      <c r="R444" s="607" t="s">
        <v>908</v>
      </c>
      <c r="S444" s="602" t="s">
        <v>422</v>
      </c>
      <c r="T444" s="602" t="s">
        <v>423</v>
      </c>
      <c r="U444" s="602"/>
      <c r="V444" s="600"/>
      <c r="W444" s="601"/>
    </row>
    <row r="445" spans="1:23" s="135" customFormat="1" ht="15" hidden="1" customHeight="1">
      <c r="A445" s="306">
        <v>444</v>
      </c>
      <c r="B445" s="611">
        <v>4034838</v>
      </c>
      <c r="C445" s="610"/>
      <c r="D445" s="186" t="s">
        <v>1084</v>
      </c>
      <c r="E445" s="601" t="s">
        <v>1091</v>
      </c>
      <c r="F445" s="609">
        <v>2</v>
      </c>
      <c r="G445" s="609">
        <v>2</v>
      </c>
      <c r="H445" s="380">
        <f t="shared" si="21"/>
        <v>0</v>
      </c>
      <c r="I445" s="607">
        <v>42897</v>
      </c>
      <c r="J445" s="561" t="s">
        <v>477</v>
      </c>
      <c r="K445" s="435">
        <v>687</v>
      </c>
      <c r="L445" s="607">
        <v>42897</v>
      </c>
      <c r="M445" s="616">
        <v>3710</v>
      </c>
      <c r="N445" s="615">
        <f t="shared" si="20"/>
        <v>7420</v>
      </c>
      <c r="O445" s="559" t="s">
        <v>587</v>
      </c>
      <c r="P445" s="602" t="s">
        <v>612</v>
      </c>
      <c r="Q445" s="602"/>
      <c r="R445" s="607" t="s">
        <v>908</v>
      </c>
      <c r="S445" s="602" t="s">
        <v>422</v>
      </c>
      <c r="T445" s="602" t="s">
        <v>423</v>
      </c>
      <c r="U445" s="601"/>
      <c r="V445" s="600"/>
      <c r="W445" s="601"/>
    </row>
    <row r="446" spans="1:23" s="135" customFormat="1" ht="15" hidden="1" customHeight="1">
      <c r="A446" s="306">
        <v>445</v>
      </c>
      <c r="B446" s="611">
        <v>4034838</v>
      </c>
      <c r="C446" s="610"/>
      <c r="D446" s="198" t="s">
        <v>1085</v>
      </c>
      <c r="E446" s="601" t="s">
        <v>1092</v>
      </c>
      <c r="F446" s="609">
        <v>3</v>
      </c>
      <c r="G446" s="609">
        <v>3</v>
      </c>
      <c r="H446" s="380">
        <f t="shared" si="21"/>
        <v>0</v>
      </c>
      <c r="I446" s="607">
        <v>42897</v>
      </c>
      <c r="J446" s="561" t="s">
        <v>477</v>
      </c>
      <c r="K446" s="435">
        <v>687</v>
      </c>
      <c r="L446" s="607">
        <v>42897</v>
      </c>
      <c r="M446" s="616">
        <v>410</v>
      </c>
      <c r="N446" s="615">
        <f t="shared" si="20"/>
        <v>1230</v>
      </c>
      <c r="O446" s="559" t="s">
        <v>587</v>
      </c>
      <c r="P446" s="602" t="s">
        <v>612</v>
      </c>
      <c r="Q446" s="602"/>
      <c r="R446" s="607" t="s">
        <v>908</v>
      </c>
      <c r="S446" s="602" t="s">
        <v>422</v>
      </c>
      <c r="T446" s="602" t="s">
        <v>423</v>
      </c>
      <c r="U446" s="601"/>
      <c r="V446" s="600"/>
      <c r="W446" s="601" t="s">
        <v>343</v>
      </c>
    </row>
    <row r="447" spans="1:23" s="135" customFormat="1" ht="15" hidden="1" customHeight="1">
      <c r="A447" s="306">
        <v>446</v>
      </c>
      <c r="B447" s="434">
        <v>4034838</v>
      </c>
      <c r="C447" s="161"/>
      <c r="D447" s="611" t="s">
        <v>1086</v>
      </c>
      <c r="E447" s="601" t="s">
        <v>1093</v>
      </c>
      <c r="F447" s="373">
        <v>8</v>
      </c>
      <c r="G447" s="609">
        <v>8</v>
      </c>
      <c r="H447" s="380">
        <f t="shared" si="21"/>
        <v>0</v>
      </c>
      <c r="I447" s="431">
        <v>42897</v>
      </c>
      <c r="J447" s="561" t="s">
        <v>477</v>
      </c>
      <c r="K447" s="557">
        <v>687</v>
      </c>
      <c r="L447" s="607">
        <v>42897</v>
      </c>
      <c r="M447" s="616">
        <v>1074</v>
      </c>
      <c r="N447" s="615">
        <f t="shared" si="20"/>
        <v>8592</v>
      </c>
      <c r="O447" s="559" t="s">
        <v>587</v>
      </c>
      <c r="P447" s="602" t="s">
        <v>612</v>
      </c>
      <c r="Q447" s="154"/>
      <c r="R447" s="607" t="s">
        <v>908</v>
      </c>
      <c r="S447" s="429" t="s">
        <v>422</v>
      </c>
      <c r="T447" s="602" t="s">
        <v>423</v>
      </c>
      <c r="U447" s="602"/>
      <c r="V447" s="600"/>
      <c r="W447" s="601"/>
    </row>
    <row r="448" spans="1:23" s="135" customFormat="1" ht="15" hidden="1" customHeight="1">
      <c r="A448" s="306">
        <v>447</v>
      </c>
      <c r="B448" s="434">
        <v>4034838</v>
      </c>
      <c r="C448" s="161"/>
      <c r="D448" s="611" t="s">
        <v>664</v>
      </c>
      <c r="E448" s="601" t="s">
        <v>1094</v>
      </c>
      <c r="F448" s="373">
        <v>10</v>
      </c>
      <c r="G448" s="609">
        <v>10</v>
      </c>
      <c r="H448" s="380">
        <f t="shared" si="21"/>
        <v>0</v>
      </c>
      <c r="I448" s="607">
        <v>42897</v>
      </c>
      <c r="J448" s="561" t="s">
        <v>477</v>
      </c>
      <c r="K448" s="557">
        <v>687</v>
      </c>
      <c r="L448" s="607">
        <v>42897</v>
      </c>
      <c r="M448" s="616">
        <v>147</v>
      </c>
      <c r="N448" s="615">
        <f t="shared" si="20"/>
        <v>1470</v>
      </c>
      <c r="O448" s="559" t="s">
        <v>587</v>
      </c>
      <c r="P448" s="429" t="s">
        <v>612</v>
      </c>
      <c r="Q448" s="154"/>
      <c r="R448" s="607" t="s">
        <v>908</v>
      </c>
      <c r="S448" s="429" t="s">
        <v>422</v>
      </c>
      <c r="T448" s="602" t="s">
        <v>423</v>
      </c>
      <c r="U448" s="602"/>
      <c r="V448" s="600"/>
      <c r="W448" s="601"/>
    </row>
    <row r="449" spans="1:23" s="135" customFormat="1" ht="15" hidden="1" customHeight="1">
      <c r="A449" s="306">
        <v>448</v>
      </c>
      <c r="B449" s="611">
        <v>4034838</v>
      </c>
      <c r="C449" s="161"/>
      <c r="D449" s="611" t="s">
        <v>1087</v>
      </c>
      <c r="E449" s="601" t="s">
        <v>1095</v>
      </c>
      <c r="F449" s="373">
        <v>7</v>
      </c>
      <c r="G449" s="609">
        <v>7</v>
      </c>
      <c r="H449" s="380">
        <f t="shared" si="21"/>
        <v>0</v>
      </c>
      <c r="I449" s="431">
        <v>42897</v>
      </c>
      <c r="J449" s="561" t="s">
        <v>477</v>
      </c>
      <c r="K449" s="557">
        <v>687</v>
      </c>
      <c r="L449" s="607">
        <v>42897</v>
      </c>
      <c r="M449" s="616">
        <v>293</v>
      </c>
      <c r="N449" s="615">
        <f t="shared" si="20"/>
        <v>2051</v>
      </c>
      <c r="O449" s="559" t="s">
        <v>587</v>
      </c>
      <c r="P449" s="602" t="s">
        <v>612</v>
      </c>
      <c r="Q449" s="154"/>
      <c r="R449" s="607" t="s">
        <v>908</v>
      </c>
      <c r="S449" s="602" t="s">
        <v>422</v>
      </c>
      <c r="T449" s="602" t="s">
        <v>423</v>
      </c>
      <c r="U449" s="602"/>
      <c r="V449" s="600"/>
      <c r="W449" s="601"/>
    </row>
    <row r="450" spans="1:23" s="135" customFormat="1" ht="15" hidden="1" customHeight="1">
      <c r="A450" s="306">
        <v>449</v>
      </c>
      <c r="B450" s="162" t="s">
        <v>1099</v>
      </c>
      <c r="C450" s="161"/>
      <c r="D450" s="326" t="s">
        <v>1096</v>
      </c>
      <c r="E450" s="331" t="s">
        <v>1098</v>
      </c>
      <c r="F450" s="373">
        <v>1</v>
      </c>
      <c r="G450" s="609">
        <v>1</v>
      </c>
      <c r="H450" s="614">
        <f t="shared" si="21"/>
        <v>0</v>
      </c>
      <c r="I450" s="160">
        <v>42897</v>
      </c>
      <c r="J450" s="155" t="s">
        <v>759</v>
      </c>
      <c r="K450" s="557">
        <v>690</v>
      </c>
      <c r="L450" s="607">
        <v>42897</v>
      </c>
      <c r="M450" s="616">
        <v>11410</v>
      </c>
      <c r="N450" s="615">
        <f t="shared" ref="N450:N470" si="22">IFERROR(M450*G450,0)</f>
        <v>11410</v>
      </c>
      <c r="O450" s="559" t="s">
        <v>587</v>
      </c>
      <c r="P450" s="602" t="s">
        <v>612</v>
      </c>
      <c r="Q450" s="429"/>
      <c r="R450" s="607" t="s">
        <v>908</v>
      </c>
      <c r="S450" s="429" t="s">
        <v>422</v>
      </c>
      <c r="T450" s="429" t="s">
        <v>423</v>
      </c>
      <c r="U450" s="602"/>
      <c r="V450" s="600"/>
      <c r="W450" s="601"/>
    </row>
    <row r="451" spans="1:23" s="135" customFormat="1" ht="15" hidden="1" customHeight="1">
      <c r="A451" s="306">
        <v>450</v>
      </c>
      <c r="B451" s="434" t="s">
        <v>1099</v>
      </c>
      <c r="C451" s="161"/>
      <c r="D451" s="326" t="s">
        <v>701</v>
      </c>
      <c r="E451" s="331" t="s">
        <v>1097</v>
      </c>
      <c r="F451" s="373">
        <v>5</v>
      </c>
      <c r="G451" s="609">
        <v>5</v>
      </c>
      <c r="H451" s="614">
        <f t="shared" si="21"/>
        <v>0</v>
      </c>
      <c r="I451" s="431">
        <v>42897</v>
      </c>
      <c r="J451" s="561" t="s">
        <v>759</v>
      </c>
      <c r="K451" s="557">
        <v>690</v>
      </c>
      <c r="L451" s="607">
        <v>42897</v>
      </c>
      <c r="M451" s="616">
        <v>14640</v>
      </c>
      <c r="N451" s="615">
        <f t="shared" si="22"/>
        <v>73200</v>
      </c>
      <c r="O451" s="559" t="s">
        <v>587</v>
      </c>
      <c r="P451" s="602" t="s">
        <v>612</v>
      </c>
      <c r="Q451" s="429"/>
      <c r="R451" s="607" t="s">
        <v>908</v>
      </c>
      <c r="S451" s="429" t="s">
        <v>422</v>
      </c>
      <c r="T451" s="429" t="s">
        <v>423</v>
      </c>
      <c r="U451" s="602"/>
      <c r="V451" s="600"/>
      <c r="W451" s="601"/>
    </row>
    <row r="452" spans="1:23" s="135" customFormat="1" ht="15" hidden="1" customHeight="1">
      <c r="A452" s="306">
        <v>451</v>
      </c>
      <c r="B452" s="434" t="s">
        <v>1099</v>
      </c>
      <c r="C452" s="161"/>
      <c r="D452" s="611" t="s">
        <v>700</v>
      </c>
      <c r="E452" s="601" t="s">
        <v>702</v>
      </c>
      <c r="F452" s="373">
        <v>5</v>
      </c>
      <c r="G452" s="609">
        <v>5</v>
      </c>
      <c r="H452" s="614">
        <f t="shared" si="21"/>
        <v>0</v>
      </c>
      <c r="I452" s="431">
        <v>42897</v>
      </c>
      <c r="J452" s="561" t="s">
        <v>759</v>
      </c>
      <c r="K452" s="557">
        <v>690</v>
      </c>
      <c r="L452" s="607">
        <v>42897</v>
      </c>
      <c r="M452" s="616">
        <v>1495</v>
      </c>
      <c r="N452" s="615">
        <f t="shared" si="22"/>
        <v>7475</v>
      </c>
      <c r="O452" s="559" t="s">
        <v>587</v>
      </c>
      <c r="P452" s="602" t="s">
        <v>612</v>
      </c>
      <c r="Q452" s="429"/>
      <c r="R452" s="607" t="s">
        <v>908</v>
      </c>
      <c r="S452" s="429" t="s">
        <v>422</v>
      </c>
      <c r="T452" s="429" t="s">
        <v>423</v>
      </c>
      <c r="U452" s="602"/>
      <c r="V452" s="600"/>
      <c r="W452" s="601"/>
    </row>
    <row r="453" spans="1:23" s="135" customFormat="1" ht="15" hidden="1" customHeight="1">
      <c r="A453" s="306">
        <v>452</v>
      </c>
      <c r="B453" s="162">
        <v>933042</v>
      </c>
      <c r="C453" s="161"/>
      <c r="D453" s="611" t="s">
        <v>62</v>
      </c>
      <c r="E453" s="350" t="s">
        <v>61</v>
      </c>
      <c r="F453" s="373">
        <v>5</v>
      </c>
      <c r="G453" s="609">
        <v>5</v>
      </c>
      <c r="H453" s="380">
        <f t="shared" si="21"/>
        <v>0</v>
      </c>
      <c r="I453" s="160">
        <v>42897</v>
      </c>
      <c r="J453" s="363" t="s">
        <v>1702</v>
      </c>
      <c r="K453" s="557">
        <v>686</v>
      </c>
      <c r="L453" s="607">
        <v>42894</v>
      </c>
      <c r="M453" s="616">
        <v>1725</v>
      </c>
      <c r="N453" s="439">
        <f t="shared" si="22"/>
        <v>8625</v>
      </c>
      <c r="O453" s="559" t="s">
        <v>587</v>
      </c>
      <c r="P453" s="602" t="s">
        <v>612</v>
      </c>
      <c r="Q453" s="154"/>
      <c r="R453" s="607" t="s">
        <v>908</v>
      </c>
      <c r="S453" s="429" t="s">
        <v>422</v>
      </c>
      <c r="T453" s="429" t="s">
        <v>423</v>
      </c>
      <c r="U453" s="602"/>
      <c r="V453" s="600"/>
      <c r="W453" s="601"/>
    </row>
    <row r="454" spans="1:23" s="135" customFormat="1" ht="15" hidden="1" customHeight="1">
      <c r="A454" s="306">
        <v>453</v>
      </c>
      <c r="B454" s="162"/>
      <c r="C454" s="161"/>
      <c r="D454" s="611" t="s">
        <v>47</v>
      </c>
      <c r="E454" s="350" t="s">
        <v>46</v>
      </c>
      <c r="F454" s="373">
        <v>1</v>
      </c>
      <c r="G454" s="609">
        <v>1</v>
      </c>
      <c r="H454" s="380">
        <f t="shared" si="21"/>
        <v>0</v>
      </c>
      <c r="I454" s="431">
        <v>42897</v>
      </c>
      <c r="J454" s="561" t="s">
        <v>1103</v>
      </c>
      <c r="K454" s="557">
        <v>689</v>
      </c>
      <c r="L454" s="607">
        <v>42897</v>
      </c>
      <c r="M454" s="616">
        <v>2600</v>
      </c>
      <c r="N454" s="439">
        <f t="shared" si="22"/>
        <v>2600</v>
      </c>
      <c r="O454" s="559" t="s">
        <v>587</v>
      </c>
      <c r="P454" s="602" t="s">
        <v>555</v>
      </c>
      <c r="Q454" s="154"/>
      <c r="R454" s="607" t="s">
        <v>908</v>
      </c>
      <c r="S454" s="429" t="s">
        <v>422</v>
      </c>
      <c r="T454" s="429" t="s">
        <v>423</v>
      </c>
      <c r="U454" s="602"/>
      <c r="V454" s="600"/>
      <c r="W454" s="601"/>
    </row>
    <row r="455" spans="1:23" s="135" customFormat="1" ht="15" hidden="1" customHeight="1">
      <c r="A455" s="306">
        <v>454</v>
      </c>
      <c r="B455" s="556">
        <v>17002</v>
      </c>
      <c r="C455" s="555">
        <v>42893</v>
      </c>
      <c r="D455" s="611" t="s">
        <v>219</v>
      </c>
      <c r="E455" s="354" t="s">
        <v>218</v>
      </c>
      <c r="F455" s="554">
        <v>16</v>
      </c>
      <c r="G455" s="609">
        <v>16</v>
      </c>
      <c r="H455" s="560">
        <f t="shared" si="21"/>
        <v>0</v>
      </c>
      <c r="I455" s="553">
        <v>42898</v>
      </c>
      <c r="J455" s="561" t="s">
        <v>1105</v>
      </c>
      <c r="K455" s="557">
        <v>688</v>
      </c>
      <c r="L455" s="607">
        <v>42897</v>
      </c>
      <c r="M455" s="616">
        <v>1900</v>
      </c>
      <c r="N455" s="562">
        <f t="shared" si="22"/>
        <v>30400</v>
      </c>
      <c r="O455" s="559" t="s">
        <v>587</v>
      </c>
      <c r="P455" s="602" t="s">
        <v>640</v>
      </c>
      <c r="Q455" s="552" t="s">
        <v>1104</v>
      </c>
      <c r="R455" s="607" t="s">
        <v>1121</v>
      </c>
      <c r="S455" s="552" t="s">
        <v>422</v>
      </c>
      <c r="T455" s="552" t="s">
        <v>423</v>
      </c>
      <c r="U455" s="602"/>
      <c r="V455" s="600"/>
      <c r="W455" s="601"/>
    </row>
    <row r="456" spans="1:23" s="135" customFormat="1" ht="15" hidden="1" customHeight="1">
      <c r="A456" s="306">
        <v>455</v>
      </c>
      <c r="B456" s="162" t="s">
        <v>1106</v>
      </c>
      <c r="C456" s="161"/>
      <c r="D456" s="611" t="s">
        <v>111</v>
      </c>
      <c r="E456" s="519" t="s">
        <v>110</v>
      </c>
      <c r="F456" s="373">
        <v>1</v>
      </c>
      <c r="G456" s="609">
        <v>1</v>
      </c>
      <c r="H456" s="380">
        <f t="shared" si="21"/>
        <v>0</v>
      </c>
      <c r="I456" s="160">
        <v>42899</v>
      </c>
      <c r="J456" s="561" t="s">
        <v>650</v>
      </c>
      <c r="K456" s="557">
        <v>643</v>
      </c>
      <c r="L456" s="607">
        <v>42876</v>
      </c>
      <c r="M456" s="616">
        <v>50000</v>
      </c>
      <c r="N456" s="439">
        <f t="shared" si="22"/>
        <v>50000</v>
      </c>
      <c r="O456" s="559" t="s">
        <v>1107</v>
      </c>
      <c r="P456" s="602" t="s">
        <v>1108</v>
      </c>
      <c r="Q456" s="154"/>
      <c r="R456" s="607" t="s">
        <v>908</v>
      </c>
      <c r="S456" s="429" t="s">
        <v>422</v>
      </c>
      <c r="T456" s="429" t="s">
        <v>423</v>
      </c>
      <c r="U456" s="602"/>
      <c r="V456" s="600"/>
      <c r="W456" s="601"/>
    </row>
    <row r="457" spans="1:23" s="135" customFormat="1" ht="15" hidden="1" customHeight="1">
      <c r="A457" s="306">
        <v>456</v>
      </c>
      <c r="B457" s="434" t="s">
        <v>1106</v>
      </c>
      <c r="C457" s="161"/>
      <c r="D457" s="613" t="s">
        <v>114</v>
      </c>
      <c r="E457" s="458" t="s">
        <v>113</v>
      </c>
      <c r="F457" s="373">
        <v>1</v>
      </c>
      <c r="G457" s="373">
        <v>1</v>
      </c>
      <c r="H457" s="380">
        <f t="shared" si="21"/>
        <v>0</v>
      </c>
      <c r="I457" s="607">
        <v>42899</v>
      </c>
      <c r="J457" s="438" t="s">
        <v>650</v>
      </c>
      <c r="K457" s="557">
        <v>643</v>
      </c>
      <c r="L457" s="607">
        <v>42876</v>
      </c>
      <c r="M457" s="616">
        <v>62900</v>
      </c>
      <c r="N457" s="439">
        <f t="shared" si="22"/>
        <v>62900</v>
      </c>
      <c r="O457" s="559" t="s">
        <v>1107</v>
      </c>
      <c r="P457" s="429" t="s">
        <v>1108</v>
      </c>
      <c r="Q457" s="154"/>
      <c r="R457" s="607" t="s">
        <v>908</v>
      </c>
      <c r="S457" s="429" t="s">
        <v>422</v>
      </c>
      <c r="T457" s="429" t="s">
        <v>423</v>
      </c>
      <c r="U457" s="154"/>
      <c r="V457" s="600"/>
      <c r="W457" s="601"/>
    </row>
    <row r="458" spans="1:23" s="135" customFormat="1" ht="15" hidden="1" customHeight="1">
      <c r="A458" s="306">
        <v>457</v>
      </c>
      <c r="B458" s="556">
        <v>1500094308</v>
      </c>
      <c r="C458" s="555"/>
      <c r="D458" s="611" t="s">
        <v>71</v>
      </c>
      <c r="E458" s="187" t="s">
        <v>65</v>
      </c>
      <c r="F458" s="554">
        <v>3</v>
      </c>
      <c r="G458" s="554">
        <v>3</v>
      </c>
      <c r="H458" s="614">
        <f t="shared" si="21"/>
        <v>0</v>
      </c>
      <c r="I458" s="553">
        <v>42904</v>
      </c>
      <c r="J458" s="561" t="s">
        <v>1110</v>
      </c>
      <c r="K458" s="557">
        <v>694</v>
      </c>
      <c r="L458" s="607">
        <v>42899</v>
      </c>
      <c r="M458" s="616">
        <v>2520</v>
      </c>
      <c r="N458" s="615">
        <f t="shared" si="22"/>
        <v>7560</v>
      </c>
      <c r="O458" s="559" t="s">
        <v>1107</v>
      </c>
      <c r="P458" s="552" t="s">
        <v>1111</v>
      </c>
      <c r="Q458" s="552" t="s">
        <v>1112</v>
      </c>
      <c r="R458" s="607" t="s">
        <v>908</v>
      </c>
      <c r="S458" s="552" t="s">
        <v>422</v>
      </c>
      <c r="T458" s="552" t="s">
        <v>423</v>
      </c>
      <c r="U458" s="602"/>
      <c r="V458" s="600"/>
      <c r="W458" s="601"/>
    </row>
    <row r="459" spans="1:23" s="135" customFormat="1" ht="15" hidden="1" customHeight="1">
      <c r="A459" s="306">
        <v>458</v>
      </c>
      <c r="B459" s="556">
        <v>1500094308</v>
      </c>
      <c r="C459" s="555"/>
      <c r="D459" s="611" t="s">
        <v>31</v>
      </c>
      <c r="E459" s="601" t="s">
        <v>28</v>
      </c>
      <c r="F459" s="554">
        <v>3</v>
      </c>
      <c r="G459" s="554">
        <v>3</v>
      </c>
      <c r="H459" s="614">
        <f t="shared" si="21"/>
        <v>0</v>
      </c>
      <c r="I459" s="553">
        <v>42904</v>
      </c>
      <c r="J459" s="561" t="s">
        <v>1110</v>
      </c>
      <c r="K459" s="557">
        <v>694</v>
      </c>
      <c r="L459" s="553">
        <v>42899</v>
      </c>
      <c r="M459" s="563">
        <v>0</v>
      </c>
      <c r="N459" s="615">
        <f t="shared" si="22"/>
        <v>0</v>
      </c>
      <c r="O459" s="559" t="s">
        <v>1107</v>
      </c>
      <c r="P459" s="552" t="s">
        <v>1111</v>
      </c>
      <c r="Q459" s="552" t="s">
        <v>1112</v>
      </c>
      <c r="R459" s="553" t="s">
        <v>908</v>
      </c>
      <c r="S459" s="552" t="s">
        <v>422</v>
      </c>
      <c r="T459" s="552" t="s">
        <v>423</v>
      </c>
      <c r="U459" s="154"/>
      <c r="V459" s="600"/>
      <c r="W459" s="601"/>
    </row>
    <row r="460" spans="1:23" s="135" customFormat="1" ht="15" hidden="1" customHeight="1">
      <c r="A460" s="306">
        <v>459</v>
      </c>
      <c r="B460" s="556"/>
      <c r="C460" s="555"/>
      <c r="D460" s="611" t="s">
        <v>58</v>
      </c>
      <c r="E460" s="354" t="s">
        <v>57</v>
      </c>
      <c r="F460" s="554">
        <v>1</v>
      </c>
      <c r="G460" s="554">
        <v>1</v>
      </c>
      <c r="H460" s="614">
        <f t="shared" si="21"/>
        <v>0</v>
      </c>
      <c r="I460" s="553">
        <v>42904</v>
      </c>
      <c r="J460" s="561" t="s">
        <v>1113</v>
      </c>
      <c r="K460" s="557">
        <v>704</v>
      </c>
      <c r="L460" s="553">
        <v>42904</v>
      </c>
      <c r="M460" s="563">
        <v>27430</v>
      </c>
      <c r="N460" s="615">
        <f t="shared" si="22"/>
        <v>27430</v>
      </c>
      <c r="O460" s="559" t="s">
        <v>1107</v>
      </c>
      <c r="P460" s="552" t="s">
        <v>619</v>
      </c>
      <c r="Q460" s="552" t="s">
        <v>1114</v>
      </c>
      <c r="R460" s="553" t="s">
        <v>908</v>
      </c>
      <c r="S460" s="552" t="s">
        <v>422</v>
      </c>
      <c r="T460" s="552" t="s">
        <v>423</v>
      </c>
      <c r="U460" s="154"/>
      <c r="V460" s="67"/>
      <c r="W460" s="601"/>
    </row>
    <row r="461" spans="1:23" s="135" customFormat="1" ht="15" hidden="1" customHeight="1">
      <c r="A461" s="306">
        <v>460</v>
      </c>
      <c r="B461" s="556"/>
      <c r="C461" s="555"/>
      <c r="D461" s="611" t="s">
        <v>1100</v>
      </c>
      <c r="E461" s="559" t="s">
        <v>1102</v>
      </c>
      <c r="F461" s="554">
        <v>3</v>
      </c>
      <c r="G461" s="554">
        <v>3</v>
      </c>
      <c r="H461" s="560">
        <f t="shared" si="21"/>
        <v>0</v>
      </c>
      <c r="I461" s="553">
        <v>42904</v>
      </c>
      <c r="J461" s="561" t="s">
        <v>1113</v>
      </c>
      <c r="K461" s="557">
        <v>704</v>
      </c>
      <c r="L461" s="553">
        <v>42904</v>
      </c>
      <c r="M461" s="563">
        <v>2370</v>
      </c>
      <c r="N461" s="562">
        <f t="shared" si="22"/>
        <v>7110</v>
      </c>
      <c r="O461" s="559" t="s">
        <v>1107</v>
      </c>
      <c r="P461" s="602" t="s">
        <v>619</v>
      </c>
      <c r="Q461" s="552" t="s">
        <v>1114</v>
      </c>
      <c r="R461" s="553" t="s">
        <v>908</v>
      </c>
      <c r="S461" s="552" t="s">
        <v>422</v>
      </c>
      <c r="T461" s="552" t="s">
        <v>423</v>
      </c>
      <c r="U461" s="154"/>
      <c r="V461" s="67"/>
      <c r="W461" s="601"/>
    </row>
    <row r="462" spans="1:23" s="135" customFormat="1" ht="15" hidden="1" customHeight="1">
      <c r="A462" s="306">
        <v>461</v>
      </c>
      <c r="B462" s="434" t="s">
        <v>1109</v>
      </c>
      <c r="C462" s="433"/>
      <c r="D462" s="611" t="s">
        <v>47</v>
      </c>
      <c r="E462" s="601" t="s">
        <v>429</v>
      </c>
      <c r="F462" s="432">
        <v>4</v>
      </c>
      <c r="G462" s="432">
        <v>4</v>
      </c>
      <c r="H462" s="614">
        <f t="shared" si="21"/>
        <v>0</v>
      </c>
      <c r="I462" s="160">
        <v>42904</v>
      </c>
      <c r="J462" s="155" t="s">
        <v>1115</v>
      </c>
      <c r="K462" s="240">
        <v>702</v>
      </c>
      <c r="L462" s="431">
        <v>42904</v>
      </c>
      <c r="M462" s="175">
        <v>2650</v>
      </c>
      <c r="N462" s="615">
        <f t="shared" si="22"/>
        <v>10600</v>
      </c>
      <c r="O462" s="559" t="s">
        <v>1107</v>
      </c>
      <c r="P462" s="154" t="s">
        <v>1116</v>
      </c>
      <c r="Q462" s="154"/>
      <c r="R462" s="431" t="s">
        <v>908</v>
      </c>
      <c r="S462" s="429" t="s">
        <v>422</v>
      </c>
      <c r="T462" s="429" t="s">
        <v>423</v>
      </c>
      <c r="U462" s="154"/>
      <c r="V462" s="67"/>
      <c r="W462" s="153"/>
    </row>
    <row r="463" spans="1:23" s="135" customFormat="1" ht="15" hidden="1" customHeight="1">
      <c r="A463" s="306">
        <v>462</v>
      </c>
      <c r="B463" s="162"/>
      <c r="C463" s="161"/>
      <c r="D463" s="186" t="s">
        <v>226</v>
      </c>
      <c r="E463" s="350" t="s">
        <v>944</v>
      </c>
      <c r="F463" s="373">
        <v>4</v>
      </c>
      <c r="G463" s="373">
        <v>4</v>
      </c>
      <c r="H463" s="380">
        <f t="shared" ref="H463:H470" si="23">F463-G463</f>
        <v>0</v>
      </c>
      <c r="I463" s="431">
        <v>42904</v>
      </c>
      <c r="J463" s="155" t="s">
        <v>1117</v>
      </c>
      <c r="K463" s="240">
        <v>691</v>
      </c>
      <c r="L463" s="371">
        <v>42898</v>
      </c>
      <c r="M463" s="175">
        <v>350</v>
      </c>
      <c r="N463" s="173">
        <f t="shared" si="22"/>
        <v>1400</v>
      </c>
      <c r="O463" s="559" t="s">
        <v>1107</v>
      </c>
      <c r="P463" s="154" t="s">
        <v>555</v>
      </c>
      <c r="Q463" s="600" t="s">
        <v>1144</v>
      </c>
      <c r="R463" s="431" t="s">
        <v>908</v>
      </c>
      <c r="S463" s="429" t="s">
        <v>422</v>
      </c>
      <c r="T463" s="429" t="s">
        <v>423</v>
      </c>
      <c r="U463" s="154"/>
      <c r="V463" s="67"/>
      <c r="W463" s="153"/>
    </row>
    <row r="464" spans="1:23" s="135" customFormat="1" ht="15" hidden="1" customHeight="1">
      <c r="A464" s="306">
        <v>463</v>
      </c>
      <c r="B464" s="162"/>
      <c r="C464" s="161"/>
      <c r="D464" s="611" t="s">
        <v>230</v>
      </c>
      <c r="E464" s="350" t="s">
        <v>943</v>
      </c>
      <c r="F464" s="609">
        <v>2</v>
      </c>
      <c r="G464" s="373">
        <v>2</v>
      </c>
      <c r="H464" s="380">
        <f t="shared" si="23"/>
        <v>0</v>
      </c>
      <c r="I464" s="431">
        <v>42904</v>
      </c>
      <c r="J464" s="438" t="s">
        <v>1117</v>
      </c>
      <c r="K464" s="435">
        <v>691</v>
      </c>
      <c r="L464" s="431">
        <v>42898</v>
      </c>
      <c r="M464" s="175">
        <v>250</v>
      </c>
      <c r="N464" s="173">
        <f t="shared" si="22"/>
        <v>500</v>
      </c>
      <c r="O464" s="559" t="s">
        <v>1107</v>
      </c>
      <c r="P464" s="429" t="s">
        <v>555</v>
      </c>
      <c r="Q464" s="600"/>
      <c r="R464" s="431" t="s">
        <v>908</v>
      </c>
      <c r="S464" s="429" t="s">
        <v>422</v>
      </c>
      <c r="T464" s="429" t="s">
        <v>423</v>
      </c>
      <c r="U464" s="154"/>
      <c r="V464" s="67"/>
      <c r="W464" s="153"/>
    </row>
    <row r="465" spans="1:23" s="135" customFormat="1" ht="15" hidden="1" customHeight="1">
      <c r="A465" s="306">
        <v>464</v>
      </c>
      <c r="B465" s="434" t="s">
        <v>1120</v>
      </c>
      <c r="C465" s="433"/>
      <c r="D465" s="611" t="s">
        <v>71</v>
      </c>
      <c r="E465" s="350" t="s">
        <v>65</v>
      </c>
      <c r="F465" s="432">
        <v>1</v>
      </c>
      <c r="G465" s="432">
        <v>1</v>
      </c>
      <c r="H465" s="437">
        <f t="shared" si="23"/>
        <v>0</v>
      </c>
      <c r="I465" s="431">
        <v>42904</v>
      </c>
      <c r="J465" s="155" t="s">
        <v>1118</v>
      </c>
      <c r="K465" s="240">
        <v>697</v>
      </c>
      <c r="L465" s="371">
        <v>42901</v>
      </c>
      <c r="M465" s="175">
        <v>1976</v>
      </c>
      <c r="N465" s="173">
        <f t="shared" si="22"/>
        <v>1976</v>
      </c>
      <c r="O465" s="559" t="s">
        <v>1107</v>
      </c>
      <c r="P465" s="154" t="s">
        <v>612</v>
      </c>
      <c r="Q465" s="600" t="s">
        <v>1145</v>
      </c>
      <c r="R465" s="431" t="s">
        <v>908</v>
      </c>
      <c r="S465" s="429" t="s">
        <v>422</v>
      </c>
      <c r="T465" s="429" t="s">
        <v>423</v>
      </c>
      <c r="U465" s="154"/>
      <c r="V465" s="67"/>
      <c r="W465" s="601"/>
    </row>
    <row r="466" spans="1:23" s="135" customFormat="1" ht="15" hidden="1" customHeight="1">
      <c r="A466" s="306">
        <v>465</v>
      </c>
      <c r="B466" s="434" t="s">
        <v>1120</v>
      </c>
      <c r="C466" s="161"/>
      <c r="D466" s="611" t="s">
        <v>31</v>
      </c>
      <c r="E466" s="601" t="s">
        <v>28</v>
      </c>
      <c r="F466" s="373">
        <v>1</v>
      </c>
      <c r="G466" s="373">
        <v>1</v>
      </c>
      <c r="H466" s="614">
        <f t="shared" si="23"/>
        <v>0</v>
      </c>
      <c r="I466" s="431">
        <v>42904</v>
      </c>
      <c r="J466" s="438" t="s">
        <v>1118</v>
      </c>
      <c r="K466" s="435">
        <v>697</v>
      </c>
      <c r="L466" s="431">
        <v>42901</v>
      </c>
      <c r="M466" s="175">
        <v>450</v>
      </c>
      <c r="N466" s="615">
        <f t="shared" si="22"/>
        <v>450</v>
      </c>
      <c r="O466" s="559" t="s">
        <v>1107</v>
      </c>
      <c r="P466" s="429" t="s">
        <v>612</v>
      </c>
      <c r="Q466" s="600" t="s">
        <v>1146</v>
      </c>
      <c r="R466" s="431" t="s">
        <v>908</v>
      </c>
      <c r="S466" s="429" t="s">
        <v>422</v>
      </c>
      <c r="T466" s="429" t="s">
        <v>423</v>
      </c>
      <c r="U466" s="154"/>
      <c r="V466" s="67"/>
      <c r="W466" s="601"/>
    </row>
    <row r="467" spans="1:23" s="135" customFormat="1" ht="15" hidden="1" customHeight="1">
      <c r="A467" s="306">
        <v>466</v>
      </c>
      <c r="B467" s="434" t="s">
        <v>1109</v>
      </c>
      <c r="C467" s="433"/>
      <c r="D467" s="611" t="s">
        <v>219</v>
      </c>
      <c r="E467" s="601" t="s">
        <v>429</v>
      </c>
      <c r="F467" s="432">
        <v>2</v>
      </c>
      <c r="G467" s="432">
        <v>2</v>
      </c>
      <c r="H467" s="437">
        <f t="shared" si="23"/>
        <v>0</v>
      </c>
      <c r="I467" s="607">
        <v>42904</v>
      </c>
      <c r="J467" s="155" t="s">
        <v>1119</v>
      </c>
      <c r="K467" s="240">
        <v>701</v>
      </c>
      <c r="L467" s="371">
        <v>42904</v>
      </c>
      <c r="M467" s="175">
        <v>1790</v>
      </c>
      <c r="N467" s="173">
        <f t="shared" si="22"/>
        <v>3580</v>
      </c>
      <c r="O467" s="559" t="s">
        <v>1107</v>
      </c>
      <c r="P467" s="154" t="s">
        <v>512</v>
      </c>
      <c r="Q467" s="548" t="s">
        <v>1146</v>
      </c>
      <c r="R467" s="607" t="s">
        <v>908</v>
      </c>
      <c r="S467" s="552" t="s">
        <v>422</v>
      </c>
      <c r="T467" s="552" t="s">
        <v>423</v>
      </c>
      <c r="U467" s="154"/>
      <c r="V467" s="67"/>
      <c r="W467" s="601"/>
    </row>
    <row r="468" spans="1:23" s="135" customFormat="1" ht="15" hidden="1" customHeight="1">
      <c r="A468" s="306">
        <v>467</v>
      </c>
      <c r="B468" s="556">
        <v>4501420200</v>
      </c>
      <c r="C468" s="555"/>
      <c r="D468" s="611" t="s">
        <v>47</v>
      </c>
      <c r="E468" s="187" t="s">
        <v>46</v>
      </c>
      <c r="F468" s="554">
        <v>1</v>
      </c>
      <c r="G468" s="554">
        <v>1</v>
      </c>
      <c r="H468" s="560">
        <f t="shared" si="23"/>
        <v>0</v>
      </c>
      <c r="I468" s="553">
        <v>42906</v>
      </c>
      <c r="J468" s="561" t="s">
        <v>1155</v>
      </c>
      <c r="K468" s="557">
        <v>695</v>
      </c>
      <c r="L468" s="553">
        <v>42905</v>
      </c>
      <c r="M468" s="563">
        <v>2850</v>
      </c>
      <c r="N468" s="562">
        <f t="shared" si="22"/>
        <v>2850</v>
      </c>
      <c r="O468" s="559" t="s">
        <v>1107</v>
      </c>
      <c r="P468" s="552" t="s">
        <v>1122</v>
      </c>
      <c r="Q468" s="550" t="s">
        <v>1123</v>
      </c>
      <c r="R468" s="553" t="s">
        <v>1121</v>
      </c>
      <c r="S468" s="552" t="s">
        <v>422</v>
      </c>
      <c r="T468" s="552" t="s">
        <v>423</v>
      </c>
      <c r="U468" s="602"/>
      <c r="V468" s="600"/>
      <c r="W468" s="601"/>
    </row>
    <row r="469" spans="1:23" s="135" customFormat="1" ht="15" hidden="1" customHeight="1">
      <c r="A469" s="306">
        <v>468</v>
      </c>
      <c r="B469" s="556">
        <v>9729</v>
      </c>
      <c r="C469" s="555"/>
      <c r="D469" s="613" t="s">
        <v>71</v>
      </c>
      <c r="E469" s="187" t="s">
        <v>65</v>
      </c>
      <c r="F469" s="554">
        <v>1</v>
      </c>
      <c r="G469" s="554">
        <v>1</v>
      </c>
      <c r="H469" s="614">
        <f t="shared" si="23"/>
        <v>0</v>
      </c>
      <c r="I469" s="553">
        <v>42906</v>
      </c>
      <c r="J469" s="561" t="s">
        <v>1124</v>
      </c>
      <c r="K469" s="557">
        <v>708</v>
      </c>
      <c r="L469" s="553">
        <v>42906</v>
      </c>
      <c r="M469" s="616">
        <v>1950</v>
      </c>
      <c r="N469" s="615">
        <f t="shared" si="22"/>
        <v>1950</v>
      </c>
      <c r="O469" s="559" t="s">
        <v>587</v>
      </c>
      <c r="P469" s="552" t="s">
        <v>1125</v>
      </c>
      <c r="Q469" s="602" t="s">
        <v>1126</v>
      </c>
      <c r="R469" s="553" t="s">
        <v>1121</v>
      </c>
      <c r="S469" s="552" t="s">
        <v>422</v>
      </c>
      <c r="T469" s="552" t="s">
        <v>423</v>
      </c>
      <c r="U469" s="602"/>
      <c r="V469" s="600"/>
      <c r="W469" s="601"/>
    </row>
    <row r="470" spans="1:23" s="135" customFormat="1" ht="15" hidden="1" customHeight="1">
      <c r="A470" s="306">
        <v>469</v>
      </c>
      <c r="B470" s="434" t="s">
        <v>1127</v>
      </c>
      <c r="C470" s="196"/>
      <c r="D470" s="611" t="s">
        <v>39</v>
      </c>
      <c r="E470" s="350" t="s">
        <v>38</v>
      </c>
      <c r="F470" s="373">
        <v>1</v>
      </c>
      <c r="G470" s="609">
        <v>1</v>
      </c>
      <c r="H470" s="380">
        <f t="shared" si="23"/>
        <v>0</v>
      </c>
      <c r="I470" s="431">
        <v>42906</v>
      </c>
      <c r="J470" s="438" t="s">
        <v>730</v>
      </c>
      <c r="K470" s="557">
        <v>707</v>
      </c>
      <c r="L470" s="607">
        <v>42905</v>
      </c>
      <c r="M470" s="616">
        <v>4700</v>
      </c>
      <c r="N470" s="439">
        <f t="shared" si="22"/>
        <v>4700</v>
      </c>
      <c r="O470" s="559" t="s">
        <v>587</v>
      </c>
      <c r="P470" s="429" t="s">
        <v>512</v>
      </c>
      <c r="Q470" s="600" t="s">
        <v>1147</v>
      </c>
      <c r="R470" s="431" t="s">
        <v>1121</v>
      </c>
      <c r="S470" s="429" t="s">
        <v>422</v>
      </c>
      <c r="T470" s="429" t="s">
        <v>423</v>
      </c>
      <c r="U470" s="602"/>
      <c r="V470" s="600"/>
      <c r="W470" s="601"/>
    </row>
    <row r="471" spans="1:23" s="549" customFormat="1" ht="15" hidden="1" customHeight="1">
      <c r="A471" s="306">
        <v>470</v>
      </c>
      <c r="B471" s="556" t="s">
        <v>1149</v>
      </c>
      <c r="C471" s="555"/>
      <c r="D471" s="558" t="s">
        <v>68</v>
      </c>
      <c r="E471" s="552" t="s">
        <v>1150</v>
      </c>
      <c r="F471" s="554">
        <v>1</v>
      </c>
      <c r="G471" s="609">
        <v>1</v>
      </c>
      <c r="H471" s="614">
        <v>0</v>
      </c>
      <c r="I471" s="553">
        <v>42906</v>
      </c>
      <c r="J471" s="561" t="s">
        <v>1151</v>
      </c>
      <c r="K471" s="557">
        <v>710</v>
      </c>
      <c r="L471" s="553">
        <v>42906</v>
      </c>
      <c r="M471" s="616">
        <v>3700</v>
      </c>
      <c r="N471" s="615">
        <v>3700</v>
      </c>
      <c r="O471" s="559" t="s">
        <v>587</v>
      </c>
      <c r="P471" s="552" t="s">
        <v>1152</v>
      </c>
      <c r="Q471" s="600" t="s">
        <v>1148</v>
      </c>
      <c r="R471" s="607" t="s">
        <v>908</v>
      </c>
      <c r="S471" s="552" t="s">
        <v>422</v>
      </c>
      <c r="T471" s="552" t="s">
        <v>423</v>
      </c>
      <c r="U471" s="564"/>
      <c r="V471" s="551"/>
      <c r="W471" s="601"/>
    </row>
    <row r="472" spans="1:23" s="135" customFormat="1" ht="15" hidden="1" customHeight="1">
      <c r="A472" s="306">
        <v>471</v>
      </c>
      <c r="B472" s="434">
        <v>4034838</v>
      </c>
      <c r="C472" s="433"/>
      <c r="D472" s="611" t="s">
        <v>1129</v>
      </c>
      <c r="E472" s="601" t="s">
        <v>1092</v>
      </c>
      <c r="F472" s="432">
        <v>19</v>
      </c>
      <c r="G472" s="609">
        <v>19</v>
      </c>
      <c r="H472" s="614">
        <f t="shared" ref="H472:H503" si="24">F472-G472</f>
        <v>0</v>
      </c>
      <c r="I472" s="431">
        <v>42907</v>
      </c>
      <c r="J472" s="561" t="s">
        <v>477</v>
      </c>
      <c r="K472" s="557">
        <v>715</v>
      </c>
      <c r="L472" s="607">
        <v>42907</v>
      </c>
      <c r="M472" s="616">
        <v>410</v>
      </c>
      <c r="N472" s="615">
        <f t="shared" ref="N472:N503" si="25">IFERROR(M472*G472,0)</f>
        <v>7790</v>
      </c>
      <c r="O472" s="559" t="s">
        <v>587</v>
      </c>
      <c r="P472" s="429" t="s">
        <v>844</v>
      </c>
      <c r="Q472" s="600"/>
      <c r="R472" s="607" t="s">
        <v>908</v>
      </c>
      <c r="S472" s="429" t="s">
        <v>422</v>
      </c>
      <c r="T472" s="429" t="s">
        <v>423</v>
      </c>
      <c r="U472" s="602"/>
      <c r="V472" s="600"/>
      <c r="W472" s="601"/>
    </row>
    <row r="473" spans="1:23" s="135" customFormat="1" ht="15" hidden="1" customHeight="1">
      <c r="A473" s="306">
        <v>472</v>
      </c>
      <c r="B473" s="434"/>
      <c r="C473" s="433"/>
      <c r="D473" s="186" t="s">
        <v>1692</v>
      </c>
      <c r="E473" s="601" t="s">
        <v>1137</v>
      </c>
      <c r="F473" s="432">
        <v>45</v>
      </c>
      <c r="G473" s="432">
        <v>45</v>
      </c>
      <c r="H473" s="614">
        <f t="shared" si="24"/>
        <v>0</v>
      </c>
      <c r="I473" s="431">
        <v>42907</v>
      </c>
      <c r="J473" s="438" t="s">
        <v>1138</v>
      </c>
      <c r="K473" s="435">
        <v>713</v>
      </c>
      <c r="L473" s="607">
        <v>42906</v>
      </c>
      <c r="M473" s="616">
        <v>598</v>
      </c>
      <c r="N473" s="615">
        <f t="shared" si="25"/>
        <v>26910</v>
      </c>
      <c r="O473" s="559" t="s">
        <v>587</v>
      </c>
      <c r="P473" s="429" t="s">
        <v>612</v>
      </c>
      <c r="Q473" s="429"/>
      <c r="R473" s="607" t="s">
        <v>908</v>
      </c>
      <c r="S473" s="429" t="s">
        <v>422</v>
      </c>
      <c r="T473" s="429" t="s">
        <v>423</v>
      </c>
      <c r="U473" s="602"/>
      <c r="V473" s="600"/>
      <c r="W473" s="601"/>
    </row>
    <row r="474" spans="1:23" s="135" customFormat="1" ht="15" hidden="1" customHeight="1">
      <c r="A474" s="306">
        <v>473</v>
      </c>
      <c r="B474" s="556" t="s">
        <v>1141</v>
      </c>
      <c r="C474" s="555"/>
      <c r="D474" s="558" t="s">
        <v>850</v>
      </c>
      <c r="E474" s="601" t="s">
        <v>1139</v>
      </c>
      <c r="F474" s="554">
        <v>35</v>
      </c>
      <c r="G474" s="609">
        <v>35</v>
      </c>
      <c r="H474" s="614">
        <f t="shared" si="24"/>
        <v>0</v>
      </c>
      <c r="I474" s="553">
        <v>42907</v>
      </c>
      <c r="J474" s="561" t="s">
        <v>1156</v>
      </c>
      <c r="K474" s="557">
        <v>711</v>
      </c>
      <c r="L474" s="607">
        <v>42906</v>
      </c>
      <c r="M474" s="616">
        <v>110</v>
      </c>
      <c r="N474" s="615">
        <f t="shared" si="25"/>
        <v>3850</v>
      </c>
      <c r="O474" s="559" t="s">
        <v>587</v>
      </c>
      <c r="P474" s="552" t="s">
        <v>792</v>
      </c>
      <c r="Q474" s="552" t="s">
        <v>1140</v>
      </c>
      <c r="R474" s="607" t="s">
        <v>908</v>
      </c>
      <c r="S474" s="552" t="s">
        <v>422</v>
      </c>
      <c r="T474" s="552" t="s">
        <v>423</v>
      </c>
      <c r="U474" s="602"/>
      <c r="V474" s="600"/>
      <c r="W474" s="601"/>
    </row>
    <row r="475" spans="1:23" s="135" customFormat="1" ht="15" hidden="1" customHeight="1">
      <c r="A475" s="306">
        <v>474</v>
      </c>
      <c r="B475" s="162"/>
      <c r="C475" s="161"/>
      <c r="D475" s="613" t="s">
        <v>1130</v>
      </c>
      <c r="E475" s="331" t="s">
        <v>1133</v>
      </c>
      <c r="F475" s="373">
        <v>1</v>
      </c>
      <c r="G475" s="609">
        <v>1</v>
      </c>
      <c r="H475" s="614">
        <f t="shared" si="24"/>
        <v>0</v>
      </c>
      <c r="I475" s="160">
        <v>42908</v>
      </c>
      <c r="J475" s="606" t="s">
        <v>1142</v>
      </c>
      <c r="K475" s="317">
        <v>714</v>
      </c>
      <c r="L475" s="607">
        <v>42907</v>
      </c>
      <c r="M475" s="616">
        <v>850</v>
      </c>
      <c r="N475" s="615">
        <f t="shared" si="25"/>
        <v>850</v>
      </c>
      <c r="O475" s="559" t="s">
        <v>587</v>
      </c>
      <c r="P475" s="154" t="s">
        <v>612</v>
      </c>
      <c r="Q475" s="154"/>
      <c r="R475" s="607" t="s">
        <v>908</v>
      </c>
      <c r="S475" s="413" t="s">
        <v>422</v>
      </c>
      <c r="T475" s="154" t="s">
        <v>423</v>
      </c>
      <c r="U475" s="602"/>
      <c r="V475" s="600"/>
      <c r="W475" s="601"/>
    </row>
    <row r="476" spans="1:23" s="135" customFormat="1" ht="15" hidden="1" customHeight="1">
      <c r="A476" s="306">
        <v>475</v>
      </c>
      <c r="B476" s="162"/>
      <c r="C476" s="161"/>
      <c r="D476" s="613" t="s">
        <v>246</v>
      </c>
      <c r="E476" s="600" t="s">
        <v>258</v>
      </c>
      <c r="F476" s="373">
        <v>1</v>
      </c>
      <c r="G476" s="609">
        <v>1</v>
      </c>
      <c r="H476" s="614">
        <f t="shared" si="24"/>
        <v>0</v>
      </c>
      <c r="I476" s="160">
        <v>42908</v>
      </c>
      <c r="J476" s="606" t="s">
        <v>1143</v>
      </c>
      <c r="K476" s="317">
        <v>718</v>
      </c>
      <c r="L476" s="607">
        <v>42907</v>
      </c>
      <c r="M476" s="616">
        <v>5925</v>
      </c>
      <c r="N476" s="615">
        <f t="shared" si="25"/>
        <v>5925</v>
      </c>
      <c r="O476" s="559" t="s">
        <v>587</v>
      </c>
      <c r="P476" s="154" t="s">
        <v>844</v>
      </c>
      <c r="Q476" s="154"/>
      <c r="R476" s="607" t="s">
        <v>908</v>
      </c>
      <c r="S476" s="413" t="s">
        <v>422</v>
      </c>
      <c r="T476" s="154" t="s">
        <v>423</v>
      </c>
      <c r="U476" s="602"/>
      <c r="V476" s="600"/>
      <c r="W476" s="601"/>
    </row>
    <row r="477" spans="1:23" s="135" customFormat="1" ht="15" hidden="1" customHeight="1">
      <c r="A477" s="306">
        <v>476</v>
      </c>
      <c r="B477" s="162">
        <v>4501427059</v>
      </c>
      <c r="C477" s="161"/>
      <c r="D477" s="613" t="s">
        <v>71</v>
      </c>
      <c r="E477" s="350" t="s">
        <v>65</v>
      </c>
      <c r="F477" s="373">
        <v>1</v>
      </c>
      <c r="G477" s="609">
        <v>1</v>
      </c>
      <c r="H477" s="614">
        <f t="shared" si="24"/>
        <v>0</v>
      </c>
      <c r="I477" s="160">
        <v>42918</v>
      </c>
      <c r="J477" s="155" t="s">
        <v>577</v>
      </c>
      <c r="K477" s="240">
        <v>696</v>
      </c>
      <c r="L477" s="607">
        <v>42904</v>
      </c>
      <c r="M477" s="616">
        <v>2520</v>
      </c>
      <c r="N477" s="615">
        <f t="shared" si="25"/>
        <v>2520</v>
      </c>
      <c r="O477" s="559" t="s">
        <v>587</v>
      </c>
      <c r="P477" s="154" t="s">
        <v>530</v>
      </c>
      <c r="Q477" s="154"/>
      <c r="R477" s="607" t="s">
        <v>908</v>
      </c>
      <c r="S477" s="413" t="s">
        <v>422</v>
      </c>
      <c r="T477" s="154" t="s">
        <v>423</v>
      </c>
      <c r="U477" s="602"/>
      <c r="V477" s="600"/>
      <c r="W477" s="601"/>
    </row>
    <row r="478" spans="1:23" s="135" customFormat="1" ht="15" hidden="1" customHeight="1">
      <c r="A478" s="306">
        <v>477</v>
      </c>
      <c r="B478" s="556">
        <v>4501427059</v>
      </c>
      <c r="C478" s="161"/>
      <c r="D478" s="611" t="s">
        <v>31</v>
      </c>
      <c r="E478" s="350" t="s">
        <v>28</v>
      </c>
      <c r="F478" s="373">
        <v>1</v>
      </c>
      <c r="G478" s="609">
        <v>1</v>
      </c>
      <c r="H478" s="614">
        <f t="shared" si="24"/>
        <v>0</v>
      </c>
      <c r="I478" s="553">
        <v>42918</v>
      </c>
      <c r="J478" s="561" t="s">
        <v>577</v>
      </c>
      <c r="K478" s="557">
        <v>696</v>
      </c>
      <c r="L478" s="607">
        <v>42904</v>
      </c>
      <c r="M478" s="616">
        <v>0</v>
      </c>
      <c r="N478" s="615">
        <f t="shared" si="25"/>
        <v>0</v>
      </c>
      <c r="O478" s="559" t="s">
        <v>587</v>
      </c>
      <c r="P478" s="552" t="s">
        <v>530</v>
      </c>
      <c r="Q478" s="154"/>
      <c r="R478" s="607" t="s">
        <v>908</v>
      </c>
      <c r="S478" s="552" t="s">
        <v>422</v>
      </c>
      <c r="T478" s="552" t="s">
        <v>423</v>
      </c>
      <c r="U478" s="602"/>
      <c r="V478" s="600"/>
      <c r="W478" s="601" t="s">
        <v>347</v>
      </c>
    </row>
    <row r="479" spans="1:23" s="135" customFormat="1" ht="15" hidden="1" customHeight="1">
      <c r="A479" s="306">
        <v>478</v>
      </c>
      <c r="B479" s="611" t="s">
        <v>1153</v>
      </c>
      <c r="C479" s="610"/>
      <c r="D479" s="613" t="s">
        <v>49</v>
      </c>
      <c r="E479" s="350" t="s">
        <v>48</v>
      </c>
      <c r="F479" s="609">
        <v>34</v>
      </c>
      <c r="G479" s="609">
        <v>34</v>
      </c>
      <c r="H479" s="380">
        <f t="shared" si="24"/>
        <v>0</v>
      </c>
      <c r="I479" s="607">
        <v>42918</v>
      </c>
      <c r="J479" s="363" t="s">
        <v>1154</v>
      </c>
      <c r="K479" s="317">
        <v>721</v>
      </c>
      <c r="L479" s="607">
        <v>42918</v>
      </c>
      <c r="M479" s="616">
        <v>9330</v>
      </c>
      <c r="N479" s="615">
        <f t="shared" si="25"/>
        <v>317220</v>
      </c>
      <c r="O479" s="559" t="s">
        <v>587</v>
      </c>
      <c r="P479" s="602" t="s">
        <v>612</v>
      </c>
      <c r="Q479" s="602"/>
      <c r="R479" s="607" t="s">
        <v>1121</v>
      </c>
      <c r="S479" s="602" t="s">
        <v>422</v>
      </c>
      <c r="T479" s="602" t="s">
        <v>423</v>
      </c>
      <c r="U479" s="602"/>
      <c r="V479" s="600"/>
      <c r="W479" s="601"/>
    </row>
    <row r="480" spans="1:23" s="135" customFormat="1" ht="15" hidden="1" customHeight="1">
      <c r="A480" s="306">
        <v>479</v>
      </c>
      <c r="B480" s="556" t="s">
        <v>1153</v>
      </c>
      <c r="C480" s="161"/>
      <c r="D480" s="613" t="s">
        <v>29</v>
      </c>
      <c r="E480" s="350" t="s">
        <v>28</v>
      </c>
      <c r="F480" s="373">
        <v>68</v>
      </c>
      <c r="G480" s="609">
        <v>68</v>
      </c>
      <c r="H480" s="380">
        <f t="shared" si="24"/>
        <v>0</v>
      </c>
      <c r="I480" s="553">
        <v>42918</v>
      </c>
      <c r="J480" s="363" t="s">
        <v>1154</v>
      </c>
      <c r="K480" s="317">
        <v>721</v>
      </c>
      <c r="L480" s="607">
        <v>42918</v>
      </c>
      <c r="M480" s="616">
        <v>0</v>
      </c>
      <c r="N480" s="562">
        <f t="shared" si="25"/>
        <v>0</v>
      </c>
      <c r="O480" s="559" t="s">
        <v>587</v>
      </c>
      <c r="P480" s="602" t="s">
        <v>612</v>
      </c>
      <c r="Q480" s="154"/>
      <c r="R480" s="607" t="s">
        <v>908</v>
      </c>
      <c r="S480" s="413" t="s">
        <v>422</v>
      </c>
      <c r="T480" s="154" t="s">
        <v>423</v>
      </c>
      <c r="U480" s="602"/>
      <c r="V480" s="600"/>
      <c r="W480" s="601"/>
    </row>
    <row r="481" spans="1:23" s="135" customFormat="1" ht="15" hidden="1" customHeight="1">
      <c r="A481" s="306">
        <v>480</v>
      </c>
      <c r="B481" s="556" t="s">
        <v>1153</v>
      </c>
      <c r="C481" s="161"/>
      <c r="D481" s="613" t="s">
        <v>35</v>
      </c>
      <c r="E481" s="6" t="s">
        <v>34</v>
      </c>
      <c r="F481" s="373">
        <v>5</v>
      </c>
      <c r="G481" s="373">
        <v>5</v>
      </c>
      <c r="H481" s="380">
        <f t="shared" si="24"/>
        <v>0</v>
      </c>
      <c r="I481" s="553">
        <v>42918</v>
      </c>
      <c r="J481" s="363" t="s">
        <v>1154</v>
      </c>
      <c r="K481" s="317">
        <v>721</v>
      </c>
      <c r="L481" s="607">
        <v>42918</v>
      </c>
      <c r="M481" s="616">
        <v>3100</v>
      </c>
      <c r="N481" s="562">
        <f t="shared" si="25"/>
        <v>15500</v>
      </c>
      <c r="O481" s="559" t="s">
        <v>587</v>
      </c>
      <c r="P481" s="552" t="s">
        <v>612</v>
      </c>
      <c r="Q481" s="154"/>
      <c r="R481" s="160" t="s">
        <v>908</v>
      </c>
      <c r="S481" s="413" t="s">
        <v>422</v>
      </c>
      <c r="T481" s="154" t="s">
        <v>423</v>
      </c>
      <c r="U481" s="154"/>
      <c r="V481" s="600"/>
      <c r="W481" s="601"/>
    </row>
    <row r="482" spans="1:23" s="135" customFormat="1" ht="15" hidden="1" customHeight="1">
      <c r="A482" s="306">
        <v>481</v>
      </c>
      <c r="B482" s="556" t="s">
        <v>1153</v>
      </c>
      <c r="C482" s="161"/>
      <c r="D482" s="613" t="s">
        <v>71</v>
      </c>
      <c r="E482" s="350" t="s">
        <v>65</v>
      </c>
      <c r="F482" s="373">
        <v>1</v>
      </c>
      <c r="G482" s="373">
        <v>1</v>
      </c>
      <c r="H482" s="614">
        <f t="shared" si="24"/>
        <v>0</v>
      </c>
      <c r="I482" s="553">
        <v>42918</v>
      </c>
      <c r="J482" s="363" t="s">
        <v>1154</v>
      </c>
      <c r="K482" s="317">
        <v>721</v>
      </c>
      <c r="L482" s="553">
        <v>42918</v>
      </c>
      <c r="M482" s="175">
        <v>2430</v>
      </c>
      <c r="N482" s="615">
        <f t="shared" si="25"/>
        <v>2430</v>
      </c>
      <c r="O482" s="559" t="s">
        <v>587</v>
      </c>
      <c r="P482" s="552" t="s">
        <v>612</v>
      </c>
      <c r="Q482" s="602"/>
      <c r="R482" s="553" t="s">
        <v>908</v>
      </c>
      <c r="S482" s="413" t="s">
        <v>422</v>
      </c>
      <c r="T482" s="154" t="s">
        <v>423</v>
      </c>
      <c r="U482" s="602"/>
      <c r="V482" s="67"/>
      <c r="W482" s="601"/>
    </row>
    <row r="483" spans="1:23" s="135" customFormat="1" ht="15" hidden="1" customHeight="1">
      <c r="A483" s="306">
        <v>482</v>
      </c>
      <c r="B483" s="556" t="s">
        <v>1153</v>
      </c>
      <c r="C483" s="161"/>
      <c r="D483" s="611" t="s">
        <v>31</v>
      </c>
      <c r="E483" s="350" t="s">
        <v>28</v>
      </c>
      <c r="F483" s="373">
        <v>1</v>
      </c>
      <c r="G483" s="373">
        <v>1</v>
      </c>
      <c r="H483" s="614">
        <f t="shared" si="24"/>
        <v>0</v>
      </c>
      <c r="I483" s="553">
        <v>42918</v>
      </c>
      <c r="J483" s="363" t="s">
        <v>1154</v>
      </c>
      <c r="K483" s="317">
        <v>721</v>
      </c>
      <c r="L483" s="553">
        <v>42918</v>
      </c>
      <c r="M483" s="175">
        <v>0</v>
      </c>
      <c r="N483" s="615">
        <f t="shared" si="25"/>
        <v>0</v>
      </c>
      <c r="O483" s="559" t="s">
        <v>587</v>
      </c>
      <c r="P483" s="552" t="s">
        <v>612</v>
      </c>
      <c r="Q483" s="154"/>
      <c r="R483" s="160" t="s">
        <v>908</v>
      </c>
      <c r="S483" s="413" t="s">
        <v>422</v>
      </c>
      <c r="T483" s="154" t="s">
        <v>423</v>
      </c>
      <c r="U483" s="154"/>
      <c r="V483" s="67"/>
      <c r="W483" s="601"/>
    </row>
    <row r="484" spans="1:23" s="135" customFormat="1" ht="15" hidden="1" customHeight="1">
      <c r="A484" s="306">
        <v>483</v>
      </c>
      <c r="B484" s="611">
        <v>4501421516</v>
      </c>
      <c r="C484" s="161"/>
      <c r="D484" s="185" t="s">
        <v>224</v>
      </c>
      <c r="E484" s="350" t="s">
        <v>941</v>
      </c>
      <c r="F484" s="373">
        <v>4</v>
      </c>
      <c r="G484" s="373">
        <v>4</v>
      </c>
      <c r="H484" s="560">
        <f t="shared" si="24"/>
        <v>0</v>
      </c>
      <c r="I484" s="160">
        <v>42920</v>
      </c>
      <c r="J484" s="155" t="s">
        <v>577</v>
      </c>
      <c r="K484" s="240">
        <v>724</v>
      </c>
      <c r="L484" s="371">
        <v>42921</v>
      </c>
      <c r="M484" s="175">
        <v>120</v>
      </c>
      <c r="N484" s="562">
        <f t="shared" si="25"/>
        <v>480</v>
      </c>
      <c r="O484" s="559" t="s">
        <v>587</v>
      </c>
      <c r="P484" s="552" t="s">
        <v>597</v>
      </c>
      <c r="Q484" s="154"/>
      <c r="R484" s="160" t="s">
        <v>908</v>
      </c>
      <c r="S484" s="413" t="s">
        <v>422</v>
      </c>
      <c r="T484" s="154" t="s">
        <v>423</v>
      </c>
      <c r="U484" s="154"/>
      <c r="V484" s="67"/>
      <c r="W484" s="153"/>
    </row>
    <row r="485" spans="1:23" s="135" customFormat="1" ht="15" hidden="1" customHeight="1">
      <c r="A485" s="306">
        <v>484</v>
      </c>
      <c r="B485" s="162">
        <v>4501431886</v>
      </c>
      <c r="C485" s="161"/>
      <c r="D485" s="185" t="s">
        <v>224</v>
      </c>
      <c r="E485" s="350" t="s">
        <v>941</v>
      </c>
      <c r="F485" s="554">
        <v>4</v>
      </c>
      <c r="G485" s="373">
        <v>4</v>
      </c>
      <c r="H485" s="560">
        <f t="shared" si="24"/>
        <v>0</v>
      </c>
      <c r="I485" s="553">
        <v>42920</v>
      </c>
      <c r="J485" s="561" t="s">
        <v>577</v>
      </c>
      <c r="K485" s="240">
        <v>723</v>
      </c>
      <c r="L485" s="553">
        <v>42921</v>
      </c>
      <c r="M485" s="175">
        <v>120</v>
      </c>
      <c r="N485" s="562">
        <f t="shared" si="25"/>
        <v>480</v>
      </c>
      <c r="O485" s="559" t="s">
        <v>587</v>
      </c>
      <c r="P485" s="552" t="s">
        <v>597</v>
      </c>
      <c r="Q485" s="154"/>
      <c r="R485" s="160" t="s">
        <v>908</v>
      </c>
      <c r="S485" s="413" t="s">
        <v>422</v>
      </c>
      <c r="T485" s="154" t="s">
        <v>423</v>
      </c>
      <c r="U485" s="154"/>
      <c r="V485" s="67"/>
      <c r="W485" s="153"/>
    </row>
    <row r="486" spans="1:23" s="135" customFormat="1" ht="15" hidden="1" customHeight="1">
      <c r="A486" s="306">
        <v>485</v>
      </c>
      <c r="B486" s="556" t="s">
        <v>1158</v>
      </c>
      <c r="C486" s="555"/>
      <c r="D486" s="613" t="s">
        <v>49</v>
      </c>
      <c r="E486" s="350" t="s">
        <v>48</v>
      </c>
      <c r="F486" s="554">
        <v>4</v>
      </c>
      <c r="G486" s="608">
        <v>4</v>
      </c>
      <c r="H486" s="560">
        <f t="shared" si="24"/>
        <v>0</v>
      </c>
      <c r="I486" s="553">
        <v>42921</v>
      </c>
      <c r="J486" s="606" t="s">
        <v>1157</v>
      </c>
      <c r="K486" s="612">
        <v>722</v>
      </c>
      <c r="L486" s="605">
        <v>42919</v>
      </c>
      <c r="M486" s="604">
        <v>8400</v>
      </c>
      <c r="N486" s="562">
        <f t="shared" si="25"/>
        <v>33600</v>
      </c>
      <c r="O486" s="559" t="s">
        <v>587</v>
      </c>
      <c r="P486" s="552" t="s">
        <v>597</v>
      </c>
      <c r="Q486" s="552"/>
      <c r="R486" s="553" t="s">
        <v>908</v>
      </c>
      <c r="S486" s="552" t="s">
        <v>422</v>
      </c>
      <c r="T486" s="552" t="s">
        <v>423</v>
      </c>
      <c r="U486" s="600"/>
      <c r="V486" s="601"/>
      <c r="W486" s="197"/>
    </row>
    <row r="487" spans="1:23" s="135" customFormat="1" ht="15" hidden="1" customHeight="1">
      <c r="A487" s="306">
        <v>486</v>
      </c>
      <c r="B487" s="191"/>
      <c r="C487" s="192"/>
      <c r="D487" s="611" t="s">
        <v>122</v>
      </c>
      <c r="E487" s="331" t="s">
        <v>1134</v>
      </c>
      <c r="F487" s="609">
        <v>30</v>
      </c>
      <c r="G487" s="608">
        <v>30</v>
      </c>
      <c r="H487" s="560">
        <f t="shared" si="24"/>
        <v>0</v>
      </c>
      <c r="I487" s="607">
        <v>42922</v>
      </c>
      <c r="J487" s="606" t="s">
        <v>1159</v>
      </c>
      <c r="K487" s="612">
        <v>725</v>
      </c>
      <c r="L487" s="605">
        <v>42921</v>
      </c>
      <c r="M487" s="604">
        <v>875</v>
      </c>
      <c r="N487" s="615">
        <f t="shared" si="25"/>
        <v>26250</v>
      </c>
      <c r="O487" s="559" t="s">
        <v>587</v>
      </c>
      <c r="P487" s="602" t="s">
        <v>612</v>
      </c>
      <c r="Q487" s="190"/>
      <c r="R487" s="377" t="s">
        <v>908</v>
      </c>
      <c r="S487" s="602" t="s">
        <v>422</v>
      </c>
      <c r="T487" s="190" t="s">
        <v>423</v>
      </c>
      <c r="U487" s="600"/>
      <c r="V487" s="601"/>
      <c r="W487" s="197"/>
    </row>
    <row r="488" spans="1:23" s="135" customFormat="1" ht="15" hidden="1" customHeight="1">
      <c r="A488" s="306">
        <v>487</v>
      </c>
      <c r="B488" s="556"/>
      <c r="C488" s="555"/>
      <c r="D488" s="611" t="s">
        <v>219</v>
      </c>
      <c r="E488" s="354" t="s">
        <v>218</v>
      </c>
      <c r="F488" s="554">
        <v>2</v>
      </c>
      <c r="G488" s="554">
        <v>2</v>
      </c>
      <c r="H488" s="193">
        <f t="shared" si="24"/>
        <v>0</v>
      </c>
      <c r="I488" s="607">
        <v>42922</v>
      </c>
      <c r="J488" s="561" t="s">
        <v>1160</v>
      </c>
      <c r="K488" s="557">
        <v>726</v>
      </c>
      <c r="L488" s="553">
        <v>42921</v>
      </c>
      <c r="M488" s="563">
        <v>1900</v>
      </c>
      <c r="N488" s="562">
        <f t="shared" si="25"/>
        <v>3800</v>
      </c>
      <c r="O488" s="559" t="s">
        <v>587</v>
      </c>
      <c r="P488" s="552" t="s">
        <v>1161</v>
      </c>
      <c r="Q488" s="552" t="s">
        <v>1162</v>
      </c>
      <c r="R488" s="377" t="s">
        <v>908</v>
      </c>
      <c r="S488" s="552" t="s">
        <v>422</v>
      </c>
      <c r="T488" s="190" t="s">
        <v>423</v>
      </c>
      <c r="U488" s="552"/>
      <c r="V488" s="67"/>
      <c r="W488" s="601"/>
    </row>
    <row r="489" spans="1:23" s="135" customFormat="1" ht="15" hidden="1" customHeight="1">
      <c r="A489" s="306">
        <v>488</v>
      </c>
      <c r="B489" s="611"/>
      <c r="C489" s="610"/>
      <c r="D489" s="611" t="s">
        <v>158</v>
      </c>
      <c r="E489" s="331" t="s">
        <v>157</v>
      </c>
      <c r="F489" s="609">
        <v>1</v>
      </c>
      <c r="G489" s="609">
        <v>1</v>
      </c>
      <c r="H489" s="560">
        <f t="shared" si="24"/>
        <v>0</v>
      </c>
      <c r="I489" s="607">
        <v>42922</v>
      </c>
      <c r="J489" s="561" t="s">
        <v>1163</v>
      </c>
      <c r="K489" s="557">
        <v>720</v>
      </c>
      <c r="L489" s="607">
        <v>42908</v>
      </c>
      <c r="M489" s="616">
        <v>1271</v>
      </c>
      <c r="N489" s="562">
        <f t="shared" si="25"/>
        <v>1271</v>
      </c>
      <c r="O489" s="559" t="s">
        <v>587</v>
      </c>
      <c r="P489" s="602" t="s">
        <v>640</v>
      </c>
      <c r="Q489" s="602" t="s">
        <v>1164</v>
      </c>
      <c r="R489" s="377" t="s">
        <v>908</v>
      </c>
      <c r="S489" s="602" t="s">
        <v>422</v>
      </c>
      <c r="T489" s="190" t="s">
        <v>423</v>
      </c>
      <c r="U489" s="602"/>
      <c r="V489" s="600"/>
      <c r="W489" s="601"/>
    </row>
    <row r="490" spans="1:23" s="135" customFormat="1" ht="15" hidden="1" customHeight="1">
      <c r="A490" s="306">
        <v>489</v>
      </c>
      <c r="B490" s="611"/>
      <c r="C490" s="610"/>
      <c r="D490" s="611" t="s">
        <v>1131</v>
      </c>
      <c r="E490" s="331" t="s">
        <v>1135</v>
      </c>
      <c r="F490" s="609">
        <v>5</v>
      </c>
      <c r="G490" s="609">
        <v>5</v>
      </c>
      <c r="H490" s="560">
        <f t="shared" si="24"/>
        <v>0</v>
      </c>
      <c r="I490" s="607">
        <v>42922</v>
      </c>
      <c r="J490" s="561" t="s">
        <v>1163</v>
      </c>
      <c r="K490" s="557">
        <v>720</v>
      </c>
      <c r="L490" s="607">
        <v>42908</v>
      </c>
      <c r="M490" s="563">
        <v>136</v>
      </c>
      <c r="N490" s="615">
        <f t="shared" si="25"/>
        <v>680</v>
      </c>
      <c r="O490" s="559" t="s">
        <v>587</v>
      </c>
      <c r="P490" s="602"/>
      <c r="Q490" s="602" t="s">
        <v>1164</v>
      </c>
      <c r="R490" s="377" t="s">
        <v>908</v>
      </c>
      <c r="S490" s="602" t="s">
        <v>422</v>
      </c>
      <c r="T490" s="190" t="s">
        <v>423</v>
      </c>
      <c r="U490" s="602"/>
      <c r="V490" s="600"/>
      <c r="W490" s="601"/>
    </row>
    <row r="491" spans="1:23" s="135" customFormat="1" ht="15" hidden="1" customHeight="1">
      <c r="A491" s="306">
        <v>490</v>
      </c>
      <c r="B491" s="611"/>
      <c r="C491" s="610"/>
      <c r="D491" s="611" t="s">
        <v>1132</v>
      </c>
      <c r="E491" s="331" t="s">
        <v>1136</v>
      </c>
      <c r="F491" s="609">
        <v>1</v>
      </c>
      <c r="G491" s="609">
        <v>1</v>
      </c>
      <c r="H491" s="560">
        <f t="shared" si="24"/>
        <v>0</v>
      </c>
      <c r="I491" s="607">
        <v>42922</v>
      </c>
      <c r="J491" s="561" t="s">
        <v>1163</v>
      </c>
      <c r="K491" s="557">
        <v>720</v>
      </c>
      <c r="L491" s="607">
        <v>42908</v>
      </c>
      <c r="M491" s="616">
        <v>1722</v>
      </c>
      <c r="N491" s="615">
        <f t="shared" si="25"/>
        <v>1722</v>
      </c>
      <c r="O491" s="559" t="s">
        <v>587</v>
      </c>
      <c r="P491" s="602"/>
      <c r="Q491" s="602" t="s">
        <v>1164</v>
      </c>
      <c r="R491" s="377" t="s">
        <v>908</v>
      </c>
      <c r="S491" s="602" t="s">
        <v>422</v>
      </c>
      <c r="T491" s="190" t="s">
        <v>423</v>
      </c>
      <c r="U491" s="602"/>
      <c r="V491" s="600"/>
      <c r="W491" s="601"/>
    </row>
    <row r="492" spans="1:23" s="135" customFormat="1" ht="15" hidden="1" customHeight="1">
      <c r="A492" s="306">
        <v>491</v>
      </c>
      <c r="B492" s="611"/>
      <c r="C492" s="610"/>
      <c r="D492" s="611" t="s">
        <v>188</v>
      </c>
      <c r="E492" s="331" t="s">
        <v>1136</v>
      </c>
      <c r="F492" s="609">
        <v>2</v>
      </c>
      <c r="G492" s="609">
        <v>2</v>
      </c>
      <c r="H492" s="560">
        <f t="shared" si="24"/>
        <v>0</v>
      </c>
      <c r="I492" s="607">
        <v>42922</v>
      </c>
      <c r="J492" s="561" t="s">
        <v>1163</v>
      </c>
      <c r="K492" s="557">
        <v>720</v>
      </c>
      <c r="L492" s="607">
        <v>42908</v>
      </c>
      <c r="M492" s="616">
        <v>4888</v>
      </c>
      <c r="N492" s="615">
        <f t="shared" si="25"/>
        <v>9776</v>
      </c>
      <c r="O492" s="559" t="s">
        <v>587</v>
      </c>
      <c r="P492" s="602"/>
      <c r="Q492" s="602" t="s">
        <v>1164</v>
      </c>
      <c r="R492" s="377" t="s">
        <v>908</v>
      </c>
      <c r="S492" s="602" t="s">
        <v>422</v>
      </c>
      <c r="T492" s="190" t="s">
        <v>423</v>
      </c>
      <c r="U492" s="602"/>
      <c r="V492" s="600"/>
      <c r="W492" s="601"/>
    </row>
    <row r="493" spans="1:23" s="135" customFormat="1" ht="15" hidden="1" customHeight="1">
      <c r="A493" s="306">
        <v>492</v>
      </c>
      <c r="B493" s="556"/>
      <c r="C493" s="555"/>
      <c r="D493" s="611" t="s">
        <v>95</v>
      </c>
      <c r="E493" s="354" t="s">
        <v>94</v>
      </c>
      <c r="F493" s="554">
        <v>1</v>
      </c>
      <c r="G493" s="609">
        <v>1</v>
      </c>
      <c r="H493" s="614">
        <f t="shared" si="24"/>
        <v>0</v>
      </c>
      <c r="I493" s="553">
        <v>42925</v>
      </c>
      <c r="J493" s="561" t="s">
        <v>1175</v>
      </c>
      <c r="K493" s="557">
        <v>729</v>
      </c>
      <c r="L493" s="607">
        <v>42925</v>
      </c>
      <c r="M493" s="616">
        <v>30150</v>
      </c>
      <c r="N493" s="615">
        <f t="shared" si="25"/>
        <v>30150</v>
      </c>
      <c r="O493" s="559" t="s">
        <v>587</v>
      </c>
      <c r="P493" s="552" t="s">
        <v>792</v>
      </c>
      <c r="Q493" s="552" t="s">
        <v>1176</v>
      </c>
      <c r="R493" s="553" t="s">
        <v>908</v>
      </c>
      <c r="S493" s="552" t="s">
        <v>422</v>
      </c>
      <c r="T493" s="190" t="s">
        <v>423</v>
      </c>
      <c r="U493" s="602"/>
      <c r="V493" s="600"/>
      <c r="W493" s="601"/>
    </row>
    <row r="494" spans="1:23" s="135" customFormat="1" ht="15" hidden="1" customHeight="1">
      <c r="A494" s="306">
        <v>493</v>
      </c>
      <c r="B494" s="556" t="s">
        <v>1189</v>
      </c>
      <c r="C494" s="555"/>
      <c r="D494" s="611" t="s">
        <v>35</v>
      </c>
      <c r="E494" s="6" t="s">
        <v>50</v>
      </c>
      <c r="F494" s="554">
        <v>29</v>
      </c>
      <c r="G494" s="554">
        <v>29</v>
      </c>
      <c r="H494" s="614">
        <f t="shared" si="24"/>
        <v>0</v>
      </c>
      <c r="I494" s="553">
        <v>42927</v>
      </c>
      <c r="J494" s="561" t="s">
        <v>1154</v>
      </c>
      <c r="K494" s="557">
        <v>732</v>
      </c>
      <c r="L494" s="607">
        <v>42925</v>
      </c>
      <c r="M494" s="616">
        <v>3100</v>
      </c>
      <c r="N494" s="615">
        <f t="shared" si="25"/>
        <v>89900</v>
      </c>
      <c r="O494" s="559" t="s">
        <v>587</v>
      </c>
      <c r="P494" s="552" t="s">
        <v>612</v>
      </c>
      <c r="Q494" s="552"/>
      <c r="R494" s="607" t="s">
        <v>908</v>
      </c>
      <c r="S494" s="552" t="s">
        <v>422</v>
      </c>
      <c r="T494" s="154" t="s">
        <v>423</v>
      </c>
      <c r="U494" s="602"/>
      <c r="V494" s="600"/>
      <c r="W494" s="601"/>
    </row>
    <row r="495" spans="1:23" s="135" customFormat="1" ht="15" hidden="1" customHeight="1">
      <c r="A495" s="306">
        <v>494</v>
      </c>
      <c r="B495" s="556">
        <v>3200000698</v>
      </c>
      <c r="C495" s="555"/>
      <c r="D495" s="611" t="s">
        <v>1173</v>
      </c>
      <c r="E495" s="535" t="s">
        <v>1174</v>
      </c>
      <c r="F495" s="554">
        <v>1</v>
      </c>
      <c r="G495" s="609">
        <v>1</v>
      </c>
      <c r="H495" s="614">
        <f t="shared" si="24"/>
        <v>0</v>
      </c>
      <c r="I495" s="553">
        <v>42929</v>
      </c>
      <c r="J495" s="561" t="s">
        <v>1190</v>
      </c>
      <c r="K495" s="557">
        <v>733</v>
      </c>
      <c r="L495" s="607">
        <v>42925</v>
      </c>
      <c r="M495" s="616">
        <v>35178</v>
      </c>
      <c r="N495" s="615">
        <f t="shared" si="25"/>
        <v>35178</v>
      </c>
      <c r="O495" s="559" t="s">
        <v>587</v>
      </c>
      <c r="P495" s="552" t="s">
        <v>612</v>
      </c>
      <c r="Q495" s="552"/>
      <c r="R495" s="607" t="s">
        <v>908</v>
      </c>
      <c r="S495" s="552" t="s">
        <v>422</v>
      </c>
      <c r="T495" s="154"/>
      <c r="U495" s="602"/>
      <c r="V495" s="600"/>
      <c r="W495" s="601"/>
    </row>
    <row r="496" spans="1:23" s="135" customFormat="1" ht="15" hidden="1" customHeight="1">
      <c r="A496" s="306">
        <v>495</v>
      </c>
      <c r="B496" s="162" t="s">
        <v>1192</v>
      </c>
      <c r="C496" s="161"/>
      <c r="D496" s="611" t="s">
        <v>58</v>
      </c>
      <c r="E496" s="6" t="s">
        <v>57</v>
      </c>
      <c r="F496" s="373">
        <v>6</v>
      </c>
      <c r="G496" s="609">
        <v>6</v>
      </c>
      <c r="H496" s="614">
        <f t="shared" si="24"/>
        <v>0</v>
      </c>
      <c r="I496" s="160">
        <v>42926</v>
      </c>
      <c r="J496" s="561" t="s">
        <v>1191</v>
      </c>
      <c r="K496" s="557">
        <v>731</v>
      </c>
      <c r="L496" s="607">
        <v>42925</v>
      </c>
      <c r="M496" s="616">
        <v>28800</v>
      </c>
      <c r="N496" s="615">
        <f t="shared" si="25"/>
        <v>172800</v>
      </c>
      <c r="O496" s="559" t="s">
        <v>587</v>
      </c>
      <c r="P496" s="602" t="s">
        <v>612</v>
      </c>
      <c r="Q496" s="154"/>
      <c r="R496" s="607" t="s">
        <v>908</v>
      </c>
      <c r="S496" s="552" t="s">
        <v>422</v>
      </c>
      <c r="T496" s="154" t="s">
        <v>423</v>
      </c>
      <c r="U496" s="602"/>
      <c r="V496" s="600"/>
      <c r="W496" s="601"/>
    </row>
    <row r="497" spans="1:23" s="135" customFormat="1" ht="15" hidden="1" customHeight="1">
      <c r="A497" s="306">
        <v>496</v>
      </c>
      <c r="B497" s="556" t="s">
        <v>1192</v>
      </c>
      <c r="C497" s="161"/>
      <c r="D497" s="611" t="s">
        <v>56</v>
      </c>
      <c r="E497" s="519" t="s">
        <v>55</v>
      </c>
      <c r="F497" s="373">
        <v>6</v>
      </c>
      <c r="G497" s="373">
        <v>6</v>
      </c>
      <c r="H497" s="614">
        <f t="shared" si="24"/>
        <v>0</v>
      </c>
      <c r="I497" s="553">
        <v>42926</v>
      </c>
      <c r="J497" s="561" t="s">
        <v>1191</v>
      </c>
      <c r="K497" s="240">
        <v>731</v>
      </c>
      <c r="L497" s="553">
        <v>42925</v>
      </c>
      <c r="M497" s="175">
        <v>8500</v>
      </c>
      <c r="N497" s="615">
        <f t="shared" si="25"/>
        <v>51000</v>
      </c>
      <c r="O497" s="559" t="s">
        <v>587</v>
      </c>
      <c r="P497" s="552" t="s">
        <v>612</v>
      </c>
      <c r="Q497" s="154"/>
      <c r="R497" s="553" t="s">
        <v>908</v>
      </c>
      <c r="S497" s="552" t="s">
        <v>422</v>
      </c>
      <c r="T497" s="154" t="s">
        <v>423</v>
      </c>
      <c r="U497" s="154"/>
      <c r="V497" s="67"/>
      <c r="W497" s="601"/>
    </row>
    <row r="498" spans="1:23" s="135" customFormat="1" ht="15" hidden="1" customHeight="1">
      <c r="A498" s="306">
        <v>497</v>
      </c>
      <c r="B498" s="162" t="s">
        <v>1193</v>
      </c>
      <c r="C498" s="161"/>
      <c r="D498" s="611" t="s">
        <v>718</v>
      </c>
      <c r="E498" s="498" t="s">
        <v>719</v>
      </c>
      <c r="F498" s="373">
        <v>4</v>
      </c>
      <c r="G498" s="609">
        <v>4</v>
      </c>
      <c r="H498" s="380">
        <f t="shared" si="24"/>
        <v>0</v>
      </c>
      <c r="I498" s="553">
        <v>42926</v>
      </c>
      <c r="J498" s="561" t="s">
        <v>1194</v>
      </c>
      <c r="K498" s="557">
        <v>728</v>
      </c>
      <c r="L498" s="607">
        <v>42924</v>
      </c>
      <c r="M498" s="616">
        <v>1325</v>
      </c>
      <c r="N498" s="173">
        <f t="shared" si="25"/>
        <v>5300</v>
      </c>
      <c r="O498" s="559" t="s">
        <v>587</v>
      </c>
      <c r="P498" s="552" t="s">
        <v>612</v>
      </c>
      <c r="Q498" s="154"/>
      <c r="R498" s="553" t="s">
        <v>908</v>
      </c>
      <c r="S498" s="552" t="s">
        <v>422</v>
      </c>
      <c r="T498" s="552" t="s">
        <v>423</v>
      </c>
      <c r="U498" s="602"/>
      <c r="V498" s="600"/>
      <c r="W498" s="601"/>
    </row>
    <row r="499" spans="1:23" s="135" customFormat="1" ht="15" hidden="1" customHeight="1">
      <c r="A499" s="306">
        <v>498</v>
      </c>
      <c r="B499" s="162">
        <v>4035454</v>
      </c>
      <c r="C499" s="161"/>
      <c r="D499" s="611" t="s">
        <v>1026</v>
      </c>
      <c r="E499" s="499" t="s">
        <v>1032</v>
      </c>
      <c r="F499" s="373">
        <v>48</v>
      </c>
      <c r="G499" s="609">
        <v>48</v>
      </c>
      <c r="H499" s="614">
        <f t="shared" si="24"/>
        <v>0</v>
      </c>
      <c r="I499" s="160">
        <v>42927</v>
      </c>
      <c r="J499" s="561" t="s">
        <v>477</v>
      </c>
      <c r="K499" s="557">
        <v>737</v>
      </c>
      <c r="L499" s="607">
        <v>42926</v>
      </c>
      <c r="M499" s="616">
        <v>1229</v>
      </c>
      <c r="N499" s="615">
        <f t="shared" si="25"/>
        <v>58992</v>
      </c>
      <c r="O499" s="559" t="s">
        <v>587</v>
      </c>
      <c r="P499" s="154" t="s">
        <v>530</v>
      </c>
      <c r="Q499" s="154"/>
      <c r="R499" s="553" t="s">
        <v>908</v>
      </c>
      <c r="S499" s="552" t="s">
        <v>422</v>
      </c>
      <c r="T499" s="552" t="s">
        <v>423</v>
      </c>
      <c r="U499" s="602"/>
      <c r="V499" s="600"/>
      <c r="W499" s="601"/>
    </row>
    <row r="500" spans="1:23" s="135" customFormat="1" ht="15" customHeight="1">
      <c r="A500" s="306">
        <v>499</v>
      </c>
      <c r="B500" s="162" t="s">
        <v>1195</v>
      </c>
      <c r="C500" s="161"/>
      <c r="D500" s="611" t="s">
        <v>1185</v>
      </c>
      <c r="E500" s="499" t="s">
        <v>1188</v>
      </c>
      <c r="F500" s="373">
        <v>34</v>
      </c>
      <c r="G500" s="373">
        <v>34</v>
      </c>
      <c r="H500" s="380">
        <f t="shared" si="24"/>
        <v>0</v>
      </c>
      <c r="I500" s="160">
        <v>42927</v>
      </c>
      <c r="J500" s="155" t="s">
        <v>507</v>
      </c>
      <c r="K500" s="557">
        <v>738</v>
      </c>
      <c r="L500" s="607">
        <v>42927</v>
      </c>
      <c r="M500" s="616">
        <v>415</v>
      </c>
      <c r="N500" s="173">
        <f t="shared" si="25"/>
        <v>14110</v>
      </c>
      <c r="O500" s="559" t="s">
        <v>587</v>
      </c>
      <c r="P500" s="552" t="s">
        <v>530</v>
      </c>
      <c r="Q500" s="154"/>
      <c r="R500" s="553" t="s">
        <v>908</v>
      </c>
      <c r="S500" s="552" t="s">
        <v>422</v>
      </c>
      <c r="T500" s="552" t="s">
        <v>423</v>
      </c>
      <c r="U500" s="154"/>
      <c r="V500" s="600"/>
      <c r="W500" s="601"/>
    </row>
    <row r="501" spans="1:23" s="135" customFormat="1" ht="15" hidden="1" customHeight="1">
      <c r="A501" s="306">
        <v>500</v>
      </c>
      <c r="B501" s="162" t="s">
        <v>1196</v>
      </c>
      <c r="C501" s="161"/>
      <c r="D501" s="611" t="s">
        <v>247</v>
      </c>
      <c r="E501" s="600" t="s">
        <v>259</v>
      </c>
      <c r="F501" s="373">
        <v>2</v>
      </c>
      <c r="G501" s="609">
        <v>2</v>
      </c>
      <c r="H501" s="614">
        <f t="shared" si="24"/>
        <v>0</v>
      </c>
      <c r="I501" s="160">
        <v>42928</v>
      </c>
      <c r="J501" s="561" t="s">
        <v>611</v>
      </c>
      <c r="K501" s="240">
        <v>740</v>
      </c>
      <c r="L501" s="607">
        <v>42928</v>
      </c>
      <c r="M501" s="616">
        <v>3685</v>
      </c>
      <c r="N501" s="615">
        <f t="shared" si="25"/>
        <v>7370</v>
      </c>
      <c r="O501" s="559" t="s">
        <v>587</v>
      </c>
      <c r="P501" s="154" t="s">
        <v>844</v>
      </c>
      <c r="Q501" s="602"/>
      <c r="R501" s="607" t="s">
        <v>908</v>
      </c>
      <c r="S501" s="552" t="s">
        <v>422</v>
      </c>
      <c r="T501" s="154" t="s">
        <v>423</v>
      </c>
      <c r="U501" s="602"/>
      <c r="V501" s="600"/>
      <c r="W501" s="601"/>
    </row>
    <row r="502" spans="1:23" s="135" customFormat="1" ht="15" hidden="1" customHeight="1">
      <c r="A502" s="306">
        <v>501</v>
      </c>
      <c r="B502" s="611" t="s">
        <v>1196</v>
      </c>
      <c r="C502" s="610"/>
      <c r="D502" s="611" t="s">
        <v>250</v>
      </c>
      <c r="E502" s="600" t="s">
        <v>262</v>
      </c>
      <c r="F502" s="609">
        <v>2</v>
      </c>
      <c r="G502" s="609">
        <v>2</v>
      </c>
      <c r="H502" s="614">
        <f t="shared" si="24"/>
        <v>0</v>
      </c>
      <c r="I502" s="607">
        <v>42928</v>
      </c>
      <c r="J502" s="561" t="s">
        <v>611</v>
      </c>
      <c r="K502" s="557">
        <v>740</v>
      </c>
      <c r="L502" s="607">
        <v>42928</v>
      </c>
      <c r="M502" s="616">
        <v>1400</v>
      </c>
      <c r="N502" s="615">
        <f t="shared" si="25"/>
        <v>2800</v>
      </c>
      <c r="O502" s="559" t="s">
        <v>587</v>
      </c>
      <c r="P502" s="602" t="s">
        <v>844</v>
      </c>
      <c r="Q502" s="602"/>
      <c r="R502" s="607" t="s">
        <v>908</v>
      </c>
      <c r="S502" s="602" t="s">
        <v>422</v>
      </c>
      <c r="T502" s="602" t="s">
        <v>423</v>
      </c>
      <c r="U502" s="602"/>
      <c r="V502" s="600"/>
      <c r="W502" s="601">
        <v>300</v>
      </c>
    </row>
    <row r="503" spans="1:23" s="135" customFormat="1" ht="15" hidden="1" customHeight="1">
      <c r="A503" s="306">
        <v>502</v>
      </c>
      <c r="B503" s="556" t="s">
        <v>1196</v>
      </c>
      <c r="C503" s="161"/>
      <c r="D503" s="611" t="s">
        <v>71</v>
      </c>
      <c r="E503" s="350" t="s">
        <v>65</v>
      </c>
      <c r="F503" s="373">
        <v>1</v>
      </c>
      <c r="G503" s="373">
        <v>1</v>
      </c>
      <c r="H503" s="614">
        <f t="shared" si="24"/>
        <v>0</v>
      </c>
      <c r="I503" s="553">
        <v>42928</v>
      </c>
      <c r="J503" s="561" t="s">
        <v>611</v>
      </c>
      <c r="K503" s="557">
        <v>740</v>
      </c>
      <c r="L503" s="607">
        <v>42928</v>
      </c>
      <c r="M503" s="616">
        <v>1955</v>
      </c>
      <c r="N503" s="615">
        <f t="shared" si="25"/>
        <v>1955</v>
      </c>
      <c r="O503" s="559" t="s">
        <v>587</v>
      </c>
      <c r="P503" s="552" t="s">
        <v>844</v>
      </c>
      <c r="Q503" s="154"/>
      <c r="R503" s="607" t="s">
        <v>908</v>
      </c>
      <c r="S503" s="552" t="s">
        <v>422</v>
      </c>
      <c r="T503" s="154" t="s">
        <v>423</v>
      </c>
      <c r="U503" s="602"/>
      <c r="V503" s="600"/>
      <c r="W503" s="601"/>
    </row>
    <row r="504" spans="1:23" s="135" customFormat="1" ht="15" hidden="1" customHeight="1">
      <c r="A504" s="306">
        <v>503</v>
      </c>
      <c r="B504" s="556" t="s">
        <v>1196</v>
      </c>
      <c r="C504" s="161"/>
      <c r="D504" s="611" t="s">
        <v>31</v>
      </c>
      <c r="E504" s="153" t="s">
        <v>28</v>
      </c>
      <c r="F504" s="373">
        <v>1</v>
      </c>
      <c r="G504" s="373">
        <v>1</v>
      </c>
      <c r="H504" s="614">
        <f t="shared" ref="H504:H535" si="26">F504-G504</f>
        <v>0</v>
      </c>
      <c r="I504" s="553">
        <v>42928</v>
      </c>
      <c r="J504" s="561" t="s">
        <v>611</v>
      </c>
      <c r="K504" s="557">
        <v>740</v>
      </c>
      <c r="L504" s="553">
        <v>42928</v>
      </c>
      <c r="M504" s="175">
        <v>435</v>
      </c>
      <c r="N504" s="615">
        <f t="shared" ref="N504:N535" si="27">IFERROR(M504*G504,0)</f>
        <v>435</v>
      </c>
      <c r="O504" s="559" t="s">
        <v>587</v>
      </c>
      <c r="P504" s="552" t="s">
        <v>844</v>
      </c>
      <c r="Q504" s="154"/>
      <c r="R504" s="553" t="s">
        <v>908</v>
      </c>
      <c r="S504" s="552" t="s">
        <v>422</v>
      </c>
      <c r="T504" s="154" t="s">
        <v>423</v>
      </c>
      <c r="U504" s="154"/>
      <c r="V504" s="67"/>
      <c r="W504" s="601"/>
    </row>
    <row r="505" spans="1:23" s="135" customFormat="1" ht="15" hidden="1" customHeight="1">
      <c r="A505" s="306">
        <v>504</v>
      </c>
      <c r="B505" s="162"/>
      <c r="C505" s="161"/>
      <c r="D505" s="186" t="s">
        <v>226</v>
      </c>
      <c r="E505" s="350" t="s">
        <v>944</v>
      </c>
      <c r="F505" s="373">
        <v>16</v>
      </c>
      <c r="G505" s="373">
        <v>16</v>
      </c>
      <c r="H505" s="380">
        <f t="shared" si="26"/>
        <v>0</v>
      </c>
      <c r="I505" s="160">
        <v>42929</v>
      </c>
      <c r="J505" s="155" t="s">
        <v>1199</v>
      </c>
      <c r="K505" s="240">
        <v>741</v>
      </c>
      <c r="L505" s="371">
        <v>42928</v>
      </c>
      <c r="M505" s="175">
        <v>300</v>
      </c>
      <c r="N505" s="173">
        <f t="shared" si="27"/>
        <v>4800</v>
      </c>
      <c r="O505" s="559" t="s">
        <v>587</v>
      </c>
      <c r="P505" s="552" t="s">
        <v>844</v>
      </c>
      <c r="Q505" s="154"/>
      <c r="R505" s="553" t="s">
        <v>908</v>
      </c>
      <c r="S505" s="552" t="s">
        <v>422</v>
      </c>
      <c r="T505" s="552" t="s">
        <v>423</v>
      </c>
      <c r="U505" s="154"/>
      <c r="V505" s="67"/>
      <c r="W505" s="153"/>
    </row>
    <row r="506" spans="1:23" s="135" customFormat="1" ht="15" hidden="1" customHeight="1">
      <c r="A506" s="306">
        <v>505</v>
      </c>
      <c r="B506" s="611" t="s">
        <v>1198</v>
      </c>
      <c r="C506" s="610"/>
      <c r="D506" s="611" t="s">
        <v>39</v>
      </c>
      <c r="E506" s="350" t="s">
        <v>38</v>
      </c>
      <c r="F506" s="609">
        <v>4</v>
      </c>
      <c r="G506" s="609">
        <v>4</v>
      </c>
      <c r="H506" s="614">
        <f t="shared" si="26"/>
        <v>0</v>
      </c>
      <c r="I506" s="607">
        <v>42929</v>
      </c>
      <c r="J506" s="561" t="s">
        <v>1197</v>
      </c>
      <c r="K506" s="557">
        <v>736</v>
      </c>
      <c r="L506" s="607">
        <v>42926</v>
      </c>
      <c r="M506" s="616">
        <v>4600</v>
      </c>
      <c r="N506" s="615">
        <f t="shared" si="27"/>
        <v>18400</v>
      </c>
      <c r="O506" s="559" t="s">
        <v>587</v>
      </c>
      <c r="P506" s="602" t="s">
        <v>555</v>
      </c>
      <c r="Q506" s="602"/>
      <c r="R506" s="607" t="s">
        <v>908</v>
      </c>
      <c r="S506" s="602" t="s">
        <v>422</v>
      </c>
      <c r="T506" s="602" t="s">
        <v>423</v>
      </c>
      <c r="U506" s="602"/>
      <c r="V506" s="600"/>
      <c r="W506" s="601"/>
    </row>
    <row r="507" spans="1:23" s="135" customFormat="1" ht="15" hidden="1" customHeight="1">
      <c r="A507" s="306">
        <v>506</v>
      </c>
      <c r="B507" s="611" t="s">
        <v>1198</v>
      </c>
      <c r="C507" s="610"/>
      <c r="D507" s="611" t="s">
        <v>1184</v>
      </c>
      <c r="E507" s="499" t="s">
        <v>1187</v>
      </c>
      <c r="F507" s="609">
        <v>8</v>
      </c>
      <c r="G507" s="609">
        <v>8</v>
      </c>
      <c r="H507" s="614">
        <f t="shared" si="26"/>
        <v>0</v>
      </c>
      <c r="I507" s="607">
        <v>42929</v>
      </c>
      <c r="J507" s="561" t="s">
        <v>1197</v>
      </c>
      <c r="K507" s="557">
        <v>736</v>
      </c>
      <c r="L507" s="607">
        <v>42926</v>
      </c>
      <c r="M507" s="616">
        <v>2450</v>
      </c>
      <c r="N507" s="615">
        <f t="shared" si="27"/>
        <v>19600</v>
      </c>
      <c r="O507" s="559" t="s">
        <v>587</v>
      </c>
      <c r="P507" s="602" t="s">
        <v>555</v>
      </c>
      <c r="Q507" s="602"/>
      <c r="R507" s="607" t="s">
        <v>908</v>
      </c>
      <c r="S507" s="602" t="s">
        <v>422</v>
      </c>
      <c r="T507" s="602" t="s">
        <v>423</v>
      </c>
      <c r="U507" s="602"/>
      <c r="V507" s="600"/>
      <c r="W507" s="601"/>
    </row>
    <row r="508" spans="1:23" s="135" customFormat="1" ht="15" hidden="1" customHeight="1">
      <c r="A508" s="306">
        <v>507</v>
      </c>
      <c r="B508" s="162">
        <v>4501443862</v>
      </c>
      <c r="C508" s="161"/>
      <c r="D508" s="611" t="s">
        <v>71</v>
      </c>
      <c r="E508" s="350" t="s">
        <v>65</v>
      </c>
      <c r="F508" s="373">
        <v>2</v>
      </c>
      <c r="G508" s="373">
        <v>2</v>
      </c>
      <c r="H508" s="614">
        <f t="shared" si="26"/>
        <v>0</v>
      </c>
      <c r="I508" s="160">
        <v>42932</v>
      </c>
      <c r="J508" s="155" t="s">
        <v>577</v>
      </c>
      <c r="K508" s="240">
        <v>742</v>
      </c>
      <c r="L508" s="607">
        <v>42932</v>
      </c>
      <c r="M508" s="616">
        <v>2020</v>
      </c>
      <c r="N508" s="615">
        <f t="shared" si="27"/>
        <v>4040</v>
      </c>
      <c r="O508" s="559"/>
      <c r="P508" s="154"/>
      <c r="Q508" s="154"/>
      <c r="R508" s="607" t="s">
        <v>908</v>
      </c>
      <c r="S508" s="413" t="s">
        <v>422</v>
      </c>
      <c r="T508" s="154" t="s">
        <v>423</v>
      </c>
      <c r="U508" s="602"/>
      <c r="V508" s="600"/>
      <c r="W508" s="601"/>
    </row>
    <row r="509" spans="1:23" s="135" customFormat="1" ht="15" hidden="1" customHeight="1">
      <c r="A509" s="306">
        <v>508</v>
      </c>
      <c r="B509" s="556">
        <v>4501443862</v>
      </c>
      <c r="C509" s="161"/>
      <c r="D509" s="611" t="s">
        <v>31</v>
      </c>
      <c r="E509" s="350" t="s">
        <v>28</v>
      </c>
      <c r="F509" s="373">
        <v>2</v>
      </c>
      <c r="G509" s="373">
        <v>2</v>
      </c>
      <c r="H509" s="614">
        <f t="shared" si="26"/>
        <v>0</v>
      </c>
      <c r="I509" s="553">
        <v>42932</v>
      </c>
      <c r="J509" s="561" t="s">
        <v>577</v>
      </c>
      <c r="K509" s="557">
        <v>742</v>
      </c>
      <c r="L509" s="553">
        <v>42932</v>
      </c>
      <c r="M509" s="175">
        <v>0</v>
      </c>
      <c r="N509" s="615">
        <f t="shared" si="27"/>
        <v>0</v>
      </c>
      <c r="O509" s="559"/>
      <c r="P509" s="154"/>
      <c r="Q509" s="154"/>
      <c r="R509" s="160" t="s">
        <v>908</v>
      </c>
      <c r="S509" s="413" t="s">
        <v>422</v>
      </c>
      <c r="T509" s="154" t="s">
        <v>423</v>
      </c>
      <c r="U509" s="154"/>
      <c r="V509" s="67"/>
      <c r="W509" s="601"/>
    </row>
    <row r="510" spans="1:23" s="135" customFormat="1" ht="15" hidden="1" customHeight="1">
      <c r="A510" s="306">
        <v>509</v>
      </c>
      <c r="B510" s="162" t="s">
        <v>1200</v>
      </c>
      <c r="C510" s="161"/>
      <c r="D510" s="611" t="s">
        <v>954</v>
      </c>
      <c r="E510" s="498" t="s">
        <v>955</v>
      </c>
      <c r="F510" s="373">
        <v>1</v>
      </c>
      <c r="G510" s="373">
        <v>1</v>
      </c>
      <c r="H510" s="614">
        <f t="shared" si="26"/>
        <v>0</v>
      </c>
      <c r="I510" s="160">
        <v>42932</v>
      </c>
      <c r="J510" s="155" t="s">
        <v>965</v>
      </c>
      <c r="K510" s="240">
        <v>743</v>
      </c>
      <c r="L510" s="371">
        <v>42932</v>
      </c>
      <c r="M510" s="175">
        <v>22000</v>
      </c>
      <c r="N510" s="615">
        <f t="shared" si="27"/>
        <v>22000</v>
      </c>
      <c r="O510" s="559" t="s">
        <v>587</v>
      </c>
      <c r="P510" s="154" t="s">
        <v>612</v>
      </c>
      <c r="Q510" s="154"/>
      <c r="R510" s="160"/>
      <c r="S510" s="413"/>
      <c r="T510" s="154"/>
      <c r="U510" s="154"/>
      <c r="V510" s="67"/>
      <c r="W510" s="601"/>
    </row>
    <row r="511" spans="1:23" s="135" customFormat="1" ht="15" hidden="1" customHeight="1">
      <c r="A511" s="306">
        <v>510</v>
      </c>
      <c r="B511" s="162" t="s">
        <v>1202</v>
      </c>
      <c r="C511" s="161"/>
      <c r="D511" s="611" t="s">
        <v>71</v>
      </c>
      <c r="E511" s="350" t="s">
        <v>65</v>
      </c>
      <c r="F511" s="373">
        <v>5</v>
      </c>
      <c r="G511" s="609">
        <v>5</v>
      </c>
      <c r="H511" s="614">
        <f t="shared" si="26"/>
        <v>0</v>
      </c>
      <c r="I511" s="160">
        <v>42934</v>
      </c>
      <c r="J511" s="561" t="s">
        <v>611</v>
      </c>
      <c r="K511" s="240">
        <v>749</v>
      </c>
      <c r="L511" s="607">
        <v>42934</v>
      </c>
      <c r="M511" s="616">
        <v>1955</v>
      </c>
      <c r="N511" s="615">
        <f t="shared" si="27"/>
        <v>9775</v>
      </c>
      <c r="O511" s="559" t="s">
        <v>587</v>
      </c>
      <c r="P511" s="552" t="s">
        <v>597</v>
      </c>
      <c r="Q511" s="602"/>
      <c r="R511" s="607" t="s">
        <v>908</v>
      </c>
      <c r="S511" s="552" t="s">
        <v>422</v>
      </c>
      <c r="T511" s="552" t="s">
        <v>423</v>
      </c>
      <c r="U511" s="602"/>
      <c r="V511" s="600"/>
      <c r="W511" s="601"/>
    </row>
    <row r="512" spans="1:23" s="135" customFormat="1" ht="15" hidden="1" customHeight="1">
      <c r="A512" s="306">
        <v>511</v>
      </c>
      <c r="B512" s="162" t="s">
        <v>1203</v>
      </c>
      <c r="C512" s="161"/>
      <c r="D512" s="611" t="s">
        <v>51</v>
      </c>
      <c r="E512" s="6" t="s">
        <v>50</v>
      </c>
      <c r="F512" s="373">
        <v>1</v>
      </c>
      <c r="G512" s="373">
        <v>1</v>
      </c>
      <c r="H512" s="614">
        <f t="shared" si="26"/>
        <v>0</v>
      </c>
      <c r="I512" s="553">
        <v>42934</v>
      </c>
      <c r="J512" s="561" t="s">
        <v>611</v>
      </c>
      <c r="K512" s="240">
        <v>747</v>
      </c>
      <c r="L512" s="371">
        <v>42933</v>
      </c>
      <c r="M512" s="175">
        <v>2450</v>
      </c>
      <c r="N512" s="615">
        <f t="shared" si="27"/>
        <v>2450</v>
      </c>
      <c r="O512" s="559" t="s">
        <v>587</v>
      </c>
      <c r="P512" s="154" t="s">
        <v>512</v>
      </c>
      <c r="Q512" s="154"/>
      <c r="R512" s="553" t="s">
        <v>908</v>
      </c>
      <c r="S512" s="552" t="s">
        <v>422</v>
      </c>
      <c r="T512" s="552" t="s">
        <v>423</v>
      </c>
      <c r="U512" s="154"/>
      <c r="V512" s="67"/>
      <c r="W512" s="601"/>
    </row>
    <row r="513" spans="1:23" s="135" customFormat="1" ht="15" hidden="1" customHeight="1">
      <c r="A513" s="306">
        <v>512</v>
      </c>
      <c r="B513" s="611" t="s">
        <v>855</v>
      </c>
      <c r="C513" s="610"/>
      <c r="D513" s="596" t="s">
        <v>1201</v>
      </c>
      <c r="E513" s="559" t="s">
        <v>1101</v>
      </c>
      <c r="F513" s="609">
        <v>2</v>
      </c>
      <c r="G513" s="609">
        <v>2</v>
      </c>
      <c r="H513" s="614">
        <f t="shared" si="26"/>
        <v>0</v>
      </c>
      <c r="I513" s="607">
        <v>42934</v>
      </c>
      <c r="J513" s="561" t="s">
        <v>643</v>
      </c>
      <c r="K513" s="240">
        <v>739</v>
      </c>
      <c r="L513" s="607">
        <v>42927</v>
      </c>
      <c r="M513" s="616">
        <v>11920</v>
      </c>
      <c r="N513" s="615">
        <f t="shared" si="27"/>
        <v>23840</v>
      </c>
      <c r="O513" s="559" t="s">
        <v>587</v>
      </c>
      <c r="P513" s="602" t="s">
        <v>612</v>
      </c>
      <c r="Q513" s="602"/>
      <c r="R513" s="607" t="s">
        <v>908</v>
      </c>
      <c r="S513" s="602" t="s">
        <v>422</v>
      </c>
      <c r="T513" s="602" t="s">
        <v>423</v>
      </c>
      <c r="U513" s="602"/>
      <c r="V513" s="600"/>
      <c r="W513" s="601"/>
    </row>
    <row r="514" spans="1:23" s="135" customFormat="1" ht="15" hidden="1" customHeight="1">
      <c r="A514" s="306">
        <v>513</v>
      </c>
      <c r="B514" s="162">
        <v>2259</v>
      </c>
      <c r="C514" s="161"/>
      <c r="D514" s="611" t="s">
        <v>84</v>
      </c>
      <c r="E514" s="367" t="s">
        <v>83</v>
      </c>
      <c r="F514" s="373">
        <v>1</v>
      </c>
      <c r="G514" s="609">
        <v>1</v>
      </c>
      <c r="H514" s="380">
        <f t="shared" si="26"/>
        <v>0</v>
      </c>
      <c r="I514" s="160">
        <v>42935</v>
      </c>
      <c r="J514" s="606" t="s">
        <v>1204</v>
      </c>
      <c r="K514" s="557">
        <v>751</v>
      </c>
      <c r="L514" s="607">
        <v>42935</v>
      </c>
      <c r="M514" s="616">
        <v>37000</v>
      </c>
      <c r="N514" s="173">
        <f t="shared" si="27"/>
        <v>37000</v>
      </c>
      <c r="O514" s="559" t="s">
        <v>587</v>
      </c>
      <c r="P514" s="602" t="s">
        <v>1205</v>
      </c>
      <c r="Q514" s="154"/>
      <c r="R514" s="607" t="s">
        <v>908</v>
      </c>
      <c r="S514" s="552" t="s">
        <v>422</v>
      </c>
      <c r="T514" s="552" t="s">
        <v>423</v>
      </c>
      <c r="U514" s="602"/>
      <c r="V514" s="600"/>
      <c r="W514" s="601"/>
    </row>
    <row r="515" spans="1:23" s="135" customFormat="1" ht="15" hidden="1" customHeight="1">
      <c r="A515" s="306">
        <v>514</v>
      </c>
      <c r="B515" s="556">
        <v>2259</v>
      </c>
      <c r="C515" s="161"/>
      <c r="D515" s="611" t="s">
        <v>93</v>
      </c>
      <c r="E515" s="458" t="s">
        <v>92</v>
      </c>
      <c r="F515" s="373">
        <v>1</v>
      </c>
      <c r="G515" s="609">
        <v>1</v>
      </c>
      <c r="H515" s="614">
        <f t="shared" si="26"/>
        <v>0</v>
      </c>
      <c r="I515" s="553">
        <v>42935</v>
      </c>
      <c r="J515" s="430" t="s">
        <v>1204</v>
      </c>
      <c r="K515" s="557">
        <v>751</v>
      </c>
      <c r="L515" s="607">
        <v>42935</v>
      </c>
      <c r="M515" s="616">
        <v>33000</v>
      </c>
      <c r="N515" s="615">
        <f t="shared" si="27"/>
        <v>33000</v>
      </c>
      <c r="O515" s="559" t="s">
        <v>587</v>
      </c>
      <c r="P515" s="552" t="s">
        <v>1205</v>
      </c>
      <c r="Q515" s="602"/>
      <c r="R515" s="607" t="s">
        <v>908</v>
      </c>
      <c r="S515" s="552" t="s">
        <v>422</v>
      </c>
      <c r="T515" s="552" t="s">
        <v>423</v>
      </c>
      <c r="U515" s="602"/>
      <c r="V515" s="600"/>
      <c r="W515" s="601"/>
    </row>
    <row r="516" spans="1:23" s="135" customFormat="1" ht="15" hidden="1" customHeight="1">
      <c r="A516" s="306">
        <v>515</v>
      </c>
      <c r="B516" s="611" t="s">
        <v>1208</v>
      </c>
      <c r="C516" s="610"/>
      <c r="D516" s="611" t="s">
        <v>70</v>
      </c>
      <c r="E516" s="354" t="s">
        <v>69</v>
      </c>
      <c r="F516" s="609">
        <v>2</v>
      </c>
      <c r="G516" s="609">
        <v>2</v>
      </c>
      <c r="H516" s="614">
        <f t="shared" si="26"/>
        <v>0</v>
      </c>
      <c r="I516" s="607">
        <v>42939</v>
      </c>
      <c r="J516" s="174" t="s">
        <v>1206</v>
      </c>
      <c r="K516" s="557">
        <v>753</v>
      </c>
      <c r="L516" s="607">
        <v>42935</v>
      </c>
      <c r="M516" s="616">
        <v>14745</v>
      </c>
      <c r="N516" s="615">
        <f t="shared" si="27"/>
        <v>29490</v>
      </c>
      <c r="O516" s="559" t="s">
        <v>587</v>
      </c>
      <c r="P516" s="603" t="s">
        <v>1207</v>
      </c>
      <c r="Q516" s="603" t="s">
        <v>1209</v>
      </c>
      <c r="R516" s="607" t="s">
        <v>908</v>
      </c>
      <c r="S516" s="602" t="s">
        <v>422</v>
      </c>
      <c r="T516" s="602" t="s">
        <v>423</v>
      </c>
      <c r="U516" s="189"/>
      <c r="V516" s="600"/>
      <c r="W516" s="601"/>
    </row>
    <row r="517" spans="1:23" s="135" customFormat="1" ht="15" hidden="1" customHeight="1">
      <c r="A517" s="306">
        <v>516</v>
      </c>
      <c r="B517" s="162">
        <v>4501444476</v>
      </c>
      <c r="C517" s="161"/>
      <c r="D517" s="611" t="s">
        <v>49</v>
      </c>
      <c r="E517" s="350" t="s">
        <v>48</v>
      </c>
      <c r="F517" s="373">
        <v>1</v>
      </c>
      <c r="G517" s="609">
        <v>1</v>
      </c>
      <c r="H517" s="614">
        <f t="shared" si="26"/>
        <v>0</v>
      </c>
      <c r="I517" s="553">
        <v>42939</v>
      </c>
      <c r="J517" s="174" t="s">
        <v>577</v>
      </c>
      <c r="K517" s="557">
        <v>750</v>
      </c>
      <c r="L517" s="607">
        <v>42934</v>
      </c>
      <c r="M517" s="616">
        <v>8775</v>
      </c>
      <c r="N517" s="615">
        <f t="shared" si="27"/>
        <v>8775</v>
      </c>
      <c r="O517" s="559" t="s">
        <v>587</v>
      </c>
      <c r="P517" s="603" t="s">
        <v>995</v>
      </c>
      <c r="Q517" s="603"/>
      <c r="R517" s="607" t="s">
        <v>908</v>
      </c>
      <c r="S517" s="413" t="s">
        <v>422</v>
      </c>
      <c r="T517" s="154" t="s">
        <v>423</v>
      </c>
      <c r="U517" s="602"/>
      <c r="V517" s="600"/>
      <c r="W517" s="601"/>
    </row>
    <row r="518" spans="1:23" s="135" customFormat="1" ht="15" hidden="1" customHeight="1">
      <c r="A518" s="306">
        <v>517</v>
      </c>
      <c r="B518" s="162"/>
      <c r="C518" s="161"/>
      <c r="D518" s="611" t="s">
        <v>448</v>
      </c>
      <c r="E518" s="6" t="s">
        <v>449</v>
      </c>
      <c r="F518" s="373">
        <v>1</v>
      </c>
      <c r="G518" s="609">
        <v>1</v>
      </c>
      <c r="H518" s="614">
        <f t="shared" si="26"/>
        <v>0</v>
      </c>
      <c r="I518" s="160">
        <v>42940</v>
      </c>
      <c r="J518" s="155" t="s">
        <v>1210</v>
      </c>
      <c r="K518" s="240">
        <v>755</v>
      </c>
      <c r="L518" s="607">
        <v>42940</v>
      </c>
      <c r="M518" s="616">
        <v>28600</v>
      </c>
      <c r="N518" s="615">
        <f t="shared" si="27"/>
        <v>28600</v>
      </c>
      <c r="O518" s="559" t="s">
        <v>587</v>
      </c>
      <c r="P518" s="603" t="s">
        <v>612</v>
      </c>
      <c r="Q518" s="603"/>
      <c r="R518" s="607" t="s">
        <v>908</v>
      </c>
      <c r="S518" s="552" t="s">
        <v>422</v>
      </c>
      <c r="T518" s="552" t="s">
        <v>423</v>
      </c>
      <c r="U518" s="602"/>
      <c r="V518" s="600"/>
      <c r="W518" s="601"/>
    </row>
    <row r="519" spans="1:23" s="135" customFormat="1" ht="15" hidden="1" customHeight="1">
      <c r="A519" s="306">
        <v>518</v>
      </c>
      <c r="B519" s="162" t="s">
        <v>1211</v>
      </c>
      <c r="C519" s="161"/>
      <c r="D519" s="611" t="s">
        <v>29</v>
      </c>
      <c r="E519" s="601" t="s">
        <v>28</v>
      </c>
      <c r="F519" s="373">
        <v>3</v>
      </c>
      <c r="G519" s="373">
        <v>3</v>
      </c>
      <c r="H519" s="614">
        <f t="shared" si="26"/>
        <v>0</v>
      </c>
      <c r="I519" s="160">
        <v>42941</v>
      </c>
      <c r="J519" s="155" t="s">
        <v>948</v>
      </c>
      <c r="K519" s="557">
        <v>754</v>
      </c>
      <c r="L519" s="607">
        <v>42939</v>
      </c>
      <c r="M519" s="616">
        <v>450</v>
      </c>
      <c r="N519" s="615">
        <f t="shared" si="27"/>
        <v>1350</v>
      </c>
      <c r="O519" s="559" t="s">
        <v>587</v>
      </c>
      <c r="P519" s="603" t="s">
        <v>555</v>
      </c>
      <c r="Q519" s="603"/>
      <c r="R519" s="160" t="s">
        <v>908</v>
      </c>
      <c r="S519" s="552" t="s">
        <v>422</v>
      </c>
      <c r="T519" s="552" t="s">
        <v>423</v>
      </c>
      <c r="U519" s="154"/>
      <c r="V519" s="600"/>
      <c r="W519" s="601"/>
    </row>
    <row r="520" spans="1:23" s="135" customFormat="1" ht="15" hidden="1" customHeight="1">
      <c r="A520" s="306">
        <v>519</v>
      </c>
      <c r="B520" s="611" t="s">
        <v>1287</v>
      </c>
      <c r="C520" s="610"/>
      <c r="D520" s="611" t="s">
        <v>1212</v>
      </c>
      <c r="E520" s="601" t="s">
        <v>1247</v>
      </c>
      <c r="F520" s="609">
        <v>2</v>
      </c>
      <c r="G520" s="609">
        <v>2</v>
      </c>
      <c r="H520" s="614">
        <f t="shared" si="26"/>
        <v>0</v>
      </c>
      <c r="I520" s="607">
        <v>42942</v>
      </c>
      <c r="J520" s="561" t="s">
        <v>1286</v>
      </c>
      <c r="K520" s="557">
        <v>758</v>
      </c>
      <c r="L520" s="607">
        <v>42941</v>
      </c>
      <c r="M520" s="616"/>
      <c r="N520" s="615">
        <f t="shared" si="27"/>
        <v>0</v>
      </c>
      <c r="O520" s="559"/>
      <c r="P520" s="603"/>
      <c r="Q520" s="603"/>
      <c r="R520" s="607"/>
      <c r="S520" s="602"/>
      <c r="T520" s="603"/>
      <c r="U520" s="602"/>
      <c r="V520" s="600"/>
      <c r="W520" s="601"/>
    </row>
    <row r="521" spans="1:23" s="135" customFormat="1" ht="15" hidden="1" customHeight="1">
      <c r="A521" s="306">
        <v>520</v>
      </c>
      <c r="B521" s="611" t="s">
        <v>1287</v>
      </c>
      <c r="C521" s="610"/>
      <c r="D521" s="611" t="s">
        <v>1213</v>
      </c>
      <c r="E521" s="601" t="s">
        <v>1247</v>
      </c>
      <c r="F521" s="609">
        <v>1</v>
      </c>
      <c r="G521" s="609">
        <v>1</v>
      </c>
      <c r="H521" s="614">
        <f t="shared" si="26"/>
        <v>0</v>
      </c>
      <c r="I521" s="607">
        <v>42942</v>
      </c>
      <c r="J521" s="561" t="s">
        <v>1286</v>
      </c>
      <c r="K521" s="557">
        <v>758</v>
      </c>
      <c r="L521" s="607">
        <v>42941</v>
      </c>
      <c r="M521" s="616">
        <v>297913</v>
      </c>
      <c r="N521" s="615">
        <f t="shared" si="27"/>
        <v>297913</v>
      </c>
      <c r="O521" s="559" t="s">
        <v>587</v>
      </c>
      <c r="P521" s="603" t="s">
        <v>1288</v>
      </c>
      <c r="Q521" s="600" t="s">
        <v>1306</v>
      </c>
      <c r="R521" s="607"/>
      <c r="S521" s="602"/>
      <c r="T521" s="603"/>
      <c r="U521" s="602"/>
      <c r="V521" s="600"/>
      <c r="W521" s="601"/>
    </row>
    <row r="522" spans="1:23" s="135" customFormat="1" ht="15" hidden="1" customHeight="1">
      <c r="A522" s="306">
        <v>521</v>
      </c>
      <c r="B522" s="611" t="s">
        <v>1287</v>
      </c>
      <c r="C522" s="610"/>
      <c r="D522" s="611" t="s">
        <v>1214</v>
      </c>
      <c r="E522" s="601" t="s">
        <v>1248</v>
      </c>
      <c r="F522" s="609">
        <v>15</v>
      </c>
      <c r="G522" s="609">
        <v>15</v>
      </c>
      <c r="H522" s="560">
        <f t="shared" si="26"/>
        <v>0</v>
      </c>
      <c r="I522" s="607">
        <v>42942</v>
      </c>
      <c r="J522" s="561" t="s">
        <v>1286</v>
      </c>
      <c r="K522" s="557">
        <v>758</v>
      </c>
      <c r="L522" s="607">
        <v>42941</v>
      </c>
      <c r="M522" s="616"/>
      <c r="N522" s="615">
        <f t="shared" si="27"/>
        <v>0</v>
      </c>
      <c r="O522" s="559"/>
      <c r="P522" s="603"/>
      <c r="Q522" s="603"/>
      <c r="R522" s="607" t="s">
        <v>908</v>
      </c>
      <c r="S522" s="602" t="s">
        <v>422</v>
      </c>
      <c r="T522" s="602" t="s">
        <v>423</v>
      </c>
      <c r="U522" s="602"/>
      <c r="V522" s="600"/>
      <c r="W522" s="601"/>
    </row>
    <row r="523" spans="1:23" s="135" customFormat="1" ht="15" hidden="1" customHeight="1">
      <c r="A523" s="306">
        <v>522</v>
      </c>
      <c r="B523" s="611" t="s">
        <v>1287</v>
      </c>
      <c r="C523" s="610"/>
      <c r="D523" s="611" t="s">
        <v>1215</v>
      </c>
      <c r="E523" s="601" t="s">
        <v>1249</v>
      </c>
      <c r="F523" s="609">
        <v>2</v>
      </c>
      <c r="G523" s="609">
        <v>2</v>
      </c>
      <c r="H523" s="560">
        <f t="shared" si="26"/>
        <v>0</v>
      </c>
      <c r="I523" s="607">
        <v>42942</v>
      </c>
      <c r="J523" s="561" t="s">
        <v>1286</v>
      </c>
      <c r="K523" s="557">
        <v>758</v>
      </c>
      <c r="L523" s="607">
        <v>42941</v>
      </c>
      <c r="M523" s="616"/>
      <c r="N523" s="615">
        <f t="shared" si="27"/>
        <v>0</v>
      </c>
      <c r="O523" s="559"/>
      <c r="P523" s="603"/>
      <c r="Q523" s="603"/>
      <c r="R523" s="607"/>
      <c r="S523" s="602"/>
      <c r="T523" s="603"/>
      <c r="U523" s="602"/>
      <c r="V523" s="600"/>
      <c r="W523" s="601"/>
    </row>
    <row r="524" spans="1:23" s="135" customFormat="1" ht="15" hidden="1" customHeight="1">
      <c r="A524" s="306">
        <v>523</v>
      </c>
      <c r="B524" s="556" t="s">
        <v>1287</v>
      </c>
      <c r="C524" s="161"/>
      <c r="D524" s="611" t="s">
        <v>1216</v>
      </c>
      <c r="E524" s="601" t="s">
        <v>1250</v>
      </c>
      <c r="F524" s="373">
        <v>2</v>
      </c>
      <c r="G524" s="609">
        <v>2</v>
      </c>
      <c r="H524" s="560">
        <f t="shared" si="26"/>
        <v>0</v>
      </c>
      <c r="I524" s="553">
        <v>42942</v>
      </c>
      <c r="J524" s="561" t="s">
        <v>1286</v>
      </c>
      <c r="K524" s="557">
        <v>758</v>
      </c>
      <c r="L524" s="607">
        <v>42941</v>
      </c>
      <c r="M524" s="616"/>
      <c r="N524" s="615">
        <f t="shared" si="27"/>
        <v>0</v>
      </c>
      <c r="O524" s="559"/>
      <c r="P524" s="154"/>
      <c r="Q524" s="154"/>
      <c r="R524" s="607"/>
      <c r="S524" s="413"/>
      <c r="T524" s="602"/>
      <c r="U524" s="602"/>
      <c r="V524" s="600"/>
      <c r="W524" s="601"/>
    </row>
    <row r="525" spans="1:23" s="135" customFormat="1" ht="15" hidden="1" customHeight="1">
      <c r="A525" s="306">
        <v>524</v>
      </c>
      <c r="B525" s="556" t="s">
        <v>1287</v>
      </c>
      <c r="C525" s="161"/>
      <c r="D525" s="611" t="s">
        <v>1217</v>
      </c>
      <c r="E525" s="601" t="s">
        <v>1251</v>
      </c>
      <c r="F525" s="373">
        <v>2</v>
      </c>
      <c r="G525" s="609">
        <v>2</v>
      </c>
      <c r="H525" s="560">
        <f t="shared" si="26"/>
        <v>0</v>
      </c>
      <c r="I525" s="553">
        <v>42942</v>
      </c>
      <c r="J525" s="561" t="s">
        <v>1286</v>
      </c>
      <c r="K525" s="557">
        <v>758</v>
      </c>
      <c r="L525" s="607">
        <v>42941</v>
      </c>
      <c r="M525" s="616"/>
      <c r="N525" s="615">
        <f t="shared" si="27"/>
        <v>0</v>
      </c>
      <c r="O525" s="559"/>
      <c r="P525" s="602"/>
      <c r="Q525" s="154"/>
      <c r="R525" s="607"/>
      <c r="S525" s="413"/>
      <c r="T525" s="602"/>
      <c r="U525" s="602"/>
      <c r="V525" s="600"/>
      <c r="W525" s="601"/>
    </row>
    <row r="526" spans="1:23" s="135" customFormat="1" ht="15" hidden="1" customHeight="1">
      <c r="A526" s="306">
        <v>525</v>
      </c>
      <c r="B526" s="556" t="s">
        <v>1287</v>
      </c>
      <c r="C526" s="161"/>
      <c r="D526" s="611" t="s">
        <v>1218</v>
      </c>
      <c r="E526" s="184" t="s">
        <v>1252</v>
      </c>
      <c r="F526" s="373">
        <v>2</v>
      </c>
      <c r="G526" s="609">
        <v>2</v>
      </c>
      <c r="H526" s="560">
        <f t="shared" si="26"/>
        <v>0</v>
      </c>
      <c r="I526" s="553">
        <v>42942</v>
      </c>
      <c r="J526" s="561" t="s">
        <v>1286</v>
      </c>
      <c r="K526" s="557">
        <v>758</v>
      </c>
      <c r="L526" s="607">
        <v>42941</v>
      </c>
      <c r="M526" s="616"/>
      <c r="N526" s="615">
        <f t="shared" si="27"/>
        <v>0</v>
      </c>
      <c r="O526" s="559"/>
      <c r="P526" s="602"/>
      <c r="Q526" s="154"/>
      <c r="R526" s="607"/>
      <c r="S526" s="413"/>
      <c r="T526" s="602"/>
      <c r="U526" s="602"/>
      <c r="V526" s="600"/>
      <c r="W526" s="601"/>
    </row>
    <row r="527" spans="1:23" s="135" customFormat="1" ht="15" hidden="1" customHeight="1">
      <c r="A527" s="306">
        <v>526</v>
      </c>
      <c r="B527" s="556" t="s">
        <v>1287</v>
      </c>
      <c r="C527" s="161"/>
      <c r="D527" s="611" t="s">
        <v>1219</v>
      </c>
      <c r="E527" s="601" t="s">
        <v>1253</v>
      </c>
      <c r="F527" s="373">
        <v>2</v>
      </c>
      <c r="G527" s="373">
        <v>2</v>
      </c>
      <c r="H527" s="560">
        <f t="shared" si="26"/>
        <v>0</v>
      </c>
      <c r="I527" s="553">
        <v>42942</v>
      </c>
      <c r="J527" s="561" t="s">
        <v>1286</v>
      </c>
      <c r="K527" s="557">
        <v>758</v>
      </c>
      <c r="L527" s="607">
        <v>42941</v>
      </c>
      <c r="M527" s="616"/>
      <c r="N527" s="562">
        <f t="shared" si="27"/>
        <v>0</v>
      </c>
      <c r="O527" s="559"/>
      <c r="P527" s="154"/>
      <c r="Q527" s="154"/>
      <c r="R527" s="607"/>
      <c r="S527" s="413"/>
      <c r="T527" s="559"/>
      <c r="U527" s="154"/>
      <c r="V527" s="600"/>
      <c r="W527" s="601"/>
    </row>
    <row r="528" spans="1:23" s="135" customFormat="1" ht="15" hidden="1" customHeight="1">
      <c r="A528" s="306">
        <v>527</v>
      </c>
      <c r="B528" s="556" t="s">
        <v>1287</v>
      </c>
      <c r="C528" s="161"/>
      <c r="D528" s="611" t="s">
        <v>1220</v>
      </c>
      <c r="E528" s="601" t="s">
        <v>1254</v>
      </c>
      <c r="F528" s="373">
        <v>1</v>
      </c>
      <c r="G528" s="373">
        <v>1</v>
      </c>
      <c r="H528" s="560">
        <f t="shared" si="26"/>
        <v>0</v>
      </c>
      <c r="I528" s="553">
        <v>42942</v>
      </c>
      <c r="J528" s="561" t="s">
        <v>1286</v>
      </c>
      <c r="K528" s="557">
        <v>758</v>
      </c>
      <c r="L528" s="553">
        <v>42941</v>
      </c>
      <c r="M528" s="175"/>
      <c r="N528" s="562">
        <f t="shared" si="27"/>
        <v>0</v>
      </c>
      <c r="O528" s="559"/>
      <c r="P528" s="154"/>
      <c r="Q528" s="602"/>
      <c r="R528" s="607"/>
      <c r="S528" s="413"/>
      <c r="T528" s="602"/>
      <c r="U528" s="602"/>
      <c r="V528" s="67"/>
      <c r="W528" s="601"/>
    </row>
    <row r="529" spans="1:23" s="135" customFormat="1" ht="15" hidden="1" customHeight="1">
      <c r="A529" s="306">
        <v>528</v>
      </c>
      <c r="B529" s="556" t="s">
        <v>1287</v>
      </c>
      <c r="C529" s="161"/>
      <c r="D529" s="611" t="s">
        <v>1221</v>
      </c>
      <c r="E529" s="601" t="s">
        <v>1255</v>
      </c>
      <c r="F529" s="373">
        <v>4</v>
      </c>
      <c r="G529" s="373">
        <v>4</v>
      </c>
      <c r="H529" s="560">
        <f t="shared" si="26"/>
        <v>0</v>
      </c>
      <c r="I529" s="553">
        <v>42942</v>
      </c>
      <c r="J529" s="561" t="s">
        <v>1286</v>
      </c>
      <c r="K529" s="557">
        <v>758</v>
      </c>
      <c r="L529" s="607">
        <v>42941</v>
      </c>
      <c r="M529" s="616"/>
      <c r="N529" s="562">
        <f t="shared" si="27"/>
        <v>0</v>
      </c>
      <c r="O529" s="559"/>
      <c r="P529" s="154"/>
      <c r="Q529" s="154"/>
      <c r="R529" s="607"/>
      <c r="S529" s="413"/>
      <c r="T529" s="602"/>
      <c r="U529" s="154"/>
      <c r="V529" s="67"/>
      <c r="W529" s="601"/>
    </row>
    <row r="530" spans="1:23" s="135" customFormat="1" ht="15" hidden="1" customHeight="1">
      <c r="A530" s="306">
        <v>529</v>
      </c>
      <c r="B530" s="556" t="s">
        <v>1287</v>
      </c>
      <c r="C530" s="161"/>
      <c r="D530" s="611" t="s">
        <v>205</v>
      </c>
      <c r="E530" s="188" t="s">
        <v>1256</v>
      </c>
      <c r="F530" s="373">
        <v>3</v>
      </c>
      <c r="G530" s="373">
        <v>3</v>
      </c>
      <c r="H530" s="560">
        <f t="shared" si="26"/>
        <v>0</v>
      </c>
      <c r="I530" s="553">
        <v>42942</v>
      </c>
      <c r="J530" s="561" t="s">
        <v>1286</v>
      </c>
      <c r="K530" s="557">
        <v>758</v>
      </c>
      <c r="L530" s="553">
        <v>42941</v>
      </c>
      <c r="M530" s="175"/>
      <c r="N530" s="562">
        <f t="shared" si="27"/>
        <v>0</v>
      </c>
      <c r="O530" s="559"/>
      <c r="P530" s="154"/>
      <c r="Q530" s="154"/>
      <c r="R530" s="160"/>
      <c r="S530" s="413"/>
      <c r="T530" s="154"/>
      <c r="U530" s="154"/>
      <c r="V530" s="67"/>
      <c r="W530" s="601"/>
    </row>
    <row r="531" spans="1:23" s="135" customFormat="1" ht="15" hidden="1" customHeight="1">
      <c r="A531" s="306">
        <v>530</v>
      </c>
      <c r="B531" s="556" t="s">
        <v>1287</v>
      </c>
      <c r="C531" s="161"/>
      <c r="D531" s="613" t="s">
        <v>1222</v>
      </c>
      <c r="E531" s="418" t="s">
        <v>1257</v>
      </c>
      <c r="F531" s="373">
        <v>2</v>
      </c>
      <c r="G531" s="609">
        <v>2</v>
      </c>
      <c r="H531" s="560">
        <f t="shared" si="26"/>
        <v>0</v>
      </c>
      <c r="I531" s="553">
        <v>42942</v>
      </c>
      <c r="J531" s="561" t="s">
        <v>1286</v>
      </c>
      <c r="K531" s="557">
        <v>758</v>
      </c>
      <c r="L531" s="607">
        <v>42941</v>
      </c>
      <c r="M531" s="616"/>
      <c r="N531" s="562">
        <f t="shared" si="27"/>
        <v>0</v>
      </c>
      <c r="O531" s="559"/>
      <c r="P531" s="602"/>
      <c r="Q531" s="154"/>
      <c r="R531" s="160"/>
      <c r="S531" s="413"/>
      <c r="T531" s="154"/>
      <c r="U531" s="602"/>
      <c r="V531" s="600"/>
      <c r="W531" s="601"/>
    </row>
    <row r="532" spans="1:23" s="135" customFormat="1" ht="15" hidden="1" customHeight="1">
      <c r="A532" s="306">
        <v>531</v>
      </c>
      <c r="B532" s="556" t="s">
        <v>1287</v>
      </c>
      <c r="C532" s="161"/>
      <c r="D532" s="611" t="s">
        <v>1223</v>
      </c>
      <c r="E532" s="601" t="s">
        <v>1258</v>
      </c>
      <c r="F532" s="373">
        <v>6</v>
      </c>
      <c r="G532" s="373">
        <v>6</v>
      </c>
      <c r="H532" s="614">
        <f t="shared" si="26"/>
        <v>0</v>
      </c>
      <c r="I532" s="553">
        <v>42942</v>
      </c>
      <c r="J532" s="561" t="s">
        <v>1286</v>
      </c>
      <c r="K532" s="557">
        <v>758</v>
      </c>
      <c r="L532" s="607">
        <v>42941</v>
      </c>
      <c r="M532" s="616"/>
      <c r="N532" s="615">
        <f t="shared" si="27"/>
        <v>0</v>
      </c>
      <c r="O532" s="559"/>
      <c r="P532" s="602"/>
      <c r="Q532" s="154"/>
      <c r="R532" s="607"/>
      <c r="S532" s="413"/>
      <c r="T532" s="154"/>
      <c r="U532" s="602"/>
      <c r="V532" s="600"/>
      <c r="W532" s="601"/>
    </row>
    <row r="533" spans="1:23" s="135" customFormat="1" ht="15" hidden="1" customHeight="1">
      <c r="A533" s="306">
        <v>532</v>
      </c>
      <c r="B533" s="611" t="s">
        <v>1287</v>
      </c>
      <c r="C533" s="610"/>
      <c r="D533" s="611" t="s">
        <v>1224</v>
      </c>
      <c r="E533" s="601" t="s">
        <v>1259</v>
      </c>
      <c r="F533" s="609">
        <v>1</v>
      </c>
      <c r="G533" s="609">
        <v>1</v>
      </c>
      <c r="H533" s="614">
        <f t="shared" si="26"/>
        <v>0</v>
      </c>
      <c r="I533" s="607">
        <v>42942</v>
      </c>
      <c r="J533" s="561" t="s">
        <v>1286</v>
      </c>
      <c r="K533" s="557">
        <v>758</v>
      </c>
      <c r="L533" s="607">
        <v>42941</v>
      </c>
      <c r="M533" s="616"/>
      <c r="N533" s="615">
        <f t="shared" si="27"/>
        <v>0</v>
      </c>
      <c r="O533" s="559"/>
      <c r="P533" s="602"/>
      <c r="Q533" s="602"/>
      <c r="R533" s="607"/>
      <c r="S533" s="602"/>
      <c r="T533" s="602"/>
      <c r="U533" s="602"/>
      <c r="V533" s="600"/>
      <c r="W533" s="601"/>
    </row>
    <row r="534" spans="1:23" s="135" customFormat="1" ht="15" hidden="1" customHeight="1">
      <c r="A534" s="306">
        <v>533</v>
      </c>
      <c r="B534" s="611" t="s">
        <v>1287</v>
      </c>
      <c r="C534" s="610"/>
      <c r="D534" s="611" t="s">
        <v>1225</v>
      </c>
      <c r="E534" s="165" t="s">
        <v>1260</v>
      </c>
      <c r="F534" s="609">
        <v>16</v>
      </c>
      <c r="G534" s="609">
        <v>16</v>
      </c>
      <c r="H534" s="560">
        <f t="shared" si="26"/>
        <v>0</v>
      </c>
      <c r="I534" s="607">
        <v>42942</v>
      </c>
      <c r="J534" s="561" t="s">
        <v>1286</v>
      </c>
      <c r="K534" s="557">
        <v>758</v>
      </c>
      <c r="L534" s="607">
        <v>42941</v>
      </c>
      <c r="M534" s="616"/>
      <c r="N534" s="615">
        <f t="shared" si="27"/>
        <v>0</v>
      </c>
      <c r="O534" s="559"/>
      <c r="P534" s="602"/>
      <c r="Q534" s="602"/>
      <c r="R534" s="607"/>
      <c r="S534" s="602"/>
      <c r="T534" s="602"/>
      <c r="U534" s="602"/>
      <c r="V534" s="600"/>
      <c r="W534" s="601"/>
    </row>
    <row r="535" spans="1:23" s="135" customFormat="1" ht="15" hidden="1" customHeight="1">
      <c r="A535" s="306">
        <v>534</v>
      </c>
      <c r="B535" s="556" t="s">
        <v>1287</v>
      </c>
      <c r="C535" s="161"/>
      <c r="D535" s="611" t="s">
        <v>1226</v>
      </c>
      <c r="E535" s="601" t="s">
        <v>1261</v>
      </c>
      <c r="F535" s="373">
        <v>1</v>
      </c>
      <c r="G535" s="609">
        <v>1</v>
      </c>
      <c r="H535" s="560">
        <f t="shared" si="26"/>
        <v>0</v>
      </c>
      <c r="I535" s="553">
        <v>42942</v>
      </c>
      <c r="J535" s="561" t="s">
        <v>1286</v>
      </c>
      <c r="K535" s="557">
        <v>758</v>
      </c>
      <c r="L535" s="607">
        <v>42941</v>
      </c>
      <c r="M535" s="616"/>
      <c r="N535" s="562">
        <f t="shared" si="27"/>
        <v>0</v>
      </c>
      <c r="O535" s="559"/>
      <c r="P535" s="154"/>
      <c r="Q535" s="154"/>
      <c r="R535" s="607"/>
      <c r="S535" s="413"/>
      <c r="T535" s="602"/>
      <c r="U535" s="602"/>
      <c r="V535" s="600"/>
      <c r="W535" s="601"/>
    </row>
    <row r="536" spans="1:23" s="135" customFormat="1" ht="15" hidden="1" customHeight="1">
      <c r="A536" s="306">
        <v>535</v>
      </c>
      <c r="B536" s="556" t="s">
        <v>1287</v>
      </c>
      <c r="C536" s="610"/>
      <c r="D536" s="611" t="s">
        <v>323</v>
      </c>
      <c r="E536" s="601" t="s">
        <v>1262</v>
      </c>
      <c r="F536" s="373">
        <v>1</v>
      </c>
      <c r="G536" s="609">
        <v>1</v>
      </c>
      <c r="H536" s="560">
        <f t="shared" ref="H536:H567" si="28">F536-G536</f>
        <v>0</v>
      </c>
      <c r="I536" s="553">
        <v>42942</v>
      </c>
      <c r="J536" s="561" t="s">
        <v>1286</v>
      </c>
      <c r="K536" s="557">
        <v>758</v>
      </c>
      <c r="L536" s="607">
        <v>42941</v>
      </c>
      <c r="M536" s="616"/>
      <c r="N536" s="562">
        <f t="shared" ref="N536:N567" si="29">IFERROR(M536*G536,0)</f>
        <v>0</v>
      </c>
      <c r="O536" s="559"/>
      <c r="P536" s="602"/>
      <c r="Q536" s="154"/>
      <c r="R536" s="607"/>
      <c r="S536" s="413"/>
      <c r="T536" s="154"/>
      <c r="U536" s="602"/>
      <c r="V536" s="600"/>
      <c r="W536" s="601"/>
    </row>
    <row r="537" spans="1:23" s="135" customFormat="1" ht="15" hidden="1" customHeight="1">
      <c r="A537" s="306">
        <v>536</v>
      </c>
      <c r="B537" s="556" t="s">
        <v>1287</v>
      </c>
      <c r="C537" s="161"/>
      <c r="D537" s="611" t="s">
        <v>1227</v>
      </c>
      <c r="E537" s="601" t="s">
        <v>1263</v>
      </c>
      <c r="F537" s="373">
        <v>10</v>
      </c>
      <c r="G537" s="373">
        <v>10</v>
      </c>
      <c r="H537" s="560">
        <f t="shared" si="28"/>
        <v>0</v>
      </c>
      <c r="I537" s="553">
        <v>42942</v>
      </c>
      <c r="J537" s="561" t="s">
        <v>1286</v>
      </c>
      <c r="K537" s="557">
        <v>758</v>
      </c>
      <c r="L537" s="553">
        <v>42941</v>
      </c>
      <c r="M537" s="175"/>
      <c r="N537" s="562">
        <f t="shared" si="29"/>
        <v>0</v>
      </c>
      <c r="O537" s="559"/>
      <c r="P537" s="154"/>
      <c r="Q537" s="154"/>
      <c r="R537" s="160"/>
      <c r="S537" s="413"/>
      <c r="T537" s="154"/>
      <c r="U537" s="154"/>
      <c r="V537" s="67"/>
      <c r="W537" s="601"/>
    </row>
    <row r="538" spans="1:23" s="135" customFormat="1" ht="15" hidden="1" customHeight="1">
      <c r="A538" s="306">
        <v>537</v>
      </c>
      <c r="B538" s="556" t="s">
        <v>1287</v>
      </c>
      <c r="C538" s="161"/>
      <c r="D538" s="611" t="s">
        <v>1228</v>
      </c>
      <c r="E538" s="153" t="s">
        <v>1264</v>
      </c>
      <c r="F538" s="373">
        <v>12</v>
      </c>
      <c r="G538" s="373">
        <v>12</v>
      </c>
      <c r="H538" s="560">
        <f t="shared" si="28"/>
        <v>0</v>
      </c>
      <c r="I538" s="553">
        <v>42942</v>
      </c>
      <c r="J538" s="561" t="s">
        <v>1286</v>
      </c>
      <c r="K538" s="557">
        <v>758</v>
      </c>
      <c r="L538" s="607">
        <v>42941</v>
      </c>
      <c r="M538" s="616"/>
      <c r="N538" s="562">
        <f t="shared" si="29"/>
        <v>0</v>
      </c>
      <c r="O538" s="559"/>
      <c r="P538" s="154"/>
      <c r="Q538" s="154"/>
      <c r="R538" s="160"/>
      <c r="S538" s="413"/>
      <c r="T538" s="154"/>
      <c r="U538" s="154"/>
      <c r="V538" s="67"/>
      <c r="W538" s="601"/>
    </row>
    <row r="539" spans="1:23" s="135" customFormat="1" ht="15" hidden="1" customHeight="1">
      <c r="A539" s="306">
        <v>538</v>
      </c>
      <c r="B539" s="611" t="s">
        <v>1287</v>
      </c>
      <c r="C539" s="161"/>
      <c r="D539" s="611" t="s">
        <v>1229</v>
      </c>
      <c r="E539" s="601" t="s">
        <v>1265</v>
      </c>
      <c r="F539" s="373">
        <v>32</v>
      </c>
      <c r="G539" s="609">
        <v>32</v>
      </c>
      <c r="H539" s="614">
        <f t="shared" si="28"/>
        <v>0</v>
      </c>
      <c r="I539" s="553">
        <v>42942</v>
      </c>
      <c r="J539" s="561" t="s">
        <v>1286</v>
      </c>
      <c r="K539" s="557">
        <v>758</v>
      </c>
      <c r="L539" s="607">
        <v>42941</v>
      </c>
      <c r="M539" s="616"/>
      <c r="N539" s="615">
        <f t="shared" si="29"/>
        <v>0</v>
      </c>
      <c r="O539" s="559"/>
      <c r="P539" s="154"/>
      <c r="Q539" s="154"/>
      <c r="R539" s="607"/>
      <c r="S539" s="413"/>
      <c r="T539" s="154"/>
      <c r="U539" s="602"/>
      <c r="V539" s="600"/>
      <c r="W539" s="601"/>
    </row>
    <row r="540" spans="1:23" s="135" customFormat="1" ht="15" hidden="1" customHeight="1">
      <c r="A540" s="306">
        <v>539</v>
      </c>
      <c r="B540" s="556" t="s">
        <v>1287</v>
      </c>
      <c r="C540" s="161"/>
      <c r="D540" s="611" t="s">
        <v>192</v>
      </c>
      <c r="E540" s="601" t="s">
        <v>1266</v>
      </c>
      <c r="F540" s="373">
        <v>3</v>
      </c>
      <c r="G540" s="609">
        <v>3</v>
      </c>
      <c r="H540" s="560">
        <f t="shared" si="28"/>
        <v>0</v>
      </c>
      <c r="I540" s="553">
        <v>42942</v>
      </c>
      <c r="J540" s="561" t="s">
        <v>1286</v>
      </c>
      <c r="K540" s="557">
        <v>758</v>
      </c>
      <c r="L540" s="607">
        <v>42941</v>
      </c>
      <c r="M540" s="616"/>
      <c r="N540" s="562">
        <f t="shared" si="29"/>
        <v>0</v>
      </c>
      <c r="O540" s="559"/>
      <c r="P540" s="602"/>
      <c r="Q540" s="154"/>
      <c r="R540" s="607"/>
      <c r="S540" s="413"/>
      <c r="T540" s="154"/>
      <c r="U540" s="602"/>
      <c r="V540" s="600"/>
      <c r="W540" s="601"/>
    </row>
    <row r="541" spans="1:23" s="135" customFormat="1" ht="15" hidden="1" customHeight="1">
      <c r="A541" s="306">
        <v>540</v>
      </c>
      <c r="B541" s="556" t="s">
        <v>1287</v>
      </c>
      <c r="C541" s="161"/>
      <c r="D541" s="611" t="s">
        <v>1230</v>
      </c>
      <c r="E541" s="601" t="s">
        <v>1267</v>
      </c>
      <c r="F541" s="373">
        <v>4</v>
      </c>
      <c r="G541" s="609">
        <v>4</v>
      </c>
      <c r="H541" s="560">
        <f t="shared" si="28"/>
        <v>0</v>
      </c>
      <c r="I541" s="553">
        <v>42942</v>
      </c>
      <c r="J541" s="561" t="s">
        <v>1286</v>
      </c>
      <c r="K541" s="557">
        <v>758</v>
      </c>
      <c r="L541" s="607">
        <v>42941</v>
      </c>
      <c r="M541" s="616"/>
      <c r="N541" s="562">
        <f t="shared" si="29"/>
        <v>0</v>
      </c>
      <c r="O541" s="559"/>
      <c r="P541" s="154"/>
      <c r="Q541" s="154"/>
      <c r="R541" s="160"/>
      <c r="S541" s="413"/>
      <c r="T541" s="154"/>
      <c r="U541" s="602"/>
      <c r="V541" s="600"/>
      <c r="W541" s="601"/>
    </row>
    <row r="542" spans="1:23" s="135" customFormat="1" ht="15" hidden="1" customHeight="1">
      <c r="A542" s="306">
        <v>541</v>
      </c>
      <c r="B542" s="556" t="s">
        <v>1287</v>
      </c>
      <c r="C542" s="161"/>
      <c r="D542" s="611" t="s">
        <v>1231</v>
      </c>
      <c r="E542" s="601" t="s">
        <v>1268</v>
      </c>
      <c r="F542" s="373">
        <v>4</v>
      </c>
      <c r="G542" s="373">
        <v>4</v>
      </c>
      <c r="H542" s="560">
        <f t="shared" si="28"/>
        <v>0</v>
      </c>
      <c r="I542" s="553">
        <v>42942</v>
      </c>
      <c r="J542" s="561" t="s">
        <v>1286</v>
      </c>
      <c r="K542" s="557">
        <v>758</v>
      </c>
      <c r="L542" s="607">
        <v>42941</v>
      </c>
      <c r="M542" s="616"/>
      <c r="N542" s="562">
        <f t="shared" si="29"/>
        <v>0</v>
      </c>
      <c r="O542" s="559"/>
      <c r="P542" s="154"/>
      <c r="Q542" s="154"/>
      <c r="R542" s="160"/>
      <c r="S542" s="413"/>
      <c r="T542" s="154"/>
      <c r="U542" s="154"/>
      <c r="V542" s="600"/>
      <c r="W542" s="601"/>
    </row>
    <row r="543" spans="1:23" s="135" customFormat="1" ht="15" hidden="1" customHeight="1">
      <c r="A543" s="306">
        <v>542</v>
      </c>
      <c r="B543" s="556" t="s">
        <v>1287</v>
      </c>
      <c r="C543" s="161"/>
      <c r="D543" s="611" t="s">
        <v>1232</v>
      </c>
      <c r="E543" s="601" t="s">
        <v>1269</v>
      </c>
      <c r="F543" s="373">
        <v>4</v>
      </c>
      <c r="G543" s="373">
        <v>4</v>
      </c>
      <c r="H543" s="560">
        <f t="shared" si="28"/>
        <v>0</v>
      </c>
      <c r="I543" s="607">
        <v>42942</v>
      </c>
      <c r="J543" s="561" t="s">
        <v>1286</v>
      </c>
      <c r="K543" s="557">
        <v>758</v>
      </c>
      <c r="L543" s="607">
        <v>42941</v>
      </c>
      <c r="M543" s="616"/>
      <c r="N543" s="562">
        <f t="shared" si="29"/>
        <v>0</v>
      </c>
      <c r="O543" s="559"/>
      <c r="P543" s="154"/>
      <c r="Q543" s="154"/>
      <c r="R543" s="607"/>
      <c r="S543" s="413"/>
      <c r="T543" s="154"/>
      <c r="U543" s="154"/>
      <c r="V543" s="600"/>
      <c r="W543" s="601"/>
    </row>
    <row r="544" spans="1:23" s="135" customFormat="1" ht="15" hidden="1" customHeight="1">
      <c r="A544" s="306">
        <v>543</v>
      </c>
      <c r="B544" s="611" t="s">
        <v>1287</v>
      </c>
      <c r="C544" s="610"/>
      <c r="D544" s="611" t="s">
        <v>1233</v>
      </c>
      <c r="E544" s="601" t="s">
        <v>1270</v>
      </c>
      <c r="F544" s="609">
        <v>4</v>
      </c>
      <c r="G544" s="609">
        <v>4</v>
      </c>
      <c r="H544" s="560">
        <f t="shared" si="28"/>
        <v>0</v>
      </c>
      <c r="I544" s="607">
        <v>42942</v>
      </c>
      <c r="J544" s="561" t="s">
        <v>1286</v>
      </c>
      <c r="K544" s="557">
        <v>758</v>
      </c>
      <c r="L544" s="607">
        <v>42941</v>
      </c>
      <c r="M544" s="616"/>
      <c r="N544" s="615">
        <f t="shared" si="29"/>
        <v>0</v>
      </c>
      <c r="O544" s="559"/>
      <c r="P544" s="602"/>
      <c r="Q544" s="602"/>
      <c r="R544" s="607"/>
      <c r="S544" s="602"/>
      <c r="T544" s="602"/>
      <c r="U544" s="602"/>
      <c r="V544" s="600"/>
      <c r="W544" s="601"/>
    </row>
    <row r="545" spans="1:23" s="135" customFormat="1" ht="15" hidden="1" customHeight="1">
      <c r="A545" s="306">
        <v>544</v>
      </c>
      <c r="B545" s="556" t="s">
        <v>1287</v>
      </c>
      <c r="C545" s="161"/>
      <c r="D545" s="185" t="s">
        <v>1234</v>
      </c>
      <c r="E545" s="601" t="s">
        <v>1271</v>
      </c>
      <c r="F545" s="373">
        <v>4</v>
      </c>
      <c r="G545" s="373">
        <v>4</v>
      </c>
      <c r="H545" s="560">
        <f t="shared" si="28"/>
        <v>0</v>
      </c>
      <c r="I545" s="553">
        <v>42942</v>
      </c>
      <c r="J545" s="561" t="s">
        <v>1286</v>
      </c>
      <c r="K545" s="557">
        <v>758</v>
      </c>
      <c r="L545" s="553">
        <v>42941</v>
      </c>
      <c r="M545" s="175"/>
      <c r="N545" s="562">
        <f t="shared" si="29"/>
        <v>0</v>
      </c>
      <c r="O545" s="559"/>
      <c r="P545" s="154"/>
      <c r="Q545" s="154"/>
      <c r="R545" s="160"/>
      <c r="S545" s="413"/>
      <c r="T545" s="154"/>
      <c r="U545" s="154"/>
      <c r="V545" s="67"/>
      <c r="W545" s="153"/>
    </row>
    <row r="546" spans="1:23" s="135" customFormat="1" ht="15" hidden="1" customHeight="1">
      <c r="A546" s="306">
        <v>545</v>
      </c>
      <c r="B546" s="556" t="s">
        <v>1287</v>
      </c>
      <c r="C546" s="161"/>
      <c r="D546" s="611" t="s">
        <v>1235</v>
      </c>
      <c r="E546" s="601" t="s">
        <v>1272</v>
      </c>
      <c r="F546" s="373">
        <v>12</v>
      </c>
      <c r="G546" s="373">
        <v>12</v>
      </c>
      <c r="H546" s="560">
        <f t="shared" si="28"/>
        <v>0</v>
      </c>
      <c r="I546" s="553">
        <v>42942</v>
      </c>
      <c r="J546" s="561" t="s">
        <v>1286</v>
      </c>
      <c r="K546" s="557">
        <v>758</v>
      </c>
      <c r="L546" s="553">
        <v>42941</v>
      </c>
      <c r="M546" s="175"/>
      <c r="N546" s="562">
        <f t="shared" si="29"/>
        <v>0</v>
      </c>
      <c r="O546" s="559"/>
      <c r="P546" s="154"/>
      <c r="Q546" s="154"/>
      <c r="R546" s="160"/>
      <c r="S546" s="413"/>
      <c r="T546" s="154"/>
      <c r="U546" s="154"/>
      <c r="V546" s="67"/>
      <c r="W546" s="153"/>
    </row>
    <row r="547" spans="1:23" s="135" customFormat="1" ht="15" hidden="1" customHeight="1">
      <c r="A547" s="306">
        <v>546</v>
      </c>
      <c r="B547" s="556" t="s">
        <v>1287</v>
      </c>
      <c r="C547" s="161"/>
      <c r="D547" s="611" t="s">
        <v>668</v>
      </c>
      <c r="E547" s="602" t="s">
        <v>1273</v>
      </c>
      <c r="F547" s="373">
        <v>3</v>
      </c>
      <c r="G547" s="373">
        <v>3</v>
      </c>
      <c r="H547" s="560">
        <f t="shared" si="28"/>
        <v>0</v>
      </c>
      <c r="I547" s="553">
        <v>42942</v>
      </c>
      <c r="J547" s="561" t="s">
        <v>1286</v>
      </c>
      <c r="K547" s="557">
        <v>758</v>
      </c>
      <c r="L547" s="553">
        <v>42941</v>
      </c>
      <c r="M547" s="175"/>
      <c r="N547" s="562">
        <f t="shared" si="29"/>
        <v>0</v>
      </c>
      <c r="O547" s="559"/>
      <c r="P547" s="154"/>
      <c r="Q547" s="154"/>
      <c r="R547" s="160"/>
      <c r="S547" s="413"/>
      <c r="T547" s="154"/>
      <c r="U547" s="154"/>
      <c r="V547" s="67"/>
      <c r="W547" s="153"/>
    </row>
    <row r="548" spans="1:23" s="135" customFormat="1" ht="15" hidden="1" customHeight="1">
      <c r="A548" s="306">
        <v>547</v>
      </c>
      <c r="B548" s="556" t="s">
        <v>1287</v>
      </c>
      <c r="C548" s="161"/>
      <c r="D548" s="611" t="s">
        <v>1236</v>
      </c>
      <c r="E548" s="602" t="s">
        <v>1274</v>
      </c>
      <c r="F548" s="373">
        <v>20</v>
      </c>
      <c r="G548" s="373">
        <v>20</v>
      </c>
      <c r="H548" s="560">
        <f t="shared" si="28"/>
        <v>0</v>
      </c>
      <c r="I548" s="553">
        <v>42942</v>
      </c>
      <c r="J548" s="561" t="s">
        <v>1286</v>
      </c>
      <c r="K548" s="557">
        <v>758</v>
      </c>
      <c r="L548" s="553">
        <v>42941</v>
      </c>
      <c r="M548" s="175"/>
      <c r="N548" s="562">
        <f t="shared" si="29"/>
        <v>0</v>
      </c>
      <c r="O548" s="559"/>
      <c r="P548" s="154"/>
      <c r="Q548" s="154"/>
      <c r="R548" s="160"/>
      <c r="S548" s="413"/>
      <c r="T548" s="154"/>
      <c r="U548" s="154"/>
      <c r="V548" s="67"/>
      <c r="W548" s="153"/>
    </row>
    <row r="549" spans="1:23" s="135" customFormat="1" ht="15" hidden="1" customHeight="1">
      <c r="A549" s="306">
        <v>548</v>
      </c>
      <c r="B549" s="556" t="s">
        <v>1287</v>
      </c>
      <c r="C549" s="161"/>
      <c r="D549" s="611" t="s">
        <v>1236</v>
      </c>
      <c r="E549" s="601" t="s">
        <v>1274</v>
      </c>
      <c r="F549" s="373">
        <v>2</v>
      </c>
      <c r="G549" s="373">
        <v>2</v>
      </c>
      <c r="H549" s="560">
        <f t="shared" si="28"/>
        <v>0</v>
      </c>
      <c r="I549" s="553">
        <v>42942</v>
      </c>
      <c r="J549" s="561" t="s">
        <v>1286</v>
      </c>
      <c r="K549" s="557">
        <v>758</v>
      </c>
      <c r="L549" s="553">
        <v>42941</v>
      </c>
      <c r="M549" s="175"/>
      <c r="N549" s="562">
        <f t="shared" si="29"/>
        <v>0</v>
      </c>
      <c r="O549" s="559"/>
      <c r="P549" s="154"/>
      <c r="Q549" s="154"/>
      <c r="R549" s="160"/>
      <c r="S549" s="413"/>
      <c r="T549" s="154"/>
      <c r="U549" s="154"/>
      <c r="V549" s="67"/>
      <c r="W549" s="153"/>
    </row>
    <row r="550" spans="1:23" s="135" customFormat="1" ht="15" hidden="1" customHeight="1">
      <c r="A550" s="306">
        <v>549</v>
      </c>
      <c r="B550" s="556" t="s">
        <v>1287</v>
      </c>
      <c r="C550" s="161"/>
      <c r="D550" s="611" t="s">
        <v>1237</v>
      </c>
      <c r="E550" s="418" t="s">
        <v>1275</v>
      </c>
      <c r="F550" s="373">
        <v>4</v>
      </c>
      <c r="G550" s="373">
        <v>4</v>
      </c>
      <c r="H550" s="560">
        <f t="shared" si="28"/>
        <v>0</v>
      </c>
      <c r="I550" s="553">
        <v>42942</v>
      </c>
      <c r="J550" s="561" t="s">
        <v>1286</v>
      </c>
      <c r="K550" s="557">
        <v>758</v>
      </c>
      <c r="L550" s="553">
        <v>42941</v>
      </c>
      <c r="M550" s="175"/>
      <c r="N550" s="562">
        <f t="shared" si="29"/>
        <v>0</v>
      </c>
      <c r="O550" s="559"/>
      <c r="P550" s="154"/>
      <c r="Q550" s="154"/>
      <c r="R550" s="160"/>
      <c r="S550" s="413"/>
      <c r="T550" s="154"/>
      <c r="U550" s="154"/>
      <c r="V550" s="67"/>
      <c r="W550" s="153"/>
    </row>
    <row r="551" spans="1:23" s="135" customFormat="1" ht="15" hidden="1" customHeight="1">
      <c r="A551" s="306">
        <v>550</v>
      </c>
      <c r="B551" s="556" t="s">
        <v>1287</v>
      </c>
      <c r="C551" s="161"/>
      <c r="D551" s="611" t="s">
        <v>1238</v>
      </c>
      <c r="E551" s="153" t="s">
        <v>1276</v>
      </c>
      <c r="F551" s="373">
        <v>4</v>
      </c>
      <c r="G551" s="373">
        <v>4</v>
      </c>
      <c r="H551" s="560">
        <f t="shared" si="28"/>
        <v>0</v>
      </c>
      <c r="I551" s="553">
        <v>42942</v>
      </c>
      <c r="J551" s="561" t="s">
        <v>1286</v>
      </c>
      <c r="K551" s="557">
        <v>758</v>
      </c>
      <c r="L551" s="553">
        <v>42941</v>
      </c>
      <c r="M551" s="175"/>
      <c r="N551" s="562">
        <f t="shared" si="29"/>
        <v>0</v>
      </c>
      <c r="O551" s="559"/>
      <c r="P551" s="154"/>
      <c r="Q551" s="154"/>
      <c r="R551" s="160"/>
      <c r="S551" s="413"/>
      <c r="T551" s="154"/>
      <c r="U551" s="154"/>
      <c r="V551" s="67"/>
      <c r="W551" s="153"/>
    </row>
    <row r="552" spans="1:23" s="135" customFormat="1" ht="15" hidden="1" customHeight="1">
      <c r="A552" s="306">
        <v>551</v>
      </c>
      <c r="B552" s="556" t="s">
        <v>1287</v>
      </c>
      <c r="C552" s="161"/>
      <c r="D552" s="611" t="s">
        <v>1239</v>
      </c>
      <c r="E552" s="601" t="s">
        <v>1277</v>
      </c>
      <c r="F552" s="609">
        <v>3</v>
      </c>
      <c r="G552" s="609">
        <v>3</v>
      </c>
      <c r="H552" s="614">
        <f t="shared" si="28"/>
        <v>0</v>
      </c>
      <c r="I552" s="553">
        <v>42942</v>
      </c>
      <c r="J552" s="561" t="s">
        <v>1286</v>
      </c>
      <c r="K552" s="557">
        <v>758</v>
      </c>
      <c r="L552" s="607">
        <v>42941</v>
      </c>
      <c r="M552" s="616"/>
      <c r="N552" s="615">
        <f t="shared" si="29"/>
        <v>0</v>
      </c>
      <c r="O552" s="559"/>
      <c r="P552" s="154"/>
      <c r="Q552" s="154"/>
      <c r="R552" s="607"/>
      <c r="S552" s="413"/>
      <c r="T552" s="154"/>
      <c r="U552" s="154"/>
      <c r="V552" s="600"/>
      <c r="W552" s="601"/>
    </row>
    <row r="553" spans="1:23" s="135" customFormat="1" ht="15" hidden="1" customHeight="1">
      <c r="A553" s="306">
        <v>552</v>
      </c>
      <c r="B553" s="556" t="s">
        <v>1287</v>
      </c>
      <c r="C553" s="161"/>
      <c r="D553" s="611" t="s">
        <v>1240</v>
      </c>
      <c r="E553" s="418" t="s">
        <v>1278</v>
      </c>
      <c r="F553" s="373">
        <v>4</v>
      </c>
      <c r="G553" s="373">
        <v>4</v>
      </c>
      <c r="H553" s="614">
        <f t="shared" si="28"/>
        <v>0</v>
      </c>
      <c r="I553" s="553">
        <v>42942</v>
      </c>
      <c r="J553" s="561" t="s">
        <v>1286</v>
      </c>
      <c r="K553" s="557">
        <v>758</v>
      </c>
      <c r="L553" s="607">
        <v>42941</v>
      </c>
      <c r="M553" s="616"/>
      <c r="N553" s="615">
        <f t="shared" si="29"/>
        <v>0</v>
      </c>
      <c r="O553" s="559"/>
      <c r="P553" s="154"/>
      <c r="Q553" s="154"/>
      <c r="R553" s="607"/>
      <c r="S553" s="413"/>
      <c r="T553" s="154"/>
      <c r="U553" s="602"/>
      <c r="V553" s="600"/>
      <c r="W553" s="601"/>
    </row>
    <row r="554" spans="1:23" s="135" customFormat="1" ht="15" hidden="1" customHeight="1">
      <c r="A554" s="306">
        <v>553</v>
      </c>
      <c r="B554" s="556" t="s">
        <v>1287</v>
      </c>
      <c r="C554" s="161"/>
      <c r="D554" s="611" t="s">
        <v>1241</v>
      </c>
      <c r="E554" s="601" t="s">
        <v>1279</v>
      </c>
      <c r="F554" s="373">
        <v>1</v>
      </c>
      <c r="G554" s="373">
        <v>1</v>
      </c>
      <c r="H554" s="614">
        <f t="shared" si="28"/>
        <v>0</v>
      </c>
      <c r="I554" s="553">
        <v>42942</v>
      </c>
      <c r="J554" s="561" t="s">
        <v>1286</v>
      </c>
      <c r="K554" s="557">
        <v>758</v>
      </c>
      <c r="L554" s="607">
        <v>42941</v>
      </c>
      <c r="M554" s="616"/>
      <c r="N554" s="615">
        <f t="shared" si="29"/>
        <v>0</v>
      </c>
      <c r="O554" s="559"/>
      <c r="P554" s="154"/>
      <c r="Q554" s="154"/>
      <c r="R554" s="607"/>
      <c r="S554" s="413"/>
      <c r="T554" s="154"/>
      <c r="U554" s="602"/>
      <c r="V554" s="600"/>
      <c r="W554" s="601"/>
    </row>
    <row r="555" spans="1:23" s="135" customFormat="1" ht="15" hidden="1" customHeight="1">
      <c r="A555" s="306">
        <v>554</v>
      </c>
      <c r="B555" s="556" t="s">
        <v>1287</v>
      </c>
      <c r="C555" s="161"/>
      <c r="D555" s="611" t="s">
        <v>146</v>
      </c>
      <c r="E555" s="601" t="s">
        <v>1280</v>
      </c>
      <c r="F555" s="373">
        <v>26</v>
      </c>
      <c r="G555" s="609">
        <v>26</v>
      </c>
      <c r="H555" s="614">
        <f t="shared" si="28"/>
        <v>0</v>
      </c>
      <c r="I555" s="553">
        <v>42942</v>
      </c>
      <c r="J555" s="561" t="s">
        <v>1286</v>
      </c>
      <c r="K555" s="557">
        <v>758</v>
      </c>
      <c r="L555" s="607">
        <v>42941</v>
      </c>
      <c r="M555" s="616"/>
      <c r="N555" s="615">
        <f t="shared" si="29"/>
        <v>0</v>
      </c>
      <c r="O555" s="559"/>
      <c r="P555" s="154"/>
      <c r="Q555" s="154"/>
      <c r="R555" s="607"/>
      <c r="S555" s="413"/>
      <c r="T555" s="154"/>
      <c r="U555" s="602"/>
      <c r="V555" s="600"/>
      <c r="W555" s="601"/>
    </row>
    <row r="556" spans="1:23" s="135" customFormat="1" ht="15" hidden="1" customHeight="1">
      <c r="A556" s="306">
        <v>555</v>
      </c>
      <c r="B556" s="611" t="s">
        <v>1287</v>
      </c>
      <c r="C556" s="610"/>
      <c r="D556" s="611" t="s">
        <v>1242</v>
      </c>
      <c r="E556" s="601" t="s">
        <v>1281</v>
      </c>
      <c r="F556" s="609">
        <v>1</v>
      </c>
      <c r="G556" s="609">
        <v>1</v>
      </c>
      <c r="H556" s="560">
        <f t="shared" si="28"/>
        <v>0</v>
      </c>
      <c r="I556" s="607">
        <v>42942</v>
      </c>
      <c r="J556" s="561" t="s">
        <v>1286</v>
      </c>
      <c r="K556" s="557">
        <v>758</v>
      </c>
      <c r="L556" s="607">
        <v>42941</v>
      </c>
      <c r="M556" s="616"/>
      <c r="N556" s="615">
        <f t="shared" si="29"/>
        <v>0</v>
      </c>
      <c r="O556" s="559"/>
      <c r="P556" s="602"/>
      <c r="Q556" s="602"/>
      <c r="R556" s="607"/>
      <c r="S556" s="602"/>
      <c r="T556" s="602"/>
      <c r="U556" s="602"/>
      <c r="V556" s="600"/>
      <c r="W556" s="601"/>
    </row>
    <row r="557" spans="1:23" s="135" customFormat="1" ht="15" hidden="1" customHeight="1">
      <c r="A557" s="306">
        <v>556</v>
      </c>
      <c r="B557" s="611" t="s">
        <v>1287</v>
      </c>
      <c r="C557" s="610"/>
      <c r="D557" s="613" t="s">
        <v>1243</v>
      </c>
      <c r="E557" s="153" t="s">
        <v>1282</v>
      </c>
      <c r="F557" s="609">
        <v>2</v>
      </c>
      <c r="G557" s="609">
        <v>2</v>
      </c>
      <c r="H557" s="560">
        <f t="shared" si="28"/>
        <v>0</v>
      </c>
      <c r="I557" s="607">
        <v>42942</v>
      </c>
      <c r="J557" s="561" t="s">
        <v>1286</v>
      </c>
      <c r="K557" s="557">
        <v>758</v>
      </c>
      <c r="L557" s="607">
        <v>42941</v>
      </c>
      <c r="M557" s="616"/>
      <c r="N557" s="615">
        <f t="shared" si="29"/>
        <v>0</v>
      </c>
      <c r="O557" s="559"/>
      <c r="P557" s="602"/>
      <c r="Q557" s="602"/>
      <c r="R557" s="607"/>
      <c r="S557" s="602"/>
      <c r="T557" s="602"/>
      <c r="U557" s="602"/>
      <c r="V557" s="600"/>
      <c r="W557" s="601"/>
    </row>
    <row r="558" spans="1:23" s="135" customFormat="1" ht="15" hidden="1" customHeight="1">
      <c r="A558" s="306">
        <v>557</v>
      </c>
      <c r="B558" s="611" t="s">
        <v>1287</v>
      </c>
      <c r="C558" s="610"/>
      <c r="D558" s="611" t="s">
        <v>1244</v>
      </c>
      <c r="E558" s="184" t="s">
        <v>1283</v>
      </c>
      <c r="F558" s="609">
        <v>2</v>
      </c>
      <c r="G558" s="609">
        <v>2</v>
      </c>
      <c r="H558" s="560">
        <f t="shared" si="28"/>
        <v>0</v>
      </c>
      <c r="I558" s="607">
        <v>42942</v>
      </c>
      <c r="J558" s="561" t="s">
        <v>1286</v>
      </c>
      <c r="K558" s="557">
        <v>758</v>
      </c>
      <c r="L558" s="607">
        <v>42941</v>
      </c>
      <c r="M558" s="616"/>
      <c r="N558" s="615">
        <f t="shared" si="29"/>
        <v>0</v>
      </c>
      <c r="O558" s="559"/>
      <c r="P558" s="602"/>
      <c r="Q558" s="602"/>
      <c r="R558" s="607"/>
      <c r="S558" s="602"/>
      <c r="T558" s="602"/>
      <c r="U558" s="602"/>
      <c r="V558" s="600"/>
      <c r="W558" s="601"/>
    </row>
    <row r="559" spans="1:23" s="135" customFormat="1" ht="15" hidden="1" customHeight="1">
      <c r="A559" s="306">
        <v>558</v>
      </c>
      <c r="B559" s="611" t="s">
        <v>1287</v>
      </c>
      <c r="C559" s="610"/>
      <c r="D559" s="611" t="s">
        <v>1245</v>
      </c>
      <c r="E559" s="153" t="s">
        <v>1284</v>
      </c>
      <c r="F559" s="609">
        <v>6</v>
      </c>
      <c r="G559" s="609">
        <v>6</v>
      </c>
      <c r="H559" s="560">
        <f t="shared" si="28"/>
        <v>0</v>
      </c>
      <c r="I559" s="607">
        <v>42942</v>
      </c>
      <c r="J559" s="561" t="s">
        <v>1286</v>
      </c>
      <c r="K559" s="557">
        <v>758</v>
      </c>
      <c r="L559" s="607">
        <v>42941</v>
      </c>
      <c r="M559" s="616"/>
      <c r="N559" s="615">
        <f t="shared" si="29"/>
        <v>0</v>
      </c>
      <c r="O559" s="559"/>
      <c r="P559" s="602"/>
      <c r="Q559" s="602"/>
      <c r="R559" s="607"/>
      <c r="S559" s="602"/>
      <c r="T559" s="602"/>
      <c r="U559" s="602"/>
      <c r="V559" s="600"/>
      <c r="W559" s="601"/>
    </row>
    <row r="560" spans="1:23" s="135" customFormat="1" ht="15" hidden="1" customHeight="1">
      <c r="A560" s="306">
        <v>559</v>
      </c>
      <c r="B560" s="611" t="s">
        <v>1287</v>
      </c>
      <c r="C560" s="610"/>
      <c r="D560" s="611" t="s">
        <v>1246</v>
      </c>
      <c r="E560" s="153" t="s">
        <v>1285</v>
      </c>
      <c r="F560" s="609">
        <v>2</v>
      </c>
      <c r="G560" s="609">
        <v>2</v>
      </c>
      <c r="H560" s="560">
        <f t="shared" si="28"/>
        <v>0</v>
      </c>
      <c r="I560" s="607">
        <v>42942</v>
      </c>
      <c r="J560" s="561" t="s">
        <v>1286</v>
      </c>
      <c r="K560" s="557">
        <v>758</v>
      </c>
      <c r="L560" s="607">
        <v>42941</v>
      </c>
      <c r="M560" s="616"/>
      <c r="N560" s="615">
        <f t="shared" si="29"/>
        <v>0</v>
      </c>
      <c r="O560" s="559"/>
      <c r="P560" s="602"/>
      <c r="Q560" s="602"/>
      <c r="R560" s="607"/>
      <c r="S560" s="602"/>
      <c r="T560" s="602"/>
      <c r="U560" s="602"/>
      <c r="V560" s="600"/>
      <c r="W560" s="601"/>
    </row>
    <row r="561" spans="1:23" s="135" customFormat="1" ht="15" hidden="1" customHeight="1">
      <c r="A561" s="306">
        <v>560</v>
      </c>
      <c r="B561" s="611" t="s">
        <v>1289</v>
      </c>
      <c r="C561" s="610"/>
      <c r="D561" s="611" t="s">
        <v>1007</v>
      </c>
      <c r="E561" s="418" t="s">
        <v>1016</v>
      </c>
      <c r="F561" s="609">
        <v>4</v>
      </c>
      <c r="G561" s="609">
        <v>4</v>
      </c>
      <c r="H561" s="560">
        <f t="shared" si="28"/>
        <v>0</v>
      </c>
      <c r="I561" s="607">
        <v>42942</v>
      </c>
      <c r="J561" s="561" t="s">
        <v>1286</v>
      </c>
      <c r="K561" s="557">
        <v>759</v>
      </c>
      <c r="L561" s="607">
        <v>42942</v>
      </c>
      <c r="M561" s="616"/>
      <c r="N561" s="615">
        <f t="shared" si="29"/>
        <v>0</v>
      </c>
      <c r="O561" s="559"/>
      <c r="P561" s="602"/>
      <c r="Q561" s="602"/>
      <c r="R561" s="607"/>
      <c r="S561" s="602"/>
      <c r="T561" s="602"/>
      <c r="U561" s="602"/>
      <c r="V561" s="600"/>
      <c r="W561" s="601"/>
    </row>
    <row r="562" spans="1:23" s="135" customFormat="1" ht="15" hidden="1" customHeight="1">
      <c r="A562" s="306">
        <v>561</v>
      </c>
      <c r="B562" s="611" t="s">
        <v>1290</v>
      </c>
      <c r="C562" s="610"/>
      <c r="D562" s="186" t="s">
        <v>1008</v>
      </c>
      <c r="E562" s="601" t="s">
        <v>1017</v>
      </c>
      <c r="F562" s="609">
        <v>29</v>
      </c>
      <c r="G562" s="609">
        <v>29</v>
      </c>
      <c r="H562" s="560">
        <f t="shared" si="28"/>
        <v>0</v>
      </c>
      <c r="I562" s="607">
        <v>42942</v>
      </c>
      <c r="J562" s="561" t="s">
        <v>1286</v>
      </c>
      <c r="K562" s="557">
        <v>760</v>
      </c>
      <c r="L562" s="607">
        <v>42943</v>
      </c>
      <c r="M562" s="616"/>
      <c r="N562" s="615">
        <f t="shared" si="29"/>
        <v>0</v>
      </c>
      <c r="O562" s="559"/>
      <c r="P562" s="602"/>
      <c r="Q562" s="602"/>
      <c r="R562" s="607"/>
      <c r="S562" s="602"/>
      <c r="T562" s="602"/>
      <c r="U562" s="602"/>
      <c r="V562" s="600"/>
      <c r="W562" s="601" t="s">
        <v>345</v>
      </c>
    </row>
    <row r="563" spans="1:23" s="135" customFormat="1" ht="15" hidden="1" customHeight="1">
      <c r="A563" s="306">
        <v>562</v>
      </c>
      <c r="B563" s="611" t="s">
        <v>1291</v>
      </c>
      <c r="C563" s="610"/>
      <c r="D563" s="613" t="s">
        <v>1009</v>
      </c>
      <c r="E563" s="153" t="s">
        <v>1017</v>
      </c>
      <c r="F563" s="609">
        <v>12</v>
      </c>
      <c r="G563" s="609">
        <v>12</v>
      </c>
      <c r="H563" s="560">
        <f t="shared" si="28"/>
        <v>0</v>
      </c>
      <c r="I563" s="607">
        <v>42942</v>
      </c>
      <c r="J563" s="561" t="s">
        <v>1286</v>
      </c>
      <c r="K563" s="557">
        <v>761</v>
      </c>
      <c r="L563" s="607">
        <v>42944</v>
      </c>
      <c r="M563" s="616"/>
      <c r="N563" s="615">
        <f t="shared" si="29"/>
        <v>0</v>
      </c>
      <c r="O563" s="559"/>
      <c r="P563" s="602"/>
      <c r="Q563" s="602"/>
      <c r="R563" s="607"/>
      <c r="S563" s="602"/>
      <c r="T563" s="602"/>
      <c r="U563" s="602"/>
      <c r="V563" s="600"/>
      <c r="W563" s="601"/>
    </row>
    <row r="564" spans="1:23" s="135" customFormat="1" ht="15" hidden="1" customHeight="1">
      <c r="A564" s="306">
        <v>563</v>
      </c>
      <c r="B564" s="611" t="s">
        <v>1292</v>
      </c>
      <c r="C564" s="610"/>
      <c r="D564" s="613" t="s">
        <v>1010</v>
      </c>
      <c r="E564" s="601" t="s">
        <v>1017</v>
      </c>
      <c r="F564" s="609">
        <v>9</v>
      </c>
      <c r="G564" s="609">
        <v>9</v>
      </c>
      <c r="H564" s="560">
        <f t="shared" si="28"/>
        <v>0</v>
      </c>
      <c r="I564" s="607">
        <v>42942</v>
      </c>
      <c r="J564" s="561" t="s">
        <v>1286</v>
      </c>
      <c r="K564" s="557">
        <v>762</v>
      </c>
      <c r="L564" s="607">
        <v>42945</v>
      </c>
      <c r="M564" s="616"/>
      <c r="N564" s="615">
        <f t="shared" si="29"/>
        <v>0</v>
      </c>
      <c r="O564" s="559"/>
      <c r="P564" s="602"/>
      <c r="Q564" s="602"/>
      <c r="R564" s="607"/>
      <c r="S564" s="602"/>
      <c r="T564" s="602"/>
      <c r="U564" s="602"/>
      <c r="V564" s="600"/>
      <c r="W564" s="601"/>
    </row>
    <row r="565" spans="1:23" s="135" customFormat="1" ht="15" hidden="1" customHeight="1">
      <c r="A565" s="306">
        <v>564</v>
      </c>
      <c r="B565" s="611" t="s">
        <v>1293</v>
      </c>
      <c r="C565" s="610"/>
      <c r="D565" s="601" t="s">
        <v>1011</v>
      </c>
      <c r="E565" s="601" t="s">
        <v>1017</v>
      </c>
      <c r="F565" s="609">
        <v>11</v>
      </c>
      <c r="G565" s="609">
        <v>11</v>
      </c>
      <c r="H565" s="560">
        <f t="shared" si="28"/>
        <v>0</v>
      </c>
      <c r="I565" s="607">
        <v>42942</v>
      </c>
      <c r="J565" s="561" t="s">
        <v>1286</v>
      </c>
      <c r="K565" s="557">
        <v>763</v>
      </c>
      <c r="L565" s="607">
        <v>42946</v>
      </c>
      <c r="M565" s="616"/>
      <c r="N565" s="562">
        <f t="shared" si="29"/>
        <v>0</v>
      </c>
      <c r="O565" s="559"/>
      <c r="P565" s="602"/>
      <c r="Q565" s="602"/>
      <c r="R565" s="607"/>
      <c r="S565" s="602"/>
      <c r="T565" s="602"/>
      <c r="U565" s="602"/>
      <c r="V565" s="600"/>
      <c r="W565" s="601"/>
    </row>
    <row r="566" spans="1:23" s="135" customFormat="1" ht="15" hidden="1" customHeight="1">
      <c r="A566" s="306">
        <v>565</v>
      </c>
      <c r="B566" s="611" t="s">
        <v>1294</v>
      </c>
      <c r="C566" s="610"/>
      <c r="D566" s="613" t="s">
        <v>1012</v>
      </c>
      <c r="E566" s="601" t="s">
        <v>1017</v>
      </c>
      <c r="F566" s="609">
        <v>1</v>
      </c>
      <c r="G566" s="609">
        <v>1</v>
      </c>
      <c r="H566" s="560">
        <f t="shared" si="28"/>
        <v>0</v>
      </c>
      <c r="I566" s="607">
        <v>42942</v>
      </c>
      <c r="J566" s="561" t="s">
        <v>1286</v>
      </c>
      <c r="K566" s="557">
        <v>764</v>
      </c>
      <c r="L566" s="607">
        <v>42947</v>
      </c>
      <c r="M566" s="616"/>
      <c r="N566" s="562">
        <f t="shared" si="29"/>
        <v>0</v>
      </c>
      <c r="O566" s="559"/>
      <c r="P566" s="602"/>
      <c r="Q566" s="602"/>
      <c r="R566" s="607"/>
      <c r="S566" s="602"/>
      <c r="T566" s="602"/>
      <c r="U566" s="602"/>
      <c r="V566" s="600"/>
      <c r="W566" s="601"/>
    </row>
    <row r="567" spans="1:23" s="135" customFormat="1" ht="15" hidden="1" customHeight="1">
      <c r="A567" s="306">
        <v>566</v>
      </c>
      <c r="B567" s="611" t="s">
        <v>1295</v>
      </c>
      <c r="C567" s="610"/>
      <c r="D567" s="418" t="s">
        <v>1013</v>
      </c>
      <c r="E567" s="601" t="s">
        <v>1017</v>
      </c>
      <c r="F567" s="609">
        <v>1</v>
      </c>
      <c r="G567" s="609">
        <v>1</v>
      </c>
      <c r="H567" s="560">
        <f t="shared" si="28"/>
        <v>0</v>
      </c>
      <c r="I567" s="607">
        <v>42942</v>
      </c>
      <c r="J567" s="561" t="s">
        <v>1286</v>
      </c>
      <c r="K567" s="557">
        <v>765</v>
      </c>
      <c r="L567" s="607">
        <v>42948</v>
      </c>
      <c r="M567" s="616"/>
      <c r="N567" s="562">
        <f t="shared" si="29"/>
        <v>0</v>
      </c>
      <c r="O567" s="559"/>
      <c r="P567" s="602"/>
      <c r="Q567" s="602"/>
      <c r="R567" s="607"/>
      <c r="S567" s="602"/>
      <c r="T567" s="602"/>
      <c r="U567" s="602"/>
      <c r="V567" s="600"/>
      <c r="W567" s="601"/>
    </row>
    <row r="568" spans="1:23" s="135" customFormat="1" ht="15" hidden="1" customHeight="1">
      <c r="A568" s="306">
        <v>567</v>
      </c>
      <c r="B568" s="162"/>
      <c r="C568" s="161"/>
      <c r="D568" s="613" t="s">
        <v>939</v>
      </c>
      <c r="E568" s="602" t="s">
        <v>940</v>
      </c>
      <c r="F568" s="373">
        <v>64</v>
      </c>
      <c r="G568" s="609">
        <v>64</v>
      </c>
      <c r="H568" s="380">
        <f>F568-G568</f>
        <v>0</v>
      </c>
      <c r="I568" s="553">
        <v>42942</v>
      </c>
      <c r="J568" s="561" t="s">
        <v>1296</v>
      </c>
      <c r="K568" s="557">
        <v>748</v>
      </c>
      <c r="L568" s="607">
        <v>42933</v>
      </c>
      <c r="M568" s="616">
        <f>1800/32</f>
        <v>56.25</v>
      </c>
      <c r="N568" s="562">
        <f>IFERROR(M568*G568,0)</f>
        <v>3600</v>
      </c>
      <c r="O568" s="559"/>
      <c r="P568" s="154"/>
      <c r="Q568" s="154"/>
      <c r="R568" s="160"/>
      <c r="S568" s="413"/>
      <c r="T568" s="154"/>
      <c r="U568" s="602"/>
      <c r="V568" s="600"/>
      <c r="W568" s="601"/>
    </row>
    <row r="569" spans="1:23" s="135" customFormat="1" ht="15" hidden="1" customHeight="1">
      <c r="A569" s="306">
        <v>568</v>
      </c>
      <c r="B569" s="556">
        <v>15504</v>
      </c>
      <c r="C569" s="555"/>
      <c r="D569" s="613" t="s">
        <v>49</v>
      </c>
      <c r="E569" s="601" t="s">
        <v>48</v>
      </c>
      <c r="F569" s="554">
        <v>1</v>
      </c>
      <c r="G569" s="554">
        <v>1</v>
      </c>
      <c r="H569" s="614">
        <v>0</v>
      </c>
      <c r="I569" s="553">
        <v>42943</v>
      </c>
      <c r="J569" s="561" t="s">
        <v>1297</v>
      </c>
      <c r="K569" s="557">
        <v>760</v>
      </c>
      <c r="L569" s="607">
        <v>42942</v>
      </c>
      <c r="M569" s="616">
        <v>9290</v>
      </c>
      <c r="N569" s="615">
        <v>9290</v>
      </c>
      <c r="O569" s="559" t="s">
        <v>587</v>
      </c>
      <c r="P569" s="552" t="s">
        <v>555</v>
      </c>
      <c r="Q569" s="552" t="s">
        <v>1298</v>
      </c>
      <c r="R569" s="607" t="s">
        <v>908</v>
      </c>
      <c r="S569" s="552" t="s">
        <v>422</v>
      </c>
      <c r="T569" s="552" t="s">
        <v>423</v>
      </c>
      <c r="U569" s="602"/>
      <c r="V569" s="600"/>
      <c r="W569" s="601"/>
    </row>
    <row r="570" spans="1:23" s="135" customFormat="1" ht="15" hidden="1" customHeight="1">
      <c r="A570" s="306">
        <v>569</v>
      </c>
      <c r="B570" s="556">
        <v>15504</v>
      </c>
      <c r="C570" s="555"/>
      <c r="D570" s="613" t="s">
        <v>35</v>
      </c>
      <c r="E570" s="601" t="s">
        <v>34</v>
      </c>
      <c r="F570" s="554">
        <v>3</v>
      </c>
      <c r="G570" s="609">
        <v>3</v>
      </c>
      <c r="H570" s="614">
        <v>0</v>
      </c>
      <c r="I570" s="553">
        <v>42943</v>
      </c>
      <c r="J570" s="561" t="s">
        <v>1297</v>
      </c>
      <c r="K570" s="557">
        <v>760</v>
      </c>
      <c r="L570" s="607">
        <v>42942</v>
      </c>
      <c r="M570" s="616">
        <v>2760</v>
      </c>
      <c r="N570" s="615">
        <v>8280</v>
      </c>
      <c r="O570" s="559" t="s">
        <v>587</v>
      </c>
      <c r="P570" s="552" t="s">
        <v>555</v>
      </c>
      <c r="Q570" s="552" t="s">
        <v>1298</v>
      </c>
      <c r="R570" s="607" t="s">
        <v>908</v>
      </c>
      <c r="S570" s="552" t="s">
        <v>422</v>
      </c>
      <c r="T570" s="552" t="s">
        <v>423</v>
      </c>
      <c r="U570" s="602"/>
      <c r="V570" s="600"/>
      <c r="W570" s="601"/>
    </row>
    <row r="571" spans="1:23" s="135" customFormat="1" ht="15" hidden="1" customHeight="1">
      <c r="A571" s="306">
        <v>570</v>
      </c>
      <c r="B571" s="556" t="s">
        <v>1299</v>
      </c>
      <c r="C571" s="555"/>
      <c r="D571" s="611" t="s">
        <v>1167</v>
      </c>
      <c r="E571" s="601" t="s">
        <v>1300</v>
      </c>
      <c r="F571" s="554">
        <v>15</v>
      </c>
      <c r="G571" s="609">
        <v>15</v>
      </c>
      <c r="H571" s="614">
        <v>0</v>
      </c>
      <c r="I571" s="553">
        <v>42943</v>
      </c>
      <c r="J571" s="561" t="s">
        <v>466</v>
      </c>
      <c r="K571" s="557">
        <v>759</v>
      </c>
      <c r="L571" s="607">
        <v>42942</v>
      </c>
      <c r="M571" s="616">
        <v>1380</v>
      </c>
      <c r="N571" s="615">
        <v>20700</v>
      </c>
      <c r="O571" s="559" t="s">
        <v>587</v>
      </c>
      <c r="P571" s="552" t="s">
        <v>969</v>
      </c>
      <c r="Q571" s="552" t="s">
        <v>468</v>
      </c>
      <c r="R571" s="607" t="s">
        <v>908</v>
      </c>
      <c r="S571" s="552" t="s">
        <v>422</v>
      </c>
      <c r="T571" s="552" t="s">
        <v>423</v>
      </c>
      <c r="U571" s="602"/>
      <c r="V571" s="600"/>
      <c r="W571" s="601"/>
    </row>
    <row r="572" spans="1:23" s="135" customFormat="1" ht="15" hidden="1" customHeight="1">
      <c r="A572" s="306">
        <v>571</v>
      </c>
      <c r="B572" s="556" t="s">
        <v>1301</v>
      </c>
      <c r="C572" s="555"/>
      <c r="D572" s="611" t="s">
        <v>70</v>
      </c>
      <c r="E572" s="601" t="s">
        <v>69</v>
      </c>
      <c r="F572" s="554">
        <v>1</v>
      </c>
      <c r="G572" s="609">
        <v>1</v>
      </c>
      <c r="H572" s="614">
        <v>0</v>
      </c>
      <c r="I572" s="553">
        <v>42945</v>
      </c>
      <c r="J572" s="561" t="s">
        <v>466</v>
      </c>
      <c r="K572" s="557">
        <v>764</v>
      </c>
      <c r="L572" s="607">
        <v>42945</v>
      </c>
      <c r="M572" s="616">
        <v>15255</v>
      </c>
      <c r="N572" s="615">
        <v>15255</v>
      </c>
      <c r="O572" s="559" t="s">
        <v>587</v>
      </c>
      <c r="P572" s="552" t="s">
        <v>969</v>
      </c>
      <c r="Q572" s="552" t="s">
        <v>468</v>
      </c>
      <c r="R572" s="607" t="s">
        <v>908</v>
      </c>
      <c r="S572" s="552" t="s">
        <v>422</v>
      </c>
      <c r="T572" s="552" t="s">
        <v>423</v>
      </c>
      <c r="U572" s="602"/>
      <c r="V572" s="600"/>
      <c r="W572" s="601"/>
    </row>
    <row r="573" spans="1:23" s="135" customFormat="1" ht="15" hidden="1" customHeight="1">
      <c r="A573" s="306">
        <v>572</v>
      </c>
      <c r="B573" s="556" t="s">
        <v>1301</v>
      </c>
      <c r="C573" s="555"/>
      <c r="D573" s="613" t="s">
        <v>91</v>
      </c>
      <c r="E573" s="601" t="s">
        <v>50</v>
      </c>
      <c r="F573" s="554">
        <v>10</v>
      </c>
      <c r="G573" s="554">
        <v>10</v>
      </c>
      <c r="H573" s="560">
        <v>0</v>
      </c>
      <c r="I573" s="553">
        <v>42945</v>
      </c>
      <c r="J573" s="561" t="s">
        <v>466</v>
      </c>
      <c r="K573" s="557">
        <v>764</v>
      </c>
      <c r="L573" s="607">
        <v>42945</v>
      </c>
      <c r="M573" s="616">
        <v>3361</v>
      </c>
      <c r="N573" s="615">
        <v>33610</v>
      </c>
      <c r="O573" s="559" t="s">
        <v>587</v>
      </c>
      <c r="P573" s="552" t="s">
        <v>969</v>
      </c>
      <c r="Q573" s="552" t="s">
        <v>468</v>
      </c>
      <c r="R573" s="607" t="s">
        <v>908</v>
      </c>
      <c r="S573" s="552" t="s">
        <v>422</v>
      </c>
      <c r="T573" s="552" t="s">
        <v>423</v>
      </c>
      <c r="U573" s="602"/>
      <c r="V573" s="600"/>
      <c r="W573" s="601"/>
    </row>
    <row r="574" spans="1:23" s="135" customFormat="1" ht="15" hidden="1" customHeight="1">
      <c r="A574" s="306">
        <v>573</v>
      </c>
      <c r="B574" s="611" t="s">
        <v>1301</v>
      </c>
      <c r="C574" s="610"/>
      <c r="D574" s="611" t="s">
        <v>29</v>
      </c>
      <c r="E574" s="601" t="s">
        <v>28</v>
      </c>
      <c r="F574" s="609">
        <v>11</v>
      </c>
      <c r="G574" s="609">
        <v>11</v>
      </c>
      <c r="H574" s="614">
        <v>0</v>
      </c>
      <c r="I574" s="607">
        <v>42945</v>
      </c>
      <c r="J574" s="561" t="s">
        <v>466</v>
      </c>
      <c r="K574" s="557">
        <v>764</v>
      </c>
      <c r="L574" s="607">
        <v>42945</v>
      </c>
      <c r="M574" s="616">
        <v>0</v>
      </c>
      <c r="N574" s="615">
        <f t="shared" ref="N574:N637" si="30">IFERROR(M574*G574,0)</f>
        <v>0</v>
      </c>
      <c r="O574" s="559" t="s">
        <v>587</v>
      </c>
      <c r="P574" s="602" t="s">
        <v>969</v>
      </c>
      <c r="Q574" s="602" t="s">
        <v>468</v>
      </c>
      <c r="R574" s="607" t="s">
        <v>908</v>
      </c>
      <c r="S574" s="602" t="s">
        <v>422</v>
      </c>
      <c r="T574" s="602" t="s">
        <v>423</v>
      </c>
      <c r="U574" s="602"/>
      <c r="V574" s="600"/>
      <c r="W574" s="601"/>
    </row>
    <row r="575" spans="1:23" s="135" customFormat="1" ht="15" hidden="1" customHeight="1">
      <c r="A575" s="306">
        <v>574</v>
      </c>
      <c r="B575" s="611" t="s">
        <v>1301</v>
      </c>
      <c r="C575" s="610"/>
      <c r="D575" s="611" t="s">
        <v>39</v>
      </c>
      <c r="E575" s="601" t="s">
        <v>38</v>
      </c>
      <c r="F575" s="609">
        <v>1</v>
      </c>
      <c r="G575" s="609">
        <v>1</v>
      </c>
      <c r="H575" s="560">
        <v>0</v>
      </c>
      <c r="I575" s="607">
        <v>42945</v>
      </c>
      <c r="J575" s="561" t="s">
        <v>466</v>
      </c>
      <c r="K575" s="557">
        <v>764</v>
      </c>
      <c r="L575" s="607">
        <v>42945</v>
      </c>
      <c r="M575" s="616">
        <v>5015</v>
      </c>
      <c r="N575" s="615">
        <f t="shared" si="30"/>
        <v>5015</v>
      </c>
      <c r="O575" s="559" t="s">
        <v>587</v>
      </c>
      <c r="P575" s="602" t="s">
        <v>969</v>
      </c>
      <c r="Q575" s="602" t="s">
        <v>468</v>
      </c>
      <c r="R575" s="607" t="s">
        <v>908</v>
      </c>
      <c r="S575" s="602" t="s">
        <v>422</v>
      </c>
      <c r="T575" s="602" t="s">
        <v>423</v>
      </c>
      <c r="U575" s="602"/>
      <c r="V575" s="600"/>
      <c r="W575" s="601"/>
    </row>
    <row r="576" spans="1:23" s="135" customFormat="1" ht="15" hidden="1" customHeight="1">
      <c r="A576" s="306">
        <v>575</v>
      </c>
      <c r="B576" s="556" t="s">
        <v>1301</v>
      </c>
      <c r="C576" s="555"/>
      <c r="D576" s="611" t="s">
        <v>1139</v>
      </c>
      <c r="E576" s="601" t="s">
        <v>1302</v>
      </c>
      <c r="F576" s="554">
        <v>1</v>
      </c>
      <c r="G576" s="609">
        <v>1</v>
      </c>
      <c r="H576" s="560">
        <v>0</v>
      </c>
      <c r="I576" s="553">
        <v>42945</v>
      </c>
      <c r="J576" s="561" t="s">
        <v>466</v>
      </c>
      <c r="K576" s="557">
        <v>764</v>
      </c>
      <c r="L576" s="607">
        <v>42945</v>
      </c>
      <c r="M576" s="616">
        <v>200</v>
      </c>
      <c r="N576" s="615">
        <f t="shared" si="30"/>
        <v>200</v>
      </c>
      <c r="O576" s="559" t="s">
        <v>587</v>
      </c>
      <c r="P576" s="602" t="s">
        <v>969</v>
      </c>
      <c r="Q576" s="552" t="s">
        <v>468</v>
      </c>
      <c r="R576" s="607" t="s">
        <v>908</v>
      </c>
      <c r="S576" s="552" t="s">
        <v>422</v>
      </c>
      <c r="T576" s="552" t="s">
        <v>423</v>
      </c>
      <c r="U576" s="602" t="s">
        <v>1303</v>
      </c>
      <c r="V576" s="600"/>
      <c r="W576" s="601"/>
    </row>
    <row r="577" spans="1:23" s="135" customFormat="1" ht="15" hidden="1" customHeight="1">
      <c r="A577" s="306">
        <v>576</v>
      </c>
      <c r="B577" s="556" t="s">
        <v>1301</v>
      </c>
      <c r="C577" s="555"/>
      <c r="D577" s="185" t="s">
        <v>1305</v>
      </c>
      <c r="E577" s="601" t="s">
        <v>1304</v>
      </c>
      <c r="F577" s="554">
        <v>2</v>
      </c>
      <c r="G577" s="609">
        <v>2</v>
      </c>
      <c r="H577" s="560">
        <v>0</v>
      </c>
      <c r="I577" s="553">
        <v>42945</v>
      </c>
      <c r="J577" s="561" t="s">
        <v>466</v>
      </c>
      <c r="K577" s="557">
        <v>764</v>
      </c>
      <c r="L577" s="607">
        <v>42945</v>
      </c>
      <c r="M577" s="616">
        <v>200</v>
      </c>
      <c r="N577" s="615">
        <f t="shared" si="30"/>
        <v>400</v>
      </c>
      <c r="O577" s="559" t="s">
        <v>587</v>
      </c>
      <c r="P577" s="602" t="s">
        <v>969</v>
      </c>
      <c r="Q577" s="552" t="s">
        <v>468</v>
      </c>
      <c r="R577" s="607" t="s">
        <v>908</v>
      </c>
      <c r="S577" s="552" t="s">
        <v>422</v>
      </c>
      <c r="T577" s="552" t="s">
        <v>423</v>
      </c>
      <c r="U577" s="602" t="s">
        <v>1303</v>
      </c>
      <c r="V577" s="600"/>
      <c r="W577" s="601"/>
    </row>
    <row r="578" spans="1:23" s="135" customFormat="1" ht="15" hidden="1" customHeight="1">
      <c r="A578" s="306">
        <v>577</v>
      </c>
      <c r="B578" s="556" t="s">
        <v>1307</v>
      </c>
      <c r="C578" s="555"/>
      <c r="D578" s="611" t="s">
        <v>66</v>
      </c>
      <c r="E578" s="601" t="s">
        <v>65</v>
      </c>
      <c r="F578" s="554">
        <v>5</v>
      </c>
      <c r="G578" s="554">
        <v>5</v>
      </c>
      <c r="H578" s="560">
        <v>0</v>
      </c>
      <c r="I578" s="599">
        <v>42946</v>
      </c>
      <c r="J578" s="561" t="s">
        <v>1308</v>
      </c>
      <c r="K578" s="557">
        <v>757</v>
      </c>
      <c r="L578" s="599">
        <v>42941</v>
      </c>
      <c r="M578" s="563">
        <v>1790</v>
      </c>
      <c r="N578" s="615">
        <f t="shared" si="30"/>
        <v>8950</v>
      </c>
      <c r="O578" s="559" t="s">
        <v>587</v>
      </c>
      <c r="P578" s="598" t="s">
        <v>555</v>
      </c>
      <c r="Q578" s="598" t="s">
        <v>1309</v>
      </c>
      <c r="R578" s="599" t="s">
        <v>908</v>
      </c>
      <c r="S578" s="598" t="s">
        <v>422</v>
      </c>
      <c r="T578" s="598" t="s">
        <v>423</v>
      </c>
      <c r="U578" s="598"/>
      <c r="V578" s="600"/>
      <c r="W578" s="601"/>
    </row>
    <row r="579" spans="1:23" s="135" customFormat="1" ht="15" hidden="1" customHeight="1">
      <c r="A579" s="306">
        <v>578</v>
      </c>
      <c r="B579" s="556" t="s">
        <v>1310</v>
      </c>
      <c r="C579" s="555"/>
      <c r="D579" s="185" t="s">
        <v>224</v>
      </c>
      <c r="E579" s="350" t="s">
        <v>941</v>
      </c>
      <c r="F579" s="554">
        <v>4</v>
      </c>
      <c r="G579" s="554">
        <v>4</v>
      </c>
      <c r="H579" s="560">
        <v>0</v>
      </c>
      <c r="I579" s="599">
        <v>42946</v>
      </c>
      <c r="J579" s="561" t="s">
        <v>1311</v>
      </c>
      <c r="K579" s="557">
        <v>765</v>
      </c>
      <c r="L579" s="599">
        <v>42946</v>
      </c>
      <c r="M579" s="563">
        <v>120</v>
      </c>
      <c r="N579" s="615">
        <f t="shared" si="30"/>
        <v>480</v>
      </c>
      <c r="O579" s="559" t="s">
        <v>425</v>
      </c>
      <c r="P579" s="598" t="s">
        <v>555</v>
      </c>
      <c r="Q579" s="598" t="s">
        <v>1309</v>
      </c>
      <c r="R579" s="599" t="s">
        <v>908</v>
      </c>
      <c r="S579" s="598" t="s">
        <v>422</v>
      </c>
      <c r="T579" s="598" t="s">
        <v>423</v>
      </c>
      <c r="U579" s="598"/>
      <c r="V579" s="67"/>
      <c r="W579" s="153"/>
    </row>
    <row r="580" spans="1:23" s="135" customFormat="1" ht="15" hidden="1" customHeight="1">
      <c r="A580" s="306">
        <v>579</v>
      </c>
      <c r="B580" s="556" t="s">
        <v>1312</v>
      </c>
      <c r="C580" s="555"/>
      <c r="D580" s="185" t="s">
        <v>224</v>
      </c>
      <c r="E580" s="350" t="s">
        <v>941</v>
      </c>
      <c r="F580" s="554">
        <v>4</v>
      </c>
      <c r="G580" s="554">
        <v>4</v>
      </c>
      <c r="H580" s="560">
        <v>0</v>
      </c>
      <c r="I580" s="599">
        <v>42946</v>
      </c>
      <c r="J580" s="561" t="s">
        <v>1311</v>
      </c>
      <c r="K580" s="557">
        <v>768</v>
      </c>
      <c r="L580" s="599">
        <v>42946</v>
      </c>
      <c r="M580" s="563">
        <v>120</v>
      </c>
      <c r="N580" s="615">
        <f t="shared" si="30"/>
        <v>480</v>
      </c>
      <c r="O580" s="559" t="s">
        <v>425</v>
      </c>
      <c r="P580" s="598" t="s">
        <v>555</v>
      </c>
      <c r="Q580" s="598"/>
      <c r="R580" s="599" t="s">
        <v>908</v>
      </c>
      <c r="S580" s="598" t="s">
        <v>422</v>
      </c>
      <c r="T580" s="598" t="s">
        <v>423</v>
      </c>
      <c r="U580" s="598"/>
      <c r="V580" s="67"/>
      <c r="W580" s="153"/>
    </row>
    <row r="581" spans="1:23" s="135" customFormat="1" ht="15" hidden="1" customHeight="1">
      <c r="A581" s="306">
        <v>580</v>
      </c>
      <c r="B581" s="611">
        <v>453</v>
      </c>
      <c r="C581" s="555"/>
      <c r="D581" s="611" t="s">
        <v>146</v>
      </c>
      <c r="E581" s="601" t="s">
        <v>145</v>
      </c>
      <c r="F581" s="554">
        <v>8</v>
      </c>
      <c r="G581" s="554">
        <v>8</v>
      </c>
      <c r="H581" s="560">
        <v>0</v>
      </c>
      <c r="I581" s="599">
        <v>42947</v>
      </c>
      <c r="J581" s="561" t="s">
        <v>1313</v>
      </c>
      <c r="K581" s="557">
        <v>762</v>
      </c>
      <c r="L581" s="599">
        <v>42943</v>
      </c>
      <c r="M581" s="563">
        <v>435</v>
      </c>
      <c r="N581" s="615">
        <f t="shared" si="30"/>
        <v>3480</v>
      </c>
      <c r="O581" s="559" t="s">
        <v>587</v>
      </c>
      <c r="P581" s="598" t="s">
        <v>969</v>
      </c>
      <c r="Q581" s="598" t="s">
        <v>1314</v>
      </c>
      <c r="R581" s="599" t="s">
        <v>908</v>
      </c>
      <c r="S581" s="598" t="s">
        <v>422</v>
      </c>
      <c r="T581" s="598" t="s">
        <v>423</v>
      </c>
      <c r="U581" s="598"/>
      <c r="V581" s="67"/>
      <c r="W581" s="601"/>
    </row>
    <row r="582" spans="1:23" s="135" customFormat="1" ht="15" hidden="1" customHeight="1">
      <c r="A582" s="306">
        <v>581</v>
      </c>
      <c r="B582" s="556">
        <v>453</v>
      </c>
      <c r="C582" s="555"/>
      <c r="D582" s="611" t="s">
        <v>895</v>
      </c>
      <c r="E582" s="601" t="s">
        <v>902</v>
      </c>
      <c r="F582" s="554">
        <v>1</v>
      </c>
      <c r="G582" s="554">
        <v>1</v>
      </c>
      <c r="H582" s="560">
        <v>0</v>
      </c>
      <c r="I582" s="599">
        <v>42947</v>
      </c>
      <c r="J582" s="561" t="s">
        <v>1313</v>
      </c>
      <c r="K582" s="557">
        <v>762</v>
      </c>
      <c r="L582" s="599">
        <v>42943</v>
      </c>
      <c r="M582" s="563">
        <v>930</v>
      </c>
      <c r="N582" s="615">
        <f t="shared" si="30"/>
        <v>930</v>
      </c>
      <c r="O582" s="559" t="s">
        <v>587</v>
      </c>
      <c r="P582" s="598" t="s">
        <v>969</v>
      </c>
      <c r="Q582" s="598" t="s">
        <v>1314</v>
      </c>
      <c r="R582" s="599" t="s">
        <v>908</v>
      </c>
      <c r="S582" s="598" t="s">
        <v>422</v>
      </c>
      <c r="T582" s="598" t="s">
        <v>423</v>
      </c>
      <c r="U582" s="598"/>
      <c r="V582" s="67"/>
      <c r="W582" s="153"/>
    </row>
    <row r="583" spans="1:23" s="135" customFormat="1" ht="15" hidden="1" customHeight="1">
      <c r="A583" s="306">
        <v>582</v>
      </c>
      <c r="B583" s="556">
        <v>453</v>
      </c>
      <c r="C583" s="555"/>
      <c r="D583" s="611" t="s">
        <v>896</v>
      </c>
      <c r="E583" s="601" t="s">
        <v>903</v>
      </c>
      <c r="F583" s="554">
        <v>1</v>
      </c>
      <c r="G583" s="554">
        <v>1</v>
      </c>
      <c r="H583" s="560">
        <v>0</v>
      </c>
      <c r="I583" s="599">
        <v>42947</v>
      </c>
      <c r="J583" s="561" t="s">
        <v>1313</v>
      </c>
      <c r="K583" s="557">
        <v>762</v>
      </c>
      <c r="L583" s="599">
        <v>42943</v>
      </c>
      <c r="M583" s="563">
        <v>1800</v>
      </c>
      <c r="N583" s="615">
        <f t="shared" si="30"/>
        <v>1800</v>
      </c>
      <c r="O583" s="559" t="s">
        <v>587</v>
      </c>
      <c r="P583" s="598" t="s">
        <v>969</v>
      </c>
      <c r="Q583" s="598" t="s">
        <v>1314</v>
      </c>
      <c r="R583" s="599" t="s">
        <v>908</v>
      </c>
      <c r="S583" s="598" t="s">
        <v>422</v>
      </c>
      <c r="T583" s="598" t="s">
        <v>423</v>
      </c>
      <c r="U583" s="598"/>
      <c r="V583" s="67"/>
      <c r="W583" s="153"/>
    </row>
    <row r="584" spans="1:23" s="135" customFormat="1" ht="15" hidden="1" customHeight="1">
      <c r="A584" s="306">
        <v>583</v>
      </c>
      <c r="B584" s="556"/>
      <c r="C584" s="555"/>
      <c r="D584" s="611" t="s">
        <v>939</v>
      </c>
      <c r="E584" s="602" t="s">
        <v>940</v>
      </c>
      <c r="F584" s="554">
        <v>8</v>
      </c>
      <c r="G584" s="554">
        <v>8</v>
      </c>
      <c r="H584" s="560">
        <v>0</v>
      </c>
      <c r="I584" s="599">
        <v>42949</v>
      </c>
      <c r="J584" s="561" t="s">
        <v>1315</v>
      </c>
      <c r="K584" s="557">
        <v>771</v>
      </c>
      <c r="L584" s="599">
        <v>42949</v>
      </c>
      <c r="M584" s="563">
        <v>100</v>
      </c>
      <c r="N584" s="615">
        <f t="shared" si="30"/>
        <v>800</v>
      </c>
      <c r="O584" s="559" t="s">
        <v>425</v>
      </c>
      <c r="P584" s="598" t="s">
        <v>555</v>
      </c>
      <c r="Q584" s="602"/>
      <c r="R584" s="599" t="s">
        <v>908</v>
      </c>
      <c r="S584" s="598" t="s">
        <v>422</v>
      </c>
      <c r="T584" s="598" t="s">
        <v>423</v>
      </c>
      <c r="U584" s="598"/>
      <c r="V584" s="67"/>
      <c r="W584" s="153"/>
    </row>
    <row r="585" spans="1:23" s="135" customFormat="1" ht="15" hidden="1" customHeight="1">
      <c r="A585" s="306">
        <v>584</v>
      </c>
      <c r="B585" s="611" t="s">
        <v>1316</v>
      </c>
      <c r="C585" s="555"/>
      <c r="D585" s="611" t="s">
        <v>86</v>
      </c>
      <c r="E585" s="601" t="s">
        <v>85</v>
      </c>
      <c r="F585" s="554">
        <v>1</v>
      </c>
      <c r="G585" s="609">
        <v>1</v>
      </c>
      <c r="H585" s="560">
        <v>0</v>
      </c>
      <c r="I585" s="599">
        <v>42950</v>
      </c>
      <c r="J585" s="561" t="s">
        <v>1317</v>
      </c>
      <c r="K585" s="557">
        <v>772</v>
      </c>
      <c r="L585" s="607">
        <v>42950</v>
      </c>
      <c r="M585" s="616">
        <v>10405</v>
      </c>
      <c r="N585" s="615">
        <f t="shared" si="30"/>
        <v>10405</v>
      </c>
      <c r="O585" s="559" t="s">
        <v>587</v>
      </c>
      <c r="P585" s="598" t="s">
        <v>1318</v>
      </c>
      <c r="Q585" s="598" t="s">
        <v>1319</v>
      </c>
      <c r="R585" s="599" t="s">
        <v>908</v>
      </c>
      <c r="S585" s="598" t="s">
        <v>422</v>
      </c>
      <c r="T585" s="598" t="s">
        <v>423</v>
      </c>
      <c r="U585" s="602"/>
      <c r="V585" s="600"/>
      <c r="W585" s="601"/>
    </row>
    <row r="586" spans="1:23" s="135" customFormat="1" ht="15" hidden="1" customHeight="1">
      <c r="A586" s="306">
        <v>585</v>
      </c>
      <c r="B586" s="611" t="s">
        <v>1316</v>
      </c>
      <c r="C586" s="555"/>
      <c r="D586" s="611" t="s">
        <v>246</v>
      </c>
      <c r="E586" s="601" t="s">
        <v>42</v>
      </c>
      <c r="F586" s="554">
        <v>1</v>
      </c>
      <c r="G586" s="554">
        <v>1</v>
      </c>
      <c r="H586" s="560">
        <v>0</v>
      </c>
      <c r="I586" s="599">
        <v>42950</v>
      </c>
      <c r="J586" s="561" t="s">
        <v>1317</v>
      </c>
      <c r="K586" s="557">
        <v>772</v>
      </c>
      <c r="L586" s="607">
        <v>42950</v>
      </c>
      <c r="M586" s="616">
        <v>5925</v>
      </c>
      <c r="N586" s="615">
        <f t="shared" si="30"/>
        <v>5925</v>
      </c>
      <c r="O586" s="559" t="s">
        <v>587</v>
      </c>
      <c r="P586" s="598" t="s">
        <v>1318</v>
      </c>
      <c r="Q586" s="598" t="s">
        <v>1319</v>
      </c>
      <c r="R586" s="607" t="s">
        <v>908</v>
      </c>
      <c r="S586" s="598" t="s">
        <v>422</v>
      </c>
      <c r="T586" s="602" t="s">
        <v>423</v>
      </c>
      <c r="U586" s="602"/>
      <c r="V586" s="600"/>
      <c r="W586" s="601"/>
    </row>
    <row r="587" spans="1:23" s="135" customFormat="1" ht="15" hidden="1" customHeight="1">
      <c r="A587" s="306">
        <v>586</v>
      </c>
      <c r="B587" s="556"/>
      <c r="C587" s="555"/>
      <c r="D587" s="180" t="s">
        <v>219</v>
      </c>
      <c r="E587" s="601" t="s">
        <v>429</v>
      </c>
      <c r="F587" s="554">
        <v>2</v>
      </c>
      <c r="G587" s="609">
        <v>2</v>
      </c>
      <c r="H587" s="614">
        <v>0</v>
      </c>
      <c r="I587" s="599">
        <v>42953</v>
      </c>
      <c r="J587" s="561" t="s">
        <v>1320</v>
      </c>
      <c r="K587" s="557">
        <v>773</v>
      </c>
      <c r="L587" s="607">
        <v>42950</v>
      </c>
      <c r="M587" s="616">
        <v>2005</v>
      </c>
      <c r="N587" s="615">
        <f t="shared" si="30"/>
        <v>4010</v>
      </c>
      <c r="O587" s="559" t="s">
        <v>587</v>
      </c>
      <c r="P587" s="598" t="s">
        <v>969</v>
      </c>
      <c r="Q587" s="598" t="s">
        <v>1321</v>
      </c>
      <c r="R587" s="607" t="s">
        <v>908</v>
      </c>
      <c r="S587" s="598" t="s">
        <v>422</v>
      </c>
      <c r="T587" s="598" t="s">
        <v>423</v>
      </c>
      <c r="U587" s="602"/>
      <c r="V587" s="600"/>
      <c r="W587" s="601"/>
    </row>
    <row r="588" spans="1:23" s="135" customFormat="1" ht="15" hidden="1" customHeight="1">
      <c r="A588" s="306">
        <v>587</v>
      </c>
      <c r="B588" s="556"/>
      <c r="C588" s="555"/>
      <c r="D588" s="611" t="s">
        <v>605</v>
      </c>
      <c r="E588" s="601" t="s">
        <v>1322</v>
      </c>
      <c r="F588" s="554">
        <v>1</v>
      </c>
      <c r="G588" s="554">
        <v>1</v>
      </c>
      <c r="H588" s="560">
        <v>0</v>
      </c>
      <c r="I588" s="599">
        <v>42954</v>
      </c>
      <c r="J588" s="430" t="s">
        <v>1323</v>
      </c>
      <c r="K588" s="557">
        <v>783</v>
      </c>
      <c r="L588" s="607">
        <v>42954</v>
      </c>
      <c r="M588" s="616">
        <v>5335</v>
      </c>
      <c r="N588" s="615">
        <f t="shared" si="30"/>
        <v>5335</v>
      </c>
      <c r="O588" s="559" t="s">
        <v>587</v>
      </c>
      <c r="P588" s="602" t="s">
        <v>969</v>
      </c>
      <c r="Q588" s="598" t="s">
        <v>1324</v>
      </c>
      <c r="R588" s="607" t="s">
        <v>908</v>
      </c>
      <c r="S588" s="598" t="s">
        <v>422</v>
      </c>
      <c r="T588" s="598" t="s">
        <v>423</v>
      </c>
      <c r="U588" s="598"/>
      <c r="V588" s="600"/>
      <c r="W588" s="601"/>
    </row>
    <row r="589" spans="1:23" s="135" customFormat="1" ht="15" hidden="1" customHeight="1">
      <c r="A589" s="306">
        <v>588</v>
      </c>
      <c r="B589" s="611"/>
      <c r="C589" s="610"/>
      <c r="D589" s="611" t="s">
        <v>1100</v>
      </c>
      <c r="E589" s="356" t="s">
        <v>1102</v>
      </c>
      <c r="F589" s="554">
        <v>2</v>
      </c>
      <c r="G589" s="554">
        <v>2</v>
      </c>
      <c r="H589" s="560">
        <v>0</v>
      </c>
      <c r="I589" s="599">
        <v>42954</v>
      </c>
      <c r="J589" s="606" t="s">
        <v>1323</v>
      </c>
      <c r="K589" s="557">
        <v>783</v>
      </c>
      <c r="L589" s="607">
        <v>42954</v>
      </c>
      <c r="M589" s="616">
        <v>2365</v>
      </c>
      <c r="N589" s="615">
        <f t="shared" si="30"/>
        <v>4730</v>
      </c>
      <c r="O589" s="559" t="s">
        <v>587</v>
      </c>
      <c r="P589" s="602" t="s">
        <v>969</v>
      </c>
      <c r="Q589" s="602" t="s">
        <v>1324</v>
      </c>
      <c r="R589" s="607" t="s">
        <v>908</v>
      </c>
      <c r="S589" s="602" t="s">
        <v>422</v>
      </c>
      <c r="T589" s="602" t="s">
        <v>423</v>
      </c>
      <c r="U589" s="602"/>
      <c r="V589" s="600"/>
      <c r="W589" s="601"/>
    </row>
    <row r="590" spans="1:23" s="135" customFormat="1" ht="15" hidden="1" customHeight="1">
      <c r="A590" s="306">
        <v>589</v>
      </c>
      <c r="B590" s="556">
        <v>5.5699999999999999E-5</v>
      </c>
      <c r="C590" s="555"/>
      <c r="D590" s="611" t="s">
        <v>68</v>
      </c>
      <c r="E590" s="601" t="s">
        <v>1150</v>
      </c>
      <c r="F590" s="554">
        <v>1</v>
      </c>
      <c r="G590" s="554">
        <v>1</v>
      </c>
      <c r="H590" s="560">
        <v>0</v>
      </c>
      <c r="I590" s="599">
        <v>31260</v>
      </c>
      <c r="J590" s="561" t="s">
        <v>1325</v>
      </c>
      <c r="K590" s="557">
        <v>784</v>
      </c>
      <c r="L590" s="599">
        <v>42954</v>
      </c>
      <c r="M590" s="563">
        <v>3700</v>
      </c>
      <c r="N590" s="615">
        <f t="shared" si="30"/>
        <v>3700</v>
      </c>
      <c r="O590" s="559" t="s">
        <v>587</v>
      </c>
      <c r="P590" s="602" t="s">
        <v>1326</v>
      </c>
      <c r="Q590" s="598"/>
      <c r="R590" s="599" t="s">
        <v>908</v>
      </c>
      <c r="S590" s="598" t="s">
        <v>422</v>
      </c>
      <c r="T590" s="598" t="s">
        <v>825</v>
      </c>
      <c r="U590" s="598" t="s">
        <v>1327</v>
      </c>
      <c r="V590" s="597"/>
      <c r="W590" s="153"/>
    </row>
    <row r="591" spans="1:23" s="135" customFormat="1" ht="15" hidden="1" customHeight="1">
      <c r="A591" s="306">
        <v>590</v>
      </c>
      <c r="B591" s="556"/>
      <c r="C591" s="555"/>
      <c r="D591" s="611" t="s">
        <v>62</v>
      </c>
      <c r="E591" s="601" t="s">
        <v>61</v>
      </c>
      <c r="F591" s="554">
        <v>1</v>
      </c>
      <c r="G591" s="554">
        <v>1</v>
      </c>
      <c r="H591" s="560">
        <v>0</v>
      </c>
      <c r="I591" s="599">
        <v>42955</v>
      </c>
      <c r="J591" s="561" t="s">
        <v>1328</v>
      </c>
      <c r="K591" s="557">
        <v>788</v>
      </c>
      <c r="L591" s="599">
        <v>42955</v>
      </c>
      <c r="M591" s="563">
        <v>1730</v>
      </c>
      <c r="N591" s="615">
        <f t="shared" si="30"/>
        <v>1730</v>
      </c>
      <c r="O591" s="559" t="s">
        <v>587</v>
      </c>
      <c r="P591" s="598" t="s">
        <v>555</v>
      </c>
      <c r="Q591" s="598" t="s">
        <v>1329</v>
      </c>
      <c r="R591" s="599" t="s">
        <v>908</v>
      </c>
      <c r="S591" s="598" t="s">
        <v>422</v>
      </c>
      <c r="T591" s="598" t="s">
        <v>423</v>
      </c>
      <c r="U591" s="598"/>
      <c r="V591" s="597"/>
      <c r="W591" s="153"/>
    </row>
    <row r="592" spans="1:23" s="135" customFormat="1" ht="15" hidden="1" customHeight="1">
      <c r="A592" s="306">
        <v>591</v>
      </c>
      <c r="B592" s="556" t="s">
        <v>1330</v>
      </c>
      <c r="C592" s="555"/>
      <c r="D592" s="611" t="s">
        <v>60</v>
      </c>
      <c r="E592" s="601" t="s">
        <v>438</v>
      </c>
      <c r="F592" s="554">
        <v>1</v>
      </c>
      <c r="G592" s="554">
        <v>1</v>
      </c>
      <c r="H592" s="560">
        <v>0</v>
      </c>
      <c r="I592" s="599">
        <v>42956</v>
      </c>
      <c r="J592" s="561" t="s">
        <v>1331</v>
      </c>
      <c r="K592" s="557">
        <v>490</v>
      </c>
      <c r="L592" s="599">
        <v>42956</v>
      </c>
      <c r="M592" s="563">
        <v>1290</v>
      </c>
      <c r="N592" s="615">
        <f t="shared" si="30"/>
        <v>1290</v>
      </c>
      <c r="O592" s="559" t="s">
        <v>587</v>
      </c>
      <c r="P592" s="598" t="s">
        <v>1332</v>
      </c>
      <c r="Q592" s="602"/>
      <c r="R592" s="599" t="s">
        <v>908</v>
      </c>
      <c r="S592" s="598" t="s">
        <v>422</v>
      </c>
      <c r="T592" s="598" t="s">
        <v>825</v>
      </c>
      <c r="U592" s="602" t="s">
        <v>1333</v>
      </c>
      <c r="V592" s="600"/>
      <c r="W592" s="153"/>
    </row>
    <row r="593" spans="1:23" s="135" customFormat="1" ht="15" hidden="1" customHeight="1">
      <c r="A593" s="306">
        <v>592</v>
      </c>
      <c r="B593" s="556" t="s">
        <v>1334</v>
      </c>
      <c r="C593" s="555"/>
      <c r="D593" s="611" t="s">
        <v>892</v>
      </c>
      <c r="E593" s="551" t="s">
        <v>899</v>
      </c>
      <c r="F593" s="554">
        <v>2</v>
      </c>
      <c r="G593" s="554">
        <v>2</v>
      </c>
      <c r="H593" s="560">
        <v>0</v>
      </c>
      <c r="I593" s="599">
        <v>42956</v>
      </c>
      <c r="J593" s="561" t="s">
        <v>2002</v>
      </c>
      <c r="K593" s="557">
        <v>787</v>
      </c>
      <c r="L593" s="599">
        <v>42956</v>
      </c>
      <c r="M593" s="563" t="s">
        <v>1335</v>
      </c>
      <c r="N593" s="615">
        <f t="shared" si="30"/>
        <v>0</v>
      </c>
      <c r="O593" s="559" t="s">
        <v>587</v>
      </c>
      <c r="P593" s="598" t="s">
        <v>555</v>
      </c>
      <c r="Q593" s="598" t="s">
        <v>1336</v>
      </c>
      <c r="R593" s="599" t="s">
        <v>908</v>
      </c>
      <c r="S593" s="598" t="s">
        <v>422</v>
      </c>
      <c r="T593" s="598" t="s">
        <v>423</v>
      </c>
      <c r="U593" s="598"/>
      <c r="V593" s="597"/>
      <c r="W593" s="601"/>
    </row>
    <row r="594" spans="1:23" s="135" customFormat="1" ht="15" hidden="1" customHeight="1">
      <c r="A594" s="306">
        <v>593</v>
      </c>
      <c r="B594" s="611" t="s">
        <v>1334</v>
      </c>
      <c r="C594" s="555"/>
      <c r="D594" s="611" t="s">
        <v>39</v>
      </c>
      <c r="E594" s="601" t="s">
        <v>1337</v>
      </c>
      <c r="F594" s="554">
        <v>6</v>
      </c>
      <c r="G594" s="609">
        <v>6</v>
      </c>
      <c r="H594" s="614">
        <v>0</v>
      </c>
      <c r="I594" s="599">
        <v>42956</v>
      </c>
      <c r="J594" s="561" t="s">
        <v>2002</v>
      </c>
      <c r="K594" s="557">
        <v>787</v>
      </c>
      <c r="L594" s="607">
        <v>42956</v>
      </c>
      <c r="M594" s="616" t="s">
        <v>1335</v>
      </c>
      <c r="N594" s="615">
        <f t="shared" si="30"/>
        <v>0</v>
      </c>
      <c r="O594" s="559" t="s">
        <v>587</v>
      </c>
      <c r="P594" s="598" t="s">
        <v>555</v>
      </c>
      <c r="Q594" s="598" t="s">
        <v>1336</v>
      </c>
      <c r="R594" s="607" t="s">
        <v>908</v>
      </c>
      <c r="S594" s="598" t="s">
        <v>422</v>
      </c>
      <c r="T594" s="598" t="s">
        <v>423</v>
      </c>
      <c r="U594" s="602"/>
      <c r="V594" s="600"/>
      <c r="W594" s="601"/>
    </row>
    <row r="595" spans="1:23" s="135" customFormat="1" ht="15" hidden="1" customHeight="1">
      <c r="A595" s="306">
        <v>594</v>
      </c>
      <c r="B595" s="556" t="s">
        <v>1334</v>
      </c>
      <c r="C595" s="555"/>
      <c r="D595" s="611" t="s">
        <v>605</v>
      </c>
      <c r="E595" s="601" t="s">
        <v>1338</v>
      </c>
      <c r="F595" s="554">
        <v>2</v>
      </c>
      <c r="G595" s="554">
        <v>2</v>
      </c>
      <c r="H595" s="560">
        <v>0</v>
      </c>
      <c r="I595" s="599">
        <v>42956</v>
      </c>
      <c r="J595" s="561" t="s">
        <v>2002</v>
      </c>
      <c r="K595" s="557">
        <v>787</v>
      </c>
      <c r="L595" s="607">
        <v>42956</v>
      </c>
      <c r="M595" s="616" t="s">
        <v>1335</v>
      </c>
      <c r="N595" s="615">
        <f t="shared" si="30"/>
        <v>0</v>
      </c>
      <c r="O595" s="559" t="s">
        <v>587</v>
      </c>
      <c r="P595" s="598" t="s">
        <v>555</v>
      </c>
      <c r="Q595" s="598" t="s">
        <v>1336</v>
      </c>
      <c r="R595" s="607" t="s">
        <v>908</v>
      </c>
      <c r="S595" s="598" t="s">
        <v>422</v>
      </c>
      <c r="T595" s="598" t="s">
        <v>423</v>
      </c>
      <c r="U595" s="598"/>
      <c r="V595" s="600"/>
      <c r="W595" s="601"/>
    </row>
    <row r="596" spans="1:23" s="135" customFormat="1" ht="15" hidden="1" customHeight="1">
      <c r="A596" s="306">
        <v>595</v>
      </c>
      <c r="B596" s="556" t="s">
        <v>1334</v>
      </c>
      <c r="C596" s="555"/>
      <c r="D596" s="611" t="s">
        <v>1340</v>
      </c>
      <c r="E596" s="601" t="s">
        <v>1339</v>
      </c>
      <c r="F596" s="554">
        <v>4</v>
      </c>
      <c r="G596" s="554">
        <v>4</v>
      </c>
      <c r="H596" s="560">
        <v>0</v>
      </c>
      <c r="I596" s="599">
        <v>42956</v>
      </c>
      <c r="J596" s="606" t="s">
        <v>2002</v>
      </c>
      <c r="K596" s="557">
        <v>787</v>
      </c>
      <c r="L596" s="599">
        <v>42956</v>
      </c>
      <c r="M596" s="563" t="s">
        <v>1335</v>
      </c>
      <c r="N596" s="615">
        <f t="shared" si="30"/>
        <v>0</v>
      </c>
      <c r="O596" s="559" t="s">
        <v>587</v>
      </c>
      <c r="P596" s="602" t="s">
        <v>555</v>
      </c>
      <c r="Q596" s="598" t="s">
        <v>1336</v>
      </c>
      <c r="R596" s="599" t="s">
        <v>908</v>
      </c>
      <c r="S596" s="598" t="s">
        <v>422</v>
      </c>
      <c r="T596" s="598" t="s">
        <v>423</v>
      </c>
      <c r="U596" s="602"/>
      <c r="V596" s="597"/>
      <c r="W596" s="601"/>
    </row>
    <row r="597" spans="1:23" s="135" customFormat="1" ht="15" hidden="1" customHeight="1">
      <c r="A597" s="306">
        <v>596</v>
      </c>
      <c r="B597" s="611" t="s">
        <v>1334</v>
      </c>
      <c r="C597" s="610"/>
      <c r="D597" s="611" t="s">
        <v>1236</v>
      </c>
      <c r="E597" s="601" t="s">
        <v>1274</v>
      </c>
      <c r="F597" s="609">
        <v>6</v>
      </c>
      <c r="G597" s="609">
        <v>6</v>
      </c>
      <c r="H597" s="183">
        <v>0</v>
      </c>
      <c r="I597" s="607">
        <v>42956</v>
      </c>
      <c r="J597" s="561" t="s">
        <v>2002</v>
      </c>
      <c r="K597" s="557">
        <v>787</v>
      </c>
      <c r="L597" s="607">
        <v>42956</v>
      </c>
      <c r="M597" s="616" t="s">
        <v>1335</v>
      </c>
      <c r="N597" s="615">
        <f t="shared" si="30"/>
        <v>0</v>
      </c>
      <c r="O597" s="602" t="s">
        <v>587</v>
      </c>
      <c r="P597" s="602" t="s">
        <v>555</v>
      </c>
      <c r="Q597" s="602" t="s">
        <v>1336</v>
      </c>
      <c r="R597" s="607" t="s">
        <v>908</v>
      </c>
      <c r="S597" s="602" t="s">
        <v>422</v>
      </c>
      <c r="T597" s="602" t="s">
        <v>423</v>
      </c>
      <c r="U597" s="602"/>
      <c r="V597" s="600"/>
      <c r="W597" s="601"/>
    </row>
    <row r="598" spans="1:23" s="135" customFormat="1" ht="15" hidden="1" customHeight="1">
      <c r="A598" s="306">
        <v>597</v>
      </c>
      <c r="B598" s="611" t="s">
        <v>1334</v>
      </c>
      <c r="C598" s="610"/>
      <c r="D598" s="611" t="s">
        <v>1237</v>
      </c>
      <c r="E598" s="601" t="s">
        <v>1275</v>
      </c>
      <c r="F598" s="609">
        <v>2</v>
      </c>
      <c r="G598" s="609">
        <v>2</v>
      </c>
      <c r="H598" s="560">
        <v>0</v>
      </c>
      <c r="I598" s="607">
        <v>42956</v>
      </c>
      <c r="J598" s="561" t="s">
        <v>2002</v>
      </c>
      <c r="K598" s="557">
        <v>787</v>
      </c>
      <c r="L598" s="607">
        <v>42956</v>
      </c>
      <c r="M598" s="616" t="s">
        <v>1335</v>
      </c>
      <c r="N598" s="615">
        <f t="shared" si="30"/>
        <v>0</v>
      </c>
      <c r="O598" s="559" t="s">
        <v>587</v>
      </c>
      <c r="P598" s="602" t="s">
        <v>555</v>
      </c>
      <c r="Q598" s="602" t="s">
        <v>1336</v>
      </c>
      <c r="R598" s="607" t="s">
        <v>908</v>
      </c>
      <c r="S598" s="602" t="s">
        <v>422</v>
      </c>
      <c r="T598" s="602" t="s">
        <v>423</v>
      </c>
      <c r="U598" s="602"/>
      <c r="V598" s="600"/>
      <c r="W598" s="601"/>
    </row>
    <row r="599" spans="1:23" s="135" customFormat="1" ht="15" hidden="1" customHeight="1">
      <c r="A599" s="306">
        <v>598</v>
      </c>
      <c r="B599" s="556" t="s">
        <v>1334</v>
      </c>
      <c r="C599" s="555"/>
      <c r="D599" s="611" t="s">
        <v>1238</v>
      </c>
      <c r="E599" s="601" t="s">
        <v>1276</v>
      </c>
      <c r="F599" s="554">
        <v>4</v>
      </c>
      <c r="G599" s="609">
        <v>4</v>
      </c>
      <c r="H599" s="560">
        <v>0</v>
      </c>
      <c r="I599" s="599">
        <v>42956</v>
      </c>
      <c r="J599" s="561" t="s">
        <v>2002</v>
      </c>
      <c r="K599" s="557">
        <v>787</v>
      </c>
      <c r="L599" s="607">
        <v>42956</v>
      </c>
      <c r="M599" s="616" t="s">
        <v>1335</v>
      </c>
      <c r="N599" s="615">
        <f t="shared" si="30"/>
        <v>0</v>
      </c>
      <c r="O599" s="559" t="s">
        <v>587</v>
      </c>
      <c r="P599" s="598" t="s">
        <v>555</v>
      </c>
      <c r="Q599" s="598" t="s">
        <v>1336</v>
      </c>
      <c r="R599" s="607" t="s">
        <v>908</v>
      </c>
      <c r="S599" s="598" t="s">
        <v>422</v>
      </c>
      <c r="T599" s="602" t="s">
        <v>423</v>
      </c>
      <c r="U599" s="602"/>
      <c r="V599" s="600"/>
      <c r="W599" s="601"/>
    </row>
    <row r="600" spans="1:23" s="135" customFormat="1" ht="15" hidden="1" customHeight="1">
      <c r="A600" s="306">
        <v>599</v>
      </c>
      <c r="B600" s="556" t="s">
        <v>1334</v>
      </c>
      <c r="C600" s="555"/>
      <c r="D600" s="611" t="s">
        <v>1228</v>
      </c>
      <c r="E600" s="601" t="s">
        <v>1264</v>
      </c>
      <c r="F600" s="554">
        <v>6</v>
      </c>
      <c r="G600" s="609">
        <v>6</v>
      </c>
      <c r="H600" s="560">
        <v>0</v>
      </c>
      <c r="I600" s="599">
        <v>42956</v>
      </c>
      <c r="J600" s="561" t="s">
        <v>2002</v>
      </c>
      <c r="K600" s="557">
        <v>787</v>
      </c>
      <c r="L600" s="607">
        <v>42956</v>
      </c>
      <c r="M600" s="616" t="s">
        <v>1335</v>
      </c>
      <c r="N600" s="615">
        <f t="shared" si="30"/>
        <v>0</v>
      </c>
      <c r="O600" s="168" t="s">
        <v>587</v>
      </c>
      <c r="P600" s="598" t="s">
        <v>555</v>
      </c>
      <c r="Q600" s="602" t="s">
        <v>1336</v>
      </c>
      <c r="R600" s="607" t="s">
        <v>908</v>
      </c>
      <c r="S600" s="598" t="s">
        <v>422</v>
      </c>
      <c r="T600" s="598" t="s">
        <v>423</v>
      </c>
      <c r="U600" s="602"/>
      <c r="V600" s="600"/>
      <c r="W600" s="601"/>
    </row>
    <row r="601" spans="1:23" s="135" customFormat="1" ht="15" hidden="1" customHeight="1">
      <c r="A601" s="306">
        <v>600</v>
      </c>
      <c r="B601" s="556" t="s">
        <v>1334</v>
      </c>
      <c r="C601" s="555"/>
      <c r="D601" s="611" t="s">
        <v>1229</v>
      </c>
      <c r="E601" s="601" t="s">
        <v>1265</v>
      </c>
      <c r="F601" s="554">
        <v>6</v>
      </c>
      <c r="G601" s="554">
        <v>6</v>
      </c>
      <c r="H601" s="560">
        <v>0</v>
      </c>
      <c r="I601" s="599">
        <v>42956</v>
      </c>
      <c r="J601" s="606" t="s">
        <v>2002</v>
      </c>
      <c r="K601" s="557">
        <v>787</v>
      </c>
      <c r="L601" s="599">
        <v>42956</v>
      </c>
      <c r="M601" s="563" t="s">
        <v>1335</v>
      </c>
      <c r="N601" s="615">
        <f t="shared" si="30"/>
        <v>0</v>
      </c>
      <c r="O601" s="602" t="s">
        <v>587</v>
      </c>
      <c r="P601" s="598" t="s">
        <v>555</v>
      </c>
      <c r="Q601" s="598" t="s">
        <v>1336</v>
      </c>
      <c r="R601" s="599" t="s">
        <v>908</v>
      </c>
      <c r="S601" s="598" t="s">
        <v>422</v>
      </c>
      <c r="T601" s="598" t="s">
        <v>423</v>
      </c>
      <c r="U601" s="598"/>
      <c r="V601" s="600"/>
      <c r="W601" s="601"/>
    </row>
    <row r="602" spans="1:23" s="135" customFormat="1" ht="15" hidden="1" customHeight="1">
      <c r="A602" s="306">
        <v>601</v>
      </c>
      <c r="B602" s="611" t="s">
        <v>1334</v>
      </c>
      <c r="C602" s="610"/>
      <c r="D602" s="611" t="s">
        <v>1231</v>
      </c>
      <c r="E602" s="601" t="s">
        <v>1268</v>
      </c>
      <c r="F602" s="609">
        <v>2</v>
      </c>
      <c r="G602" s="609">
        <v>2</v>
      </c>
      <c r="H602" s="614">
        <v>0</v>
      </c>
      <c r="I602" s="607">
        <v>42956</v>
      </c>
      <c r="J602" s="561" t="s">
        <v>2002</v>
      </c>
      <c r="K602" s="557">
        <v>787</v>
      </c>
      <c r="L602" s="607">
        <v>42956</v>
      </c>
      <c r="M602" s="616" t="s">
        <v>1335</v>
      </c>
      <c r="N602" s="615">
        <f t="shared" si="30"/>
        <v>0</v>
      </c>
      <c r="O602" s="559" t="s">
        <v>587</v>
      </c>
      <c r="P602" s="602" t="s">
        <v>555</v>
      </c>
      <c r="Q602" s="602" t="s">
        <v>1336</v>
      </c>
      <c r="R602" s="607" t="s">
        <v>908</v>
      </c>
      <c r="S602" s="602" t="s">
        <v>422</v>
      </c>
      <c r="T602" s="602" t="s">
        <v>423</v>
      </c>
      <c r="U602" s="602"/>
      <c r="V602" s="600"/>
      <c r="W602" s="601"/>
    </row>
    <row r="603" spans="1:23" s="135" customFormat="1" ht="15" hidden="1" customHeight="1">
      <c r="A603" s="306">
        <v>602</v>
      </c>
      <c r="B603" s="556" t="s">
        <v>1334</v>
      </c>
      <c r="C603" s="555"/>
      <c r="D603" s="611" t="s">
        <v>1232</v>
      </c>
      <c r="E603" s="601" t="s">
        <v>1341</v>
      </c>
      <c r="F603" s="554">
        <v>2</v>
      </c>
      <c r="G603" s="554">
        <v>2</v>
      </c>
      <c r="H603" s="560">
        <v>0</v>
      </c>
      <c r="I603" s="599">
        <v>42956</v>
      </c>
      <c r="J603" s="561" t="s">
        <v>2002</v>
      </c>
      <c r="K603" s="557">
        <v>787</v>
      </c>
      <c r="L603" s="599">
        <v>42956</v>
      </c>
      <c r="M603" s="563" t="s">
        <v>1335</v>
      </c>
      <c r="N603" s="615">
        <f t="shared" si="30"/>
        <v>0</v>
      </c>
      <c r="O603" s="559" t="s">
        <v>587</v>
      </c>
      <c r="P603" s="598" t="s">
        <v>555</v>
      </c>
      <c r="Q603" s="598" t="s">
        <v>1336</v>
      </c>
      <c r="R603" s="599" t="s">
        <v>908</v>
      </c>
      <c r="S603" s="598" t="s">
        <v>422</v>
      </c>
      <c r="T603" s="598" t="s">
        <v>423</v>
      </c>
      <c r="U603" s="598"/>
      <c r="V603" s="597"/>
      <c r="W603" s="153"/>
    </row>
    <row r="604" spans="1:23" s="135" customFormat="1" ht="15" hidden="1" customHeight="1">
      <c r="A604" s="306">
        <v>603</v>
      </c>
      <c r="B604" s="611" t="s">
        <v>1334</v>
      </c>
      <c r="C604" s="610"/>
      <c r="D604" s="611" t="s">
        <v>1343</v>
      </c>
      <c r="E604" s="601" t="s">
        <v>1342</v>
      </c>
      <c r="F604" s="609">
        <v>4</v>
      </c>
      <c r="G604" s="609">
        <v>4</v>
      </c>
      <c r="H604" s="614">
        <v>0</v>
      </c>
      <c r="I604" s="607">
        <v>42956</v>
      </c>
      <c r="J604" s="606" t="s">
        <v>2002</v>
      </c>
      <c r="K604" s="557">
        <v>787</v>
      </c>
      <c r="L604" s="607">
        <v>42956</v>
      </c>
      <c r="M604" s="616" t="s">
        <v>1335</v>
      </c>
      <c r="N604" s="615">
        <f t="shared" si="30"/>
        <v>0</v>
      </c>
      <c r="O604" s="559" t="s">
        <v>587</v>
      </c>
      <c r="P604" s="602" t="s">
        <v>555</v>
      </c>
      <c r="Q604" s="602" t="s">
        <v>1336</v>
      </c>
      <c r="R604" s="607" t="s">
        <v>908</v>
      </c>
      <c r="S604" s="602" t="s">
        <v>422</v>
      </c>
      <c r="T604" s="602" t="s">
        <v>423</v>
      </c>
      <c r="U604" s="602"/>
      <c r="V604" s="600"/>
      <c r="W604" s="601"/>
    </row>
    <row r="605" spans="1:23" s="135" customFormat="1" ht="15" hidden="1" customHeight="1">
      <c r="A605" s="306">
        <v>604</v>
      </c>
      <c r="B605" s="556" t="s">
        <v>1334</v>
      </c>
      <c r="C605" s="555"/>
      <c r="D605" s="611" t="s">
        <v>1345</v>
      </c>
      <c r="E605" s="601" t="s">
        <v>1344</v>
      </c>
      <c r="F605" s="554">
        <v>1</v>
      </c>
      <c r="G605" s="609">
        <v>1</v>
      </c>
      <c r="H605" s="614">
        <v>0</v>
      </c>
      <c r="I605" s="599">
        <v>42956</v>
      </c>
      <c r="J605" s="561" t="s">
        <v>2002</v>
      </c>
      <c r="K605" s="557">
        <v>787</v>
      </c>
      <c r="L605" s="607">
        <v>42956</v>
      </c>
      <c r="M605" s="616">
        <v>280337</v>
      </c>
      <c r="N605" s="615">
        <f t="shared" si="30"/>
        <v>280337</v>
      </c>
      <c r="O605" s="559" t="s">
        <v>587</v>
      </c>
      <c r="P605" s="598" t="s">
        <v>555</v>
      </c>
      <c r="Q605" s="598" t="s">
        <v>1336</v>
      </c>
      <c r="R605" s="607" t="s">
        <v>908</v>
      </c>
      <c r="S605" s="598" t="s">
        <v>422</v>
      </c>
      <c r="T605" s="598" t="s">
        <v>423</v>
      </c>
      <c r="U605" s="602"/>
      <c r="V605" s="600"/>
      <c r="W605" s="601"/>
    </row>
    <row r="606" spans="1:23" s="135" customFormat="1" ht="15" hidden="1" customHeight="1">
      <c r="A606" s="306">
        <v>605</v>
      </c>
      <c r="B606" s="556" t="s">
        <v>1334</v>
      </c>
      <c r="C606" s="555"/>
      <c r="D606" s="611" t="s">
        <v>1347</v>
      </c>
      <c r="E606" s="601" t="s">
        <v>1346</v>
      </c>
      <c r="F606" s="554">
        <v>1</v>
      </c>
      <c r="G606" s="609">
        <v>1</v>
      </c>
      <c r="H606" s="560">
        <v>0</v>
      </c>
      <c r="I606" s="599">
        <v>42956</v>
      </c>
      <c r="J606" s="363" t="s">
        <v>2002</v>
      </c>
      <c r="K606" s="557">
        <v>787</v>
      </c>
      <c r="L606" s="607">
        <v>42956</v>
      </c>
      <c r="M606" s="616" t="s">
        <v>1335</v>
      </c>
      <c r="N606" s="615">
        <f t="shared" si="30"/>
        <v>0</v>
      </c>
      <c r="O606" s="559" t="s">
        <v>587</v>
      </c>
      <c r="P606" s="598" t="s">
        <v>555</v>
      </c>
      <c r="Q606" s="602" t="s">
        <v>1336</v>
      </c>
      <c r="R606" s="599" t="s">
        <v>908</v>
      </c>
      <c r="S606" s="598" t="s">
        <v>422</v>
      </c>
      <c r="T606" s="598" t="s">
        <v>423</v>
      </c>
      <c r="U606" s="602"/>
      <c r="V606" s="600"/>
      <c r="W606" s="601"/>
    </row>
    <row r="607" spans="1:23" s="135" customFormat="1" ht="15" hidden="1" customHeight="1">
      <c r="A607" s="306">
        <v>606</v>
      </c>
      <c r="B607" s="556" t="s">
        <v>1334</v>
      </c>
      <c r="C607" s="555"/>
      <c r="D607" s="611" t="s">
        <v>1349</v>
      </c>
      <c r="E607" s="601" t="s">
        <v>1348</v>
      </c>
      <c r="F607" s="609">
        <v>4</v>
      </c>
      <c r="G607" s="609">
        <v>4</v>
      </c>
      <c r="H607" s="614">
        <v>0</v>
      </c>
      <c r="I607" s="599">
        <v>42956</v>
      </c>
      <c r="J607" s="363" t="s">
        <v>2002</v>
      </c>
      <c r="K607" s="557">
        <v>787</v>
      </c>
      <c r="L607" s="607">
        <v>42956</v>
      </c>
      <c r="M607" s="616" t="s">
        <v>1335</v>
      </c>
      <c r="N607" s="615">
        <f t="shared" si="30"/>
        <v>0</v>
      </c>
      <c r="O607" s="559" t="s">
        <v>587</v>
      </c>
      <c r="P607" s="598" t="s">
        <v>555</v>
      </c>
      <c r="Q607" s="598" t="s">
        <v>1336</v>
      </c>
      <c r="R607" s="607" t="s">
        <v>908</v>
      </c>
      <c r="S607" s="598" t="s">
        <v>422</v>
      </c>
      <c r="T607" s="598" t="s">
        <v>423</v>
      </c>
      <c r="U607" s="602"/>
      <c r="V607" s="600"/>
      <c r="W607" s="601"/>
    </row>
    <row r="608" spans="1:23" s="135" customFormat="1" ht="15" hidden="1" customHeight="1">
      <c r="A608" s="306">
        <v>607</v>
      </c>
      <c r="B608" s="556" t="s">
        <v>1334</v>
      </c>
      <c r="C608" s="555"/>
      <c r="D608" s="611" t="s">
        <v>1351</v>
      </c>
      <c r="E608" s="601" t="s">
        <v>1350</v>
      </c>
      <c r="F608" s="554">
        <v>4</v>
      </c>
      <c r="G608" s="609">
        <v>4</v>
      </c>
      <c r="H608" s="614">
        <v>0</v>
      </c>
      <c r="I608" s="599">
        <v>42956</v>
      </c>
      <c r="J608" s="561" t="s">
        <v>2002</v>
      </c>
      <c r="K608" s="557">
        <v>787</v>
      </c>
      <c r="L608" s="607">
        <v>42956</v>
      </c>
      <c r="M608" s="616" t="s">
        <v>1335</v>
      </c>
      <c r="N608" s="615">
        <f t="shared" si="30"/>
        <v>0</v>
      </c>
      <c r="O608" s="559" t="s">
        <v>587</v>
      </c>
      <c r="P608" s="598" t="s">
        <v>555</v>
      </c>
      <c r="Q608" s="598" t="s">
        <v>1336</v>
      </c>
      <c r="R608" s="607" t="s">
        <v>908</v>
      </c>
      <c r="S608" s="598" t="s">
        <v>422</v>
      </c>
      <c r="T608" s="598" t="s">
        <v>423</v>
      </c>
      <c r="U608" s="602"/>
      <c r="V608" s="600"/>
      <c r="W608" s="601"/>
    </row>
    <row r="609" spans="1:23" s="135" customFormat="1" ht="15" hidden="1" customHeight="1">
      <c r="A609" s="306">
        <v>608</v>
      </c>
      <c r="B609" s="611" t="s">
        <v>1334</v>
      </c>
      <c r="C609" s="610"/>
      <c r="D609" s="611" t="s">
        <v>1353</v>
      </c>
      <c r="E609" s="551" t="s">
        <v>1352</v>
      </c>
      <c r="F609" s="609">
        <v>4</v>
      </c>
      <c r="G609" s="609">
        <v>4</v>
      </c>
      <c r="H609" s="560">
        <v>0</v>
      </c>
      <c r="I609" s="607">
        <v>42956</v>
      </c>
      <c r="J609" s="561" t="s">
        <v>2002</v>
      </c>
      <c r="K609" s="557">
        <v>787</v>
      </c>
      <c r="L609" s="607">
        <v>42956</v>
      </c>
      <c r="M609" s="616" t="s">
        <v>1335</v>
      </c>
      <c r="N609" s="615">
        <f t="shared" si="30"/>
        <v>0</v>
      </c>
      <c r="O609" s="559" t="s">
        <v>587</v>
      </c>
      <c r="P609" s="603" t="s">
        <v>555</v>
      </c>
      <c r="Q609" s="603" t="s">
        <v>1336</v>
      </c>
      <c r="R609" s="607" t="s">
        <v>908</v>
      </c>
      <c r="S609" s="602" t="s">
        <v>422</v>
      </c>
      <c r="T609" s="602" t="s">
        <v>423</v>
      </c>
      <c r="U609" s="602"/>
      <c r="V609" s="600"/>
      <c r="W609" s="601" t="s">
        <v>344</v>
      </c>
    </row>
    <row r="610" spans="1:23" s="135" customFormat="1" ht="15" hidden="1" customHeight="1">
      <c r="A610" s="306">
        <v>609</v>
      </c>
      <c r="B610" s="611" t="s">
        <v>1334</v>
      </c>
      <c r="C610" s="610"/>
      <c r="D610" s="611" t="s">
        <v>1355</v>
      </c>
      <c r="E610" s="551" t="s">
        <v>1354</v>
      </c>
      <c r="F610" s="609">
        <v>4</v>
      </c>
      <c r="G610" s="609">
        <v>4</v>
      </c>
      <c r="H610" s="560">
        <v>0</v>
      </c>
      <c r="I610" s="607">
        <v>42956</v>
      </c>
      <c r="J610" s="561" t="s">
        <v>2002</v>
      </c>
      <c r="K610" s="557">
        <v>787</v>
      </c>
      <c r="L610" s="607">
        <v>42956</v>
      </c>
      <c r="M610" s="563" t="s">
        <v>1335</v>
      </c>
      <c r="N610" s="615">
        <f t="shared" si="30"/>
        <v>0</v>
      </c>
      <c r="O610" s="559" t="s">
        <v>587</v>
      </c>
      <c r="P610" s="603" t="s">
        <v>555</v>
      </c>
      <c r="Q610" s="603" t="s">
        <v>1336</v>
      </c>
      <c r="R610" s="607" t="s">
        <v>908</v>
      </c>
      <c r="S610" s="602" t="s">
        <v>422</v>
      </c>
      <c r="T610" s="602" t="s">
        <v>423</v>
      </c>
      <c r="U610" s="602"/>
      <c r="V610" s="600"/>
      <c r="W610" s="601"/>
    </row>
    <row r="611" spans="1:23" s="135" customFormat="1" ht="15" hidden="1" customHeight="1">
      <c r="A611" s="306">
        <v>610</v>
      </c>
      <c r="B611" s="611" t="s">
        <v>1334</v>
      </c>
      <c r="C611" s="610"/>
      <c r="D611" s="613" t="s">
        <v>1233</v>
      </c>
      <c r="E611" s="601" t="s">
        <v>1270</v>
      </c>
      <c r="F611" s="609">
        <v>1</v>
      </c>
      <c r="G611" s="609">
        <v>1</v>
      </c>
      <c r="H611" s="560">
        <v>0</v>
      </c>
      <c r="I611" s="607">
        <v>42956</v>
      </c>
      <c r="J611" s="561" t="s">
        <v>2002</v>
      </c>
      <c r="K611" s="557">
        <v>787</v>
      </c>
      <c r="L611" s="607">
        <v>42956</v>
      </c>
      <c r="M611" s="616" t="s">
        <v>1335</v>
      </c>
      <c r="N611" s="615">
        <f t="shared" si="30"/>
        <v>0</v>
      </c>
      <c r="O611" s="559" t="s">
        <v>587</v>
      </c>
      <c r="P611" s="602" t="s">
        <v>555</v>
      </c>
      <c r="Q611" s="602" t="s">
        <v>1336</v>
      </c>
      <c r="R611" s="607" t="s">
        <v>908</v>
      </c>
      <c r="S611" s="602" t="s">
        <v>422</v>
      </c>
      <c r="T611" s="602" t="s">
        <v>423</v>
      </c>
      <c r="U611" s="602"/>
      <c r="V611" s="600"/>
      <c r="W611" s="601"/>
    </row>
    <row r="612" spans="1:23" s="135" customFormat="1" ht="15" hidden="1" customHeight="1">
      <c r="A612" s="306">
        <v>611</v>
      </c>
      <c r="B612" s="611" t="s">
        <v>1334</v>
      </c>
      <c r="C612" s="610"/>
      <c r="D612" s="611" t="s">
        <v>1242</v>
      </c>
      <c r="E612" s="551" t="s">
        <v>1281</v>
      </c>
      <c r="F612" s="609">
        <v>2</v>
      </c>
      <c r="G612" s="609">
        <v>2</v>
      </c>
      <c r="H612" s="182">
        <v>0</v>
      </c>
      <c r="I612" s="607">
        <v>42956</v>
      </c>
      <c r="J612" s="561" t="s">
        <v>2002</v>
      </c>
      <c r="K612" s="557">
        <v>787</v>
      </c>
      <c r="L612" s="607">
        <v>42956</v>
      </c>
      <c r="M612" s="616" t="s">
        <v>1335</v>
      </c>
      <c r="N612" s="615">
        <f t="shared" si="30"/>
        <v>0</v>
      </c>
      <c r="O612" s="168" t="s">
        <v>587</v>
      </c>
      <c r="P612" s="602" t="s">
        <v>555</v>
      </c>
      <c r="Q612" s="602" t="s">
        <v>1336</v>
      </c>
      <c r="R612" s="607" t="s">
        <v>908</v>
      </c>
      <c r="S612" s="602" t="s">
        <v>422</v>
      </c>
      <c r="T612" s="602" t="s">
        <v>423</v>
      </c>
      <c r="U612" s="602"/>
      <c r="V612" s="600"/>
      <c r="W612" s="601"/>
    </row>
    <row r="613" spans="1:23" s="135" customFormat="1" ht="15" hidden="1" customHeight="1">
      <c r="A613" s="306">
        <v>612</v>
      </c>
      <c r="B613" s="611" t="s">
        <v>1334</v>
      </c>
      <c r="C613" s="610"/>
      <c r="D613" s="611" t="s">
        <v>1244</v>
      </c>
      <c r="E613" s="601" t="s">
        <v>1283</v>
      </c>
      <c r="F613" s="609">
        <v>1</v>
      </c>
      <c r="G613" s="609">
        <v>1</v>
      </c>
      <c r="H613" s="614">
        <v>0</v>
      </c>
      <c r="I613" s="607">
        <v>42956</v>
      </c>
      <c r="J613" s="561" t="s">
        <v>2002</v>
      </c>
      <c r="K613" s="557">
        <v>787</v>
      </c>
      <c r="L613" s="607">
        <v>42956</v>
      </c>
      <c r="M613" s="616" t="s">
        <v>1335</v>
      </c>
      <c r="N613" s="615">
        <f t="shared" si="30"/>
        <v>0</v>
      </c>
      <c r="O613" s="559" t="s">
        <v>587</v>
      </c>
      <c r="P613" s="602" t="s">
        <v>555</v>
      </c>
      <c r="Q613" s="602" t="s">
        <v>1336</v>
      </c>
      <c r="R613" s="607" t="s">
        <v>908</v>
      </c>
      <c r="S613" s="602" t="s">
        <v>422</v>
      </c>
      <c r="T613" s="602" t="s">
        <v>423</v>
      </c>
      <c r="U613" s="602"/>
      <c r="V613" s="600"/>
      <c r="W613" s="601"/>
    </row>
    <row r="614" spans="1:23" s="135" customFormat="1" ht="15" hidden="1" customHeight="1">
      <c r="A614" s="306">
        <v>613</v>
      </c>
      <c r="B614" s="611" t="s">
        <v>1334</v>
      </c>
      <c r="C614" s="555"/>
      <c r="D614" s="611" t="s">
        <v>1357</v>
      </c>
      <c r="E614" s="601" t="s">
        <v>1356</v>
      </c>
      <c r="F614" s="609">
        <v>4</v>
      </c>
      <c r="G614" s="609">
        <v>4</v>
      </c>
      <c r="H614" s="614">
        <v>0</v>
      </c>
      <c r="I614" s="607">
        <v>42956</v>
      </c>
      <c r="J614" s="561" t="s">
        <v>2002</v>
      </c>
      <c r="K614" s="557">
        <v>787</v>
      </c>
      <c r="L614" s="607">
        <v>42956</v>
      </c>
      <c r="M614" s="616" t="s">
        <v>1335</v>
      </c>
      <c r="N614" s="615">
        <f t="shared" si="30"/>
        <v>0</v>
      </c>
      <c r="O614" s="559" t="s">
        <v>587</v>
      </c>
      <c r="P614" s="602" t="s">
        <v>555</v>
      </c>
      <c r="Q614" s="598" t="s">
        <v>1336</v>
      </c>
      <c r="R614" s="607" t="s">
        <v>908</v>
      </c>
      <c r="S614" s="598" t="s">
        <v>422</v>
      </c>
      <c r="T614" s="602" t="s">
        <v>423</v>
      </c>
      <c r="U614" s="602"/>
      <c r="V614" s="600"/>
      <c r="W614" s="601"/>
    </row>
    <row r="615" spans="1:23" s="135" customFormat="1" ht="15" hidden="1" customHeight="1">
      <c r="A615" s="306">
        <v>614</v>
      </c>
      <c r="B615" s="611" t="s">
        <v>1334</v>
      </c>
      <c r="C615" s="610"/>
      <c r="D615" s="611" t="s">
        <v>1214</v>
      </c>
      <c r="E615" s="551" t="s">
        <v>1358</v>
      </c>
      <c r="F615" s="609">
        <v>11</v>
      </c>
      <c r="G615" s="609">
        <v>11</v>
      </c>
      <c r="H615" s="560">
        <v>0</v>
      </c>
      <c r="I615" s="607">
        <v>42956</v>
      </c>
      <c r="J615" s="561" t="s">
        <v>2002</v>
      </c>
      <c r="K615" s="557">
        <v>787</v>
      </c>
      <c r="L615" s="607">
        <v>42956</v>
      </c>
      <c r="M615" s="616" t="s">
        <v>1335</v>
      </c>
      <c r="N615" s="615">
        <f t="shared" si="30"/>
        <v>0</v>
      </c>
      <c r="O615" s="559" t="s">
        <v>587</v>
      </c>
      <c r="P615" s="602" t="s">
        <v>555</v>
      </c>
      <c r="Q615" s="602" t="s">
        <v>1336</v>
      </c>
      <c r="R615" s="607" t="s">
        <v>908</v>
      </c>
      <c r="S615" s="602" t="s">
        <v>422</v>
      </c>
      <c r="T615" s="602" t="s">
        <v>423</v>
      </c>
      <c r="U615" s="602"/>
      <c r="V615" s="600"/>
      <c r="W615" s="169"/>
    </row>
    <row r="616" spans="1:23" s="135" customFormat="1" ht="15" hidden="1" customHeight="1">
      <c r="A616" s="306">
        <v>615</v>
      </c>
      <c r="B616" s="611" t="s">
        <v>1334</v>
      </c>
      <c r="C616" s="610"/>
      <c r="D616" s="611" t="s">
        <v>1212</v>
      </c>
      <c r="E616" s="601" t="s">
        <v>1247</v>
      </c>
      <c r="F616" s="609">
        <v>1</v>
      </c>
      <c r="G616" s="609">
        <v>1</v>
      </c>
      <c r="H616" s="614">
        <v>0</v>
      </c>
      <c r="I616" s="607">
        <v>42956</v>
      </c>
      <c r="J616" s="561" t="s">
        <v>2002</v>
      </c>
      <c r="K616" s="557">
        <v>787</v>
      </c>
      <c r="L616" s="607">
        <v>42956</v>
      </c>
      <c r="M616" s="616" t="s">
        <v>1335</v>
      </c>
      <c r="N616" s="615">
        <f t="shared" si="30"/>
        <v>0</v>
      </c>
      <c r="O616" s="559" t="s">
        <v>587</v>
      </c>
      <c r="P616" s="602" t="s">
        <v>555</v>
      </c>
      <c r="Q616" s="602" t="s">
        <v>1336</v>
      </c>
      <c r="R616" s="607" t="s">
        <v>908</v>
      </c>
      <c r="S616" s="602" t="s">
        <v>422</v>
      </c>
      <c r="T616" s="602" t="s">
        <v>423</v>
      </c>
      <c r="U616" s="602"/>
      <c r="V616" s="600"/>
      <c r="W616" s="169"/>
    </row>
    <row r="617" spans="1:23" s="135" customFormat="1" ht="15" hidden="1" customHeight="1">
      <c r="A617" s="306">
        <v>616</v>
      </c>
      <c r="B617" s="611" t="s">
        <v>1334</v>
      </c>
      <c r="C617" s="610"/>
      <c r="D617" s="611" t="s">
        <v>1224</v>
      </c>
      <c r="E617" s="601" t="s">
        <v>1259</v>
      </c>
      <c r="F617" s="609">
        <v>1</v>
      </c>
      <c r="G617" s="609">
        <v>1</v>
      </c>
      <c r="H617" s="560">
        <v>0</v>
      </c>
      <c r="I617" s="607">
        <v>42956</v>
      </c>
      <c r="J617" s="561" t="s">
        <v>2002</v>
      </c>
      <c r="K617" s="557">
        <v>787</v>
      </c>
      <c r="L617" s="607">
        <v>42956</v>
      </c>
      <c r="M617" s="616" t="s">
        <v>1335</v>
      </c>
      <c r="N617" s="615">
        <f t="shared" si="30"/>
        <v>0</v>
      </c>
      <c r="O617" s="559" t="s">
        <v>587</v>
      </c>
      <c r="P617" s="602" t="s">
        <v>555</v>
      </c>
      <c r="Q617" s="602" t="s">
        <v>1336</v>
      </c>
      <c r="R617" s="607" t="s">
        <v>908</v>
      </c>
      <c r="S617" s="602" t="s">
        <v>422</v>
      </c>
      <c r="T617" s="602" t="s">
        <v>423</v>
      </c>
      <c r="U617" s="602"/>
      <c r="V617" s="600"/>
      <c r="W617" s="169"/>
    </row>
    <row r="618" spans="1:23" s="135" customFormat="1" ht="15" hidden="1" customHeight="1">
      <c r="A618" s="306">
        <v>617</v>
      </c>
      <c r="B618" s="556" t="s">
        <v>1334</v>
      </c>
      <c r="C618" s="555"/>
      <c r="D618" s="611" t="s">
        <v>1220</v>
      </c>
      <c r="E618" s="601" t="s">
        <v>1254</v>
      </c>
      <c r="F618" s="554">
        <v>1</v>
      </c>
      <c r="G618" s="554">
        <v>1</v>
      </c>
      <c r="H618" s="560">
        <v>0</v>
      </c>
      <c r="I618" s="599">
        <v>42956</v>
      </c>
      <c r="J618" s="561" t="s">
        <v>2002</v>
      </c>
      <c r="K618" s="557">
        <v>787</v>
      </c>
      <c r="L618" s="607">
        <v>42956</v>
      </c>
      <c r="M618" s="616" t="s">
        <v>1335</v>
      </c>
      <c r="N618" s="615">
        <f t="shared" si="30"/>
        <v>0</v>
      </c>
      <c r="O618" s="559" t="s">
        <v>587</v>
      </c>
      <c r="P618" s="598" t="s">
        <v>555</v>
      </c>
      <c r="Q618" s="598" t="s">
        <v>1336</v>
      </c>
      <c r="R618" s="607" t="s">
        <v>908</v>
      </c>
      <c r="S618" s="598" t="s">
        <v>422</v>
      </c>
      <c r="T618" s="602" t="s">
        <v>423</v>
      </c>
      <c r="U618" s="598"/>
      <c r="V618" s="600"/>
      <c r="W618" s="169"/>
    </row>
    <row r="619" spans="1:23" s="135" customFormat="1" ht="15" hidden="1" customHeight="1">
      <c r="A619" s="306">
        <v>618</v>
      </c>
      <c r="B619" s="556" t="s">
        <v>1334</v>
      </c>
      <c r="C619" s="555"/>
      <c r="D619" s="611" t="s">
        <v>674</v>
      </c>
      <c r="E619" s="601" t="s">
        <v>1359</v>
      </c>
      <c r="F619" s="554">
        <v>1</v>
      </c>
      <c r="G619" s="554">
        <v>1</v>
      </c>
      <c r="H619" s="560">
        <v>0</v>
      </c>
      <c r="I619" s="599">
        <v>42956</v>
      </c>
      <c r="J619" s="561" t="s">
        <v>2002</v>
      </c>
      <c r="K619" s="557">
        <v>787</v>
      </c>
      <c r="L619" s="599">
        <v>42956</v>
      </c>
      <c r="M619" s="563" t="s">
        <v>1335</v>
      </c>
      <c r="N619" s="615">
        <f t="shared" si="30"/>
        <v>0</v>
      </c>
      <c r="O619" s="559" t="s">
        <v>587</v>
      </c>
      <c r="P619" s="598" t="s">
        <v>555</v>
      </c>
      <c r="Q619" s="598" t="s">
        <v>1336</v>
      </c>
      <c r="R619" s="599" t="s">
        <v>908</v>
      </c>
      <c r="S619" s="598" t="s">
        <v>422</v>
      </c>
      <c r="T619" s="598" t="s">
        <v>423</v>
      </c>
      <c r="U619" s="598"/>
      <c r="V619" s="597"/>
      <c r="W619" s="169"/>
    </row>
    <row r="620" spans="1:23" s="135" customFormat="1" ht="15" hidden="1" customHeight="1">
      <c r="A620" s="306">
        <v>619</v>
      </c>
      <c r="B620" s="556" t="s">
        <v>1334</v>
      </c>
      <c r="C620" s="555"/>
      <c r="D620" s="611" t="s">
        <v>895</v>
      </c>
      <c r="E620" s="601" t="s">
        <v>902</v>
      </c>
      <c r="F620" s="554">
        <v>1</v>
      </c>
      <c r="G620" s="554">
        <v>1</v>
      </c>
      <c r="H620" s="560">
        <v>0</v>
      </c>
      <c r="I620" s="599">
        <v>42956</v>
      </c>
      <c r="J620" s="561" t="s">
        <v>2002</v>
      </c>
      <c r="K620" s="557">
        <v>787</v>
      </c>
      <c r="L620" s="599">
        <v>42956</v>
      </c>
      <c r="M620" s="563" t="s">
        <v>1335</v>
      </c>
      <c r="N620" s="615">
        <f t="shared" si="30"/>
        <v>0</v>
      </c>
      <c r="O620" s="559" t="s">
        <v>587</v>
      </c>
      <c r="P620" s="598" t="s">
        <v>555</v>
      </c>
      <c r="Q620" s="598" t="s">
        <v>1336</v>
      </c>
      <c r="R620" s="599" t="s">
        <v>908</v>
      </c>
      <c r="S620" s="598" t="s">
        <v>422</v>
      </c>
      <c r="T620" s="598" t="s">
        <v>423</v>
      </c>
      <c r="U620" s="598"/>
      <c r="V620" s="597"/>
      <c r="W620" s="169"/>
    </row>
    <row r="621" spans="1:23" s="135" customFormat="1" ht="15" hidden="1" customHeight="1">
      <c r="A621" s="306">
        <v>620</v>
      </c>
      <c r="B621" s="556" t="s">
        <v>1334</v>
      </c>
      <c r="C621" s="555"/>
      <c r="D621" s="611" t="s">
        <v>146</v>
      </c>
      <c r="E621" s="601" t="s">
        <v>1280</v>
      </c>
      <c r="F621" s="554">
        <v>6</v>
      </c>
      <c r="G621" s="554">
        <v>6</v>
      </c>
      <c r="H621" s="560">
        <v>0</v>
      </c>
      <c r="I621" s="607">
        <v>42956</v>
      </c>
      <c r="J621" s="561" t="s">
        <v>2002</v>
      </c>
      <c r="K621" s="557">
        <v>787</v>
      </c>
      <c r="L621" s="599">
        <v>42956</v>
      </c>
      <c r="M621" s="563" t="s">
        <v>1335</v>
      </c>
      <c r="N621" s="615">
        <f t="shared" si="30"/>
        <v>0</v>
      </c>
      <c r="O621" s="559" t="s">
        <v>587</v>
      </c>
      <c r="P621" s="598" t="s">
        <v>555</v>
      </c>
      <c r="Q621" s="598" t="s">
        <v>1336</v>
      </c>
      <c r="R621" s="599" t="s">
        <v>908</v>
      </c>
      <c r="S621" s="598" t="s">
        <v>422</v>
      </c>
      <c r="T621" s="598" t="s">
        <v>423</v>
      </c>
      <c r="U621" s="602"/>
      <c r="V621" s="597"/>
      <c r="W621" s="169"/>
    </row>
    <row r="622" spans="1:23" s="135" customFormat="1" ht="15" hidden="1" customHeight="1">
      <c r="A622" s="306">
        <v>621</v>
      </c>
      <c r="B622" s="556" t="s">
        <v>1334</v>
      </c>
      <c r="C622" s="555"/>
      <c r="D622" s="611" t="s">
        <v>1239</v>
      </c>
      <c r="E622" s="601" t="s">
        <v>1277</v>
      </c>
      <c r="F622" s="554">
        <v>1</v>
      </c>
      <c r="G622" s="554">
        <v>1</v>
      </c>
      <c r="H622" s="560">
        <v>0</v>
      </c>
      <c r="I622" s="599">
        <v>42956</v>
      </c>
      <c r="J622" s="561" t="s">
        <v>2002</v>
      </c>
      <c r="K622" s="557">
        <v>787</v>
      </c>
      <c r="L622" s="599">
        <v>42956</v>
      </c>
      <c r="M622" s="563" t="s">
        <v>1335</v>
      </c>
      <c r="N622" s="615">
        <f t="shared" si="30"/>
        <v>0</v>
      </c>
      <c r="O622" s="559" t="s">
        <v>587</v>
      </c>
      <c r="P622" s="598" t="s">
        <v>555</v>
      </c>
      <c r="Q622" s="598" t="s">
        <v>1336</v>
      </c>
      <c r="R622" s="599" t="s">
        <v>908</v>
      </c>
      <c r="S622" s="598" t="s">
        <v>422</v>
      </c>
      <c r="T622" s="598" t="s">
        <v>423</v>
      </c>
      <c r="U622" s="598"/>
      <c r="V622" s="597"/>
      <c r="W622" s="169"/>
    </row>
    <row r="623" spans="1:23" s="135" customFormat="1" ht="15" hidden="1" customHeight="1">
      <c r="A623" s="306">
        <v>622</v>
      </c>
      <c r="B623" s="556" t="s">
        <v>1334</v>
      </c>
      <c r="C623" s="555"/>
      <c r="D623" s="611" t="s">
        <v>668</v>
      </c>
      <c r="E623" s="601" t="s">
        <v>1273</v>
      </c>
      <c r="F623" s="554">
        <v>1</v>
      </c>
      <c r="G623" s="554">
        <v>1</v>
      </c>
      <c r="H623" s="560">
        <v>0</v>
      </c>
      <c r="I623" s="599">
        <v>42956</v>
      </c>
      <c r="J623" s="561" t="s">
        <v>2002</v>
      </c>
      <c r="K623" s="557">
        <v>787</v>
      </c>
      <c r="L623" s="599">
        <v>42956</v>
      </c>
      <c r="M623" s="563" t="s">
        <v>1335</v>
      </c>
      <c r="N623" s="615">
        <f t="shared" si="30"/>
        <v>0</v>
      </c>
      <c r="O623" s="559" t="s">
        <v>587</v>
      </c>
      <c r="P623" s="602" t="s">
        <v>555</v>
      </c>
      <c r="Q623" s="602" t="s">
        <v>1336</v>
      </c>
      <c r="R623" s="599" t="s">
        <v>908</v>
      </c>
      <c r="S623" s="598" t="s">
        <v>422</v>
      </c>
      <c r="T623" s="598" t="s">
        <v>423</v>
      </c>
      <c r="U623" s="602"/>
      <c r="V623" s="597"/>
      <c r="W623" s="169"/>
    </row>
    <row r="624" spans="1:23" s="135" customFormat="1" ht="15" hidden="1" customHeight="1">
      <c r="A624" s="306">
        <v>623</v>
      </c>
      <c r="B624" s="556" t="s">
        <v>1334</v>
      </c>
      <c r="C624" s="555"/>
      <c r="D624" s="611" t="s">
        <v>1023</v>
      </c>
      <c r="E624" s="551" t="s">
        <v>1029</v>
      </c>
      <c r="F624" s="554">
        <v>1</v>
      </c>
      <c r="G624" s="554">
        <v>1</v>
      </c>
      <c r="H624" s="560">
        <v>0</v>
      </c>
      <c r="I624" s="599">
        <v>42956</v>
      </c>
      <c r="J624" s="561" t="s">
        <v>2002</v>
      </c>
      <c r="K624" s="557">
        <v>787</v>
      </c>
      <c r="L624" s="599">
        <v>42956</v>
      </c>
      <c r="M624" s="563" t="s">
        <v>1335</v>
      </c>
      <c r="N624" s="615">
        <f t="shared" si="30"/>
        <v>0</v>
      </c>
      <c r="O624" s="559" t="s">
        <v>587</v>
      </c>
      <c r="P624" s="598" t="s">
        <v>555</v>
      </c>
      <c r="Q624" s="598" t="s">
        <v>1336</v>
      </c>
      <c r="R624" s="599" t="s">
        <v>908</v>
      </c>
      <c r="S624" s="598" t="s">
        <v>422</v>
      </c>
      <c r="T624" s="598" t="s">
        <v>423</v>
      </c>
      <c r="U624" s="598"/>
      <c r="V624" s="597"/>
      <c r="W624" s="169"/>
    </row>
    <row r="625" spans="1:23" s="135" customFormat="1" ht="15" hidden="1" customHeight="1">
      <c r="A625" s="306">
        <v>624</v>
      </c>
      <c r="B625" s="611" t="s">
        <v>1334</v>
      </c>
      <c r="C625" s="610"/>
      <c r="D625" s="185" t="s">
        <v>1013</v>
      </c>
      <c r="E625" s="601" t="s">
        <v>1017</v>
      </c>
      <c r="F625" s="609">
        <v>1</v>
      </c>
      <c r="G625" s="609">
        <v>1</v>
      </c>
      <c r="H625" s="560">
        <v>0</v>
      </c>
      <c r="I625" s="607">
        <v>42956</v>
      </c>
      <c r="J625" s="561" t="s">
        <v>2002</v>
      </c>
      <c r="K625" s="557">
        <v>787</v>
      </c>
      <c r="L625" s="607">
        <v>42956</v>
      </c>
      <c r="M625" s="616" t="s">
        <v>1335</v>
      </c>
      <c r="N625" s="615">
        <f t="shared" si="30"/>
        <v>0</v>
      </c>
      <c r="O625" s="559" t="s">
        <v>587</v>
      </c>
      <c r="P625" s="602" t="s">
        <v>555</v>
      </c>
      <c r="Q625" s="602" t="s">
        <v>1336</v>
      </c>
      <c r="R625" s="607" t="s">
        <v>908</v>
      </c>
      <c r="S625" s="602" t="s">
        <v>422</v>
      </c>
      <c r="T625" s="602" t="s">
        <v>423</v>
      </c>
      <c r="U625" s="602"/>
      <c r="V625" s="600"/>
      <c r="W625" s="169"/>
    </row>
    <row r="626" spans="1:23" s="135" customFormat="1" ht="15" hidden="1" customHeight="1">
      <c r="A626" s="306">
        <v>625</v>
      </c>
      <c r="B626" s="611" t="s">
        <v>1334</v>
      </c>
      <c r="C626" s="610"/>
      <c r="D626" s="611" t="s">
        <v>1008</v>
      </c>
      <c r="E626" s="601" t="s">
        <v>1017</v>
      </c>
      <c r="F626" s="609">
        <v>17</v>
      </c>
      <c r="G626" s="609">
        <v>17</v>
      </c>
      <c r="H626" s="614">
        <v>0</v>
      </c>
      <c r="I626" s="607">
        <v>42956</v>
      </c>
      <c r="J626" s="561" t="s">
        <v>2002</v>
      </c>
      <c r="K626" s="557">
        <v>787</v>
      </c>
      <c r="L626" s="607">
        <v>42956</v>
      </c>
      <c r="M626" s="176" t="s">
        <v>1335</v>
      </c>
      <c r="N626" s="615">
        <f t="shared" si="30"/>
        <v>0</v>
      </c>
      <c r="O626" s="559" t="s">
        <v>587</v>
      </c>
      <c r="P626" s="602" t="s">
        <v>555</v>
      </c>
      <c r="Q626" s="602" t="s">
        <v>1336</v>
      </c>
      <c r="R626" s="607" t="s">
        <v>908</v>
      </c>
      <c r="S626" s="602" t="s">
        <v>422</v>
      </c>
      <c r="T626" s="602" t="s">
        <v>423</v>
      </c>
      <c r="U626" s="602"/>
      <c r="V626" s="600"/>
      <c r="W626" s="169"/>
    </row>
    <row r="627" spans="1:23" s="135" customFormat="1" ht="15" hidden="1" customHeight="1">
      <c r="A627" s="306">
        <v>626</v>
      </c>
      <c r="B627" s="611" t="s">
        <v>1334</v>
      </c>
      <c r="C627" s="610"/>
      <c r="D627" s="611" t="s">
        <v>1009</v>
      </c>
      <c r="E627" s="601" t="s">
        <v>1017</v>
      </c>
      <c r="F627" s="609">
        <v>6</v>
      </c>
      <c r="G627" s="609">
        <v>6</v>
      </c>
      <c r="H627" s="614">
        <v>0</v>
      </c>
      <c r="I627" s="607">
        <v>42956</v>
      </c>
      <c r="J627" s="561" t="s">
        <v>2002</v>
      </c>
      <c r="K627" s="557">
        <v>787</v>
      </c>
      <c r="L627" s="607">
        <v>42956</v>
      </c>
      <c r="M627" s="172" t="s">
        <v>1335</v>
      </c>
      <c r="N627" s="615">
        <f t="shared" si="30"/>
        <v>0</v>
      </c>
      <c r="O627" s="559" t="s">
        <v>587</v>
      </c>
      <c r="P627" s="602" t="s">
        <v>555</v>
      </c>
      <c r="Q627" s="602" t="s">
        <v>1336</v>
      </c>
      <c r="R627" s="607" t="s">
        <v>908</v>
      </c>
      <c r="S627" s="602" t="s">
        <v>422</v>
      </c>
      <c r="T627" s="602" t="s">
        <v>423</v>
      </c>
      <c r="U627" s="602"/>
      <c r="V627" s="600"/>
      <c r="W627" s="169"/>
    </row>
    <row r="628" spans="1:23" s="135" customFormat="1" ht="15" hidden="1" customHeight="1">
      <c r="A628" s="306">
        <v>627</v>
      </c>
      <c r="B628" s="611" t="s">
        <v>1334</v>
      </c>
      <c r="C628" s="610"/>
      <c r="D628" s="613" t="s">
        <v>1010</v>
      </c>
      <c r="E628" s="601" t="s">
        <v>1017</v>
      </c>
      <c r="F628" s="609">
        <v>1</v>
      </c>
      <c r="G628" s="609">
        <v>1</v>
      </c>
      <c r="H628" s="614">
        <v>0</v>
      </c>
      <c r="I628" s="607">
        <v>42956</v>
      </c>
      <c r="J628" s="561" t="s">
        <v>2002</v>
      </c>
      <c r="K628" s="557">
        <v>787</v>
      </c>
      <c r="L628" s="607">
        <v>42956</v>
      </c>
      <c r="M628" s="616" t="s">
        <v>1335</v>
      </c>
      <c r="N628" s="615">
        <f t="shared" si="30"/>
        <v>0</v>
      </c>
      <c r="O628" s="559" t="s">
        <v>587</v>
      </c>
      <c r="P628" s="602" t="s">
        <v>555</v>
      </c>
      <c r="Q628" s="602" t="s">
        <v>1336</v>
      </c>
      <c r="R628" s="607" t="s">
        <v>908</v>
      </c>
      <c r="S628" s="602" t="s">
        <v>422</v>
      </c>
      <c r="T628" s="602" t="s">
        <v>423</v>
      </c>
      <c r="U628" s="602"/>
      <c r="V628" s="600"/>
      <c r="W628" s="169"/>
    </row>
    <row r="629" spans="1:23" s="135" customFormat="1" ht="15" hidden="1" customHeight="1">
      <c r="A629" s="306">
        <v>628</v>
      </c>
      <c r="B629" s="611" t="s">
        <v>1334</v>
      </c>
      <c r="C629" s="610"/>
      <c r="D629" s="186" t="s">
        <v>1011</v>
      </c>
      <c r="E629" s="326" t="s">
        <v>1017</v>
      </c>
      <c r="F629" s="609">
        <v>1</v>
      </c>
      <c r="G629" s="609">
        <v>1</v>
      </c>
      <c r="H629" s="560">
        <v>0</v>
      </c>
      <c r="I629" s="607">
        <v>42956</v>
      </c>
      <c r="J629" s="561" t="s">
        <v>2002</v>
      </c>
      <c r="K629" s="557">
        <v>787</v>
      </c>
      <c r="L629" s="607">
        <v>42956</v>
      </c>
      <c r="M629" s="616" t="s">
        <v>1335</v>
      </c>
      <c r="N629" s="615">
        <f t="shared" si="30"/>
        <v>0</v>
      </c>
      <c r="O629" s="559" t="s">
        <v>587</v>
      </c>
      <c r="P629" s="602" t="s">
        <v>555</v>
      </c>
      <c r="Q629" s="602" t="s">
        <v>1336</v>
      </c>
      <c r="R629" s="607" t="s">
        <v>908</v>
      </c>
      <c r="S629" s="602" t="s">
        <v>422</v>
      </c>
      <c r="T629" s="602" t="s">
        <v>423</v>
      </c>
      <c r="U629" s="602"/>
      <c r="V629" s="600"/>
      <c r="W629" s="169"/>
    </row>
    <row r="630" spans="1:23" s="135" customFormat="1" ht="15" hidden="1" customHeight="1">
      <c r="A630" s="306">
        <v>629</v>
      </c>
      <c r="B630" s="611" t="s">
        <v>1334</v>
      </c>
      <c r="C630" s="610"/>
      <c r="D630" s="611" t="s">
        <v>1360</v>
      </c>
      <c r="E630" s="601" t="s">
        <v>1342</v>
      </c>
      <c r="F630" s="609">
        <v>2</v>
      </c>
      <c r="G630" s="609">
        <v>2</v>
      </c>
      <c r="H630" s="560">
        <v>0</v>
      </c>
      <c r="I630" s="607">
        <v>42956</v>
      </c>
      <c r="J630" s="561" t="s">
        <v>2002</v>
      </c>
      <c r="K630" s="557">
        <v>787</v>
      </c>
      <c r="L630" s="607">
        <v>42956</v>
      </c>
      <c r="M630" s="616" t="s">
        <v>1335</v>
      </c>
      <c r="N630" s="615">
        <f t="shared" si="30"/>
        <v>0</v>
      </c>
      <c r="O630" s="559" t="s">
        <v>587</v>
      </c>
      <c r="P630" s="602" t="s">
        <v>555</v>
      </c>
      <c r="Q630" s="602" t="s">
        <v>1336</v>
      </c>
      <c r="R630" s="607" t="s">
        <v>908</v>
      </c>
      <c r="S630" s="602" t="s">
        <v>422</v>
      </c>
      <c r="T630" s="602" t="s">
        <v>423</v>
      </c>
      <c r="U630" s="602"/>
      <c r="V630" s="600"/>
      <c r="W630" s="169"/>
    </row>
    <row r="631" spans="1:23" s="135" customFormat="1" ht="15" hidden="1" customHeight="1">
      <c r="A631" s="306">
        <v>630</v>
      </c>
      <c r="B631" s="556" t="s">
        <v>1334</v>
      </c>
      <c r="C631" s="555"/>
      <c r="D631" s="185" t="s">
        <v>1223</v>
      </c>
      <c r="E631" s="601" t="s">
        <v>1258</v>
      </c>
      <c r="F631" s="554">
        <v>3</v>
      </c>
      <c r="G631" s="609">
        <v>3</v>
      </c>
      <c r="H631" s="560">
        <v>0</v>
      </c>
      <c r="I631" s="599">
        <v>42956</v>
      </c>
      <c r="J631" s="561" t="s">
        <v>2002</v>
      </c>
      <c r="K631" s="557">
        <v>787</v>
      </c>
      <c r="L631" s="607">
        <v>42956</v>
      </c>
      <c r="M631" s="616" t="s">
        <v>1335</v>
      </c>
      <c r="N631" s="615">
        <f t="shared" si="30"/>
        <v>0</v>
      </c>
      <c r="O631" s="559" t="s">
        <v>587</v>
      </c>
      <c r="P631" s="602" t="s">
        <v>555</v>
      </c>
      <c r="Q631" s="598" t="s">
        <v>1336</v>
      </c>
      <c r="R631" s="607" t="s">
        <v>908</v>
      </c>
      <c r="S631" s="598" t="s">
        <v>422</v>
      </c>
      <c r="T631" s="598" t="s">
        <v>423</v>
      </c>
      <c r="U631" s="602"/>
      <c r="V631" s="600"/>
      <c r="W631" s="169"/>
    </row>
    <row r="632" spans="1:23" s="135" customFormat="1" ht="15" hidden="1" customHeight="1">
      <c r="A632" s="306">
        <v>631</v>
      </c>
      <c r="B632" s="611" t="s">
        <v>1334</v>
      </c>
      <c r="C632" s="610"/>
      <c r="D632" s="611" t="s">
        <v>1007</v>
      </c>
      <c r="E632" s="601" t="s">
        <v>1016</v>
      </c>
      <c r="F632" s="609">
        <v>4</v>
      </c>
      <c r="G632" s="609">
        <v>4</v>
      </c>
      <c r="H632" s="560">
        <v>0</v>
      </c>
      <c r="I632" s="607">
        <v>42956</v>
      </c>
      <c r="J632" s="561" t="s">
        <v>2002</v>
      </c>
      <c r="K632" s="557">
        <v>787</v>
      </c>
      <c r="L632" s="607">
        <v>42956</v>
      </c>
      <c r="M632" s="616" t="s">
        <v>1335</v>
      </c>
      <c r="N632" s="615">
        <f t="shared" si="30"/>
        <v>0</v>
      </c>
      <c r="O632" s="559" t="s">
        <v>587</v>
      </c>
      <c r="P632" s="602" t="s">
        <v>555</v>
      </c>
      <c r="Q632" s="602" t="s">
        <v>1336</v>
      </c>
      <c r="R632" s="607" t="s">
        <v>908</v>
      </c>
      <c r="S632" s="602" t="s">
        <v>422</v>
      </c>
      <c r="T632" s="602" t="s">
        <v>423</v>
      </c>
      <c r="U632" s="602"/>
      <c r="V632" s="600"/>
      <c r="W632" s="169"/>
    </row>
    <row r="633" spans="1:23" s="135" customFormat="1" ht="15" hidden="1" customHeight="1">
      <c r="A633" s="306">
        <v>632</v>
      </c>
      <c r="B633" s="180"/>
      <c r="C633" s="196"/>
      <c r="D633" s="180" t="s">
        <v>80</v>
      </c>
      <c r="E633" s="194" t="s">
        <v>79</v>
      </c>
      <c r="F633" s="585">
        <v>8</v>
      </c>
      <c r="G633" s="585">
        <v>8</v>
      </c>
      <c r="H633" s="586">
        <v>0</v>
      </c>
      <c r="I633" s="179">
        <v>42956</v>
      </c>
      <c r="J633" s="587" t="s">
        <v>1756</v>
      </c>
      <c r="K633" s="588">
        <v>959</v>
      </c>
      <c r="L633" s="179">
        <v>43061</v>
      </c>
      <c r="M633" s="635">
        <v>1170</v>
      </c>
      <c r="N633" s="621">
        <f t="shared" si="30"/>
        <v>9360</v>
      </c>
      <c r="O633" s="559" t="s">
        <v>587</v>
      </c>
      <c r="P633" s="189" t="s">
        <v>844</v>
      </c>
      <c r="Q633" s="189"/>
      <c r="R633" s="179" t="s">
        <v>908</v>
      </c>
      <c r="S633" s="189" t="s">
        <v>422</v>
      </c>
      <c r="T633" s="189" t="s">
        <v>423</v>
      </c>
      <c r="U633" s="189"/>
      <c r="V633" s="402"/>
      <c r="W633" s="169"/>
    </row>
    <row r="634" spans="1:23" s="135" customFormat="1" ht="15" hidden="1" customHeight="1">
      <c r="A634" s="306">
        <v>633</v>
      </c>
      <c r="B634" s="556"/>
      <c r="C634" s="555"/>
      <c r="D634" s="185" t="s">
        <v>224</v>
      </c>
      <c r="E634" s="350" t="s">
        <v>941</v>
      </c>
      <c r="F634" s="554">
        <v>4</v>
      </c>
      <c r="G634" s="554">
        <v>4</v>
      </c>
      <c r="H634" s="560">
        <v>0</v>
      </c>
      <c r="I634" s="599">
        <v>42956</v>
      </c>
      <c r="J634" s="561" t="s">
        <v>1361</v>
      </c>
      <c r="K634" s="557">
        <v>791</v>
      </c>
      <c r="L634" s="599">
        <v>42956</v>
      </c>
      <c r="M634" s="563">
        <v>120</v>
      </c>
      <c r="N634" s="615">
        <f t="shared" si="30"/>
        <v>480</v>
      </c>
      <c r="O634" s="559" t="s">
        <v>425</v>
      </c>
      <c r="P634" s="598" t="s">
        <v>555</v>
      </c>
      <c r="Q634" s="598" t="s">
        <v>1362</v>
      </c>
      <c r="R634" s="599" t="s">
        <v>908</v>
      </c>
      <c r="S634" s="598" t="s">
        <v>422</v>
      </c>
      <c r="T634" s="598" t="s">
        <v>423</v>
      </c>
      <c r="U634" s="598"/>
      <c r="V634" s="597"/>
      <c r="W634" s="169"/>
    </row>
    <row r="635" spans="1:23" s="135" customFormat="1" ht="15" hidden="1" customHeight="1">
      <c r="A635" s="306">
        <v>634</v>
      </c>
      <c r="B635" s="611"/>
      <c r="C635" s="610"/>
      <c r="D635" s="611" t="s">
        <v>219</v>
      </c>
      <c r="E635" s="601" t="s">
        <v>429</v>
      </c>
      <c r="F635" s="609">
        <v>2</v>
      </c>
      <c r="G635" s="609">
        <v>2</v>
      </c>
      <c r="H635" s="614">
        <v>0</v>
      </c>
      <c r="I635" s="607">
        <v>42960</v>
      </c>
      <c r="J635" s="561" t="s">
        <v>1396</v>
      </c>
      <c r="K635" s="557">
        <v>794</v>
      </c>
      <c r="L635" s="607">
        <v>42957</v>
      </c>
      <c r="M635" s="616">
        <v>1900</v>
      </c>
      <c r="N635" s="615">
        <f t="shared" si="30"/>
        <v>3800</v>
      </c>
      <c r="O635" s="559" t="s">
        <v>587</v>
      </c>
      <c r="P635" s="602" t="s">
        <v>1397</v>
      </c>
      <c r="Q635" s="602"/>
      <c r="R635" s="607" t="s">
        <v>908</v>
      </c>
      <c r="S635" s="602" t="s">
        <v>422</v>
      </c>
      <c r="T635" s="602" t="s">
        <v>423</v>
      </c>
      <c r="U635" s="189" t="s">
        <v>1398</v>
      </c>
      <c r="V635" s="600"/>
      <c r="W635" s="169"/>
    </row>
    <row r="636" spans="1:23" s="135" customFormat="1" ht="15" hidden="1" customHeight="1">
      <c r="A636" s="306">
        <v>635</v>
      </c>
      <c r="B636" s="162" t="s">
        <v>1399</v>
      </c>
      <c r="C636" s="161"/>
      <c r="D636" s="611" t="s">
        <v>1366</v>
      </c>
      <c r="E636" s="601" t="s">
        <v>1379</v>
      </c>
      <c r="F636" s="373">
        <v>2</v>
      </c>
      <c r="G636" s="373">
        <v>2</v>
      </c>
      <c r="H636" s="380">
        <v>0</v>
      </c>
      <c r="I636" s="607">
        <v>42960</v>
      </c>
      <c r="J636" s="561" t="s">
        <v>2002</v>
      </c>
      <c r="K636" s="557">
        <v>797</v>
      </c>
      <c r="L636" s="371">
        <v>42957</v>
      </c>
      <c r="M636" s="175">
        <v>5820</v>
      </c>
      <c r="N636" s="615">
        <f t="shared" si="30"/>
        <v>11640</v>
      </c>
      <c r="O636" s="559" t="s">
        <v>587</v>
      </c>
      <c r="P636" s="154" t="s">
        <v>555</v>
      </c>
      <c r="Q636" s="154" t="s">
        <v>1336</v>
      </c>
      <c r="R636" s="160" t="s">
        <v>908</v>
      </c>
      <c r="S636" s="413" t="s">
        <v>422</v>
      </c>
      <c r="T636" s="154" t="s">
        <v>423</v>
      </c>
      <c r="U636" s="154"/>
      <c r="V636" s="67"/>
      <c r="W636" s="169"/>
    </row>
    <row r="637" spans="1:23" s="135" customFormat="1" ht="15" customHeight="1">
      <c r="A637" s="306">
        <v>636</v>
      </c>
      <c r="B637" s="162"/>
      <c r="C637" s="161"/>
      <c r="D637" s="611" t="s">
        <v>1367</v>
      </c>
      <c r="E637" s="601" t="s">
        <v>1381</v>
      </c>
      <c r="F637" s="373">
        <v>4</v>
      </c>
      <c r="G637" s="373">
        <v>4</v>
      </c>
      <c r="H637" s="380">
        <v>0</v>
      </c>
      <c r="I637" s="607">
        <v>42960</v>
      </c>
      <c r="J637" s="155" t="s">
        <v>507</v>
      </c>
      <c r="K637" s="240">
        <v>795</v>
      </c>
      <c r="L637" s="607">
        <v>42957</v>
      </c>
      <c r="M637" s="175">
        <v>1680</v>
      </c>
      <c r="N637" s="615">
        <f t="shared" si="30"/>
        <v>6720</v>
      </c>
      <c r="O637" s="559" t="s">
        <v>587</v>
      </c>
      <c r="P637" s="602" t="s">
        <v>1400</v>
      </c>
      <c r="Q637" s="154" t="s">
        <v>509</v>
      </c>
      <c r="R637" s="160" t="s">
        <v>908</v>
      </c>
      <c r="S637" s="413" t="s">
        <v>422</v>
      </c>
      <c r="T637" s="154" t="s">
        <v>423</v>
      </c>
      <c r="U637" s="154"/>
      <c r="V637" s="67"/>
      <c r="W637" s="169"/>
    </row>
    <row r="638" spans="1:23" s="135" customFormat="1" ht="15" hidden="1" customHeight="1">
      <c r="A638" s="306">
        <v>637</v>
      </c>
      <c r="B638" s="162" t="s">
        <v>604</v>
      </c>
      <c r="C638" s="161"/>
      <c r="D638" s="611" t="s">
        <v>1375</v>
      </c>
      <c r="E638" s="153" t="s">
        <v>1393</v>
      </c>
      <c r="F638" s="373">
        <v>4</v>
      </c>
      <c r="G638" s="373">
        <v>4</v>
      </c>
      <c r="H638" s="614">
        <v>0</v>
      </c>
      <c r="I638" s="160">
        <v>42960</v>
      </c>
      <c r="J638" s="155" t="s">
        <v>1401</v>
      </c>
      <c r="K638" s="240">
        <v>796</v>
      </c>
      <c r="L638" s="371">
        <v>42957</v>
      </c>
      <c r="M638" s="175">
        <v>1530</v>
      </c>
      <c r="N638" s="615">
        <f t="shared" ref="N638:N701" si="31">IFERROR(M638*G638,0)</f>
        <v>6120</v>
      </c>
      <c r="O638" s="559" t="s">
        <v>587</v>
      </c>
      <c r="P638" s="154" t="s">
        <v>969</v>
      </c>
      <c r="Q638" s="154" t="s">
        <v>1402</v>
      </c>
      <c r="R638" s="160" t="s">
        <v>908</v>
      </c>
      <c r="S638" s="413" t="s">
        <v>422</v>
      </c>
      <c r="T638" s="154" t="s">
        <v>423</v>
      </c>
      <c r="U638" s="154"/>
      <c r="V638" s="67"/>
      <c r="W638" s="169"/>
    </row>
    <row r="639" spans="1:23" s="135" customFormat="1" ht="15" hidden="1" customHeight="1">
      <c r="A639" s="306">
        <v>638</v>
      </c>
      <c r="B639" s="611" t="s">
        <v>1403</v>
      </c>
      <c r="C639" s="610"/>
      <c r="D639" s="611" t="s">
        <v>1363</v>
      </c>
      <c r="E639" s="601" t="s">
        <v>1376</v>
      </c>
      <c r="F639" s="609">
        <v>1</v>
      </c>
      <c r="G639" s="609">
        <v>1</v>
      </c>
      <c r="H639" s="614">
        <v>0</v>
      </c>
      <c r="I639" s="607">
        <v>42960</v>
      </c>
      <c r="J639" s="561" t="s">
        <v>466</v>
      </c>
      <c r="K639" s="557">
        <v>798</v>
      </c>
      <c r="L639" s="607">
        <v>42957</v>
      </c>
      <c r="M639" s="616">
        <v>887</v>
      </c>
      <c r="N639" s="615">
        <f t="shared" si="31"/>
        <v>887</v>
      </c>
      <c r="O639" s="559" t="s">
        <v>587</v>
      </c>
      <c r="P639" s="602" t="s">
        <v>969</v>
      </c>
      <c r="Q639" s="602" t="s">
        <v>468</v>
      </c>
      <c r="R639" s="607" t="s">
        <v>908</v>
      </c>
      <c r="S639" s="602" t="s">
        <v>422</v>
      </c>
      <c r="T639" s="602" t="s">
        <v>423</v>
      </c>
      <c r="U639" s="602"/>
      <c r="V639" s="600"/>
      <c r="W639" s="169"/>
    </row>
    <row r="640" spans="1:23" s="135" customFormat="1" ht="15" hidden="1" customHeight="1">
      <c r="A640" s="306">
        <v>639</v>
      </c>
      <c r="B640" s="162" t="s">
        <v>1404</v>
      </c>
      <c r="C640" s="161"/>
      <c r="D640" s="611" t="s">
        <v>321</v>
      </c>
      <c r="E640" s="601" t="s">
        <v>320</v>
      </c>
      <c r="F640" s="373">
        <v>6</v>
      </c>
      <c r="G640" s="609">
        <v>6</v>
      </c>
      <c r="H640" s="614">
        <v>0</v>
      </c>
      <c r="I640" s="160">
        <v>42960</v>
      </c>
      <c r="J640" s="561" t="s">
        <v>1405</v>
      </c>
      <c r="K640" s="557">
        <v>799</v>
      </c>
      <c r="L640" s="607">
        <v>42957</v>
      </c>
      <c r="M640" s="616">
        <v>485</v>
      </c>
      <c r="N640" s="615">
        <f t="shared" si="31"/>
        <v>2910</v>
      </c>
      <c r="O640" s="559" t="s">
        <v>587</v>
      </c>
      <c r="P640" s="154" t="s">
        <v>969</v>
      </c>
      <c r="Q640" s="154" t="s">
        <v>1406</v>
      </c>
      <c r="R640" s="607" t="s">
        <v>908</v>
      </c>
      <c r="S640" s="413" t="s">
        <v>422</v>
      </c>
      <c r="T640" s="154" t="s">
        <v>423</v>
      </c>
      <c r="U640" s="602"/>
      <c r="V640" s="600"/>
      <c r="W640" s="169"/>
    </row>
    <row r="641" spans="1:23" s="135" customFormat="1" ht="15" hidden="1" customHeight="1">
      <c r="A641" s="306">
        <v>640</v>
      </c>
      <c r="B641" s="162" t="s">
        <v>1404</v>
      </c>
      <c r="C641" s="161"/>
      <c r="D641" s="611" t="s">
        <v>1368</v>
      </c>
      <c r="E641" s="601" t="s">
        <v>1382</v>
      </c>
      <c r="F641" s="373">
        <v>6</v>
      </c>
      <c r="G641" s="609">
        <v>6</v>
      </c>
      <c r="H641" s="614">
        <v>0</v>
      </c>
      <c r="I641" s="160">
        <v>42960</v>
      </c>
      <c r="J641" s="561" t="s">
        <v>1405</v>
      </c>
      <c r="K641" s="557">
        <v>799</v>
      </c>
      <c r="L641" s="607">
        <v>42957</v>
      </c>
      <c r="M641" s="616">
        <v>6370</v>
      </c>
      <c r="N641" s="615">
        <f t="shared" si="31"/>
        <v>38220</v>
      </c>
      <c r="O641" s="559" t="s">
        <v>587</v>
      </c>
      <c r="P641" s="154" t="s">
        <v>969</v>
      </c>
      <c r="Q641" s="154" t="s">
        <v>1406</v>
      </c>
      <c r="R641" s="607" t="s">
        <v>908</v>
      </c>
      <c r="S641" s="413" t="s">
        <v>422</v>
      </c>
      <c r="T641" s="154" t="s">
        <v>423</v>
      </c>
      <c r="U641" s="602"/>
      <c r="V641" s="600"/>
      <c r="W641" s="169"/>
    </row>
    <row r="642" spans="1:23" s="135" customFormat="1" ht="15" hidden="1" customHeight="1">
      <c r="A642" s="306">
        <v>641</v>
      </c>
      <c r="B642" s="162">
        <v>2309</v>
      </c>
      <c r="C642" s="161"/>
      <c r="D642" s="611" t="s">
        <v>1026</v>
      </c>
      <c r="E642" s="602" t="s">
        <v>1032</v>
      </c>
      <c r="F642" s="373">
        <v>32</v>
      </c>
      <c r="G642" s="609">
        <v>32</v>
      </c>
      <c r="H642" s="614">
        <v>0</v>
      </c>
      <c r="I642" s="160">
        <v>42960</v>
      </c>
      <c r="J642" s="561" t="s">
        <v>1407</v>
      </c>
      <c r="K642" s="557">
        <v>800</v>
      </c>
      <c r="L642" s="607">
        <v>42957</v>
      </c>
      <c r="M642" s="616">
        <v>1459</v>
      </c>
      <c r="N642" s="615">
        <f t="shared" si="31"/>
        <v>46688</v>
      </c>
      <c r="O642" s="559" t="s">
        <v>587</v>
      </c>
      <c r="P642" s="154" t="s">
        <v>1408</v>
      </c>
      <c r="Q642" s="154" t="s">
        <v>1409</v>
      </c>
      <c r="R642" s="607" t="s">
        <v>908</v>
      </c>
      <c r="S642" s="413" t="s">
        <v>422</v>
      </c>
      <c r="T642" s="154" t="s">
        <v>423</v>
      </c>
      <c r="U642" s="602"/>
      <c r="V642" s="600"/>
      <c r="W642" s="169"/>
    </row>
    <row r="643" spans="1:23" s="135" customFormat="1" ht="15" hidden="1" customHeight="1">
      <c r="A643" s="306">
        <v>642</v>
      </c>
      <c r="B643" s="162">
        <v>2309</v>
      </c>
      <c r="C643" s="161"/>
      <c r="D643" s="613" t="s">
        <v>1364</v>
      </c>
      <c r="E643" s="601" t="s">
        <v>1377</v>
      </c>
      <c r="F643" s="373">
        <v>1</v>
      </c>
      <c r="G643" s="609">
        <v>1</v>
      </c>
      <c r="H643" s="614">
        <v>0</v>
      </c>
      <c r="I643" s="160">
        <v>42960</v>
      </c>
      <c r="J643" s="561" t="s">
        <v>1407</v>
      </c>
      <c r="K643" s="557">
        <v>800</v>
      </c>
      <c r="L643" s="607">
        <v>42957</v>
      </c>
      <c r="M643" s="616">
        <v>21819</v>
      </c>
      <c r="N643" s="615">
        <f t="shared" si="31"/>
        <v>21819</v>
      </c>
      <c r="O643" s="559" t="s">
        <v>587</v>
      </c>
      <c r="P643" s="154" t="s">
        <v>1408</v>
      </c>
      <c r="Q643" s="154" t="s">
        <v>1409</v>
      </c>
      <c r="R643" s="607" t="s">
        <v>908</v>
      </c>
      <c r="S643" s="413" t="s">
        <v>422</v>
      </c>
      <c r="T643" s="154" t="s">
        <v>423</v>
      </c>
      <c r="U643" s="602"/>
      <c r="V643" s="600"/>
      <c r="W643" s="169"/>
    </row>
    <row r="644" spans="1:23" s="135" customFormat="1" ht="15" hidden="1" customHeight="1">
      <c r="A644" s="306">
        <v>643</v>
      </c>
      <c r="B644" s="162">
        <v>2309</v>
      </c>
      <c r="C644" s="161"/>
      <c r="D644" s="262" t="s">
        <v>1365</v>
      </c>
      <c r="E644" s="418" t="s">
        <v>1378</v>
      </c>
      <c r="F644" s="373">
        <v>1</v>
      </c>
      <c r="G644" s="373">
        <v>1</v>
      </c>
      <c r="H644" s="614">
        <v>0</v>
      </c>
      <c r="I644" s="160">
        <v>42960</v>
      </c>
      <c r="J644" s="155" t="s">
        <v>1407</v>
      </c>
      <c r="K644" s="240">
        <v>800</v>
      </c>
      <c r="L644" s="607">
        <v>42957</v>
      </c>
      <c r="M644" s="616">
        <v>33351</v>
      </c>
      <c r="N644" s="615">
        <f t="shared" si="31"/>
        <v>33351</v>
      </c>
      <c r="O644" s="559" t="s">
        <v>587</v>
      </c>
      <c r="P644" s="154" t="s">
        <v>1408</v>
      </c>
      <c r="Q644" s="154" t="s">
        <v>1409</v>
      </c>
      <c r="R644" s="607" t="s">
        <v>908</v>
      </c>
      <c r="S644" s="413" t="s">
        <v>422</v>
      </c>
      <c r="T644" s="154" t="s">
        <v>423</v>
      </c>
      <c r="U644" s="602"/>
      <c r="V644" s="600"/>
      <c r="W644" s="169"/>
    </row>
    <row r="645" spans="1:23" s="135" customFormat="1" ht="15" hidden="1" customHeight="1">
      <c r="A645" s="306">
        <v>644</v>
      </c>
      <c r="B645" s="162" t="s">
        <v>1410</v>
      </c>
      <c r="C645" s="161"/>
      <c r="D645" s="601" t="s">
        <v>1373</v>
      </c>
      <c r="E645" s="601" t="s">
        <v>1387</v>
      </c>
      <c r="F645" s="373">
        <v>1</v>
      </c>
      <c r="G645" s="609">
        <v>1</v>
      </c>
      <c r="H645" s="614">
        <v>0</v>
      </c>
      <c r="I645" s="160">
        <v>42960</v>
      </c>
      <c r="J645" s="561" t="s">
        <v>1411</v>
      </c>
      <c r="K645" s="240">
        <v>801</v>
      </c>
      <c r="L645" s="607">
        <v>42957</v>
      </c>
      <c r="M645" s="616"/>
      <c r="N645" s="615">
        <f t="shared" si="31"/>
        <v>0</v>
      </c>
      <c r="O645" s="559" t="s">
        <v>587</v>
      </c>
      <c r="P645" s="154" t="s">
        <v>1412</v>
      </c>
      <c r="Q645" s="154" t="s">
        <v>1413</v>
      </c>
      <c r="R645" s="607" t="s">
        <v>908</v>
      </c>
      <c r="S645" s="413" t="s">
        <v>422</v>
      </c>
      <c r="T645" s="154" t="s">
        <v>423</v>
      </c>
      <c r="U645" s="602"/>
      <c r="V645" s="600"/>
      <c r="W645" s="169"/>
    </row>
    <row r="646" spans="1:23" s="135" customFormat="1" ht="15" hidden="1" customHeight="1">
      <c r="A646" s="306">
        <v>645</v>
      </c>
      <c r="B646" s="162" t="s">
        <v>1410</v>
      </c>
      <c r="C646" s="161"/>
      <c r="D646" s="613" t="s">
        <v>1081</v>
      </c>
      <c r="E646" s="601" t="s">
        <v>1088</v>
      </c>
      <c r="F646" s="373">
        <v>1</v>
      </c>
      <c r="G646" s="609">
        <v>1</v>
      </c>
      <c r="H646" s="614">
        <v>0</v>
      </c>
      <c r="I646" s="160">
        <v>42960</v>
      </c>
      <c r="J646" s="155" t="s">
        <v>1411</v>
      </c>
      <c r="K646" s="240">
        <v>801</v>
      </c>
      <c r="L646" s="607">
        <v>42957</v>
      </c>
      <c r="M646" s="616">
        <v>499.39</v>
      </c>
      <c r="N646" s="615">
        <f t="shared" si="31"/>
        <v>499.39</v>
      </c>
      <c r="O646" s="559" t="s">
        <v>587</v>
      </c>
      <c r="P646" s="154" t="s">
        <v>1412</v>
      </c>
      <c r="Q646" s="154" t="s">
        <v>1413</v>
      </c>
      <c r="R646" s="607" t="s">
        <v>908</v>
      </c>
      <c r="S646" s="413" t="s">
        <v>422</v>
      </c>
      <c r="T646" s="154" t="s">
        <v>423</v>
      </c>
      <c r="U646" s="602"/>
      <c r="V646" s="600"/>
      <c r="W646" s="169"/>
    </row>
    <row r="647" spans="1:23" s="135" customFormat="1" ht="15" hidden="1" customHeight="1">
      <c r="A647" s="306">
        <v>646</v>
      </c>
      <c r="B647" s="611" t="s">
        <v>1410</v>
      </c>
      <c r="C647" s="610"/>
      <c r="D647" s="613" t="s">
        <v>892</v>
      </c>
      <c r="E647" s="601" t="s">
        <v>899</v>
      </c>
      <c r="F647" s="609">
        <v>5</v>
      </c>
      <c r="G647" s="609">
        <v>5</v>
      </c>
      <c r="H647" s="380">
        <v>0</v>
      </c>
      <c r="I647" s="607">
        <v>42960</v>
      </c>
      <c r="J647" s="561" t="s">
        <v>1411</v>
      </c>
      <c r="K647" s="557">
        <v>801</v>
      </c>
      <c r="L647" s="607">
        <v>42957</v>
      </c>
      <c r="M647" s="616">
        <v>865.63</v>
      </c>
      <c r="N647" s="615">
        <f t="shared" si="31"/>
        <v>4328.1499999999996</v>
      </c>
      <c r="O647" s="559" t="s">
        <v>587</v>
      </c>
      <c r="P647" s="602" t="s">
        <v>1412</v>
      </c>
      <c r="Q647" s="602" t="s">
        <v>1413</v>
      </c>
      <c r="R647" s="607" t="s">
        <v>908</v>
      </c>
      <c r="S647" s="602" t="s">
        <v>422</v>
      </c>
      <c r="T647" s="154" t="s">
        <v>423</v>
      </c>
      <c r="U647" s="602"/>
      <c r="V647" s="600"/>
      <c r="W647" s="169"/>
    </row>
    <row r="648" spans="1:23" s="135" customFormat="1" ht="15" hidden="1" customHeight="1">
      <c r="A648" s="306">
        <v>647</v>
      </c>
      <c r="B648" s="611" t="s">
        <v>1410</v>
      </c>
      <c r="C648" s="610"/>
      <c r="D648" s="418" t="s">
        <v>142</v>
      </c>
      <c r="E648" s="601" t="s">
        <v>1388</v>
      </c>
      <c r="F648" s="609">
        <v>1</v>
      </c>
      <c r="G648" s="609">
        <v>1</v>
      </c>
      <c r="H648" s="380">
        <v>0</v>
      </c>
      <c r="I648" s="607">
        <v>42960</v>
      </c>
      <c r="J648" s="561" t="s">
        <v>1411</v>
      </c>
      <c r="K648" s="557">
        <v>801</v>
      </c>
      <c r="L648" s="607">
        <v>42957</v>
      </c>
      <c r="M648" s="616">
        <v>22699.79</v>
      </c>
      <c r="N648" s="615">
        <f t="shared" si="31"/>
        <v>22699.79</v>
      </c>
      <c r="O648" s="559" t="s">
        <v>587</v>
      </c>
      <c r="P648" s="602" t="s">
        <v>1412</v>
      </c>
      <c r="Q648" s="602" t="s">
        <v>1413</v>
      </c>
      <c r="R648" s="607" t="s">
        <v>908</v>
      </c>
      <c r="S648" s="602" t="s">
        <v>422</v>
      </c>
      <c r="T648" s="602" t="s">
        <v>423</v>
      </c>
      <c r="U648" s="602"/>
      <c r="V648" s="600"/>
      <c r="W648" s="169"/>
    </row>
    <row r="649" spans="1:23" s="135" customFormat="1" ht="15" hidden="1" customHeight="1">
      <c r="A649" s="306">
        <v>648</v>
      </c>
      <c r="B649" s="162" t="s">
        <v>1410</v>
      </c>
      <c r="C649" s="161"/>
      <c r="D649" s="613" t="s">
        <v>1374</v>
      </c>
      <c r="E649" s="601" t="s">
        <v>1389</v>
      </c>
      <c r="F649" s="373">
        <v>5</v>
      </c>
      <c r="G649" s="373">
        <v>5</v>
      </c>
      <c r="H649" s="380">
        <v>0</v>
      </c>
      <c r="I649" s="160">
        <v>42960</v>
      </c>
      <c r="J649" s="155" t="s">
        <v>1411</v>
      </c>
      <c r="K649" s="557">
        <v>801</v>
      </c>
      <c r="L649" s="607">
        <v>42957</v>
      </c>
      <c r="M649" s="616">
        <v>0</v>
      </c>
      <c r="N649" s="615">
        <f t="shared" si="31"/>
        <v>0</v>
      </c>
      <c r="O649" s="559" t="s">
        <v>587</v>
      </c>
      <c r="P649" s="154" t="s">
        <v>1412</v>
      </c>
      <c r="Q649" s="154" t="s">
        <v>1413</v>
      </c>
      <c r="R649" s="160" t="s">
        <v>908</v>
      </c>
      <c r="S649" s="413" t="s">
        <v>422</v>
      </c>
      <c r="T649" s="154" t="s">
        <v>423</v>
      </c>
      <c r="U649" s="154"/>
      <c r="V649" s="600"/>
      <c r="W649" s="169"/>
    </row>
    <row r="650" spans="1:23" s="135" customFormat="1" ht="15" hidden="1" customHeight="1">
      <c r="A650" s="306">
        <v>649</v>
      </c>
      <c r="B650" s="162" t="s">
        <v>1410</v>
      </c>
      <c r="C650" s="161"/>
      <c r="D650" s="611" t="s">
        <v>893</v>
      </c>
      <c r="E650" s="601" t="s">
        <v>1390</v>
      </c>
      <c r="F650" s="373">
        <v>2</v>
      </c>
      <c r="G650" s="373">
        <v>2</v>
      </c>
      <c r="H650" s="614">
        <v>0</v>
      </c>
      <c r="I650" s="160">
        <v>42960</v>
      </c>
      <c r="J650" s="155" t="s">
        <v>1411</v>
      </c>
      <c r="K650" s="240">
        <v>801</v>
      </c>
      <c r="L650" s="371">
        <v>42957</v>
      </c>
      <c r="M650" s="175">
        <v>0</v>
      </c>
      <c r="N650" s="615">
        <f t="shared" si="31"/>
        <v>0</v>
      </c>
      <c r="O650" s="559" t="s">
        <v>587</v>
      </c>
      <c r="P650" s="154" t="s">
        <v>1412</v>
      </c>
      <c r="Q650" s="154" t="s">
        <v>1413</v>
      </c>
      <c r="R650" s="160" t="s">
        <v>908</v>
      </c>
      <c r="S650" s="413" t="s">
        <v>422</v>
      </c>
      <c r="T650" s="154" t="s">
        <v>423</v>
      </c>
      <c r="U650" s="154"/>
      <c r="V650" s="67"/>
      <c r="W650" s="169"/>
    </row>
    <row r="651" spans="1:23" s="135" customFormat="1" ht="15" hidden="1" customHeight="1">
      <c r="A651" s="306">
        <v>650</v>
      </c>
      <c r="B651" s="162" t="s">
        <v>1410</v>
      </c>
      <c r="C651" s="161"/>
      <c r="D651" s="611" t="s">
        <v>140</v>
      </c>
      <c r="E651" s="601" t="s">
        <v>1391</v>
      </c>
      <c r="F651" s="373">
        <v>1</v>
      </c>
      <c r="G651" s="373">
        <v>1</v>
      </c>
      <c r="H651" s="380">
        <v>0</v>
      </c>
      <c r="I651" s="160">
        <v>42960</v>
      </c>
      <c r="J651" s="561" t="s">
        <v>1411</v>
      </c>
      <c r="K651" s="240">
        <v>801</v>
      </c>
      <c r="L651" s="371">
        <v>42957</v>
      </c>
      <c r="M651" s="175">
        <v>632.57000000000005</v>
      </c>
      <c r="N651" s="615">
        <f t="shared" si="31"/>
        <v>632.57000000000005</v>
      </c>
      <c r="O651" s="559" t="s">
        <v>587</v>
      </c>
      <c r="P651" s="154" t="s">
        <v>1412</v>
      </c>
      <c r="Q651" s="602" t="s">
        <v>1413</v>
      </c>
      <c r="R651" s="160" t="s">
        <v>908</v>
      </c>
      <c r="S651" s="413" t="s">
        <v>422</v>
      </c>
      <c r="T651" s="154" t="s">
        <v>423</v>
      </c>
      <c r="U651" s="154"/>
      <c r="V651" s="67"/>
      <c r="W651" s="169"/>
    </row>
    <row r="652" spans="1:23" s="135" customFormat="1" ht="15" hidden="1" customHeight="1">
      <c r="A652" s="306">
        <v>651</v>
      </c>
      <c r="B652" s="162" t="s">
        <v>1410</v>
      </c>
      <c r="C652" s="161"/>
      <c r="D652" s="611" t="s">
        <v>894</v>
      </c>
      <c r="E652" s="601" t="s">
        <v>1392</v>
      </c>
      <c r="F652" s="373">
        <v>2</v>
      </c>
      <c r="G652" s="373">
        <v>2</v>
      </c>
      <c r="H652" s="380">
        <v>0</v>
      </c>
      <c r="I652" s="160">
        <v>42960</v>
      </c>
      <c r="J652" s="561" t="s">
        <v>1411</v>
      </c>
      <c r="K652" s="240">
        <v>801</v>
      </c>
      <c r="L652" s="371">
        <v>42957</v>
      </c>
      <c r="M652" s="175">
        <v>0</v>
      </c>
      <c r="N652" s="615">
        <f t="shared" si="31"/>
        <v>0</v>
      </c>
      <c r="O652" s="602" t="s">
        <v>587</v>
      </c>
      <c r="P652" s="603" t="s">
        <v>1412</v>
      </c>
      <c r="Q652" s="603" t="s">
        <v>1413</v>
      </c>
      <c r="R652" s="160" t="s">
        <v>908</v>
      </c>
      <c r="S652" s="603" t="s">
        <v>422</v>
      </c>
      <c r="T652" s="603" t="s">
        <v>423</v>
      </c>
      <c r="U652" s="154"/>
      <c r="V652" s="67"/>
      <c r="W652" s="169"/>
    </row>
    <row r="653" spans="1:23" s="135" customFormat="1" ht="15" hidden="1" customHeight="1">
      <c r="A653" s="306">
        <v>652</v>
      </c>
      <c r="B653" s="162" t="s">
        <v>1410</v>
      </c>
      <c r="C653" s="161"/>
      <c r="D653" s="611" t="s">
        <v>144</v>
      </c>
      <c r="E653" s="601" t="s">
        <v>143</v>
      </c>
      <c r="F653" s="373">
        <v>2</v>
      </c>
      <c r="G653" s="373">
        <v>2</v>
      </c>
      <c r="H653" s="193">
        <v>0</v>
      </c>
      <c r="I653" s="160">
        <v>42960</v>
      </c>
      <c r="J653" s="155" t="s">
        <v>1411</v>
      </c>
      <c r="K653" s="557">
        <v>801</v>
      </c>
      <c r="L653" s="371">
        <v>42957</v>
      </c>
      <c r="M653" s="175">
        <v>0</v>
      </c>
      <c r="N653" s="615">
        <f t="shared" si="31"/>
        <v>0</v>
      </c>
      <c r="O653" s="603" t="s">
        <v>587</v>
      </c>
      <c r="P653" s="154" t="s">
        <v>1412</v>
      </c>
      <c r="Q653" s="154" t="s">
        <v>1413</v>
      </c>
      <c r="R653" s="160" t="s">
        <v>908</v>
      </c>
      <c r="S653" s="413" t="s">
        <v>422</v>
      </c>
      <c r="T653" s="154" t="s">
        <v>423</v>
      </c>
      <c r="U653" s="154"/>
      <c r="V653" s="67"/>
      <c r="W653" s="169"/>
    </row>
    <row r="654" spans="1:23" s="135" customFormat="1" ht="15" hidden="1" customHeight="1">
      <c r="A654" s="306">
        <v>653</v>
      </c>
      <c r="B654" s="162" t="s">
        <v>1410</v>
      </c>
      <c r="C654" s="161"/>
      <c r="D654" s="611" t="s">
        <v>1369</v>
      </c>
      <c r="E654" s="601" t="s">
        <v>1383</v>
      </c>
      <c r="F654" s="373">
        <v>2</v>
      </c>
      <c r="G654" s="373">
        <v>2</v>
      </c>
      <c r="H654" s="380">
        <v>0</v>
      </c>
      <c r="I654" s="160">
        <v>42960</v>
      </c>
      <c r="J654" s="561" t="s">
        <v>1411</v>
      </c>
      <c r="K654" s="240">
        <v>801</v>
      </c>
      <c r="L654" s="371">
        <v>42957</v>
      </c>
      <c r="M654" s="175">
        <v>0</v>
      </c>
      <c r="N654" s="615">
        <f t="shared" si="31"/>
        <v>0</v>
      </c>
      <c r="O654" s="603" t="s">
        <v>587</v>
      </c>
      <c r="P654" s="154" t="s">
        <v>1412</v>
      </c>
      <c r="Q654" s="154" t="s">
        <v>1413</v>
      </c>
      <c r="R654" s="160" t="s">
        <v>908</v>
      </c>
      <c r="S654" s="413" t="s">
        <v>422</v>
      </c>
      <c r="T654" s="154" t="s">
        <v>423</v>
      </c>
      <c r="U654" s="154"/>
      <c r="V654" s="67"/>
      <c r="W654" s="169"/>
    </row>
    <row r="655" spans="1:23" s="135" customFormat="1" ht="15" hidden="1" customHeight="1">
      <c r="A655" s="306">
        <v>654</v>
      </c>
      <c r="B655" s="162" t="s">
        <v>1410</v>
      </c>
      <c r="C655" s="161"/>
      <c r="D655" s="611" t="s">
        <v>1370</v>
      </c>
      <c r="E655" s="601" t="s">
        <v>1384</v>
      </c>
      <c r="F655" s="373">
        <v>2</v>
      </c>
      <c r="G655" s="373">
        <v>2</v>
      </c>
      <c r="H655" s="380">
        <v>0</v>
      </c>
      <c r="I655" s="160">
        <v>42960</v>
      </c>
      <c r="J655" s="561" t="s">
        <v>1411</v>
      </c>
      <c r="K655" s="240">
        <v>801</v>
      </c>
      <c r="L655" s="371">
        <v>42957</v>
      </c>
      <c r="M655" s="175">
        <v>0</v>
      </c>
      <c r="N655" s="615">
        <f t="shared" si="31"/>
        <v>0</v>
      </c>
      <c r="O655" s="603" t="s">
        <v>587</v>
      </c>
      <c r="P655" s="154" t="s">
        <v>1412</v>
      </c>
      <c r="Q655" s="154" t="s">
        <v>1413</v>
      </c>
      <c r="R655" s="160" t="s">
        <v>908</v>
      </c>
      <c r="S655" s="413" t="s">
        <v>422</v>
      </c>
      <c r="T655" s="154" t="s">
        <v>423</v>
      </c>
      <c r="U655" s="154"/>
      <c r="V655" s="67"/>
      <c r="W655" s="169"/>
    </row>
    <row r="656" spans="1:23" s="135" customFormat="1" ht="15" hidden="1" customHeight="1">
      <c r="A656" s="306">
        <v>655</v>
      </c>
      <c r="B656" s="162" t="s">
        <v>1410</v>
      </c>
      <c r="C656" s="161"/>
      <c r="D656" s="611" t="s">
        <v>1371</v>
      </c>
      <c r="E656" s="601" t="s">
        <v>1385</v>
      </c>
      <c r="F656" s="373">
        <v>1</v>
      </c>
      <c r="G656" s="609">
        <v>1</v>
      </c>
      <c r="H656" s="614">
        <v>0</v>
      </c>
      <c r="I656" s="160">
        <v>42960</v>
      </c>
      <c r="J656" s="561" t="s">
        <v>1411</v>
      </c>
      <c r="K656" s="557">
        <v>801</v>
      </c>
      <c r="L656" s="607">
        <v>42957</v>
      </c>
      <c r="M656" s="616">
        <v>13983.82</v>
      </c>
      <c r="N656" s="615">
        <f t="shared" si="31"/>
        <v>13983.82</v>
      </c>
      <c r="O656" s="603" t="s">
        <v>587</v>
      </c>
      <c r="P656" s="154" t="s">
        <v>1412</v>
      </c>
      <c r="Q656" s="154" t="s">
        <v>1413</v>
      </c>
      <c r="R656" s="607" t="s">
        <v>908</v>
      </c>
      <c r="S656" s="413" t="s">
        <v>422</v>
      </c>
      <c r="T656" s="154" t="s">
        <v>423</v>
      </c>
      <c r="U656" s="602"/>
      <c r="V656" s="600"/>
      <c r="W656" s="169"/>
    </row>
    <row r="657" spans="1:23" s="135" customFormat="1" ht="15" hidden="1" customHeight="1">
      <c r="A657" s="306">
        <v>656</v>
      </c>
      <c r="B657" s="162" t="s">
        <v>1410</v>
      </c>
      <c r="C657" s="161"/>
      <c r="D657" s="611" t="s">
        <v>1372</v>
      </c>
      <c r="E657" s="601" t="s">
        <v>1386</v>
      </c>
      <c r="F657" s="373">
        <v>2</v>
      </c>
      <c r="G657" s="609">
        <v>2</v>
      </c>
      <c r="H657" s="614">
        <v>0</v>
      </c>
      <c r="I657" s="160">
        <v>42960</v>
      </c>
      <c r="J657" s="561" t="s">
        <v>1411</v>
      </c>
      <c r="K657" s="319">
        <v>801</v>
      </c>
      <c r="L657" s="177">
        <v>42957</v>
      </c>
      <c r="M657" s="176">
        <v>0</v>
      </c>
      <c r="N657" s="615">
        <f t="shared" si="31"/>
        <v>0</v>
      </c>
      <c r="O657" s="603" t="s">
        <v>587</v>
      </c>
      <c r="P657" s="154" t="s">
        <v>1412</v>
      </c>
      <c r="Q657" s="154" t="s">
        <v>1413</v>
      </c>
      <c r="R657" s="607" t="s">
        <v>908</v>
      </c>
      <c r="S657" s="413" t="s">
        <v>422</v>
      </c>
      <c r="T657" s="154" t="s">
        <v>423</v>
      </c>
      <c r="U657" s="602"/>
      <c r="V657" s="600"/>
      <c r="W657" s="169"/>
    </row>
    <row r="658" spans="1:23" s="135" customFormat="1" ht="21" hidden="1" customHeight="1">
      <c r="A658" s="306">
        <v>657</v>
      </c>
      <c r="B658" s="611">
        <v>1652</v>
      </c>
      <c r="C658" s="161"/>
      <c r="D658" s="611" t="s">
        <v>70</v>
      </c>
      <c r="E658" s="601" t="s">
        <v>69</v>
      </c>
      <c r="F658" s="373">
        <v>1</v>
      </c>
      <c r="G658" s="609">
        <v>1</v>
      </c>
      <c r="H658" s="614">
        <v>0</v>
      </c>
      <c r="I658" s="160">
        <v>42961</v>
      </c>
      <c r="J658" s="155" t="s">
        <v>1414</v>
      </c>
      <c r="K658" s="319">
        <v>805</v>
      </c>
      <c r="L658" s="177">
        <v>42963</v>
      </c>
      <c r="M658" s="176">
        <v>14430</v>
      </c>
      <c r="N658" s="615">
        <f t="shared" si="31"/>
        <v>14430</v>
      </c>
      <c r="O658" s="603" t="s">
        <v>587</v>
      </c>
      <c r="P658" s="154" t="s">
        <v>1415</v>
      </c>
      <c r="Q658" s="154" t="s">
        <v>1416</v>
      </c>
      <c r="R658" s="607" t="s">
        <v>908</v>
      </c>
      <c r="S658" s="413" t="s">
        <v>422</v>
      </c>
      <c r="T658" s="154" t="s">
        <v>423</v>
      </c>
      <c r="U658" s="602"/>
      <c r="V658" s="600"/>
      <c r="W658" s="169"/>
    </row>
    <row r="659" spans="1:23" s="135" customFormat="1" ht="14.25" hidden="1" customHeight="1">
      <c r="A659" s="306">
        <v>658</v>
      </c>
      <c r="B659" s="162">
        <v>1652</v>
      </c>
      <c r="C659" s="161"/>
      <c r="D659" s="611" t="s">
        <v>91</v>
      </c>
      <c r="E659" s="601" t="s">
        <v>50</v>
      </c>
      <c r="F659" s="373">
        <v>3</v>
      </c>
      <c r="G659" s="609">
        <v>3</v>
      </c>
      <c r="H659" s="380">
        <v>0</v>
      </c>
      <c r="I659" s="160">
        <v>42961</v>
      </c>
      <c r="J659" s="561" t="s">
        <v>1414</v>
      </c>
      <c r="K659" s="240">
        <v>805</v>
      </c>
      <c r="L659" s="607">
        <v>42963</v>
      </c>
      <c r="M659" s="616">
        <v>2770</v>
      </c>
      <c r="N659" s="615">
        <f t="shared" si="31"/>
        <v>8310</v>
      </c>
      <c r="O659" s="603" t="s">
        <v>587</v>
      </c>
      <c r="P659" s="154" t="s">
        <v>1415</v>
      </c>
      <c r="Q659" s="602" t="s">
        <v>1416</v>
      </c>
      <c r="R659" s="160" t="s">
        <v>908</v>
      </c>
      <c r="S659" s="413" t="s">
        <v>422</v>
      </c>
      <c r="T659" s="154" t="s">
        <v>423</v>
      </c>
      <c r="U659" s="154"/>
      <c r="V659" s="600"/>
      <c r="W659" s="169"/>
    </row>
    <row r="660" spans="1:23" s="135" customFormat="1" ht="15" hidden="1" customHeight="1">
      <c r="A660" s="306">
        <v>659</v>
      </c>
      <c r="B660" s="162">
        <v>1652</v>
      </c>
      <c r="C660" s="161"/>
      <c r="D660" s="611" t="s">
        <v>29</v>
      </c>
      <c r="E660" s="601" t="s">
        <v>28</v>
      </c>
      <c r="F660" s="373">
        <v>4</v>
      </c>
      <c r="G660" s="609">
        <v>4</v>
      </c>
      <c r="H660" s="614">
        <v>0</v>
      </c>
      <c r="I660" s="160">
        <v>42961</v>
      </c>
      <c r="J660" s="155" t="s">
        <v>1414</v>
      </c>
      <c r="K660" s="319">
        <v>805</v>
      </c>
      <c r="L660" s="177">
        <v>42963</v>
      </c>
      <c r="M660" s="176">
        <v>450</v>
      </c>
      <c r="N660" s="615">
        <f t="shared" si="31"/>
        <v>1800</v>
      </c>
      <c r="O660" s="603" t="s">
        <v>587</v>
      </c>
      <c r="P660" s="154" t="s">
        <v>1415</v>
      </c>
      <c r="Q660" s="154" t="s">
        <v>1416</v>
      </c>
      <c r="R660" s="160" t="s">
        <v>908</v>
      </c>
      <c r="S660" s="413" t="s">
        <v>422</v>
      </c>
      <c r="T660" s="154" t="s">
        <v>423</v>
      </c>
      <c r="U660" s="602"/>
      <c r="V660" s="600"/>
      <c r="W660" s="169"/>
    </row>
    <row r="661" spans="1:23" s="135" customFormat="1" ht="15" hidden="1" customHeight="1">
      <c r="A661" s="306">
        <v>660</v>
      </c>
      <c r="B661" s="611">
        <v>1652</v>
      </c>
      <c r="C661" s="161"/>
      <c r="D661" s="611" t="s">
        <v>39</v>
      </c>
      <c r="E661" s="601" t="s">
        <v>38</v>
      </c>
      <c r="F661" s="373">
        <v>1</v>
      </c>
      <c r="G661" s="609">
        <v>1</v>
      </c>
      <c r="H661" s="614">
        <v>0</v>
      </c>
      <c r="I661" s="160">
        <v>42961</v>
      </c>
      <c r="J661" s="561" t="s">
        <v>1414</v>
      </c>
      <c r="K661" s="319">
        <v>805</v>
      </c>
      <c r="L661" s="177">
        <v>42963</v>
      </c>
      <c r="M661" s="176">
        <v>4940</v>
      </c>
      <c r="N661" s="615">
        <f t="shared" si="31"/>
        <v>4940</v>
      </c>
      <c r="O661" s="603" t="s">
        <v>587</v>
      </c>
      <c r="P661" s="154" t="s">
        <v>1415</v>
      </c>
      <c r="Q661" s="154" t="s">
        <v>1416</v>
      </c>
      <c r="R661" s="607" t="s">
        <v>908</v>
      </c>
      <c r="S661" s="413" t="s">
        <v>422</v>
      </c>
      <c r="T661" s="154" t="s">
        <v>423</v>
      </c>
      <c r="U661" s="602"/>
      <c r="V661" s="600"/>
      <c r="W661" s="169"/>
    </row>
    <row r="662" spans="1:23" s="135" customFormat="1" ht="15" hidden="1" customHeight="1">
      <c r="A662" s="306">
        <v>661</v>
      </c>
      <c r="B662" s="611">
        <v>1652</v>
      </c>
      <c r="C662" s="610"/>
      <c r="D662" s="611" t="s">
        <v>1432</v>
      </c>
      <c r="E662" s="601" t="s">
        <v>1417</v>
      </c>
      <c r="F662" s="609">
        <v>12</v>
      </c>
      <c r="G662" s="609">
        <v>12</v>
      </c>
      <c r="H662" s="380">
        <v>0</v>
      </c>
      <c r="I662" s="607">
        <v>42962</v>
      </c>
      <c r="J662" s="561" t="s">
        <v>1414</v>
      </c>
      <c r="K662" s="319">
        <v>805</v>
      </c>
      <c r="L662" s="177">
        <v>42963</v>
      </c>
      <c r="M662" s="176">
        <v>680</v>
      </c>
      <c r="N662" s="615">
        <f t="shared" si="31"/>
        <v>8160</v>
      </c>
      <c r="O662" s="603" t="s">
        <v>587</v>
      </c>
      <c r="P662" s="602" t="s">
        <v>581</v>
      </c>
      <c r="Q662" s="602" t="s">
        <v>1416</v>
      </c>
      <c r="R662" s="607" t="s">
        <v>908</v>
      </c>
      <c r="S662" s="602" t="s">
        <v>422</v>
      </c>
      <c r="T662" s="602" t="s">
        <v>423</v>
      </c>
      <c r="U662" s="602" t="s">
        <v>1418</v>
      </c>
      <c r="V662" s="600"/>
      <c r="W662" s="169"/>
    </row>
    <row r="663" spans="1:23" s="135" customFormat="1" ht="15" hidden="1" customHeight="1">
      <c r="A663" s="306">
        <v>662</v>
      </c>
      <c r="B663" s="611">
        <v>1476236</v>
      </c>
      <c r="C663" s="610"/>
      <c r="D663" s="186" t="s">
        <v>226</v>
      </c>
      <c r="E663" s="350" t="s">
        <v>944</v>
      </c>
      <c r="F663" s="609">
        <v>32</v>
      </c>
      <c r="G663" s="609">
        <v>32</v>
      </c>
      <c r="H663" s="380">
        <v>0</v>
      </c>
      <c r="I663" s="607">
        <v>42962</v>
      </c>
      <c r="J663" s="155" t="s">
        <v>580</v>
      </c>
      <c r="K663" s="319">
        <v>792</v>
      </c>
      <c r="L663" s="177">
        <v>42956</v>
      </c>
      <c r="M663" s="176">
        <v>260</v>
      </c>
      <c r="N663" s="615">
        <f t="shared" si="31"/>
        <v>8320</v>
      </c>
      <c r="O663" s="603" t="s">
        <v>587</v>
      </c>
      <c r="P663" s="602" t="s">
        <v>467</v>
      </c>
      <c r="Q663" s="602" t="s">
        <v>1419</v>
      </c>
      <c r="R663" s="607" t="s">
        <v>908</v>
      </c>
      <c r="S663" s="602" t="s">
        <v>422</v>
      </c>
      <c r="T663" s="602" t="s">
        <v>423</v>
      </c>
      <c r="U663" s="602"/>
      <c r="V663" s="600"/>
      <c r="W663" s="169"/>
    </row>
    <row r="664" spans="1:23" s="135" customFormat="1" ht="15" hidden="1" customHeight="1">
      <c r="A664" s="306">
        <v>663</v>
      </c>
      <c r="B664" s="611"/>
      <c r="C664" s="610"/>
      <c r="D664" s="180" t="s">
        <v>219</v>
      </c>
      <c r="E664" s="601" t="s">
        <v>429</v>
      </c>
      <c r="F664" s="609">
        <v>2</v>
      </c>
      <c r="G664" s="609">
        <v>2</v>
      </c>
      <c r="H664" s="380">
        <v>0</v>
      </c>
      <c r="I664" s="607">
        <v>42962</v>
      </c>
      <c r="J664" s="561" t="s">
        <v>1420</v>
      </c>
      <c r="K664" s="557">
        <v>802</v>
      </c>
      <c r="L664" s="607">
        <v>42961</v>
      </c>
      <c r="M664" s="616">
        <v>1900</v>
      </c>
      <c r="N664" s="615">
        <f t="shared" si="31"/>
        <v>3800</v>
      </c>
      <c r="O664" s="603" t="s">
        <v>587</v>
      </c>
      <c r="P664" s="602" t="s">
        <v>467</v>
      </c>
      <c r="Q664" s="602" t="s">
        <v>1421</v>
      </c>
      <c r="R664" s="607" t="s">
        <v>908</v>
      </c>
      <c r="S664" s="602" t="s">
        <v>422</v>
      </c>
      <c r="T664" s="602" t="s">
        <v>423</v>
      </c>
      <c r="U664" s="602"/>
      <c r="V664" s="600"/>
      <c r="W664" s="169"/>
    </row>
    <row r="665" spans="1:23" s="135" customFormat="1" ht="15.75" hidden="1" customHeight="1">
      <c r="A665" s="306">
        <v>664</v>
      </c>
      <c r="B665" s="611" t="s">
        <v>1422</v>
      </c>
      <c r="C665" s="610"/>
      <c r="D665" s="180" t="s">
        <v>219</v>
      </c>
      <c r="E665" s="601" t="s">
        <v>429</v>
      </c>
      <c r="F665" s="609">
        <v>2</v>
      </c>
      <c r="G665" s="609">
        <v>2</v>
      </c>
      <c r="H665" s="380">
        <v>0</v>
      </c>
      <c r="I665" s="607">
        <v>42962</v>
      </c>
      <c r="J665" s="561" t="s">
        <v>1423</v>
      </c>
      <c r="K665" s="557">
        <v>804</v>
      </c>
      <c r="L665" s="607">
        <v>42962</v>
      </c>
      <c r="M665" s="616">
        <v>2000</v>
      </c>
      <c r="N665" s="615">
        <f t="shared" si="31"/>
        <v>4000</v>
      </c>
      <c r="O665" s="603" t="s">
        <v>587</v>
      </c>
      <c r="P665" s="602" t="s">
        <v>555</v>
      </c>
      <c r="Q665" s="602" t="s">
        <v>1424</v>
      </c>
      <c r="R665" s="607" t="s">
        <v>908</v>
      </c>
      <c r="S665" s="602" t="s">
        <v>422</v>
      </c>
      <c r="T665" s="602" t="s">
        <v>423</v>
      </c>
      <c r="U665" s="602"/>
      <c r="V665" s="600"/>
      <c r="W665" s="169"/>
    </row>
    <row r="666" spans="1:23" s="135" customFormat="1" ht="15" hidden="1" customHeight="1">
      <c r="A666" s="306">
        <v>665</v>
      </c>
      <c r="B666" s="162" t="s">
        <v>1425</v>
      </c>
      <c r="C666" s="161"/>
      <c r="D666" s="611" t="s">
        <v>66</v>
      </c>
      <c r="E666" s="601" t="s">
        <v>65</v>
      </c>
      <c r="F666" s="373">
        <v>2</v>
      </c>
      <c r="G666" s="609">
        <v>2</v>
      </c>
      <c r="H666" s="380">
        <v>0</v>
      </c>
      <c r="I666" s="160">
        <v>42963</v>
      </c>
      <c r="J666" s="155" t="s">
        <v>1308</v>
      </c>
      <c r="K666" s="319">
        <v>803</v>
      </c>
      <c r="L666" s="177">
        <v>42962</v>
      </c>
      <c r="M666" s="176">
        <v>1790</v>
      </c>
      <c r="N666" s="615">
        <f t="shared" si="31"/>
        <v>3580</v>
      </c>
      <c r="O666" s="603" t="s">
        <v>587</v>
      </c>
      <c r="P666" s="602" t="s">
        <v>555</v>
      </c>
      <c r="Q666" s="154" t="s">
        <v>1309</v>
      </c>
      <c r="R666" s="607"/>
      <c r="S666" s="413" t="s">
        <v>422</v>
      </c>
      <c r="T666" s="154" t="s">
        <v>423</v>
      </c>
      <c r="U666" s="602" t="s">
        <v>1426</v>
      </c>
      <c r="V666" s="600"/>
      <c r="W666" s="169"/>
    </row>
    <row r="667" spans="1:23" s="135" customFormat="1" ht="15" hidden="1" customHeight="1">
      <c r="A667" s="306">
        <v>666</v>
      </c>
      <c r="B667" s="162" t="s">
        <v>1427</v>
      </c>
      <c r="C667" s="161"/>
      <c r="D667" s="611" t="s">
        <v>246</v>
      </c>
      <c r="E667" s="601" t="s">
        <v>42</v>
      </c>
      <c r="F667" s="373">
        <v>1</v>
      </c>
      <c r="G667" s="373">
        <v>1</v>
      </c>
      <c r="H667" s="380">
        <v>0</v>
      </c>
      <c r="I667" s="160">
        <v>42964</v>
      </c>
      <c r="J667" s="155" t="s">
        <v>1428</v>
      </c>
      <c r="K667" s="557">
        <v>806</v>
      </c>
      <c r="L667" s="607">
        <v>42963</v>
      </c>
      <c r="M667" s="616">
        <v>6000</v>
      </c>
      <c r="N667" s="615">
        <f t="shared" si="31"/>
        <v>6000</v>
      </c>
      <c r="O667" s="603" t="s">
        <v>587</v>
      </c>
      <c r="P667" s="154" t="s">
        <v>581</v>
      </c>
      <c r="Q667" s="154" t="s">
        <v>1429</v>
      </c>
      <c r="R667" s="160" t="s">
        <v>908</v>
      </c>
      <c r="S667" s="413" t="s">
        <v>422</v>
      </c>
      <c r="T667" s="154" t="s">
        <v>423</v>
      </c>
      <c r="U667" s="154"/>
      <c r="V667" s="600"/>
      <c r="W667" s="169"/>
    </row>
    <row r="668" spans="1:23" s="135" customFormat="1" ht="15" hidden="1" customHeight="1">
      <c r="A668" s="306">
        <v>667</v>
      </c>
      <c r="B668" s="162"/>
      <c r="C668" s="161"/>
      <c r="D668" s="611" t="s">
        <v>939</v>
      </c>
      <c r="E668" s="602" t="s">
        <v>940</v>
      </c>
      <c r="F668" s="373">
        <v>16</v>
      </c>
      <c r="G668" s="373">
        <v>16</v>
      </c>
      <c r="H668" s="380">
        <v>0</v>
      </c>
      <c r="I668" s="160">
        <v>42964</v>
      </c>
      <c r="J668" s="561" t="s">
        <v>1430</v>
      </c>
      <c r="K668" s="557">
        <v>809</v>
      </c>
      <c r="L668" s="607">
        <v>42964</v>
      </c>
      <c r="M668" s="616">
        <v>120</v>
      </c>
      <c r="N668" s="615">
        <f t="shared" si="31"/>
        <v>1920</v>
      </c>
      <c r="O668" s="603" t="s">
        <v>587</v>
      </c>
      <c r="P668" s="154" t="s">
        <v>555</v>
      </c>
      <c r="Q668" s="154" t="s">
        <v>1431</v>
      </c>
      <c r="R668" s="160" t="s">
        <v>908</v>
      </c>
      <c r="S668" s="413" t="s">
        <v>422</v>
      </c>
      <c r="T668" s="154" t="s">
        <v>423</v>
      </c>
      <c r="U668" s="154"/>
      <c r="V668" s="600"/>
      <c r="W668" s="169"/>
    </row>
    <row r="669" spans="1:23" s="135" customFormat="1" ht="15" hidden="1" customHeight="1">
      <c r="A669" s="306">
        <v>668</v>
      </c>
      <c r="B669" s="611">
        <v>4501458679</v>
      </c>
      <c r="C669" s="610"/>
      <c r="D669" s="613" t="s">
        <v>47</v>
      </c>
      <c r="E669" s="602" t="s">
        <v>46</v>
      </c>
      <c r="F669" s="609">
        <v>3</v>
      </c>
      <c r="G669" s="608">
        <v>3</v>
      </c>
      <c r="H669" s="614">
        <v>0</v>
      </c>
      <c r="I669" s="607">
        <v>42970</v>
      </c>
      <c r="J669" s="606" t="s">
        <v>439</v>
      </c>
      <c r="K669" s="612">
        <v>812</v>
      </c>
      <c r="L669" s="605">
        <v>42969</v>
      </c>
      <c r="M669" s="604">
        <v>2850</v>
      </c>
      <c r="N669" s="615">
        <f t="shared" si="31"/>
        <v>8550</v>
      </c>
      <c r="O669" s="602" t="s">
        <v>587</v>
      </c>
      <c r="P669" s="602" t="s">
        <v>1433</v>
      </c>
      <c r="Q669" s="602"/>
      <c r="R669" s="607" t="s">
        <v>908</v>
      </c>
      <c r="S669" s="602" t="s">
        <v>422</v>
      </c>
      <c r="T669" s="602" t="s">
        <v>825</v>
      </c>
      <c r="U669" s="600" t="s">
        <v>1434</v>
      </c>
      <c r="V669" s="601"/>
      <c r="W669" s="276"/>
    </row>
    <row r="670" spans="1:23" s="135" customFormat="1" ht="15" hidden="1" customHeight="1">
      <c r="A670" s="306">
        <v>669</v>
      </c>
      <c r="B670" s="611">
        <v>4501467007</v>
      </c>
      <c r="C670" s="610"/>
      <c r="D670" s="613" t="s">
        <v>64</v>
      </c>
      <c r="E670" s="602" t="s">
        <v>63</v>
      </c>
      <c r="F670" s="609">
        <v>2</v>
      </c>
      <c r="G670" s="608">
        <v>2</v>
      </c>
      <c r="H670" s="614">
        <v>0</v>
      </c>
      <c r="I670" s="607">
        <v>42970</v>
      </c>
      <c r="J670" s="606" t="s">
        <v>439</v>
      </c>
      <c r="K670" s="612">
        <v>814</v>
      </c>
      <c r="L670" s="605">
        <v>42969</v>
      </c>
      <c r="M670" s="604">
        <v>2380</v>
      </c>
      <c r="N670" s="615">
        <f t="shared" si="31"/>
        <v>4760</v>
      </c>
      <c r="O670" s="602" t="s">
        <v>587</v>
      </c>
      <c r="P670" s="602" t="s">
        <v>1318</v>
      </c>
      <c r="Q670" s="602"/>
      <c r="R670" s="607" t="s">
        <v>908</v>
      </c>
      <c r="S670" s="602" t="s">
        <v>422</v>
      </c>
      <c r="T670" s="602" t="s">
        <v>423</v>
      </c>
      <c r="U670" s="600"/>
      <c r="V670" s="601"/>
      <c r="W670" s="276"/>
    </row>
    <row r="671" spans="1:23" s="135" customFormat="1" ht="15" hidden="1" customHeight="1">
      <c r="A671" s="306">
        <v>670</v>
      </c>
      <c r="B671" s="611"/>
      <c r="C671" s="610"/>
      <c r="D671" s="613" t="s">
        <v>90</v>
      </c>
      <c r="E671" s="602" t="s">
        <v>417</v>
      </c>
      <c r="F671" s="609">
        <v>1</v>
      </c>
      <c r="G671" s="608">
        <v>1</v>
      </c>
      <c r="H671" s="614">
        <v>0</v>
      </c>
      <c r="I671" s="607">
        <v>42970</v>
      </c>
      <c r="J671" s="606" t="s">
        <v>1435</v>
      </c>
      <c r="K671" s="612">
        <v>815</v>
      </c>
      <c r="L671" s="605">
        <v>42970</v>
      </c>
      <c r="M671" s="604">
        <v>300</v>
      </c>
      <c r="N671" s="615">
        <f t="shared" si="31"/>
        <v>300</v>
      </c>
      <c r="O671" s="602" t="s">
        <v>587</v>
      </c>
      <c r="P671" s="602" t="s">
        <v>555</v>
      </c>
      <c r="Q671" s="602" t="s">
        <v>1436</v>
      </c>
      <c r="R671" s="607" t="s">
        <v>908</v>
      </c>
      <c r="S671" s="602" t="s">
        <v>422</v>
      </c>
      <c r="T671" s="602" t="s">
        <v>423</v>
      </c>
      <c r="U671" s="600"/>
      <c r="V671" s="601"/>
      <c r="W671" s="276"/>
    </row>
    <row r="672" spans="1:23" s="135" customFormat="1" ht="15" hidden="1" customHeight="1">
      <c r="A672" s="306">
        <v>671</v>
      </c>
      <c r="B672" s="611" t="s">
        <v>1437</v>
      </c>
      <c r="C672" s="610"/>
      <c r="D672" s="185" t="s">
        <v>71</v>
      </c>
      <c r="E672" s="601" t="s">
        <v>65</v>
      </c>
      <c r="F672" s="609">
        <v>1</v>
      </c>
      <c r="G672" s="609">
        <v>1</v>
      </c>
      <c r="H672" s="614">
        <v>0</v>
      </c>
      <c r="I672" s="607">
        <v>42971</v>
      </c>
      <c r="J672" s="606" t="s">
        <v>1438</v>
      </c>
      <c r="K672" s="612">
        <v>813</v>
      </c>
      <c r="L672" s="607">
        <v>42969</v>
      </c>
      <c r="M672" s="616">
        <v>1980</v>
      </c>
      <c r="N672" s="615">
        <f t="shared" si="31"/>
        <v>1980</v>
      </c>
      <c r="O672" s="603" t="s">
        <v>587</v>
      </c>
      <c r="P672" s="602" t="s">
        <v>512</v>
      </c>
      <c r="Q672" s="602" t="s">
        <v>1439</v>
      </c>
      <c r="R672" s="607" t="s">
        <v>908</v>
      </c>
      <c r="S672" s="602" t="s">
        <v>422</v>
      </c>
      <c r="T672" s="602" t="s">
        <v>423</v>
      </c>
      <c r="U672" s="602"/>
      <c r="V672" s="600"/>
      <c r="W672" s="169"/>
    </row>
    <row r="673" spans="1:22" s="135" customFormat="1" ht="15" hidden="1" customHeight="1">
      <c r="A673" s="306">
        <v>672</v>
      </c>
      <c r="B673" s="611" t="s">
        <v>1437</v>
      </c>
      <c r="C673" s="610"/>
      <c r="D673" s="601" t="s">
        <v>31</v>
      </c>
      <c r="E673" s="602" t="s">
        <v>28</v>
      </c>
      <c r="F673" s="609">
        <v>1</v>
      </c>
      <c r="G673" s="608">
        <v>1</v>
      </c>
      <c r="H673" s="614">
        <v>0</v>
      </c>
      <c r="I673" s="607">
        <v>42971</v>
      </c>
      <c r="J673" s="606" t="s">
        <v>1438</v>
      </c>
      <c r="K673" s="612">
        <v>813</v>
      </c>
      <c r="L673" s="607">
        <v>42969</v>
      </c>
      <c r="M673" s="604">
        <v>450</v>
      </c>
      <c r="N673" s="615">
        <f t="shared" si="31"/>
        <v>450</v>
      </c>
      <c r="O673" s="602" t="s">
        <v>587</v>
      </c>
      <c r="P673" s="602" t="s">
        <v>512</v>
      </c>
      <c r="Q673" s="602" t="s">
        <v>1439</v>
      </c>
      <c r="R673" s="607" t="s">
        <v>908</v>
      </c>
      <c r="S673" s="602" t="s">
        <v>422</v>
      </c>
      <c r="T673" s="602" t="s">
        <v>423</v>
      </c>
      <c r="U673" s="600"/>
      <c r="V673" s="601"/>
    </row>
    <row r="674" spans="1:22" s="549" customFormat="1" ht="15" hidden="1" customHeight="1">
      <c r="A674" s="306">
        <v>673</v>
      </c>
      <c r="B674" s="611"/>
      <c r="C674" s="610"/>
      <c r="D674" s="611" t="s">
        <v>939</v>
      </c>
      <c r="E674" s="602" t="s">
        <v>940</v>
      </c>
      <c r="F674" s="609">
        <v>32</v>
      </c>
      <c r="G674" s="609">
        <v>32</v>
      </c>
      <c r="H674" s="614">
        <f>F674-G674</f>
        <v>0</v>
      </c>
      <c r="I674" s="607">
        <v>42974</v>
      </c>
      <c r="J674" s="561" t="s">
        <v>1458</v>
      </c>
      <c r="K674" s="557">
        <v>817</v>
      </c>
      <c r="L674" s="607">
        <v>42970</v>
      </c>
      <c r="M674" s="616">
        <f>4000/32</f>
        <v>125</v>
      </c>
      <c r="N674" s="615">
        <f t="shared" si="31"/>
        <v>4000</v>
      </c>
      <c r="O674" s="559" t="s">
        <v>425</v>
      </c>
      <c r="P674" s="602" t="s">
        <v>555</v>
      </c>
      <c r="Q674" s="600" t="s">
        <v>1459</v>
      </c>
      <c r="R674" s="607" t="s">
        <v>908</v>
      </c>
      <c r="S674" s="602" t="s">
        <v>422</v>
      </c>
      <c r="T674" s="602" t="s">
        <v>423</v>
      </c>
      <c r="U674" s="617"/>
      <c r="V674" s="601"/>
    </row>
    <row r="675" spans="1:22" s="549" customFormat="1" ht="15" hidden="1" customHeight="1">
      <c r="A675" s="306">
        <v>674</v>
      </c>
      <c r="B675" s="611">
        <v>4501469303</v>
      </c>
      <c r="C675" s="610"/>
      <c r="D675" s="326" t="s">
        <v>1165</v>
      </c>
      <c r="E675" s="331" t="s">
        <v>1455</v>
      </c>
      <c r="F675" s="609">
        <v>2</v>
      </c>
      <c r="G675" s="609">
        <v>2</v>
      </c>
      <c r="H675" s="614">
        <v>0</v>
      </c>
      <c r="I675" s="607">
        <v>42974</v>
      </c>
      <c r="J675" s="174" t="s">
        <v>439</v>
      </c>
      <c r="K675" s="557">
        <v>818</v>
      </c>
      <c r="L675" s="607">
        <v>42971</v>
      </c>
      <c r="M675" s="616">
        <v>2520</v>
      </c>
      <c r="N675" s="615">
        <f t="shared" si="31"/>
        <v>5040</v>
      </c>
      <c r="O675" s="559" t="s">
        <v>587</v>
      </c>
      <c r="P675" s="602" t="s">
        <v>581</v>
      </c>
      <c r="Q675" s="607" t="s">
        <v>1460</v>
      </c>
      <c r="R675" s="607" t="s">
        <v>908</v>
      </c>
      <c r="S675" s="602" t="s">
        <v>422</v>
      </c>
      <c r="T675" s="602" t="s">
        <v>423</v>
      </c>
      <c r="U675" s="600"/>
      <c r="V675" s="564"/>
    </row>
    <row r="676" spans="1:22" s="549" customFormat="1" ht="15" hidden="1" customHeight="1">
      <c r="A676" s="306">
        <v>675</v>
      </c>
      <c r="B676" s="611">
        <v>4036196</v>
      </c>
      <c r="C676" s="610"/>
      <c r="D676" s="418" t="s">
        <v>503</v>
      </c>
      <c r="E676" s="252" t="s">
        <v>42</v>
      </c>
      <c r="F676" s="609">
        <v>5</v>
      </c>
      <c r="G676" s="609">
        <v>5</v>
      </c>
      <c r="H676" s="614">
        <f t="shared" ref="H676:H693" si="32">F676-G676</f>
        <v>0</v>
      </c>
      <c r="I676" s="607">
        <v>42977</v>
      </c>
      <c r="J676" s="561" t="s">
        <v>1461</v>
      </c>
      <c r="K676" s="557">
        <v>821</v>
      </c>
      <c r="L676" s="607">
        <v>42977</v>
      </c>
      <c r="M676" s="616">
        <v>6140</v>
      </c>
      <c r="N676" s="615">
        <f t="shared" si="31"/>
        <v>30700</v>
      </c>
      <c r="O676" s="559" t="s">
        <v>1462</v>
      </c>
      <c r="P676" s="602" t="s">
        <v>1463</v>
      </c>
      <c r="Q676" s="618" t="s">
        <v>1464</v>
      </c>
      <c r="R676" s="607" t="s">
        <v>908</v>
      </c>
      <c r="S676" s="602" t="s">
        <v>825</v>
      </c>
      <c r="T676" s="602" t="s">
        <v>423</v>
      </c>
      <c r="U676" s="602"/>
      <c r="V676" s="601"/>
    </row>
    <row r="677" spans="1:22" s="549" customFormat="1" ht="15" hidden="1" customHeight="1">
      <c r="A677" s="306">
        <v>676</v>
      </c>
      <c r="B677" s="611">
        <v>4036196</v>
      </c>
      <c r="C677" s="610"/>
      <c r="D677" s="611" t="s">
        <v>248</v>
      </c>
      <c r="E677" s="601" t="s">
        <v>50</v>
      </c>
      <c r="F677" s="609">
        <v>5</v>
      </c>
      <c r="G677" s="609">
        <v>5</v>
      </c>
      <c r="H677" s="614">
        <f t="shared" si="32"/>
        <v>0</v>
      </c>
      <c r="I677" s="607">
        <v>42977</v>
      </c>
      <c r="J677" s="561" t="s">
        <v>1461</v>
      </c>
      <c r="K677" s="557">
        <v>821</v>
      </c>
      <c r="L677" s="607">
        <v>42977</v>
      </c>
      <c r="M677" s="616">
        <v>2075</v>
      </c>
      <c r="N677" s="615">
        <f t="shared" si="31"/>
        <v>10375</v>
      </c>
      <c r="O677" s="559" t="s">
        <v>1462</v>
      </c>
      <c r="P677" s="602" t="s">
        <v>1463</v>
      </c>
      <c r="Q677" s="618" t="s">
        <v>1464</v>
      </c>
      <c r="R677" s="607" t="s">
        <v>908</v>
      </c>
      <c r="S677" s="602" t="s">
        <v>825</v>
      </c>
      <c r="T677" s="602" t="s">
        <v>423</v>
      </c>
      <c r="U677" s="617"/>
      <c r="V677" s="601"/>
    </row>
    <row r="678" spans="1:22" s="549" customFormat="1" ht="15" hidden="1" customHeight="1">
      <c r="A678" s="306">
        <v>677</v>
      </c>
      <c r="B678" s="611">
        <v>4036196</v>
      </c>
      <c r="C678" s="610"/>
      <c r="D678" s="611" t="s">
        <v>249</v>
      </c>
      <c r="E678" s="601" t="s">
        <v>28</v>
      </c>
      <c r="F678" s="609">
        <v>5</v>
      </c>
      <c r="G678" s="609">
        <v>5</v>
      </c>
      <c r="H678" s="614">
        <f t="shared" si="32"/>
        <v>0</v>
      </c>
      <c r="I678" s="607">
        <v>42977</v>
      </c>
      <c r="J678" s="561" t="s">
        <v>1461</v>
      </c>
      <c r="K678" s="557">
        <v>821</v>
      </c>
      <c r="L678" s="607">
        <v>42977</v>
      </c>
      <c r="M678" s="616">
        <v>395</v>
      </c>
      <c r="N678" s="615">
        <f t="shared" si="31"/>
        <v>1975</v>
      </c>
      <c r="O678" s="559" t="s">
        <v>1462</v>
      </c>
      <c r="P678" s="602" t="s">
        <v>1463</v>
      </c>
      <c r="Q678" s="618" t="s">
        <v>1464</v>
      </c>
      <c r="R678" s="607" t="s">
        <v>908</v>
      </c>
      <c r="S678" s="602" t="s">
        <v>825</v>
      </c>
      <c r="T678" s="602" t="s">
        <v>423</v>
      </c>
      <c r="U678" s="602"/>
      <c r="V678" s="194"/>
    </row>
    <row r="679" spans="1:22" s="549" customFormat="1" ht="15" hidden="1" customHeight="1">
      <c r="A679" s="306">
        <v>678</v>
      </c>
      <c r="B679" s="611">
        <v>4036196</v>
      </c>
      <c r="C679" s="610"/>
      <c r="D679" s="611" t="s">
        <v>77</v>
      </c>
      <c r="E679" s="601" t="s">
        <v>76</v>
      </c>
      <c r="F679" s="609">
        <v>5</v>
      </c>
      <c r="G679" s="609">
        <v>5</v>
      </c>
      <c r="H679" s="614">
        <f t="shared" si="32"/>
        <v>0</v>
      </c>
      <c r="I679" s="607">
        <v>42977</v>
      </c>
      <c r="J679" s="561" t="s">
        <v>1461</v>
      </c>
      <c r="K679" s="557">
        <v>821</v>
      </c>
      <c r="L679" s="607">
        <v>42977</v>
      </c>
      <c r="M679" s="616">
        <v>720</v>
      </c>
      <c r="N679" s="615">
        <f t="shared" si="31"/>
        <v>3600</v>
      </c>
      <c r="O679" s="559" t="s">
        <v>1462</v>
      </c>
      <c r="P679" s="602" t="s">
        <v>1463</v>
      </c>
      <c r="Q679" s="618" t="s">
        <v>1464</v>
      </c>
      <c r="R679" s="607" t="s">
        <v>908</v>
      </c>
      <c r="S679" s="602" t="s">
        <v>825</v>
      </c>
      <c r="T679" s="602" t="s">
        <v>423</v>
      </c>
      <c r="U679" s="602"/>
      <c r="V679" s="194"/>
    </row>
    <row r="680" spans="1:22" s="549" customFormat="1" ht="15" hidden="1" customHeight="1">
      <c r="A680" s="306">
        <v>679</v>
      </c>
      <c r="B680" s="611">
        <v>4036195</v>
      </c>
      <c r="C680" s="610"/>
      <c r="D680" s="418" t="s">
        <v>503</v>
      </c>
      <c r="E680" s="252" t="s">
        <v>42</v>
      </c>
      <c r="F680" s="609">
        <v>3</v>
      </c>
      <c r="G680" s="609">
        <v>3</v>
      </c>
      <c r="H680" s="193">
        <f t="shared" si="32"/>
        <v>0</v>
      </c>
      <c r="I680" s="607">
        <v>42977</v>
      </c>
      <c r="J680" s="561" t="s">
        <v>1461</v>
      </c>
      <c r="K680" s="557">
        <v>823</v>
      </c>
      <c r="L680" s="607">
        <v>42977</v>
      </c>
      <c r="M680" s="616">
        <v>6140</v>
      </c>
      <c r="N680" s="615">
        <f t="shared" si="31"/>
        <v>18420</v>
      </c>
      <c r="O680" s="559" t="s">
        <v>1462</v>
      </c>
      <c r="P680" s="602" t="s">
        <v>1463</v>
      </c>
      <c r="Q680" s="618" t="s">
        <v>1464</v>
      </c>
      <c r="R680" s="607" t="s">
        <v>908</v>
      </c>
      <c r="S680" s="602" t="s">
        <v>825</v>
      </c>
      <c r="T680" s="602" t="s">
        <v>423</v>
      </c>
      <c r="U680" s="617"/>
      <c r="V680" s="601"/>
    </row>
    <row r="681" spans="1:22" s="549" customFormat="1" ht="15" hidden="1" customHeight="1">
      <c r="A681" s="306">
        <v>680</v>
      </c>
      <c r="B681" s="611">
        <v>4036195</v>
      </c>
      <c r="C681" s="610"/>
      <c r="D681" s="611" t="s">
        <v>248</v>
      </c>
      <c r="E681" s="601" t="s">
        <v>50</v>
      </c>
      <c r="F681" s="609">
        <v>3</v>
      </c>
      <c r="G681" s="609">
        <v>3</v>
      </c>
      <c r="H681" s="614">
        <f t="shared" si="32"/>
        <v>0</v>
      </c>
      <c r="I681" s="607">
        <v>42977</v>
      </c>
      <c r="J681" s="561" t="s">
        <v>1461</v>
      </c>
      <c r="K681" s="557">
        <v>823</v>
      </c>
      <c r="L681" s="607">
        <v>42977</v>
      </c>
      <c r="M681" s="616">
        <v>2075</v>
      </c>
      <c r="N681" s="615">
        <f t="shared" si="31"/>
        <v>6225</v>
      </c>
      <c r="O681" s="559" t="s">
        <v>1462</v>
      </c>
      <c r="P681" s="602" t="s">
        <v>1463</v>
      </c>
      <c r="Q681" s="618" t="s">
        <v>1464</v>
      </c>
      <c r="R681" s="607" t="s">
        <v>908</v>
      </c>
      <c r="S681" s="602" t="s">
        <v>825</v>
      </c>
      <c r="T681" s="602" t="s">
        <v>423</v>
      </c>
      <c r="U681" s="602"/>
      <c r="V681" s="601"/>
    </row>
    <row r="682" spans="1:22" s="549" customFormat="1" ht="15" hidden="1" customHeight="1">
      <c r="A682" s="306">
        <v>681</v>
      </c>
      <c r="B682" s="611">
        <v>4036195</v>
      </c>
      <c r="C682" s="610"/>
      <c r="D682" s="611" t="s">
        <v>249</v>
      </c>
      <c r="E682" s="601" t="s">
        <v>28</v>
      </c>
      <c r="F682" s="609">
        <v>3</v>
      </c>
      <c r="G682" s="609">
        <v>3</v>
      </c>
      <c r="H682" s="614">
        <f t="shared" si="32"/>
        <v>0</v>
      </c>
      <c r="I682" s="607">
        <v>42977</v>
      </c>
      <c r="J682" s="561" t="s">
        <v>1461</v>
      </c>
      <c r="K682" s="557">
        <v>823</v>
      </c>
      <c r="L682" s="607">
        <v>42977</v>
      </c>
      <c r="M682" s="616">
        <v>395</v>
      </c>
      <c r="N682" s="615">
        <f t="shared" si="31"/>
        <v>1185</v>
      </c>
      <c r="O682" s="559" t="s">
        <v>1462</v>
      </c>
      <c r="P682" s="602" t="s">
        <v>1463</v>
      </c>
      <c r="Q682" s="618" t="s">
        <v>1464</v>
      </c>
      <c r="R682" s="607" t="s">
        <v>908</v>
      </c>
      <c r="S682" s="602" t="s">
        <v>825</v>
      </c>
      <c r="T682" s="602" t="s">
        <v>423</v>
      </c>
      <c r="U682" s="602"/>
      <c r="V682" s="601"/>
    </row>
    <row r="683" spans="1:22" s="549" customFormat="1" ht="15" hidden="1" customHeight="1">
      <c r="A683" s="306">
        <v>682</v>
      </c>
      <c r="B683" s="611">
        <v>4036195</v>
      </c>
      <c r="C683" s="610"/>
      <c r="D683" s="611" t="s">
        <v>77</v>
      </c>
      <c r="E683" s="601" t="s">
        <v>76</v>
      </c>
      <c r="F683" s="609">
        <v>3</v>
      </c>
      <c r="G683" s="609">
        <v>3</v>
      </c>
      <c r="H683" s="614">
        <f t="shared" si="32"/>
        <v>0</v>
      </c>
      <c r="I683" s="607">
        <v>42977</v>
      </c>
      <c r="J683" s="561" t="s">
        <v>1461</v>
      </c>
      <c r="K683" s="557">
        <v>823</v>
      </c>
      <c r="L683" s="607">
        <v>42977</v>
      </c>
      <c r="M683" s="616">
        <v>720</v>
      </c>
      <c r="N683" s="615">
        <f t="shared" si="31"/>
        <v>2160</v>
      </c>
      <c r="O683" s="559" t="s">
        <v>1462</v>
      </c>
      <c r="P683" s="602" t="s">
        <v>1463</v>
      </c>
      <c r="Q683" s="618" t="s">
        <v>1464</v>
      </c>
      <c r="R683" s="607" t="s">
        <v>908</v>
      </c>
      <c r="S683" s="602" t="s">
        <v>825</v>
      </c>
      <c r="T683" s="602" t="s">
        <v>423</v>
      </c>
      <c r="U683" s="602"/>
      <c r="V683" s="601"/>
    </row>
    <row r="684" spans="1:22" s="549" customFormat="1" ht="15" hidden="1" customHeight="1">
      <c r="A684" s="306">
        <v>683</v>
      </c>
      <c r="B684" s="611">
        <v>4036193</v>
      </c>
      <c r="C684" s="610"/>
      <c r="D684" s="418" t="s">
        <v>503</v>
      </c>
      <c r="E684" s="252" t="s">
        <v>42</v>
      </c>
      <c r="F684" s="609">
        <v>1</v>
      </c>
      <c r="G684" s="609">
        <v>1</v>
      </c>
      <c r="H684" s="614">
        <f t="shared" si="32"/>
        <v>0</v>
      </c>
      <c r="I684" s="607">
        <v>42977</v>
      </c>
      <c r="J684" s="561" t="s">
        <v>1461</v>
      </c>
      <c r="K684" s="557">
        <v>824</v>
      </c>
      <c r="L684" s="607">
        <v>42977</v>
      </c>
      <c r="M684" s="616">
        <v>6140</v>
      </c>
      <c r="N684" s="615">
        <f t="shared" si="31"/>
        <v>6140</v>
      </c>
      <c r="O684" s="559" t="s">
        <v>1462</v>
      </c>
      <c r="P684" s="602" t="s">
        <v>1463</v>
      </c>
      <c r="Q684" s="618" t="s">
        <v>1464</v>
      </c>
      <c r="R684" s="607" t="s">
        <v>908</v>
      </c>
      <c r="S684" s="602" t="s">
        <v>825</v>
      </c>
      <c r="T684" s="602" t="s">
        <v>423</v>
      </c>
      <c r="U684" s="602"/>
      <c r="V684" s="601"/>
    </row>
    <row r="685" spans="1:22" s="549" customFormat="1" ht="15" hidden="1" customHeight="1">
      <c r="A685" s="306">
        <v>684</v>
      </c>
      <c r="B685" s="611">
        <v>4036193</v>
      </c>
      <c r="C685" s="610"/>
      <c r="D685" s="611" t="s">
        <v>248</v>
      </c>
      <c r="E685" s="601" t="s">
        <v>50</v>
      </c>
      <c r="F685" s="609">
        <v>1</v>
      </c>
      <c r="G685" s="609">
        <v>1</v>
      </c>
      <c r="H685" s="614">
        <f t="shared" si="32"/>
        <v>0</v>
      </c>
      <c r="I685" s="607">
        <v>42977</v>
      </c>
      <c r="J685" s="561" t="s">
        <v>1461</v>
      </c>
      <c r="K685" s="557">
        <v>824</v>
      </c>
      <c r="L685" s="607">
        <v>42977</v>
      </c>
      <c r="M685" s="616">
        <v>2075</v>
      </c>
      <c r="N685" s="615">
        <f t="shared" si="31"/>
        <v>2075</v>
      </c>
      <c r="O685" s="559" t="s">
        <v>1462</v>
      </c>
      <c r="P685" s="602" t="s">
        <v>1463</v>
      </c>
      <c r="Q685" s="618" t="s">
        <v>1464</v>
      </c>
      <c r="R685" s="607" t="s">
        <v>908</v>
      </c>
      <c r="S685" s="602" t="s">
        <v>825</v>
      </c>
      <c r="T685" s="602" t="s">
        <v>423</v>
      </c>
      <c r="U685" s="602"/>
      <c r="V685" s="601"/>
    </row>
    <row r="686" spans="1:22" s="549" customFormat="1" ht="15" hidden="1" customHeight="1">
      <c r="A686" s="306">
        <v>685</v>
      </c>
      <c r="B686" s="611">
        <v>4036193</v>
      </c>
      <c r="C686" s="610"/>
      <c r="D686" s="611" t="s">
        <v>249</v>
      </c>
      <c r="E686" s="601" t="s">
        <v>28</v>
      </c>
      <c r="F686" s="609">
        <v>1</v>
      </c>
      <c r="G686" s="609">
        <v>1</v>
      </c>
      <c r="H686" s="614">
        <f t="shared" si="32"/>
        <v>0</v>
      </c>
      <c r="I686" s="607">
        <v>42977</v>
      </c>
      <c r="J686" s="561" t="s">
        <v>1461</v>
      </c>
      <c r="K686" s="557">
        <v>824</v>
      </c>
      <c r="L686" s="607">
        <v>42977</v>
      </c>
      <c r="M686" s="616">
        <v>395</v>
      </c>
      <c r="N686" s="615">
        <f t="shared" si="31"/>
        <v>395</v>
      </c>
      <c r="O686" s="559" t="s">
        <v>1462</v>
      </c>
      <c r="P686" s="602" t="s">
        <v>1463</v>
      </c>
      <c r="Q686" s="618" t="s">
        <v>1464</v>
      </c>
      <c r="R686" s="607" t="s">
        <v>908</v>
      </c>
      <c r="S686" s="602" t="s">
        <v>825</v>
      </c>
      <c r="T686" s="602" t="s">
        <v>423</v>
      </c>
      <c r="U686" s="602"/>
      <c r="V686" s="601"/>
    </row>
    <row r="687" spans="1:22" s="549" customFormat="1" ht="15" hidden="1" customHeight="1">
      <c r="A687" s="306">
        <v>686</v>
      </c>
      <c r="B687" s="611">
        <v>4036193</v>
      </c>
      <c r="C687" s="610"/>
      <c r="D687" s="611" t="s">
        <v>77</v>
      </c>
      <c r="E687" s="601" t="s">
        <v>76</v>
      </c>
      <c r="F687" s="609">
        <v>1</v>
      </c>
      <c r="G687" s="609">
        <v>1</v>
      </c>
      <c r="H687" s="614">
        <f t="shared" si="32"/>
        <v>0</v>
      </c>
      <c r="I687" s="607">
        <v>42977</v>
      </c>
      <c r="J687" s="561" t="s">
        <v>1461</v>
      </c>
      <c r="K687" s="557">
        <v>824</v>
      </c>
      <c r="L687" s="607">
        <v>42977</v>
      </c>
      <c r="M687" s="616">
        <v>720</v>
      </c>
      <c r="N687" s="615">
        <f t="shared" si="31"/>
        <v>720</v>
      </c>
      <c r="O687" s="559" t="s">
        <v>1462</v>
      </c>
      <c r="P687" s="602" t="s">
        <v>1463</v>
      </c>
      <c r="Q687" s="618" t="s">
        <v>1464</v>
      </c>
      <c r="R687" s="607" t="s">
        <v>908</v>
      </c>
      <c r="S687" s="602" t="s">
        <v>825</v>
      </c>
      <c r="T687" s="602" t="s">
        <v>423</v>
      </c>
      <c r="U687" s="617"/>
      <c r="V687" s="601"/>
    </row>
    <row r="688" spans="1:22" s="549" customFormat="1" ht="15" hidden="1" customHeight="1">
      <c r="A688" s="306">
        <v>687</v>
      </c>
      <c r="B688" s="611">
        <v>4036194</v>
      </c>
      <c r="C688" s="610"/>
      <c r="D688" s="418" t="s">
        <v>503</v>
      </c>
      <c r="E688" s="252" t="s">
        <v>42</v>
      </c>
      <c r="F688" s="609">
        <v>1</v>
      </c>
      <c r="G688" s="609">
        <v>1</v>
      </c>
      <c r="H688" s="614">
        <f t="shared" si="32"/>
        <v>0</v>
      </c>
      <c r="I688" s="607">
        <v>42977</v>
      </c>
      <c r="J688" s="561" t="s">
        <v>1461</v>
      </c>
      <c r="K688" s="557">
        <v>825</v>
      </c>
      <c r="L688" s="607">
        <v>42977</v>
      </c>
      <c r="M688" s="616">
        <v>6140</v>
      </c>
      <c r="N688" s="615">
        <f t="shared" si="31"/>
        <v>6140</v>
      </c>
      <c r="O688" s="559" t="s">
        <v>1462</v>
      </c>
      <c r="P688" s="602" t="s">
        <v>1463</v>
      </c>
      <c r="Q688" s="618" t="s">
        <v>1464</v>
      </c>
      <c r="R688" s="607" t="s">
        <v>908</v>
      </c>
      <c r="S688" s="602" t="s">
        <v>825</v>
      </c>
      <c r="T688" s="602" t="s">
        <v>423</v>
      </c>
      <c r="U688" s="617"/>
      <c r="V688" s="601"/>
    </row>
    <row r="689" spans="1:23" s="549" customFormat="1" ht="15" hidden="1" customHeight="1">
      <c r="A689" s="306">
        <v>688</v>
      </c>
      <c r="B689" s="611">
        <v>4036194</v>
      </c>
      <c r="C689" s="610"/>
      <c r="D689" s="611" t="s">
        <v>248</v>
      </c>
      <c r="E689" s="601" t="s">
        <v>50</v>
      </c>
      <c r="F689" s="609">
        <v>1</v>
      </c>
      <c r="G689" s="609">
        <v>1</v>
      </c>
      <c r="H689" s="614">
        <f t="shared" si="32"/>
        <v>0</v>
      </c>
      <c r="I689" s="607">
        <v>42977</v>
      </c>
      <c r="J689" s="561" t="s">
        <v>1461</v>
      </c>
      <c r="K689" s="557">
        <v>825</v>
      </c>
      <c r="L689" s="607">
        <v>42977</v>
      </c>
      <c r="M689" s="616">
        <v>2075</v>
      </c>
      <c r="N689" s="615">
        <f t="shared" si="31"/>
        <v>2075</v>
      </c>
      <c r="O689" s="559" t="s">
        <v>1462</v>
      </c>
      <c r="P689" s="602" t="s">
        <v>1463</v>
      </c>
      <c r="Q689" s="618" t="s">
        <v>1464</v>
      </c>
      <c r="R689" s="607" t="s">
        <v>908</v>
      </c>
      <c r="S689" s="602" t="s">
        <v>825</v>
      </c>
      <c r="T689" s="602" t="s">
        <v>423</v>
      </c>
      <c r="U689" s="617"/>
      <c r="V689" s="601"/>
    </row>
    <row r="690" spans="1:23" s="549" customFormat="1" ht="15" hidden="1" customHeight="1">
      <c r="A690" s="306">
        <v>689</v>
      </c>
      <c r="B690" s="611">
        <v>4036194</v>
      </c>
      <c r="C690" s="610"/>
      <c r="D690" s="611" t="s">
        <v>249</v>
      </c>
      <c r="E690" s="601" t="s">
        <v>28</v>
      </c>
      <c r="F690" s="609">
        <v>1</v>
      </c>
      <c r="G690" s="609">
        <v>1</v>
      </c>
      <c r="H690" s="614">
        <f t="shared" si="32"/>
        <v>0</v>
      </c>
      <c r="I690" s="607">
        <v>42977</v>
      </c>
      <c r="J690" s="561" t="s">
        <v>1461</v>
      </c>
      <c r="K690" s="557">
        <v>825</v>
      </c>
      <c r="L690" s="607">
        <v>42977</v>
      </c>
      <c r="M690" s="616">
        <v>395</v>
      </c>
      <c r="N690" s="615">
        <f t="shared" si="31"/>
        <v>395</v>
      </c>
      <c r="O690" s="559" t="s">
        <v>1462</v>
      </c>
      <c r="P690" s="602" t="s">
        <v>1463</v>
      </c>
      <c r="Q690" s="618" t="s">
        <v>1464</v>
      </c>
      <c r="R690" s="607" t="s">
        <v>908</v>
      </c>
      <c r="S690" s="602" t="s">
        <v>825</v>
      </c>
      <c r="T690" s="602" t="s">
        <v>423</v>
      </c>
      <c r="U690" s="600"/>
      <c r="V690" s="601"/>
    </row>
    <row r="691" spans="1:23" s="549" customFormat="1" ht="15" hidden="1" customHeight="1">
      <c r="A691" s="306">
        <v>690</v>
      </c>
      <c r="B691" s="611">
        <v>4036194</v>
      </c>
      <c r="C691" s="610"/>
      <c r="D691" s="611" t="s">
        <v>77</v>
      </c>
      <c r="E691" s="601" t="s">
        <v>76</v>
      </c>
      <c r="F691" s="609">
        <v>1</v>
      </c>
      <c r="G691" s="609">
        <v>1</v>
      </c>
      <c r="H691" s="614">
        <f t="shared" si="32"/>
        <v>0</v>
      </c>
      <c r="I691" s="607">
        <v>42977</v>
      </c>
      <c r="J691" s="561" t="s">
        <v>1461</v>
      </c>
      <c r="K691" s="557">
        <v>825</v>
      </c>
      <c r="L691" s="607">
        <v>42977</v>
      </c>
      <c r="M691" s="616">
        <v>720</v>
      </c>
      <c r="N691" s="615">
        <f t="shared" si="31"/>
        <v>720</v>
      </c>
      <c r="O691" s="559" t="s">
        <v>1462</v>
      </c>
      <c r="P691" s="602" t="s">
        <v>1463</v>
      </c>
      <c r="Q691" s="618" t="s">
        <v>1464</v>
      </c>
      <c r="R691" s="607" t="s">
        <v>908</v>
      </c>
      <c r="S691" s="602" t="s">
        <v>825</v>
      </c>
      <c r="T691" s="602" t="s">
        <v>423</v>
      </c>
      <c r="U691" s="600"/>
      <c r="V691" s="601"/>
    </row>
    <row r="692" spans="1:23" s="135" customFormat="1" ht="15" hidden="1" customHeight="1">
      <c r="A692" s="306">
        <v>691</v>
      </c>
      <c r="B692" s="611"/>
      <c r="C692" s="610"/>
      <c r="D692" s="210" t="s">
        <v>90</v>
      </c>
      <c r="E692" s="602" t="s">
        <v>417</v>
      </c>
      <c r="F692" s="609">
        <v>1</v>
      </c>
      <c r="G692" s="609">
        <v>1</v>
      </c>
      <c r="H692" s="614">
        <f t="shared" si="32"/>
        <v>0</v>
      </c>
      <c r="I692" s="607">
        <v>42988</v>
      </c>
      <c r="J692" s="561" t="s">
        <v>1435</v>
      </c>
      <c r="K692" s="557">
        <v>829</v>
      </c>
      <c r="L692" s="607">
        <v>42988</v>
      </c>
      <c r="M692" s="616">
        <v>300</v>
      </c>
      <c r="N692" s="615">
        <f t="shared" si="31"/>
        <v>300</v>
      </c>
      <c r="O692" s="559" t="s">
        <v>587</v>
      </c>
      <c r="P692" s="602" t="s">
        <v>555</v>
      </c>
      <c r="Q692" s="600" t="s">
        <v>1436</v>
      </c>
      <c r="R692" s="607" t="s">
        <v>908</v>
      </c>
      <c r="S692" s="602" t="s">
        <v>422</v>
      </c>
      <c r="T692" s="602" t="s">
        <v>423</v>
      </c>
      <c r="U692" s="617"/>
      <c r="V692" s="601"/>
      <c r="W692" s="276"/>
    </row>
    <row r="693" spans="1:23" s="135" customFormat="1" ht="15" hidden="1" customHeight="1">
      <c r="A693" s="306">
        <v>692</v>
      </c>
      <c r="B693" s="611" t="s">
        <v>1440</v>
      </c>
      <c r="C693" s="610"/>
      <c r="D693" s="611" t="s">
        <v>939</v>
      </c>
      <c r="E693" s="602" t="s">
        <v>940</v>
      </c>
      <c r="F693" s="609">
        <v>72</v>
      </c>
      <c r="G693" s="609">
        <v>72</v>
      </c>
      <c r="H693" s="614">
        <f t="shared" si="32"/>
        <v>0</v>
      </c>
      <c r="I693" s="607">
        <v>42988</v>
      </c>
      <c r="J693" s="561" t="s">
        <v>1438</v>
      </c>
      <c r="K693" s="557">
        <v>828</v>
      </c>
      <c r="L693" s="607">
        <v>42988</v>
      </c>
      <c r="M693" s="176">
        <v>110</v>
      </c>
      <c r="N693" s="615">
        <f t="shared" si="31"/>
        <v>7920</v>
      </c>
      <c r="O693" s="603" t="s">
        <v>587</v>
      </c>
      <c r="P693" s="602" t="s">
        <v>581</v>
      </c>
      <c r="Q693" s="600" t="s">
        <v>1441</v>
      </c>
      <c r="R693" s="607" t="s">
        <v>908</v>
      </c>
      <c r="S693" s="602" t="s">
        <v>422</v>
      </c>
      <c r="T693" s="602" t="s">
        <v>423</v>
      </c>
      <c r="U693" s="600"/>
      <c r="V693" s="564"/>
      <c r="W693" s="276"/>
    </row>
    <row r="694" spans="1:23" s="135" customFormat="1" ht="15" hidden="1" customHeight="1">
      <c r="A694" s="306">
        <v>693</v>
      </c>
      <c r="B694" s="611" t="s">
        <v>777</v>
      </c>
      <c r="C694" s="610"/>
      <c r="D694" s="418" t="s">
        <v>43</v>
      </c>
      <c r="E694" s="252" t="s">
        <v>42</v>
      </c>
      <c r="F694" s="609">
        <v>1</v>
      </c>
      <c r="G694" s="609">
        <v>1</v>
      </c>
      <c r="H694" s="614">
        <v>0</v>
      </c>
      <c r="I694" s="607">
        <v>42989</v>
      </c>
      <c r="J694" s="561" t="s">
        <v>1442</v>
      </c>
      <c r="K694" s="557">
        <v>831</v>
      </c>
      <c r="L694" s="607">
        <v>42988</v>
      </c>
      <c r="M694" s="616">
        <v>6865</v>
      </c>
      <c r="N694" s="615">
        <f t="shared" si="31"/>
        <v>6865</v>
      </c>
      <c r="O694" s="559" t="s">
        <v>587</v>
      </c>
      <c r="P694" s="602" t="s">
        <v>581</v>
      </c>
      <c r="Q694" s="618" t="s">
        <v>1443</v>
      </c>
      <c r="R694" s="607" t="s">
        <v>908</v>
      </c>
      <c r="S694" s="602" t="s">
        <v>422</v>
      </c>
      <c r="T694" s="602" t="s">
        <v>423</v>
      </c>
      <c r="U694" s="602" t="s">
        <v>1850</v>
      </c>
      <c r="V694" s="601"/>
      <c r="W694" s="276"/>
    </row>
    <row r="695" spans="1:23" s="135" customFormat="1" ht="15" hidden="1" customHeight="1">
      <c r="A695" s="306">
        <v>694</v>
      </c>
      <c r="B695" s="611" t="s">
        <v>777</v>
      </c>
      <c r="C695" s="610"/>
      <c r="D695" s="611" t="s">
        <v>30</v>
      </c>
      <c r="E695" s="601" t="s">
        <v>28</v>
      </c>
      <c r="F695" s="609">
        <v>2</v>
      </c>
      <c r="G695" s="609">
        <v>2</v>
      </c>
      <c r="H695" s="614">
        <v>0</v>
      </c>
      <c r="I695" s="607">
        <v>42989</v>
      </c>
      <c r="J695" s="561" t="s">
        <v>1442</v>
      </c>
      <c r="K695" s="557">
        <v>831</v>
      </c>
      <c r="L695" s="607">
        <v>42988</v>
      </c>
      <c r="M695" s="616">
        <v>0</v>
      </c>
      <c r="N695" s="615">
        <f t="shared" si="31"/>
        <v>0</v>
      </c>
      <c r="O695" s="559" t="s">
        <v>587</v>
      </c>
      <c r="P695" s="602" t="s">
        <v>581</v>
      </c>
      <c r="Q695" s="618" t="s">
        <v>1443</v>
      </c>
      <c r="R695" s="607" t="s">
        <v>908</v>
      </c>
      <c r="S695" s="602" t="s">
        <v>422</v>
      </c>
      <c r="T695" s="602" t="s">
        <v>423</v>
      </c>
      <c r="U695" s="602" t="s">
        <v>1850</v>
      </c>
      <c r="V695" s="601"/>
      <c r="W695" s="549"/>
    </row>
    <row r="696" spans="1:23" s="135" customFormat="1" ht="15" hidden="1" customHeight="1">
      <c r="A696" s="306">
        <v>695</v>
      </c>
      <c r="B696" s="611" t="s">
        <v>777</v>
      </c>
      <c r="C696" s="610"/>
      <c r="D696" s="611" t="s">
        <v>51</v>
      </c>
      <c r="E696" s="601" t="s">
        <v>50</v>
      </c>
      <c r="F696" s="609">
        <v>1</v>
      </c>
      <c r="G696" s="609">
        <v>1</v>
      </c>
      <c r="H696" s="614">
        <v>0</v>
      </c>
      <c r="I696" s="607">
        <v>42989</v>
      </c>
      <c r="J696" s="561" t="s">
        <v>1442</v>
      </c>
      <c r="K696" s="557">
        <v>831</v>
      </c>
      <c r="L696" s="607">
        <v>42988</v>
      </c>
      <c r="M696" s="616">
        <v>2955</v>
      </c>
      <c r="N696" s="615">
        <f t="shared" si="31"/>
        <v>2955</v>
      </c>
      <c r="O696" s="559" t="s">
        <v>587</v>
      </c>
      <c r="P696" s="602" t="s">
        <v>581</v>
      </c>
      <c r="Q696" s="618" t="s">
        <v>1443</v>
      </c>
      <c r="R696" s="607" t="s">
        <v>908</v>
      </c>
      <c r="S696" s="602" t="s">
        <v>422</v>
      </c>
      <c r="T696" s="602" t="s">
        <v>423</v>
      </c>
      <c r="U696" s="602" t="s">
        <v>1850</v>
      </c>
      <c r="V696" s="194"/>
      <c r="W696" s="549"/>
    </row>
    <row r="697" spans="1:23" s="135" customFormat="1" ht="15" hidden="1" customHeight="1">
      <c r="A697" s="306">
        <v>696</v>
      </c>
      <c r="B697" s="611">
        <v>4501473324</v>
      </c>
      <c r="C697" s="610"/>
      <c r="D697" s="611" t="s">
        <v>247</v>
      </c>
      <c r="E697" s="601" t="s">
        <v>259</v>
      </c>
      <c r="F697" s="609">
        <v>1</v>
      </c>
      <c r="G697" s="609">
        <v>1</v>
      </c>
      <c r="H697" s="614">
        <v>0</v>
      </c>
      <c r="I697" s="607">
        <v>42990</v>
      </c>
      <c r="J697" s="561" t="s">
        <v>439</v>
      </c>
      <c r="K697" s="557">
        <v>832</v>
      </c>
      <c r="L697" s="607">
        <v>42989</v>
      </c>
      <c r="M697" s="616">
        <v>4200</v>
      </c>
      <c r="N697" s="615">
        <f t="shared" si="31"/>
        <v>4200</v>
      </c>
      <c r="O697" s="559" t="s">
        <v>587</v>
      </c>
      <c r="P697" s="602" t="s">
        <v>1444</v>
      </c>
      <c r="Q697" s="618" t="s">
        <v>1445</v>
      </c>
      <c r="R697" s="607" t="s">
        <v>908</v>
      </c>
      <c r="S697" s="602" t="s">
        <v>422</v>
      </c>
      <c r="T697" s="602" t="s">
        <v>423</v>
      </c>
      <c r="U697" s="602"/>
      <c r="V697" s="194"/>
      <c r="W697" s="549"/>
    </row>
    <row r="698" spans="1:23" s="135" customFormat="1" ht="15" hidden="1" customHeight="1">
      <c r="A698" s="306">
        <v>697</v>
      </c>
      <c r="B698" s="611">
        <v>4501476831</v>
      </c>
      <c r="C698" s="610"/>
      <c r="D698" s="418" t="s">
        <v>503</v>
      </c>
      <c r="E698" s="252" t="s">
        <v>42</v>
      </c>
      <c r="F698" s="609">
        <v>1</v>
      </c>
      <c r="G698" s="608">
        <v>1</v>
      </c>
      <c r="H698" s="614">
        <f t="shared" ref="H698:H761" si="33">F698-G698</f>
        <v>0</v>
      </c>
      <c r="I698" s="607">
        <v>42990</v>
      </c>
      <c r="J698" s="606" t="s">
        <v>439</v>
      </c>
      <c r="K698" s="557">
        <v>833</v>
      </c>
      <c r="L698" s="605">
        <v>42989</v>
      </c>
      <c r="M698" s="604">
        <v>7851</v>
      </c>
      <c r="N698" s="615">
        <f t="shared" si="31"/>
        <v>7851</v>
      </c>
      <c r="O698" s="602" t="s">
        <v>587</v>
      </c>
      <c r="P698" s="602" t="s">
        <v>1444</v>
      </c>
      <c r="Q698" s="600" t="s">
        <v>1446</v>
      </c>
      <c r="R698" s="607" t="s">
        <v>908</v>
      </c>
      <c r="S698" s="602" t="s">
        <v>422</v>
      </c>
      <c r="T698" s="602" t="s">
        <v>423</v>
      </c>
      <c r="U698" s="617"/>
      <c r="V698" s="601"/>
      <c r="W698" s="549"/>
    </row>
    <row r="699" spans="1:23" s="135" customFormat="1" ht="15" hidden="1" customHeight="1">
      <c r="A699" s="306">
        <v>698</v>
      </c>
      <c r="B699" s="611">
        <v>4501476831</v>
      </c>
      <c r="C699" s="610"/>
      <c r="D699" s="611" t="s">
        <v>248</v>
      </c>
      <c r="E699" s="601" t="s">
        <v>50</v>
      </c>
      <c r="F699" s="609">
        <v>3</v>
      </c>
      <c r="G699" s="609">
        <v>3</v>
      </c>
      <c r="H699" s="614">
        <f t="shared" si="33"/>
        <v>0</v>
      </c>
      <c r="I699" s="607">
        <v>42990</v>
      </c>
      <c r="J699" s="606" t="s">
        <v>439</v>
      </c>
      <c r="K699" s="557">
        <v>833</v>
      </c>
      <c r="L699" s="605">
        <v>42989</v>
      </c>
      <c r="M699" s="616">
        <v>2770</v>
      </c>
      <c r="N699" s="615">
        <f t="shared" si="31"/>
        <v>8310</v>
      </c>
      <c r="O699" s="602" t="s">
        <v>587</v>
      </c>
      <c r="P699" s="602" t="s">
        <v>1444</v>
      </c>
      <c r="Q699" s="600" t="s">
        <v>1446</v>
      </c>
      <c r="R699" s="607" t="s">
        <v>908</v>
      </c>
      <c r="S699" s="602" t="s">
        <v>422</v>
      </c>
      <c r="T699" s="602" t="s">
        <v>423</v>
      </c>
      <c r="U699" s="602"/>
      <c r="V699" s="601"/>
      <c r="W699" s="276"/>
    </row>
    <row r="700" spans="1:23" s="135" customFormat="1" ht="15" hidden="1" customHeight="1">
      <c r="A700" s="306">
        <v>699</v>
      </c>
      <c r="B700" s="611">
        <v>4501476831</v>
      </c>
      <c r="C700" s="610"/>
      <c r="D700" s="601" t="s">
        <v>505</v>
      </c>
      <c r="E700" s="602" t="s">
        <v>46</v>
      </c>
      <c r="F700" s="609">
        <v>1</v>
      </c>
      <c r="G700" s="608">
        <v>1</v>
      </c>
      <c r="H700" s="614">
        <f t="shared" si="33"/>
        <v>0</v>
      </c>
      <c r="I700" s="607">
        <v>42990</v>
      </c>
      <c r="J700" s="606" t="s">
        <v>439</v>
      </c>
      <c r="K700" s="557">
        <v>833</v>
      </c>
      <c r="L700" s="605">
        <v>42989</v>
      </c>
      <c r="M700" s="604">
        <v>5501</v>
      </c>
      <c r="N700" s="615">
        <f t="shared" si="31"/>
        <v>5501</v>
      </c>
      <c r="O700" s="602" t="s">
        <v>587</v>
      </c>
      <c r="P700" s="602" t="s">
        <v>1444</v>
      </c>
      <c r="Q700" s="600" t="s">
        <v>1446</v>
      </c>
      <c r="R700" s="607" t="s">
        <v>908</v>
      </c>
      <c r="S700" s="602" t="s">
        <v>422</v>
      </c>
      <c r="T700" s="602" t="s">
        <v>423</v>
      </c>
      <c r="U700" s="602"/>
      <c r="V700" s="601"/>
      <c r="W700" s="276"/>
    </row>
    <row r="701" spans="1:23" s="135" customFormat="1" ht="15" hidden="1" customHeight="1">
      <c r="A701" s="306">
        <v>700</v>
      </c>
      <c r="B701" s="611">
        <v>4501476831</v>
      </c>
      <c r="C701" s="610"/>
      <c r="D701" s="611" t="s">
        <v>250</v>
      </c>
      <c r="E701" s="601" t="s">
        <v>262</v>
      </c>
      <c r="F701" s="609">
        <v>3</v>
      </c>
      <c r="G701" s="608">
        <v>3</v>
      </c>
      <c r="H701" s="614">
        <f t="shared" si="33"/>
        <v>0</v>
      </c>
      <c r="I701" s="607">
        <v>42990</v>
      </c>
      <c r="J701" s="606" t="s">
        <v>439</v>
      </c>
      <c r="K701" s="557">
        <v>833</v>
      </c>
      <c r="L701" s="605">
        <v>42989</v>
      </c>
      <c r="M701" s="170">
        <v>1930</v>
      </c>
      <c r="N701" s="615">
        <f t="shared" si="31"/>
        <v>5790</v>
      </c>
      <c r="O701" s="602" t="s">
        <v>587</v>
      </c>
      <c r="P701" s="602" t="s">
        <v>1444</v>
      </c>
      <c r="Q701" s="600" t="s">
        <v>1446</v>
      </c>
      <c r="R701" s="607" t="s">
        <v>908</v>
      </c>
      <c r="S701" s="602" t="s">
        <v>422</v>
      </c>
      <c r="T701" s="602" t="s">
        <v>423</v>
      </c>
      <c r="U701" s="602"/>
      <c r="V701" s="601"/>
      <c r="W701" s="549"/>
    </row>
    <row r="702" spans="1:23" s="135" customFormat="1" ht="15" hidden="1" customHeight="1">
      <c r="A702" s="306">
        <v>701</v>
      </c>
      <c r="B702" s="611">
        <v>4501476831</v>
      </c>
      <c r="C702" s="610"/>
      <c r="D702" s="611" t="s">
        <v>249</v>
      </c>
      <c r="E702" s="601" t="s">
        <v>28</v>
      </c>
      <c r="F702" s="609">
        <v>6</v>
      </c>
      <c r="G702" s="608">
        <v>6</v>
      </c>
      <c r="H702" s="614">
        <f t="shared" si="33"/>
        <v>0</v>
      </c>
      <c r="I702" s="607">
        <v>42990</v>
      </c>
      <c r="J702" s="606" t="s">
        <v>439</v>
      </c>
      <c r="K702" s="557">
        <v>833</v>
      </c>
      <c r="L702" s="605">
        <v>42989</v>
      </c>
      <c r="M702" s="604">
        <v>0</v>
      </c>
      <c r="N702" s="615">
        <f t="shared" ref="N702:N765" si="34">IFERROR(M702*G702,0)</f>
        <v>0</v>
      </c>
      <c r="O702" s="602" t="s">
        <v>587</v>
      </c>
      <c r="P702" s="602" t="s">
        <v>1444</v>
      </c>
      <c r="Q702" s="600" t="s">
        <v>1446</v>
      </c>
      <c r="R702" s="607" t="s">
        <v>908</v>
      </c>
      <c r="S702" s="602" t="s">
        <v>422</v>
      </c>
      <c r="T702" s="602" t="s">
        <v>423</v>
      </c>
      <c r="U702" s="602"/>
      <c r="V702" s="601"/>
    </row>
    <row r="703" spans="1:23" s="135" customFormat="1" ht="15" hidden="1" customHeight="1">
      <c r="A703" s="306">
        <v>702</v>
      </c>
      <c r="B703" s="611">
        <v>4501476831</v>
      </c>
      <c r="C703" s="610"/>
      <c r="D703" s="611" t="s">
        <v>78</v>
      </c>
      <c r="E703" s="188" t="s">
        <v>76</v>
      </c>
      <c r="F703" s="609">
        <v>2</v>
      </c>
      <c r="G703" s="608">
        <v>2</v>
      </c>
      <c r="H703" s="614">
        <f t="shared" si="33"/>
        <v>0</v>
      </c>
      <c r="I703" s="607">
        <v>42990</v>
      </c>
      <c r="J703" s="606" t="s">
        <v>439</v>
      </c>
      <c r="K703" s="557">
        <v>833</v>
      </c>
      <c r="L703" s="605">
        <v>42989</v>
      </c>
      <c r="M703" s="604">
        <v>0</v>
      </c>
      <c r="N703" s="615">
        <f t="shared" si="34"/>
        <v>0</v>
      </c>
      <c r="O703" s="602" t="s">
        <v>587</v>
      </c>
      <c r="P703" s="602" t="s">
        <v>1444</v>
      </c>
      <c r="Q703" s="600" t="s">
        <v>1446</v>
      </c>
      <c r="R703" s="607" t="s">
        <v>908</v>
      </c>
      <c r="S703" s="602" t="s">
        <v>422</v>
      </c>
      <c r="T703" s="602" t="s">
        <v>423</v>
      </c>
      <c r="U703" s="602"/>
      <c r="V703" s="601"/>
      <c r="W703" s="549"/>
    </row>
    <row r="704" spans="1:23" s="135" customFormat="1" ht="15" hidden="1" customHeight="1">
      <c r="A704" s="306">
        <v>703</v>
      </c>
      <c r="B704" s="611">
        <v>4501476831</v>
      </c>
      <c r="C704" s="610"/>
      <c r="D704" s="558" t="s">
        <v>39</v>
      </c>
      <c r="E704" s="187" t="s">
        <v>38</v>
      </c>
      <c r="F704" s="609">
        <v>2</v>
      </c>
      <c r="G704" s="608">
        <v>2</v>
      </c>
      <c r="H704" s="614">
        <f t="shared" si="33"/>
        <v>0</v>
      </c>
      <c r="I704" s="607">
        <v>42990</v>
      </c>
      <c r="J704" s="606" t="s">
        <v>439</v>
      </c>
      <c r="K704" s="557">
        <v>833</v>
      </c>
      <c r="L704" s="605">
        <v>42989</v>
      </c>
      <c r="M704" s="604">
        <v>5160</v>
      </c>
      <c r="N704" s="615">
        <f t="shared" si="34"/>
        <v>10320</v>
      </c>
      <c r="O704" s="602" t="s">
        <v>587</v>
      </c>
      <c r="P704" s="602" t="s">
        <v>1444</v>
      </c>
      <c r="Q704" s="600" t="s">
        <v>1446</v>
      </c>
      <c r="R704" s="607" t="s">
        <v>908</v>
      </c>
      <c r="S704" s="602" t="s">
        <v>422</v>
      </c>
      <c r="T704" s="602" t="s">
        <v>423</v>
      </c>
      <c r="U704" s="602"/>
      <c r="V704" s="601"/>
      <c r="W704" s="276"/>
    </row>
    <row r="705" spans="1:23" s="135" customFormat="1" ht="15" hidden="1" customHeight="1">
      <c r="A705" s="306">
        <v>704</v>
      </c>
      <c r="B705" s="611">
        <v>234087</v>
      </c>
      <c r="C705" s="610"/>
      <c r="D705" s="185" t="s">
        <v>224</v>
      </c>
      <c r="E705" s="350" t="s">
        <v>941</v>
      </c>
      <c r="F705" s="609">
        <v>20</v>
      </c>
      <c r="G705" s="608">
        <v>20</v>
      </c>
      <c r="H705" s="614">
        <f t="shared" si="33"/>
        <v>0</v>
      </c>
      <c r="I705" s="607">
        <v>42991</v>
      </c>
      <c r="J705" s="606" t="s">
        <v>1447</v>
      </c>
      <c r="K705" s="557">
        <v>834</v>
      </c>
      <c r="L705" s="171">
        <v>42990</v>
      </c>
      <c r="M705" s="170">
        <v>120</v>
      </c>
      <c r="N705" s="615">
        <f t="shared" si="34"/>
        <v>2400</v>
      </c>
      <c r="O705" s="602" t="s">
        <v>587</v>
      </c>
      <c r="P705" s="602" t="s">
        <v>1448</v>
      </c>
      <c r="Q705" s="600">
        <v>532281270</v>
      </c>
      <c r="R705" s="607" t="s">
        <v>908</v>
      </c>
      <c r="S705" s="602" t="s">
        <v>422</v>
      </c>
      <c r="T705" s="602" t="s">
        <v>423</v>
      </c>
      <c r="U705" s="617"/>
      <c r="V705" s="601"/>
      <c r="W705" s="276"/>
    </row>
    <row r="706" spans="1:23" s="135" customFormat="1" ht="15" hidden="1" customHeight="1">
      <c r="A706" s="306">
        <v>705</v>
      </c>
      <c r="B706" s="611">
        <v>234105</v>
      </c>
      <c r="C706" s="610"/>
      <c r="D706" s="186" t="s">
        <v>226</v>
      </c>
      <c r="E706" s="350" t="s">
        <v>944</v>
      </c>
      <c r="F706" s="609">
        <v>1</v>
      </c>
      <c r="G706" s="608">
        <v>1</v>
      </c>
      <c r="H706" s="614">
        <f t="shared" si="33"/>
        <v>0</v>
      </c>
      <c r="I706" s="607">
        <v>42991</v>
      </c>
      <c r="J706" s="606" t="s">
        <v>1447</v>
      </c>
      <c r="K706" s="557">
        <v>835</v>
      </c>
      <c r="L706" s="171">
        <v>42990</v>
      </c>
      <c r="M706" s="604">
        <v>250</v>
      </c>
      <c r="N706" s="615">
        <f t="shared" si="34"/>
        <v>250</v>
      </c>
      <c r="O706" s="602" t="s">
        <v>587</v>
      </c>
      <c r="P706" s="602" t="s">
        <v>1448</v>
      </c>
      <c r="Q706" s="600">
        <v>532281270</v>
      </c>
      <c r="R706" s="607" t="s">
        <v>908</v>
      </c>
      <c r="S706" s="602" t="s">
        <v>422</v>
      </c>
      <c r="T706" s="602" t="s">
        <v>423</v>
      </c>
      <c r="U706" s="617"/>
      <c r="V706" s="601"/>
      <c r="W706" s="276"/>
    </row>
    <row r="707" spans="1:23" s="135" customFormat="1" ht="15" hidden="1" customHeight="1">
      <c r="A707" s="306">
        <v>706</v>
      </c>
      <c r="B707" s="611" t="s">
        <v>1449</v>
      </c>
      <c r="C707" s="610"/>
      <c r="D707" s="611" t="s">
        <v>1022</v>
      </c>
      <c r="E707" s="601" t="s">
        <v>1028</v>
      </c>
      <c r="F707" s="609">
        <v>2</v>
      </c>
      <c r="G707" s="608">
        <v>2</v>
      </c>
      <c r="H707" s="614">
        <f t="shared" si="33"/>
        <v>0</v>
      </c>
      <c r="I707" s="607">
        <v>42991</v>
      </c>
      <c r="J707" s="606" t="s">
        <v>1450</v>
      </c>
      <c r="K707" s="557">
        <v>836</v>
      </c>
      <c r="L707" s="605">
        <v>42991</v>
      </c>
      <c r="M707" s="604">
        <v>4850</v>
      </c>
      <c r="N707" s="615">
        <f t="shared" si="34"/>
        <v>9700</v>
      </c>
      <c r="O707" s="602" t="s">
        <v>587</v>
      </c>
      <c r="P707" s="602" t="s">
        <v>1448</v>
      </c>
      <c r="Q707" s="600" t="s">
        <v>1451</v>
      </c>
      <c r="R707" s="607" t="s">
        <v>908</v>
      </c>
      <c r="S707" s="602" t="s">
        <v>422</v>
      </c>
      <c r="T707" s="602" t="s">
        <v>423</v>
      </c>
      <c r="U707" s="617"/>
      <c r="V707" s="601"/>
      <c r="W707" s="276"/>
    </row>
    <row r="708" spans="1:23" s="135" customFormat="1" ht="15" hidden="1" customHeight="1">
      <c r="A708" s="306">
        <v>707</v>
      </c>
      <c r="B708" s="611" t="s">
        <v>1449</v>
      </c>
      <c r="C708" s="610"/>
      <c r="D708" s="601" t="s">
        <v>1180</v>
      </c>
      <c r="E708" s="602" t="s">
        <v>1182</v>
      </c>
      <c r="F708" s="609">
        <v>6</v>
      </c>
      <c r="G708" s="608">
        <v>6</v>
      </c>
      <c r="H708" s="614">
        <f t="shared" si="33"/>
        <v>0</v>
      </c>
      <c r="I708" s="607">
        <v>42991</v>
      </c>
      <c r="J708" s="606" t="s">
        <v>1450</v>
      </c>
      <c r="K708" s="557">
        <v>836</v>
      </c>
      <c r="L708" s="605">
        <v>42991</v>
      </c>
      <c r="M708" s="604">
        <v>2260</v>
      </c>
      <c r="N708" s="615">
        <f t="shared" si="34"/>
        <v>13560</v>
      </c>
      <c r="O708" s="602" t="s">
        <v>587</v>
      </c>
      <c r="P708" s="602" t="s">
        <v>1448</v>
      </c>
      <c r="Q708" s="600" t="s">
        <v>1451</v>
      </c>
      <c r="R708" s="607" t="s">
        <v>908</v>
      </c>
      <c r="S708" s="602" t="s">
        <v>422</v>
      </c>
      <c r="T708" s="602" t="s">
        <v>423</v>
      </c>
      <c r="U708" s="600"/>
      <c r="V708" s="601"/>
      <c r="W708" s="276"/>
    </row>
    <row r="709" spans="1:23" s="135" customFormat="1" ht="15" hidden="1" customHeight="1">
      <c r="A709" s="306">
        <v>708</v>
      </c>
      <c r="B709" s="611" t="s">
        <v>1452</v>
      </c>
      <c r="C709" s="610"/>
      <c r="D709" s="611" t="s">
        <v>75</v>
      </c>
      <c r="E709" s="601" t="s">
        <v>74</v>
      </c>
      <c r="F709" s="609">
        <v>2</v>
      </c>
      <c r="G709" s="608">
        <v>2</v>
      </c>
      <c r="H709" s="614">
        <f t="shared" si="33"/>
        <v>0</v>
      </c>
      <c r="I709" s="607">
        <v>42992</v>
      </c>
      <c r="J709" s="606" t="s">
        <v>1453</v>
      </c>
      <c r="K709" s="557">
        <v>838</v>
      </c>
      <c r="L709" s="605">
        <v>42991</v>
      </c>
      <c r="M709" s="604">
        <v>34765</v>
      </c>
      <c r="N709" s="615">
        <f t="shared" si="34"/>
        <v>69530</v>
      </c>
      <c r="O709" s="602" t="s">
        <v>587</v>
      </c>
      <c r="P709" s="602" t="s">
        <v>467</v>
      </c>
      <c r="Q709" s="600" t="s">
        <v>1454</v>
      </c>
      <c r="R709" s="377" t="s">
        <v>908</v>
      </c>
      <c r="S709" s="602" t="s">
        <v>422</v>
      </c>
      <c r="T709" s="602" t="s">
        <v>423</v>
      </c>
      <c r="U709" s="600"/>
      <c r="V709" s="601"/>
      <c r="W709" s="549"/>
    </row>
    <row r="710" spans="1:23" s="135" customFormat="1" ht="15" hidden="1" customHeight="1">
      <c r="A710" s="306">
        <v>709</v>
      </c>
      <c r="B710" s="611">
        <v>4501479128</v>
      </c>
      <c r="C710" s="610"/>
      <c r="D710" s="611" t="s">
        <v>1165</v>
      </c>
      <c r="E710" s="601" t="s">
        <v>1455</v>
      </c>
      <c r="F710" s="609">
        <v>3</v>
      </c>
      <c r="G710" s="609">
        <v>3</v>
      </c>
      <c r="H710" s="614">
        <f t="shared" si="33"/>
        <v>0</v>
      </c>
      <c r="I710" s="607">
        <v>42992</v>
      </c>
      <c r="J710" s="561" t="s">
        <v>439</v>
      </c>
      <c r="K710" s="557">
        <v>837</v>
      </c>
      <c r="L710" s="607">
        <v>42991</v>
      </c>
      <c r="M710" s="616">
        <v>2520</v>
      </c>
      <c r="N710" s="615">
        <f t="shared" si="34"/>
        <v>7560</v>
      </c>
      <c r="O710" s="559" t="s">
        <v>587</v>
      </c>
      <c r="P710" s="602" t="s">
        <v>581</v>
      </c>
      <c r="Q710" s="600" t="s">
        <v>1456</v>
      </c>
      <c r="R710" s="607" t="s">
        <v>908</v>
      </c>
      <c r="S710" s="602" t="s">
        <v>422</v>
      </c>
      <c r="T710" s="602" t="s">
        <v>423</v>
      </c>
      <c r="U710" s="600"/>
      <c r="V710" s="601"/>
      <c r="W710" s="549"/>
    </row>
    <row r="711" spans="1:23" s="135" customFormat="1" ht="15" hidden="1" customHeight="1">
      <c r="A711" s="306">
        <v>710</v>
      </c>
      <c r="B711" s="611">
        <v>4501480532</v>
      </c>
      <c r="C711" s="610"/>
      <c r="D711" s="611" t="s">
        <v>71</v>
      </c>
      <c r="E711" s="601" t="s">
        <v>65</v>
      </c>
      <c r="F711" s="609">
        <f>1+2</f>
        <v>3</v>
      </c>
      <c r="G711" s="609">
        <v>3</v>
      </c>
      <c r="H711" s="614">
        <f t="shared" si="33"/>
        <v>0</v>
      </c>
      <c r="I711" s="607">
        <v>42992</v>
      </c>
      <c r="J711" s="561" t="s">
        <v>439</v>
      </c>
      <c r="K711" s="557">
        <v>839</v>
      </c>
      <c r="L711" s="607">
        <v>42992</v>
      </c>
      <c r="M711" s="616">
        <v>2070</v>
      </c>
      <c r="N711" s="615">
        <f t="shared" si="34"/>
        <v>6210</v>
      </c>
      <c r="O711" s="559" t="s">
        <v>587</v>
      </c>
      <c r="P711" s="602" t="s">
        <v>581</v>
      </c>
      <c r="Q711" s="600" t="s">
        <v>1456</v>
      </c>
      <c r="R711" s="607" t="s">
        <v>908</v>
      </c>
      <c r="S711" s="602" t="s">
        <v>422</v>
      </c>
      <c r="T711" s="602" t="s">
        <v>423</v>
      </c>
      <c r="U711" s="600" t="s">
        <v>1457</v>
      </c>
      <c r="V711" s="601"/>
    </row>
    <row r="712" spans="1:23" s="135" customFormat="1" ht="15" hidden="1" customHeight="1">
      <c r="A712" s="306">
        <v>711</v>
      </c>
      <c r="B712" s="162"/>
      <c r="C712" s="161"/>
      <c r="D712" s="418" t="s">
        <v>37</v>
      </c>
      <c r="E712" s="6" t="s">
        <v>36</v>
      </c>
      <c r="F712" s="373">
        <v>1</v>
      </c>
      <c r="G712" s="372">
        <v>1</v>
      </c>
      <c r="H712" s="614">
        <f t="shared" si="33"/>
        <v>0</v>
      </c>
      <c r="I712" s="160">
        <v>42995</v>
      </c>
      <c r="J712" s="561" t="s">
        <v>1465</v>
      </c>
      <c r="K712" s="310">
        <v>841</v>
      </c>
      <c r="L712" s="171">
        <v>42995</v>
      </c>
      <c r="M712" s="170">
        <v>7500</v>
      </c>
      <c r="N712" s="615">
        <f t="shared" si="34"/>
        <v>7500</v>
      </c>
      <c r="O712" s="559" t="s">
        <v>587</v>
      </c>
      <c r="P712" s="602" t="s">
        <v>612</v>
      </c>
      <c r="Q712" s="154" t="s">
        <v>1466</v>
      </c>
      <c r="R712" s="607" t="s">
        <v>908</v>
      </c>
      <c r="S712" s="602" t="s">
        <v>422</v>
      </c>
      <c r="T712" s="154" t="s">
        <v>423</v>
      </c>
      <c r="U712" s="67"/>
      <c r="V712" s="153"/>
      <c r="W712" s="276"/>
    </row>
    <row r="713" spans="1:23" s="135" customFormat="1" ht="15" hidden="1" customHeight="1">
      <c r="A713" s="306">
        <v>712</v>
      </c>
      <c r="B713" s="611">
        <v>1500097998</v>
      </c>
      <c r="C713" s="161"/>
      <c r="D713" s="601" t="s">
        <v>1165</v>
      </c>
      <c r="E713" s="499" t="s">
        <v>1166</v>
      </c>
      <c r="F713" s="373">
        <v>1</v>
      </c>
      <c r="G713" s="372">
        <v>1</v>
      </c>
      <c r="H713" s="614">
        <f t="shared" si="33"/>
        <v>0</v>
      </c>
      <c r="I713" s="607">
        <v>42995</v>
      </c>
      <c r="J713" s="561" t="s">
        <v>577</v>
      </c>
      <c r="K713" s="310">
        <v>839</v>
      </c>
      <c r="L713" s="171">
        <v>42992</v>
      </c>
      <c r="M713" s="170">
        <v>2520</v>
      </c>
      <c r="N713" s="615">
        <f t="shared" si="34"/>
        <v>2520</v>
      </c>
      <c r="O713" s="559" t="s">
        <v>587</v>
      </c>
      <c r="P713" s="602" t="s">
        <v>512</v>
      </c>
      <c r="Q713" s="154"/>
      <c r="R713" s="607" t="s">
        <v>908</v>
      </c>
      <c r="S713" s="413" t="s">
        <v>422</v>
      </c>
      <c r="T713" s="154" t="s">
        <v>423</v>
      </c>
      <c r="U713" s="67"/>
      <c r="V713" s="153"/>
      <c r="W713" s="276"/>
    </row>
    <row r="714" spans="1:23" s="135" customFormat="1" ht="15" hidden="1" customHeight="1">
      <c r="A714" s="306">
        <v>713</v>
      </c>
      <c r="B714" s="162" t="s">
        <v>1473</v>
      </c>
      <c r="C714" s="161"/>
      <c r="D714" s="601" t="s">
        <v>51</v>
      </c>
      <c r="E714" s="6" t="s">
        <v>50</v>
      </c>
      <c r="F714" s="373">
        <v>2</v>
      </c>
      <c r="G714" s="608">
        <v>2</v>
      </c>
      <c r="H714" s="614">
        <f t="shared" si="33"/>
        <v>0</v>
      </c>
      <c r="I714" s="160">
        <v>42996</v>
      </c>
      <c r="J714" s="561" t="s">
        <v>564</v>
      </c>
      <c r="K714" s="310">
        <v>843</v>
      </c>
      <c r="L714" s="171">
        <v>42995</v>
      </c>
      <c r="M714" s="170">
        <v>3035</v>
      </c>
      <c r="N714" s="615">
        <f t="shared" si="34"/>
        <v>6070</v>
      </c>
      <c r="O714" s="559" t="s">
        <v>587</v>
      </c>
      <c r="P714" s="154" t="s">
        <v>512</v>
      </c>
      <c r="Q714" s="154"/>
      <c r="R714" s="607" t="s">
        <v>908</v>
      </c>
      <c r="S714" s="602" t="s">
        <v>422</v>
      </c>
      <c r="T714" s="602" t="s">
        <v>423</v>
      </c>
      <c r="U714" s="600"/>
      <c r="V714" s="601"/>
      <c r="W714" s="549"/>
    </row>
    <row r="715" spans="1:23" s="135" customFormat="1" ht="15" hidden="1" customHeight="1">
      <c r="A715" s="306">
        <v>714</v>
      </c>
      <c r="B715" s="611" t="s">
        <v>1473</v>
      </c>
      <c r="C715" s="161"/>
      <c r="D715" s="601" t="s">
        <v>30</v>
      </c>
      <c r="E715" s="350" t="s">
        <v>28</v>
      </c>
      <c r="F715" s="373">
        <v>2</v>
      </c>
      <c r="G715" s="608">
        <v>2</v>
      </c>
      <c r="H715" s="614">
        <f t="shared" si="33"/>
        <v>0</v>
      </c>
      <c r="I715" s="607">
        <v>42996</v>
      </c>
      <c r="J715" s="561" t="s">
        <v>564</v>
      </c>
      <c r="K715" s="310">
        <v>843</v>
      </c>
      <c r="L715" s="171">
        <v>42995</v>
      </c>
      <c r="M715" s="170">
        <v>0</v>
      </c>
      <c r="N715" s="615">
        <f t="shared" si="34"/>
        <v>0</v>
      </c>
      <c r="O715" s="559" t="s">
        <v>587</v>
      </c>
      <c r="P715" s="602" t="s">
        <v>512</v>
      </c>
      <c r="Q715" s="154"/>
      <c r="R715" s="607" t="s">
        <v>908</v>
      </c>
      <c r="S715" s="602" t="s">
        <v>422</v>
      </c>
      <c r="T715" s="602" t="s">
        <v>423</v>
      </c>
      <c r="U715" s="600"/>
      <c r="V715" s="601"/>
      <c r="W715" s="549"/>
    </row>
    <row r="716" spans="1:23" s="135" customFormat="1" ht="15" hidden="1" customHeight="1">
      <c r="A716" s="306">
        <v>715</v>
      </c>
      <c r="B716" s="162" t="s">
        <v>1474</v>
      </c>
      <c r="C716" s="161"/>
      <c r="D716" s="611" t="s">
        <v>939</v>
      </c>
      <c r="E716" s="602" t="s">
        <v>940</v>
      </c>
      <c r="F716" s="373">
        <v>16</v>
      </c>
      <c r="G716" s="372">
        <v>16</v>
      </c>
      <c r="H716" s="614">
        <f t="shared" si="33"/>
        <v>0</v>
      </c>
      <c r="I716" s="607">
        <v>42996</v>
      </c>
      <c r="J716" s="561" t="s">
        <v>564</v>
      </c>
      <c r="K716" s="310">
        <v>844</v>
      </c>
      <c r="L716" s="171">
        <v>42995</v>
      </c>
      <c r="M716" s="170">
        <f>1640/16</f>
        <v>102.5</v>
      </c>
      <c r="N716" s="615">
        <f t="shared" si="34"/>
        <v>1640</v>
      </c>
      <c r="O716" s="559" t="s">
        <v>587</v>
      </c>
      <c r="P716" s="602" t="s">
        <v>512</v>
      </c>
      <c r="Q716" s="154"/>
      <c r="R716" s="607" t="s">
        <v>908</v>
      </c>
      <c r="S716" s="602" t="s">
        <v>422</v>
      </c>
      <c r="T716" s="602" t="s">
        <v>423</v>
      </c>
      <c r="U716" s="67"/>
      <c r="V716" s="153"/>
      <c r="W716" s="276"/>
    </row>
    <row r="717" spans="1:23" s="135" customFormat="1" ht="15" hidden="1" customHeight="1">
      <c r="A717" s="306">
        <v>716</v>
      </c>
      <c r="B717" s="611" t="s">
        <v>1475</v>
      </c>
      <c r="C717" s="161"/>
      <c r="D717" s="185" t="s">
        <v>224</v>
      </c>
      <c r="E717" s="350" t="s">
        <v>941</v>
      </c>
      <c r="F717" s="373">
        <v>4</v>
      </c>
      <c r="G717" s="608">
        <v>4</v>
      </c>
      <c r="H717" s="614">
        <f t="shared" si="33"/>
        <v>0</v>
      </c>
      <c r="I717" s="607">
        <v>42996</v>
      </c>
      <c r="J717" s="561" t="s">
        <v>564</v>
      </c>
      <c r="K717" s="310">
        <v>845</v>
      </c>
      <c r="L717" s="171">
        <v>42995</v>
      </c>
      <c r="M717" s="170">
        <f>400/4</f>
        <v>100</v>
      </c>
      <c r="N717" s="615">
        <f t="shared" si="34"/>
        <v>400</v>
      </c>
      <c r="O717" s="559" t="s">
        <v>587</v>
      </c>
      <c r="P717" s="602" t="s">
        <v>512</v>
      </c>
      <c r="Q717" s="154"/>
      <c r="R717" s="607" t="s">
        <v>908</v>
      </c>
      <c r="S717" s="602" t="s">
        <v>422</v>
      </c>
      <c r="T717" s="602" t="s">
        <v>423</v>
      </c>
      <c r="U717" s="600"/>
      <c r="V717" s="601"/>
      <c r="W717" s="276"/>
    </row>
    <row r="718" spans="1:23" s="135" customFormat="1" ht="15" hidden="1" customHeight="1">
      <c r="A718" s="306">
        <v>717</v>
      </c>
      <c r="B718" s="162" t="s">
        <v>1476</v>
      </c>
      <c r="C718" s="161"/>
      <c r="D718" s="601" t="s">
        <v>1184</v>
      </c>
      <c r="E718" s="499" t="s">
        <v>1187</v>
      </c>
      <c r="F718" s="373">
        <v>12</v>
      </c>
      <c r="G718" s="372">
        <v>12</v>
      </c>
      <c r="H718" s="614">
        <f t="shared" si="33"/>
        <v>0</v>
      </c>
      <c r="I718" s="160">
        <v>42997</v>
      </c>
      <c r="J718" s="561" t="s">
        <v>2002</v>
      </c>
      <c r="K718" s="310">
        <v>846</v>
      </c>
      <c r="L718" s="171">
        <v>42996</v>
      </c>
      <c r="M718" s="170"/>
      <c r="N718" s="615">
        <f t="shared" si="34"/>
        <v>0</v>
      </c>
      <c r="O718" s="559" t="s">
        <v>587</v>
      </c>
      <c r="P718" s="602"/>
      <c r="Q718" s="154"/>
      <c r="R718" s="607" t="s">
        <v>908</v>
      </c>
      <c r="S718" s="602" t="s">
        <v>422</v>
      </c>
      <c r="T718" s="602" t="s">
        <v>423</v>
      </c>
      <c r="U718" s="67"/>
      <c r="V718" s="153"/>
      <c r="W718" s="276"/>
    </row>
    <row r="719" spans="1:23" s="135" customFormat="1" ht="15" hidden="1" customHeight="1">
      <c r="A719" s="306">
        <v>718</v>
      </c>
      <c r="B719" s="611"/>
      <c r="C719" s="610"/>
      <c r="D719" s="601" t="s">
        <v>1469</v>
      </c>
      <c r="E719" s="602" t="s">
        <v>1472</v>
      </c>
      <c r="F719" s="609">
        <v>4</v>
      </c>
      <c r="G719" s="608">
        <v>4</v>
      </c>
      <c r="H719" s="614">
        <f t="shared" si="33"/>
        <v>0</v>
      </c>
      <c r="I719" s="607">
        <v>42997</v>
      </c>
      <c r="J719" s="561" t="s">
        <v>2002</v>
      </c>
      <c r="K719" s="310">
        <v>846</v>
      </c>
      <c r="L719" s="171">
        <v>42996</v>
      </c>
      <c r="M719" s="170"/>
      <c r="N719" s="615">
        <f t="shared" si="34"/>
        <v>0</v>
      </c>
      <c r="O719" s="559" t="s">
        <v>587</v>
      </c>
      <c r="P719" s="602"/>
      <c r="Q719" s="602"/>
      <c r="R719" s="607" t="s">
        <v>908</v>
      </c>
      <c r="S719" s="602" t="s">
        <v>422</v>
      </c>
      <c r="T719" s="602" t="s">
        <v>423</v>
      </c>
      <c r="U719" s="600"/>
      <c r="V719" s="601"/>
      <c r="W719" s="276"/>
    </row>
    <row r="720" spans="1:23" s="135" customFormat="1" ht="15" hidden="1" customHeight="1">
      <c r="A720" s="306">
        <v>719</v>
      </c>
      <c r="B720" s="162"/>
      <c r="C720" s="161"/>
      <c r="D720" s="601" t="s">
        <v>1470</v>
      </c>
      <c r="E720" s="602" t="s">
        <v>1471</v>
      </c>
      <c r="F720" s="373">
        <v>1</v>
      </c>
      <c r="G720" s="608">
        <v>1</v>
      </c>
      <c r="H720" s="614">
        <f t="shared" si="33"/>
        <v>0</v>
      </c>
      <c r="I720" s="607">
        <v>42997</v>
      </c>
      <c r="J720" s="561" t="s">
        <v>2002</v>
      </c>
      <c r="K720" s="310">
        <v>846</v>
      </c>
      <c r="L720" s="171">
        <v>42996</v>
      </c>
      <c r="M720" s="625">
        <v>46438</v>
      </c>
      <c r="N720" s="615">
        <f t="shared" si="34"/>
        <v>46438</v>
      </c>
      <c r="O720" s="559" t="s">
        <v>587</v>
      </c>
      <c r="P720" s="154"/>
      <c r="Q720" s="154"/>
      <c r="R720" s="607" t="s">
        <v>908</v>
      </c>
      <c r="S720" s="602" t="s">
        <v>422</v>
      </c>
      <c r="T720" s="602" t="s">
        <v>423</v>
      </c>
      <c r="U720" s="600"/>
      <c r="V720" s="601"/>
      <c r="W720" s="276"/>
    </row>
    <row r="721" spans="1:23" s="135" customFormat="1" ht="15" hidden="1" customHeight="1">
      <c r="A721" s="306">
        <v>720</v>
      </c>
      <c r="B721" s="162" t="s">
        <v>1477</v>
      </c>
      <c r="C721" s="161"/>
      <c r="D721" s="601" t="s">
        <v>60</v>
      </c>
      <c r="E721" s="6" t="s">
        <v>59</v>
      </c>
      <c r="F721" s="373">
        <v>2</v>
      </c>
      <c r="G721" s="372">
        <v>2</v>
      </c>
      <c r="H721" s="614">
        <f t="shared" si="33"/>
        <v>0</v>
      </c>
      <c r="I721" s="607">
        <v>42997</v>
      </c>
      <c r="J721" s="561" t="s">
        <v>1442</v>
      </c>
      <c r="K721" s="310">
        <v>847</v>
      </c>
      <c r="L721" s="171">
        <v>42996</v>
      </c>
      <c r="M721" s="625">
        <v>1290</v>
      </c>
      <c r="N721" s="615">
        <f t="shared" si="34"/>
        <v>2580</v>
      </c>
      <c r="O721" s="559" t="s">
        <v>587</v>
      </c>
      <c r="P721" s="154"/>
      <c r="Q721" s="154"/>
      <c r="R721" s="607" t="s">
        <v>908</v>
      </c>
      <c r="S721" s="602" t="s">
        <v>422</v>
      </c>
      <c r="T721" s="602" t="s">
        <v>423</v>
      </c>
      <c r="U721" s="67"/>
      <c r="V721" s="153"/>
      <c r="W721" s="276"/>
    </row>
    <row r="722" spans="1:23" s="135" customFormat="1" ht="15" hidden="1" customHeight="1">
      <c r="A722" s="306">
        <v>721</v>
      </c>
      <c r="B722" s="180"/>
      <c r="C722" s="196"/>
      <c r="D722" s="194" t="s">
        <v>30</v>
      </c>
      <c r="E722" s="189" t="s">
        <v>28</v>
      </c>
      <c r="F722" s="585">
        <v>8</v>
      </c>
      <c r="G722" s="620">
        <v>8</v>
      </c>
      <c r="H722" s="586">
        <f t="shared" si="33"/>
        <v>0</v>
      </c>
      <c r="I722" s="179">
        <v>42997</v>
      </c>
      <c r="J722" s="587" t="s">
        <v>1450</v>
      </c>
      <c r="K722" s="628" t="s">
        <v>1656</v>
      </c>
      <c r="L722" s="629"/>
      <c r="M722" s="630"/>
      <c r="N722" s="621">
        <f t="shared" si="34"/>
        <v>0</v>
      </c>
      <c r="O722" s="559" t="s">
        <v>587</v>
      </c>
      <c r="P722" s="189"/>
      <c r="Q722" s="189"/>
      <c r="R722" s="607" t="s">
        <v>908</v>
      </c>
      <c r="S722" s="602" t="s">
        <v>422</v>
      </c>
      <c r="T722" s="602" t="s">
        <v>423</v>
      </c>
      <c r="U722" s="402"/>
      <c r="V722" s="194"/>
    </row>
    <row r="723" spans="1:23" s="135" customFormat="1" ht="15" hidden="1" customHeight="1">
      <c r="A723" s="306">
        <v>722</v>
      </c>
      <c r="B723" s="162"/>
      <c r="C723" s="161"/>
      <c r="D723" s="601" t="s">
        <v>1478</v>
      </c>
      <c r="E723" s="499" t="s">
        <v>1394</v>
      </c>
      <c r="F723" s="373">
        <v>10</v>
      </c>
      <c r="G723" s="372">
        <v>10</v>
      </c>
      <c r="H723" s="614">
        <f t="shared" si="33"/>
        <v>0</v>
      </c>
      <c r="I723" s="607">
        <v>42997</v>
      </c>
      <c r="J723" s="561" t="s">
        <v>1479</v>
      </c>
      <c r="K723" s="310">
        <v>848</v>
      </c>
      <c r="L723" s="171">
        <v>42997</v>
      </c>
      <c r="M723" s="625">
        <v>190</v>
      </c>
      <c r="N723" s="615">
        <f t="shared" si="34"/>
        <v>1900</v>
      </c>
      <c r="O723" s="559" t="s">
        <v>587</v>
      </c>
      <c r="P723" s="154" t="s">
        <v>1623</v>
      </c>
      <c r="Q723" s="154"/>
      <c r="R723" s="607" t="s">
        <v>908</v>
      </c>
      <c r="S723" s="602" t="s">
        <v>422</v>
      </c>
      <c r="T723" s="602" t="s">
        <v>423</v>
      </c>
      <c r="U723" s="67"/>
      <c r="V723" s="153"/>
      <c r="W723" s="276"/>
    </row>
    <row r="724" spans="1:23" s="135" customFormat="1" ht="15" hidden="1" customHeight="1">
      <c r="A724" s="306">
        <v>723</v>
      </c>
      <c r="B724" s="162"/>
      <c r="C724" s="161"/>
      <c r="D724" s="601" t="s">
        <v>80</v>
      </c>
      <c r="E724" s="350" t="s">
        <v>79</v>
      </c>
      <c r="F724" s="373">
        <v>7</v>
      </c>
      <c r="G724" s="372">
        <v>7</v>
      </c>
      <c r="H724" s="614">
        <f t="shared" si="33"/>
        <v>0</v>
      </c>
      <c r="I724" s="607">
        <v>42997</v>
      </c>
      <c r="J724" s="561" t="s">
        <v>1479</v>
      </c>
      <c r="K724" s="310">
        <v>848</v>
      </c>
      <c r="L724" s="171">
        <v>42997</v>
      </c>
      <c r="M724" s="625">
        <v>980</v>
      </c>
      <c r="N724" s="615">
        <f t="shared" si="34"/>
        <v>6860</v>
      </c>
      <c r="O724" s="559" t="s">
        <v>587</v>
      </c>
      <c r="P724" s="602" t="s">
        <v>1623</v>
      </c>
      <c r="Q724" s="154"/>
      <c r="R724" s="607" t="s">
        <v>908</v>
      </c>
      <c r="S724" s="602" t="s">
        <v>422</v>
      </c>
      <c r="T724" s="602" t="s">
        <v>423</v>
      </c>
      <c r="U724" s="600"/>
      <c r="V724" s="601"/>
    </row>
    <row r="725" spans="1:23" s="135" customFormat="1" ht="15" hidden="1" customHeight="1">
      <c r="A725" s="306">
        <v>724</v>
      </c>
      <c r="B725" s="162" t="s">
        <v>1549</v>
      </c>
      <c r="C725" s="161"/>
      <c r="D725" s="185" t="s">
        <v>224</v>
      </c>
      <c r="E725" s="350" t="s">
        <v>941</v>
      </c>
      <c r="F725" s="609">
        <v>4</v>
      </c>
      <c r="G725" s="372">
        <v>4</v>
      </c>
      <c r="H725" s="614">
        <f t="shared" si="33"/>
        <v>0</v>
      </c>
      <c r="I725" s="160">
        <v>42998</v>
      </c>
      <c r="J725" s="561" t="s">
        <v>564</v>
      </c>
      <c r="K725" s="310">
        <v>849</v>
      </c>
      <c r="L725" s="171">
        <v>42998</v>
      </c>
      <c r="M725" s="625">
        <v>120</v>
      </c>
      <c r="N725" s="615">
        <f t="shared" si="34"/>
        <v>480</v>
      </c>
      <c r="O725" s="559" t="s">
        <v>587</v>
      </c>
      <c r="P725" s="602" t="s">
        <v>1623</v>
      </c>
      <c r="Q725" s="154"/>
      <c r="R725" s="607" t="s">
        <v>908</v>
      </c>
      <c r="S725" s="602" t="s">
        <v>422</v>
      </c>
      <c r="T725" s="602" t="s">
        <v>423</v>
      </c>
      <c r="U725" s="67"/>
      <c r="V725" s="153"/>
      <c r="W725" s="276"/>
    </row>
    <row r="726" spans="1:23" s="135" customFormat="1" ht="15" hidden="1" customHeight="1">
      <c r="A726" s="306">
        <v>725</v>
      </c>
      <c r="B726" s="611" t="s">
        <v>1548</v>
      </c>
      <c r="C726" s="161"/>
      <c r="D726" s="611" t="s">
        <v>505</v>
      </c>
      <c r="E726" s="497" t="s">
        <v>506</v>
      </c>
      <c r="F726" s="373">
        <v>1</v>
      </c>
      <c r="G726" s="608">
        <v>1</v>
      </c>
      <c r="H726" s="614">
        <f t="shared" si="33"/>
        <v>0</v>
      </c>
      <c r="I726" s="607">
        <v>42998</v>
      </c>
      <c r="J726" s="561" t="s">
        <v>564</v>
      </c>
      <c r="K726" s="612">
        <v>850</v>
      </c>
      <c r="L726" s="171">
        <v>42998</v>
      </c>
      <c r="M726" s="622">
        <v>3900</v>
      </c>
      <c r="N726" s="615">
        <f t="shared" si="34"/>
        <v>3900</v>
      </c>
      <c r="O726" s="559" t="s">
        <v>587</v>
      </c>
      <c r="P726" s="602" t="s">
        <v>1623</v>
      </c>
      <c r="Q726" s="154"/>
      <c r="R726" s="607" t="s">
        <v>908</v>
      </c>
      <c r="S726" s="602" t="s">
        <v>422</v>
      </c>
      <c r="T726" s="602" t="s">
        <v>423</v>
      </c>
      <c r="U726" s="67"/>
      <c r="V726" s="153"/>
      <c r="W726" s="549"/>
    </row>
    <row r="727" spans="1:23" s="135" customFormat="1" ht="15" hidden="1" customHeight="1">
      <c r="A727" s="306">
        <v>726</v>
      </c>
      <c r="B727" s="613">
        <v>10083</v>
      </c>
      <c r="C727" s="161"/>
      <c r="D727" s="558" t="s">
        <v>86</v>
      </c>
      <c r="E727" s="6" t="s">
        <v>85</v>
      </c>
      <c r="F727" s="373">
        <v>10</v>
      </c>
      <c r="G727" s="609">
        <v>10</v>
      </c>
      <c r="H727" s="614">
        <f t="shared" si="33"/>
        <v>0</v>
      </c>
      <c r="I727" s="160">
        <v>42999</v>
      </c>
      <c r="J727" s="155" t="s">
        <v>1068</v>
      </c>
      <c r="K727" s="315">
        <v>852</v>
      </c>
      <c r="L727" s="287">
        <v>42999</v>
      </c>
      <c r="M727" s="624">
        <v>10396</v>
      </c>
      <c r="N727" s="615">
        <f t="shared" si="34"/>
        <v>103960</v>
      </c>
      <c r="O727" s="559" t="s">
        <v>587</v>
      </c>
      <c r="P727" s="154" t="s">
        <v>612</v>
      </c>
      <c r="Q727" s="154" t="s">
        <v>1552</v>
      </c>
      <c r="R727" s="244" t="s">
        <v>908</v>
      </c>
      <c r="S727" s="413" t="s">
        <v>422</v>
      </c>
      <c r="T727" s="167" t="s">
        <v>423</v>
      </c>
      <c r="U727" s="67"/>
      <c r="V727" s="153"/>
    </row>
    <row r="728" spans="1:23" s="135" customFormat="1" ht="15" hidden="1" customHeight="1">
      <c r="A728" s="306">
        <v>727</v>
      </c>
      <c r="B728" s="601">
        <v>10083</v>
      </c>
      <c r="C728" s="161"/>
      <c r="D728" s="185" t="s">
        <v>29</v>
      </c>
      <c r="E728" s="601" t="s">
        <v>28</v>
      </c>
      <c r="F728" s="373">
        <v>10</v>
      </c>
      <c r="G728" s="609">
        <v>10</v>
      </c>
      <c r="H728" s="614">
        <f t="shared" si="33"/>
        <v>0</v>
      </c>
      <c r="I728" s="607">
        <v>42999</v>
      </c>
      <c r="J728" s="561" t="s">
        <v>1068</v>
      </c>
      <c r="K728" s="315">
        <v>852</v>
      </c>
      <c r="L728" s="287">
        <v>42999</v>
      </c>
      <c r="M728" s="624">
        <v>415</v>
      </c>
      <c r="N728" s="615">
        <f t="shared" si="34"/>
        <v>4150</v>
      </c>
      <c r="O728" s="559" t="s">
        <v>587</v>
      </c>
      <c r="P728" s="602" t="s">
        <v>612</v>
      </c>
      <c r="Q728" s="602" t="s">
        <v>1552</v>
      </c>
      <c r="R728" s="244" t="s">
        <v>908</v>
      </c>
      <c r="S728" s="413" t="s">
        <v>422</v>
      </c>
      <c r="T728" s="167" t="s">
        <v>423</v>
      </c>
      <c r="U728" s="67"/>
      <c r="V728" s="153"/>
    </row>
    <row r="729" spans="1:23" s="135" customFormat="1" ht="15" hidden="1" customHeight="1">
      <c r="A729" s="306">
        <v>728</v>
      </c>
      <c r="B729" s="418">
        <v>10083</v>
      </c>
      <c r="C729" s="215"/>
      <c r="D729" s="601" t="s">
        <v>323</v>
      </c>
      <c r="E729" s="251" t="s">
        <v>322</v>
      </c>
      <c r="F729" s="373">
        <v>5</v>
      </c>
      <c r="G729" s="609">
        <v>5</v>
      </c>
      <c r="H729" s="614">
        <f t="shared" si="33"/>
        <v>0</v>
      </c>
      <c r="I729" s="607">
        <v>42999</v>
      </c>
      <c r="J729" s="561" t="s">
        <v>1068</v>
      </c>
      <c r="K729" s="315">
        <v>852</v>
      </c>
      <c r="L729" s="287">
        <v>42999</v>
      </c>
      <c r="M729" s="624">
        <v>2325</v>
      </c>
      <c r="N729" s="615">
        <f t="shared" si="34"/>
        <v>11625</v>
      </c>
      <c r="O729" s="559" t="s">
        <v>587</v>
      </c>
      <c r="P729" s="602" t="s">
        <v>612</v>
      </c>
      <c r="Q729" s="602" t="s">
        <v>1552</v>
      </c>
      <c r="R729" s="244" t="s">
        <v>908</v>
      </c>
      <c r="S729" s="413" t="s">
        <v>422</v>
      </c>
      <c r="T729" s="167" t="s">
        <v>423</v>
      </c>
      <c r="U729" s="600"/>
      <c r="V729" s="601"/>
      <c r="W729" s="549"/>
    </row>
    <row r="730" spans="1:23" s="135" customFormat="1" ht="15" customHeight="1">
      <c r="A730" s="306">
        <v>729</v>
      </c>
      <c r="B730" s="418" t="s">
        <v>1195</v>
      </c>
      <c r="C730" s="215"/>
      <c r="D730" s="611" t="s">
        <v>1185</v>
      </c>
      <c r="E730" s="499" t="s">
        <v>1188</v>
      </c>
      <c r="F730" s="373">
        <v>46</v>
      </c>
      <c r="G730" s="609">
        <v>46</v>
      </c>
      <c r="H730" s="614">
        <f t="shared" si="33"/>
        <v>0</v>
      </c>
      <c r="I730" s="607">
        <v>42999</v>
      </c>
      <c r="J730" s="155" t="s">
        <v>507</v>
      </c>
      <c r="K730" s="320">
        <v>851</v>
      </c>
      <c r="L730" s="287">
        <v>42998</v>
      </c>
      <c r="M730" s="624">
        <v>415</v>
      </c>
      <c r="N730" s="615">
        <f t="shared" si="34"/>
        <v>19090</v>
      </c>
      <c r="O730" s="559" t="s">
        <v>587</v>
      </c>
      <c r="P730" s="602" t="s">
        <v>844</v>
      </c>
      <c r="Q730" s="602" t="s">
        <v>509</v>
      </c>
      <c r="R730" s="377" t="s">
        <v>908</v>
      </c>
      <c r="S730" s="602" t="s">
        <v>422</v>
      </c>
      <c r="T730" s="167" t="s">
        <v>423</v>
      </c>
      <c r="U730" s="67"/>
      <c r="V730" s="153"/>
    </row>
    <row r="731" spans="1:23" s="135" customFormat="1" ht="15" hidden="1" customHeight="1">
      <c r="A731" s="306">
        <v>730</v>
      </c>
      <c r="B731" s="631"/>
      <c r="C731" s="218"/>
      <c r="D731" s="180" t="s">
        <v>1500</v>
      </c>
      <c r="E731" s="589" t="s">
        <v>1534</v>
      </c>
      <c r="F731" s="585">
        <v>4</v>
      </c>
      <c r="G731" s="585">
        <v>4</v>
      </c>
      <c r="H731" s="586">
        <f t="shared" si="33"/>
        <v>0</v>
      </c>
      <c r="I731" s="179">
        <v>42999</v>
      </c>
      <c r="J731" s="587" t="s">
        <v>1553</v>
      </c>
      <c r="K731" s="588">
        <v>947</v>
      </c>
      <c r="L731" s="632">
        <v>43055</v>
      </c>
      <c r="M731" s="633">
        <v>3955</v>
      </c>
      <c r="N731" s="621">
        <f t="shared" si="34"/>
        <v>15820</v>
      </c>
      <c r="O731" s="559" t="s">
        <v>587</v>
      </c>
      <c r="P731" s="189"/>
      <c r="Q731" s="189"/>
      <c r="R731" s="245"/>
      <c r="S731" s="189"/>
      <c r="T731" s="634"/>
      <c r="U731" s="402"/>
      <c r="V731" s="153"/>
      <c r="W731" s="276"/>
    </row>
    <row r="732" spans="1:23" s="135" customFormat="1" ht="15" hidden="1" customHeight="1">
      <c r="A732" s="306">
        <v>731</v>
      </c>
      <c r="B732" s="631"/>
      <c r="C732" s="218"/>
      <c r="D732" s="224" t="s">
        <v>1501</v>
      </c>
      <c r="E732" s="589" t="s">
        <v>1535</v>
      </c>
      <c r="F732" s="585">
        <v>2</v>
      </c>
      <c r="G732" s="585">
        <v>2</v>
      </c>
      <c r="H732" s="586">
        <f t="shared" si="33"/>
        <v>0</v>
      </c>
      <c r="I732" s="179">
        <v>42999</v>
      </c>
      <c r="J732" s="587" t="s">
        <v>1553</v>
      </c>
      <c r="K732" s="588">
        <v>947</v>
      </c>
      <c r="L732" s="632">
        <v>43055</v>
      </c>
      <c r="M732" s="633">
        <v>2132</v>
      </c>
      <c r="N732" s="621">
        <f t="shared" si="34"/>
        <v>4264</v>
      </c>
      <c r="O732" s="559" t="s">
        <v>587</v>
      </c>
      <c r="P732" s="189"/>
      <c r="Q732" s="189"/>
      <c r="R732" s="245"/>
      <c r="S732" s="189"/>
      <c r="T732" s="634"/>
      <c r="U732" s="402"/>
      <c r="V732" s="601"/>
      <c r="W732" s="276"/>
    </row>
    <row r="733" spans="1:23" s="135" customFormat="1" ht="15" hidden="1" customHeight="1">
      <c r="A733" s="306">
        <v>732</v>
      </c>
      <c r="B733" s="631"/>
      <c r="C733" s="218"/>
      <c r="D733" s="224" t="s">
        <v>1499</v>
      </c>
      <c r="E733" s="589" t="s">
        <v>1533</v>
      </c>
      <c r="F733" s="585">
        <v>2</v>
      </c>
      <c r="G733" s="585">
        <v>2</v>
      </c>
      <c r="H733" s="586">
        <f t="shared" si="33"/>
        <v>0</v>
      </c>
      <c r="I733" s="179">
        <v>42999</v>
      </c>
      <c r="J733" s="587" t="s">
        <v>1553</v>
      </c>
      <c r="K733" s="588">
        <v>947</v>
      </c>
      <c r="L733" s="632">
        <v>43055</v>
      </c>
      <c r="M733" s="633">
        <v>2088</v>
      </c>
      <c r="N733" s="621">
        <f t="shared" si="34"/>
        <v>4176</v>
      </c>
      <c r="O733" s="559" t="s">
        <v>587</v>
      </c>
      <c r="P733" s="189"/>
      <c r="Q733" s="189"/>
      <c r="R733" s="245"/>
      <c r="S733" s="189"/>
      <c r="T733" s="634"/>
      <c r="U733" s="402"/>
      <c r="V733" s="601"/>
      <c r="W733" s="276"/>
    </row>
    <row r="734" spans="1:23" s="135" customFormat="1" ht="15" hidden="1" customHeight="1">
      <c r="A734" s="306">
        <v>733</v>
      </c>
      <c r="B734" s="627" t="s">
        <v>1555</v>
      </c>
      <c r="C734" s="626"/>
      <c r="D734" s="558" t="s">
        <v>90</v>
      </c>
      <c r="E734" s="521" t="s">
        <v>89</v>
      </c>
      <c r="F734" s="373">
        <v>40</v>
      </c>
      <c r="G734" s="373">
        <v>40</v>
      </c>
      <c r="H734" s="614">
        <f t="shared" si="33"/>
        <v>0</v>
      </c>
      <c r="I734" s="607">
        <v>42999</v>
      </c>
      <c r="J734" s="561" t="s">
        <v>1554</v>
      </c>
      <c r="K734" s="274">
        <v>854</v>
      </c>
      <c r="L734" s="166">
        <v>42999</v>
      </c>
      <c r="M734" s="623">
        <v>280</v>
      </c>
      <c r="N734" s="615">
        <f t="shared" si="34"/>
        <v>11200</v>
      </c>
      <c r="O734" s="559" t="s">
        <v>587</v>
      </c>
      <c r="P734" s="154"/>
      <c r="Q734" s="154"/>
      <c r="R734" s="244"/>
      <c r="S734" s="413"/>
      <c r="T734" s="167"/>
      <c r="U734" s="600"/>
      <c r="V734" s="601"/>
      <c r="W734" s="276"/>
    </row>
    <row r="735" spans="1:23" s="135" customFormat="1" ht="15" hidden="1" customHeight="1">
      <c r="A735" s="306">
        <v>734</v>
      </c>
      <c r="B735" s="627" t="s">
        <v>1555</v>
      </c>
      <c r="C735" s="610"/>
      <c r="D735" s="611" t="s">
        <v>47</v>
      </c>
      <c r="E735" s="350" t="s">
        <v>46</v>
      </c>
      <c r="F735" s="609">
        <v>1</v>
      </c>
      <c r="G735" s="609">
        <v>1</v>
      </c>
      <c r="H735" s="614">
        <f t="shared" si="33"/>
        <v>0</v>
      </c>
      <c r="I735" s="607">
        <v>42999</v>
      </c>
      <c r="J735" s="561" t="s">
        <v>1554</v>
      </c>
      <c r="K735" s="274">
        <v>854</v>
      </c>
      <c r="L735" s="166">
        <v>42999</v>
      </c>
      <c r="M735" s="623">
        <v>2740</v>
      </c>
      <c r="N735" s="615">
        <f t="shared" si="34"/>
        <v>2740</v>
      </c>
      <c r="O735" s="559" t="s">
        <v>587</v>
      </c>
      <c r="P735" s="602"/>
      <c r="Q735" s="602"/>
      <c r="R735" s="377"/>
      <c r="S735" s="602"/>
      <c r="T735" s="167"/>
      <c r="U735" s="600"/>
      <c r="V735" s="601"/>
      <c r="W735" s="276"/>
    </row>
    <row r="736" spans="1:23" s="135" customFormat="1" ht="15" hidden="1" customHeight="1">
      <c r="A736" s="306">
        <v>735</v>
      </c>
      <c r="B736" s="185" t="s">
        <v>1550</v>
      </c>
      <c r="C736" s="610"/>
      <c r="D736" s="418" t="s">
        <v>856</v>
      </c>
      <c r="E736" s="252" t="s">
        <v>869</v>
      </c>
      <c r="F736" s="609">
        <v>4</v>
      </c>
      <c r="G736" s="609">
        <v>4</v>
      </c>
      <c r="H736" s="614">
        <f t="shared" si="33"/>
        <v>0</v>
      </c>
      <c r="I736" s="607">
        <v>42999</v>
      </c>
      <c r="J736" s="155" t="s">
        <v>1551</v>
      </c>
      <c r="K736" s="240">
        <v>853</v>
      </c>
      <c r="L736" s="166">
        <v>42999</v>
      </c>
      <c r="M736" s="622">
        <v>630</v>
      </c>
      <c r="N736" s="615">
        <f t="shared" si="34"/>
        <v>2520</v>
      </c>
      <c r="O736" s="559" t="s">
        <v>587</v>
      </c>
      <c r="P736" s="602"/>
      <c r="Q736" s="602"/>
      <c r="R736" s="377"/>
      <c r="S736" s="602"/>
      <c r="T736" s="167"/>
      <c r="U736" s="600"/>
      <c r="V736" s="601"/>
      <c r="W736" s="549"/>
    </row>
    <row r="737" spans="1:23" s="135" customFormat="1" ht="15" hidden="1" customHeight="1">
      <c r="A737" s="306">
        <v>736</v>
      </c>
      <c r="B737" s="185" t="s">
        <v>1550</v>
      </c>
      <c r="C737" s="610"/>
      <c r="D737" s="354" t="s">
        <v>1481</v>
      </c>
      <c r="E737" s="499" t="s">
        <v>1515</v>
      </c>
      <c r="F737" s="609">
        <v>1</v>
      </c>
      <c r="G737" s="609">
        <v>1</v>
      </c>
      <c r="H737" s="614">
        <f t="shared" si="33"/>
        <v>0</v>
      </c>
      <c r="I737" s="607">
        <v>42999</v>
      </c>
      <c r="J737" s="561" t="s">
        <v>1551</v>
      </c>
      <c r="K737" s="557">
        <v>853</v>
      </c>
      <c r="L737" s="166">
        <v>42999</v>
      </c>
      <c r="M737" s="623">
        <v>2480</v>
      </c>
      <c r="N737" s="615">
        <f t="shared" si="34"/>
        <v>2480</v>
      </c>
      <c r="O737" s="559" t="s">
        <v>587</v>
      </c>
      <c r="P737" s="602"/>
      <c r="Q737" s="602"/>
      <c r="R737" s="377"/>
      <c r="S737" s="602"/>
      <c r="T737" s="167"/>
      <c r="U737" s="600"/>
      <c r="V737" s="601"/>
      <c r="W737" s="276"/>
    </row>
    <row r="738" spans="1:23" s="135" customFormat="1" ht="15" hidden="1" customHeight="1">
      <c r="A738" s="306">
        <v>737</v>
      </c>
      <c r="B738" s="185" t="s">
        <v>1550</v>
      </c>
      <c r="C738" s="610"/>
      <c r="D738" s="418" t="s">
        <v>863</v>
      </c>
      <c r="E738" s="252" t="s">
        <v>869</v>
      </c>
      <c r="F738" s="609">
        <v>4</v>
      </c>
      <c r="G738" s="609">
        <v>4</v>
      </c>
      <c r="H738" s="614">
        <f t="shared" si="33"/>
        <v>0</v>
      </c>
      <c r="I738" s="607">
        <v>42999</v>
      </c>
      <c r="J738" s="561" t="s">
        <v>1551</v>
      </c>
      <c r="K738" s="557">
        <v>853</v>
      </c>
      <c r="L738" s="166">
        <v>42999</v>
      </c>
      <c r="M738" s="623">
        <v>392</v>
      </c>
      <c r="N738" s="615">
        <f t="shared" si="34"/>
        <v>1568</v>
      </c>
      <c r="O738" s="559" t="s">
        <v>587</v>
      </c>
      <c r="P738" s="602"/>
      <c r="Q738" s="602"/>
      <c r="R738" s="377"/>
      <c r="S738" s="602"/>
      <c r="T738" s="167"/>
      <c r="U738" s="600"/>
      <c r="V738" s="601"/>
      <c r="W738" s="276"/>
    </row>
    <row r="739" spans="1:23" s="135" customFormat="1" ht="15" hidden="1" customHeight="1">
      <c r="A739" s="306">
        <v>738</v>
      </c>
      <c r="B739" s="185" t="s">
        <v>1550</v>
      </c>
      <c r="C739" s="610"/>
      <c r="D739" s="354" t="s">
        <v>875</v>
      </c>
      <c r="E739" s="499" t="s">
        <v>870</v>
      </c>
      <c r="F739" s="609">
        <v>8</v>
      </c>
      <c r="G739" s="609">
        <v>8</v>
      </c>
      <c r="H739" s="614">
        <f t="shared" si="33"/>
        <v>0</v>
      </c>
      <c r="I739" s="607">
        <v>42999</v>
      </c>
      <c r="J739" s="561" t="s">
        <v>1551</v>
      </c>
      <c r="K739" s="557">
        <v>853</v>
      </c>
      <c r="L739" s="166">
        <v>42999</v>
      </c>
      <c r="M739" s="624">
        <v>354</v>
      </c>
      <c r="N739" s="615">
        <f t="shared" si="34"/>
        <v>2832</v>
      </c>
      <c r="O739" s="559" t="s">
        <v>587</v>
      </c>
      <c r="P739" s="602"/>
      <c r="Q739" s="602"/>
      <c r="R739" s="377"/>
      <c r="S739" s="602"/>
      <c r="T739" s="167"/>
      <c r="U739" s="600"/>
      <c r="V739" s="601"/>
      <c r="W739" s="276"/>
    </row>
    <row r="740" spans="1:23" s="135" customFormat="1" ht="15" hidden="1" customHeight="1">
      <c r="A740" s="306">
        <v>739</v>
      </c>
      <c r="B740" s="185" t="s">
        <v>1550</v>
      </c>
      <c r="C740" s="610"/>
      <c r="D740" s="418" t="s">
        <v>815</v>
      </c>
      <c r="E740" s="252" t="s">
        <v>819</v>
      </c>
      <c r="F740" s="609">
        <v>4</v>
      </c>
      <c r="G740" s="609">
        <v>4</v>
      </c>
      <c r="H740" s="380">
        <f t="shared" si="33"/>
        <v>0</v>
      </c>
      <c r="I740" s="607">
        <v>42999</v>
      </c>
      <c r="J740" s="561" t="s">
        <v>1551</v>
      </c>
      <c r="K740" s="557">
        <v>853</v>
      </c>
      <c r="L740" s="166">
        <v>42999</v>
      </c>
      <c r="M740" s="623">
        <v>612</v>
      </c>
      <c r="N740" s="615">
        <f t="shared" si="34"/>
        <v>2448</v>
      </c>
      <c r="O740" s="559" t="s">
        <v>587</v>
      </c>
      <c r="P740" s="602"/>
      <c r="Q740" s="602"/>
      <c r="R740" s="377"/>
      <c r="S740" s="602"/>
      <c r="T740" s="167"/>
      <c r="U740" s="600"/>
      <c r="V740" s="601"/>
      <c r="W740" s="276"/>
    </row>
    <row r="741" spans="1:23" s="135" customFormat="1" ht="15" hidden="1" customHeight="1">
      <c r="A741" s="306">
        <v>740</v>
      </c>
      <c r="B741" s="198" t="s">
        <v>1550</v>
      </c>
      <c r="C741" s="610"/>
      <c r="D741" s="418" t="s">
        <v>865</v>
      </c>
      <c r="E741" s="252" t="s">
        <v>871</v>
      </c>
      <c r="F741" s="609">
        <v>8</v>
      </c>
      <c r="G741" s="609">
        <v>8</v>
      </c>
      <c r="H741" s="380">
        <f t="shared" si="33"/>
        <v>0</v>
      </c>
      <c r="I741" s="607">
        <v>42999</v>
      </c>
      <c r="J741" s="561" t="s">
        <v>1551</v>
      </c>
      <c r="K741" s="557">
        <v>853</v>
      </c>
      <c r="L741" s="166">
        <v>42999</v>
      </c>
      <c r="M741" s="623">
        <v>98</v>
      </c>
      <c r="N741" s="615">
        <f t="shared" si="34"/>
        <v>784</v>
      </c>
      <c r="O741" s="559" t="s">
        <v>587</v>
      </c>
      <c r="P741" s="602"/>
      <c r="Q741" s="602"/>
      <c r="R741" s="377"/>
      <c r="S741" s="602"/>
      <c r="T741" s="167"/>
      <c r="U741" s="600"/>
      <c r="V741" s="601"/>
      <c r="W741" s="549"/>
    </row>
    <row r="742" spans="1:23" s="135" customFormat="1" ht="15" hidden="1" customHeight="1">
      <c r="A742" s="306">
        <v>741</v>
      </c>
      <c r="B742" s="611" t="s">
        <v>1550</v>
      </c>
      <c r="C742" s="610"/>
      <c r="D742" s="418" t="s">
        <v>866</v>
      </c>
      <c r="E742" s="252" t="s">
        <v>872</v>
      </c>
      <c r="F742" s="609">
        <v>2</v>
      </c>
      <c r="G742" s="608">
        <v>2</v>
      </c>
      <c r="H742" s="214">
        <f t="shared" si="33"/>
        <v>0</v>
      </c>
      <c r="I742" s="607">
        <v>42999</v>
      </c>
      <c r="J742" s="561" t="s">
        <v>1551</v>
      </c>
      <c r="K742" s="557">
        <v>853</v>
      </c>
      <c r="L742" s="166">
        <v>42999</v>
      </c>
      <c r="M742" s="622">
        <v>2983</v>
      </c>
      <c r="N742" s="615">
        <f t="shared" si="34"/>
        <v>5966</v>
      </c>
      <c r="O742" s="559" t="s">
        <v>587</v>
      </c>
      <c r="P742" s="602"/>
      <c r="Q742" s="602"/>
      <c r="R742" s="377"/>
      <c r="S742" s="602"/>
      <c r="T742" s="602"/>
      <c r="U742" s="600"/>
      <c r="V742" s="601"/>
    </row>
    <row r="743" spans="1:23" s="135" customFormat="1" ht="15" hidden="1" customHeight="1">
      <c r="A743" s="306">
        <v>742</v>
      </c>
      <c r="B743" s="611" t="s">
        <v>1550</v>
      </c>
      <c r="C743" s="610"/>
      <c r="D743" s="354" t="s">
        <v>1482</v>
      </c>
      <c r="E743" s="499" t="s">
        <v>1516</v>
      </c>
      <c r="F743" s="609">
        <v>5</v>
      </c>
      <c r="G743" s="609">
        <v>5</v>
      </c>
      <c r="H743" s="614">
        <f t="shared" si="33"/>
        <v>0</v>
      </c>
      <c r="I743" s="607">
        <v>42999</v>
      </c>
      <c r="J743" s="561" t="s">
        <v>1551</v>
      </c>
      <c r="K743" s="557">
        <v>853</v>
      </c>
      <c r="L743" s="166">
        <v>42999</v>
      </c>
      <c r="M743" s="623">
        <v>1392</v>
      </c>
      <c r="N743" s="615">
        <f t="shared" si="34"/>
        <v>6960</v>
      </c>
      <c r="O743" s="559" t="s">
        <v>587</v>
      </c>
      <c r="P743" s="603"/>
      <c r="Q743" s="602"/>
      <c r="R743" s="377"/>
      <c r="S743" s="602"/>
      <c r="T743" s="167"/>
      <c r="U743" s="67"/>
      <c r="V743" s="601"/>
      <c r="W743" s="276"/>
    </row>
    <row r="744" spans="1:23" s="135" customFormat="1" ht="15" hidden="1" customHeight="1">
      <c r="A744" s="306">
        <v>743</v>
      </c>
      <c r="B744" s="611" t="s">
        <v>1550</v>
      </c>
      <c r="C744" s="610"/>
      <c r="D744" s="354" t="s">
        <v>1483</v>
      </c>
      <c r="E744" s="499" t="s">
        <v>1517</v>
      </c>
      <c r="F744" s="609">
        <v>5</v>
      </c>
      <c r="G744" s="609">
        <v>5</v>
      </c>
      <c r="H744" s="614">
        <f t="shared" si="33"/>
        <v>0</v>
      </c>
      <c r="I744" s="607">
        <v>42999</v>
      </c>
      <c r="J744" s="561" t="s">
        <v>1551</v>
      </c>
      <c r="K744" s="557">
        <v>853</v>
      </c>
      <c r="L744" s="166">
        <v>42999</v>
      </c>
      <c r="M744" s="623">
        <v>139</v>
      </c>
      <c r="N744" s="615">
        <f t="shared" si="34"/>
        <v>695</v>
      </c>
      <c r="O744" s="602"/>
      <c r="P744" s="603"/>
      <c r="Q744" s="602"/>
      <c r="R744" s="377"/>
      <c r="S744" s="602"/>
      <c r="T744" s="167"/>
      <c r="U744" s="600"/>
      <c r="V744" s="601"/>
      <c r="W744" s="276"/>
    </row>
    <row r="745" spans="1:23" s="135" customFormat="1" ht="15" hidden="1" customHeight="1">
      <c r="A745" s="306">
        <v>744</v>
      </c>
      <c r="B745" s="611" t="s">
        <v>1550</v>
      </c>
      <c r="C745" s="610"/>
      <c r="D745" s="354" t="s">
        <v>1484</v>
      </c>
      <c r="E745" s="499" t="s">
        <v>1518</v>
      </c>
      <c r="F745" s="609">
        <v>5</v>
      </c>
      <c r="G745" s="609">
        <v>5</v>
      </c>
      <c r="H745" s="380">
        <f t="shared" si="33"/>
        <v>0</v>
      </c>
      <c r="I745" s="607">
        <v>42999</v>
      </c>
      <c r="J745" s="561" t="s">
        <v>1551</v>
      </c>
      <c r="K745" s="557">
        <v>853</v>
      </c>
      <c r="L745" s="166">
        <v>42999</v>
      </c>
      <c r="M745" s="623">
        <v>175</v>
      </c>
      <c r="N745" s="615">
        <f t="shared" si="34"/>
        <v>875</v>
      </c>
      <c r="O745" s="602"/>
      <c r="P745" s="603"/>
      <c r="Q745" s="602"/>
      <c r="R745" s="377"/>
      <c r="S745" s="602"/>
      <c r="T745" s="167"/>
      <c r="U745" s="600"/>
      <c r="V745" s="601"/>
      <c r="W745" s="276"/>
    </row>
    <row r="746" spans="1:23" s="135" customFormat="1" ht="15" hidden="1" customHeight="1">
      <c r="A746" s="306">
        <v>745</v>
      </c>
      <c r="B746" s="611" t="s">
        <v>1550</v>
      </c>
      <c r="C746" s="610"/>
      <c r="D746" s="354" t="s">
        <v>1485</v>
      </c>
      <c r="E746" s="499" t="s">
        <v>1519</v>
      </c>
      <c r="F746" s="609">
        <v>5</v>
      </c>
      <c r="G746" s="609">
        <v>5</v>
      </c>
      <c r="H746" s="380">
        <f t="shared" si="33"/>
        <v>0</v>
      </c>
      <c r="I746" s="607">
        <v>42999</v>
      </c>
      <c r="J746" s="561" t="s">
        <v>1551</v>
      </c>
      <c r="K746" s="557">
        <v>853</v>
      </c>
      <c r="L746" s="166">
        <v>42999</v>
      </c>
      <c r="M746" s="623">
        <v>17</v>
      </c>
      <c r="N746" s="615">
        <f t="shared" si="34"/>
        <v>85</v>
      </c>
      <c r="O746" s="602"/>
      <c r="P746" s="603"/>
      <c r="Q746" s="602"/>
      <c r="R746" s="377"/>
      <c r="S746" s="602"/>
      <c r="T746" s="167"/>
      <c r="U746" s="600"/>
      <c r="V746" s="601"/>
      <c r="W746" s="276"/>
    </row>
    <row r="747" spans="1:23" s="135" customFormat="1" ht="15" hidden="1" customHeight="1">
      <c r="A747" s="306">
        <v>746</v>
      </c>
      <c r="B747" s="611" t="s">
        <v>1550</v>
      </c>
      <c r="C747" s="610"/>
      <c r="D747" s="354" t="s">
        <v>1486</v>
      </c>
      <c r="E747" s="499" t="s">
        <v>1520</v>
      </c>
      <c r="F747" s="609">
        <v>5</v>
      </c>
      <c r="G747" s="609">
        <v>5</v>
      </c>
      <c r="H747" s="380">
        <f t="shared" si="33"/>
        <v>0</v>
      </c>
      <c r="I747" s="607">
        <v>42999</v>
      </c>
      <c r="J747" s="561" t="s">
        <v>1551</v>
      </c>
      <c r="K747" s="557">
        <v>853</v>
      </c>
      <c r="L747" s="166">
        <v>42999</v>
      </c>
      <c r="M747" s="623">
        <v>17</v>
      </c>
      <c r="N747" s="615">
        <f t="shared" si="34"/>
        <v>85</v>
      </c>
      <c r="O747" s="602"/>
      <c r="P747" s="603"/>
      <c r="Q747" s="602"/>
      <c r="R747" s="377"/>
      <c r="S747" s="602"/>
      <c r="T747" s="167"/>
      <c r="U747" s="600"/>
      <c r="V747" s="601"/>
      <c r="W747" s="276"/>
    </row>
    <row r="748" spans="1:23" s="135" customFormat="1" ht="15" hidden="1" customHeight="1">
      <c r="A748" s="306">
        <v>747</v>
      </c>
      <c r="B748" s="611" t="s">
        <v>1550</v>
      </c>
      <c r="C748" s="610"/>
      <c r="D748" s="354" t="s">
        <v>1487</v>
      </c>
      <c r="E748" s="499" t="s">
        <v>1521</v>
      </c>
      <c r="F748" s="609">
        <v>5</v>
      </c>
      <c r="G748" s="608">
        <v>5</v>
      </c>
      <c r="H748" s="214">
        <f t="shared" si="33"/>
        <v>0</v>
      </c>
      <c r="I748" s="607">
        <v>42999</v>
      </c>
      <c r="J748" s="561" t="s">
        <v>1551</v>
      </c>
      <c r="K748" s="557">
        <v>853</v>
      </c>
      <c r="L748" s="166">
        <v>42999</v>
      </c>
      <c r="M748" s="622">
        <v>31</v>
      </c>
      <c r="N748" s="615">
        <f t="shared" si="34"/>
        <v>155</v>
      </c>
      <c r="O748" s="602"/>
      <c r="P748" s="602"/>
      <c r="Q748" s="602"/>
      <c r="R748" s="377"/>
      <c r="S748" s="602"/>
      <c r="T748" s="602"/>
      <c r="U748" s="600"/>
      <c r="V748" s="601"/>
      <c r="W748" s="276"/>
    </row>
    <row r="749" spans="1:23" s="135" customFormat="1" ht="15" hidden="1" customHeight="1">
      <c r="A749" s="306">
        <v>748</v>
      </c>
      <c r="B749" s="611" t="s">
        <v>1550</v>
      </c>
      <c r="C749" s="610"/>
      <c r="D749" s="354" t="s">
        <v>1488</v>
      </c>
      <c r="E749" s="499" t="s">
        <v>1522</v>
      </c>
      <c r="F749" s="609">
        <v>5</v>
      </c>
      <c r="G749" s="608">
        <v>5</v>
      </c>
      <c r="H749" s="214">
        <f t="shared" si="33"/>
        <v>0</v>
      </c>
      <c r="I749" s="607">
        <v>42999</v>
      </c>
      <c r="J749" s="561" t="s">
        <v>1551</v>
      </c>
      <c r="K749" s="557">
        <v>853</v>
      </c>
      <c r="L749" s="166">
        <v>42999</v>
      </c>
      <c r="M749" s="622">
        <v>140</v>
      </c>
      <c r="N749" s="615">
        <f t="shared" si="34"/>
        <v>700</v>
      </c>
      <c r="O749" s="602"/>
      <c r="P749" s="602"/>
      <c r="Q749" s="602"/>
      <c r="R749" s="377"/>
      <c r="S749" s="602"/>
      <c r="T749" s="602"/>
      <c r="U749" s="600"/>
      <c r="V749" s="601"/>
      <c r="W749" s="549"/>
    </row>
    <row r="750" spans="1:23" s="135" customFormat="1" ht="15" hidden="1" customHeight="1">
      <c r="A750" s="306">
        <v>749</v>
      </c>
      <c r="B750" s="611"/>
      <c r="C750" s="610"/>
      <c r="D750" s="601" t="s">
        <v>219</v>
      </c>
      <c r="E750" s="354" t="s">
        <v>218</v>
      </c>
      <c r="F750" s="609">
        <v>4</v>
      </c>
      <c r="G750" s="608">
        <v>4</v>
      </c>
      <c r="H750" s="608">
        <f t="shared" si="33"/>
        <v>0</v>
      </c>
      <c r="I750" s="607">
        <v>43003</v>
      </c>
      <c r="J750" s="606" t="s">
        <v>1556</v>
      </c>
      <c r="K750" s="612">
        <v>855</v>
      </c>
      <c r="L750" s="605">
        <v>43003</v>
      </c>
      <c r="M750" s="604">
        <v>1900</v>
      </c>
      <c r="N750" s="615">
        <f t="shared" si="34"/>
        <v>7600</v>
      </c>
      <c r="O750" s="602" t="s">
        <v>587</v>
      </c>
      <c r="P750" s="602" t="s">
        <v>1161</v>
      </c>
      <c r="Q750" s="602" t="s">
        <v>1557</v>
      </c>
      <c r="R750" s="377" t="s">
        <v>908</v>
      </c>
      <c r="S750" s="602" t="s">
        <v>422</v>
      </c>
      <c r="T750" s="602" t="s">
        <v>423</v>
      </c>
      <c r="U750" s="600"/>
      <c r="V750" s="601"/>
      <c r="W750" s="549"/>
    </row>
    <row r="751" spans="1:23" s="135" customFormat="1" ht="15" hidden="1" customHeight="1">
      <c r="A751" s="306">
        <v>750</v>
      </c>
      <c r="B751" s="611">
        <v>4501507845</v>
      </c>
      <c r="C751" s="610"/>
      <c r="D751" s="601" t="s">
        <v>49</v>
      </c>
      <c r="E751" s="350" t="s">
        <v>48</v>
      </c>
      <c r="F751" s="609">
        <v>1</v>
      </c>
      <c r="G751" s="608">
        <v>1</v>
      </c>
      <c r="H751" s="608">
        <f t="shared" si="33"/>
        <v>0</v>
      </c>
      <c r="I751" s="607">
        <v>43003</v>
      </c>
      <c r="J751" s="606" t="s">
        <v>1558</v>
      </c>
      <c r="K751" s="612">
        <v>943</v>
      </c>
      <c r="L751" s="605">
        <v>43054</v>
      </c>
      <c r="M751" s="604">
        <v>8775</v>
      </c>
      <c r="N751" s="615">
        <f t="shared" si="34"/>
        <v>8775</v>
      </c>
      <c r="O751" s="602" t="s">
        <v>587</v>
      </c>
      <c r="P751" s="602" t="s">
        <v>589</v>
      </c>
      <c r="Q751" s="602" t="s">
        <v>1716</v>
      </c>
      <c r="R751" s="377" t="s">
        <v>908</v>
      </c>
      <c r="S751" s="602" t="s">
        <v>422</v>
      </c>
      <c r="T751" s="602" t="s">
        <v>423</v>
      </c>
      <c r="U751" s="600"/>
      <c r="V751" s="601"/>
    </row>
    <row r="752" spans="1:23" s="135" customFormat="1" ht="15" hidden="1" customHeight="1">
      <c r="A752" s="306">
        <v>751</v>
      </c>
      <c r="B752" s="611">
        <v>4501507845</v>
      </c>
      <c r="C752" s="610"/>
      <c r="D752" s="601" t="s">
        <v>86</v>
      </c>
      <c r="E752" s="6" t="s">
        <v>85</v>
      </c>
      <c r="F752" s="609">
        <v>1</v>
      </c>
      <c r="G752" s="608">
        <v>1</v>
      </c>
      <c r="H752" s="608">
        <f t="shared" si="33"/>
        <v>0</v>
      </c>
      <c r="I752" s="607">
        <v>43003</v>
      </c>
      <c r="J752" s="606" t="s">
        <v>1558</v>
      </c>
      <c r="K752" s="612">
        <v>943</v>
      </c>
      <c r="L752" s="605">
        <v>43054</v>
      </c>
      <c r="M752" s="604">
        <v>10815</v>
      </c>
      <c r="N752" s="615">
        <f t="shared" si="34"/>
        <v>10815</v>
      </c>
      <c r="O752" s="602" t="s">
        <v>587</v>
      </c>
      <c r="P752" s="602" t="s">
        <v>589</v>
      </c>
      <c r="Q752" s="602" t="s">
        <v>1716</v>
      </c>
      <c r="R752" s="377" t="s">
        <v>908</v>
      </c>
      <c r="S752" s="602" t="s">
        <v>422</v>
      </c>
      <c r="T752" s="602" t="s">
        <v>423</v>
      </c>
      <c r="U752" s="600"/>
      <c r="V752" s="601"/>
    </row>
    <row r="753" spans="1:23" s="135" customFormat="1" ht="15" hidden="1" customHeight="1">
      <c r="A753" s="306">
        <v>752</v>
      </c>
      <c r="B753" s="611">
        <v>4501507845</v>
      </c>
      <c r="C753" s="610"/>
      <c r="D753" s="601" t="s">
        <v>35</v>
      </c>
      <c r="E753" s="6" t="s">
        <v>50</v>
      </c>
      <c r="F753" s="609">
        <v>2</v>
      </c>
      <c r="G753" s="608">
        <v>2</v>
      </c>
      <c r="H753" s="608">
        <f t="shared" si="33"/>
        <v>0</v>
      </c>
      <c r="I753" s="607">
        <v>43003</v>
      </c>
      <c r="J753" s="606" t="s">
        <v>1558</v>
      </c>
      <c r="K753" s="612">
        <v>943</v>
      </c>
      <c r="L753" s="605">
        <v>43054</v>
      </c>
      <c r="M753" s="604">
        <v>2700</v>
      </c>
      <c r="N753" s="615">
        <f t="shared" si="34"/>
        <v>5400</v>
      </c>
      <c r="O753" s="602" t="s">
        <v>587</v>
      </c>
      <c r="P753" s="602" t="s">
        <v>589</v>
      </c>
      <c r="Q753" s="602" t="s">
        <v>1716</v>
      </c>
      <c r="R753" s="377" t="s">
        <v>908</v>
      </c>
      <c r="S753" s="602" t="s">
        <v>422</v>
      </c>
      <c r="T753" s="602" t="s">
        <v>423</v>
      </c>
      <c r="U753" s="600"/>
      <c r="V753" s="601"/>
    </row>
    <row r="754" spans="1:23" s="135" customFormat="1" ht="15" hidden="1" customHeight="1">
      <c r="A754" s="306">
        <v>753</v>
      </c>
      <c r="B754" s="162" t="s">
        <v>1560</v>
      </c>
      <c r="C754" s="161"/>
      <c r="D754" s="601" t="s">
        <v>246</v>
      </c>
      <c r="E754" s="600" t="s">
        <v>258</v>
      </c>
      <c r="F754" s="373">
        <v>3</v>
      </c>
      <c r="G754" s="372">
        <v>3</v>
      </c>
      <c r="H754" s="608">
        <f t="shared" si="33"/>
        <v>0</v>
      </c>
      <c r="I754" s="160">
        <v>43004</v>
      </c>
      <c r="J754" s="159" t="s">
        <v>1559</v>
      </c>
      <c r="K754" s="612">
        <v>856</v>
      </c>
      <c r="L754" s="158">
        <v>43003</v>
      </c>
      <c r="M754" s="157">
        <v>5981</v>
      </c>
      <c r="N754" s="615">
        <f t="shared" si="34"/>
        <v>17943</v>
      </c>
      <c r="O754" s="602" t="s">
        <v>587</v>
      </c>
      <c r="P754" s="154"/>
      <c r="Q754" s="154" t="s">
        <v>1562</v>
      </c>
      <c r="R754" s="244" t="s">
        <v>908</v>
      </c>
      <c r="S754" s="413" t="s">
        <v>422</v>
      </c>
      <c r="T754" s="154" t="s">
        <v>423</v>
      </c>
      <c r="U754" s="67"/>
      <c r="V754" s="153"/>
      <c r="W754" s="549"/>
    </row>
    <row r="755" spans="1:23" s="135" customFormat="1" ht="15" hidden="1" customHeight="1">
      <c r="A755" s="306">
        <v>754</v>
      </c>
      <c r="B755" s="611" t="s">
        <v>1560</v>
      </c>
      <c r="C755" s="161"/>
      <c r="D755" s="601" t="s">
        <v>248</v>
      </c>
      <c r="E755" s="600" t="s">
        <v>260</v>
      </c>
      <c r="F755" s="373">
        <v>9</v>
      </c>
      <c r="G755" s="372">
        <v>9</v>
      </c>
      <c r="H755" s="372">
        <f t="shared" si="33"/>
        <v>0</v>
      </c>
      <c r="I755" s="607">
        <v>43004</v>
      </c>
      <c r="J755" s="606" t="s">
        <v>1559</v>
      </c>
      <c r="K755" s="612">
        <v>856</v>
      </c>
      <c r="L755" s="605">
        <v>43003</v>
      </c>
      <c r="M755" s="157">
        <v>2130</v>
      </c>
      <c r="N755" s="615">
        <f t="shared" si="34"/>
        <v>19170</v>
      </c>
      <c r="O755" s="602" t="s">
        <v>587</v>
      </c>
      <c r="P755" s="154"/>
      <c r="Q755" s="602" t="s">
        <v>1562</v>
      </c>
      <c r="R755" s="377" t="s">
        <v>908</v>
      </c>
      <c r="S755" s="602" t="s">
        <v>422</v>
      </c>
      <c r="T755" s="602" t="s">
        <v>423</v>
      </c>
      <c r="U755" s="67"/>
      <c r="V755" s="153"/>
      <c r="W755" s="549"/>
    </row>
    <row r="756" spans="1:23" s="135" customFormat="1" ht="15" hidden="1" customHeight="1">
      <c r="A756" s="306">
        <v>755</v>
      </c>
      <c r="B756" s="611" t="s">
        <v>1560</v>
      </c>
      <c r="C756" s="610"/>
      <c r="D756" s="601" t="s">
        <v>249</v>
      </c>
      <c r="E756" s="600" t="s">
        <v>261</v>
      </c>
      <c r="F756" s="609">
        <v>12</v>
      </c>
      <c r="G756" s="608">
        <v>12</v>
      </c>
      <c r="H756" s="608">
        <f t="shared" si="33"/>
        <v>0</v>
      </c>
      <c r="I756" s="607">
        <v>43004</v>
      </c>
      <c r="J756" s="606" t="s">
        <v>1559</v>
      </c>
      <c r="K756" s="612">
        <v>856</v>
      </c>
      <c r="L756" s="605">
        <v>43003</v>
      </c>
      <c r="M756" s="604">
        <v>465</v>
      </c>
      <c r="N756" s="615">
        <f t="shared" si="34"/>
        <v>5580</v>
      </c>
      <c r="O756" s="602" t="s">
        <v>587</v>
      </c>
      <c r="P756" s="602"/>
      <c r="Q756" s="602" t="s">
        <v>1562</v>
      </c>
      <c r="R756" s="377" t="s">
        <v>908</v>
      </c>
      <c r="S756" s="602" t="s">
        <v>422</v>
      </c>
      <c r="T756" s="602" t="s">
        <v>423</v>
      </c>
      <c r="U756" s="600"/>
      <c r="V756" s="601"/>
      <c r="W756" s="276"/>
    </row>
    <row r="757" spans="1:23" s="135" customFormat="1" ht="15" hidden="1" customHeight="1">
      <c r="A757" s="306">
        <v>756</v>
      </c>
      <c r="B757" s="611" t="s">
        <v>1560</v>
      </c>
      <c r="C757" s="610"/>
      <c r="D757" s="601" t="s">
        <v>70</v>
      </c>
      <c r="E757" s="6" t="s">
        <v>69</v>
      </c>
      <c r="F757" s="609">
        <v>1</v>
      </c>
      <c r="G757" s="608">
        <v>1</v>
      </c>
      <c r="H757" s="608">
        <f t="shared" si="33"/>
        <v>0</v>
      </c>
      <c r="I757" s="607">
        <v>43004</v>
      </c>
      <c r="J757" s="606" t="s">
        <v>1559</v>
      </c>
      <c r="K757" s="612">
        <v>856</v>
      </c>
      <c r="L757" s="605">
        <v>43003</v>
      </c>
      <c r="M757" s="604">
        <v>14775</v>
      </c>
      <c r="N757" s="615">
        <f t="shared" si="34"/>
        <v>14775</v>
      </c>
      <c r="O757" s="602" t="s">
        <v>587</v>
      </c>
      <c r="P757" s="602"/>
      <c r="Q757" s="602" t="s">
        <v>1562</v>
      </c>
      <c r="R757" s="377" t="s">
        <v>908</v>
      </c>
      <c r="S757" s="602" t="s">
        <v>422</v>
      </c>
      <c r="T757" s="602" t="s">
        <v>423</v>
      </c>
      <c r="U757" s="600"/>
      <c r="V757" s="601"/>
      <c r="W757" s="549"/>
    </row>
    <row r="758" spans="1:23" s="135" customFormat="1" ht="15" hidden="1" customHeight="1">
      <c r="A758" s="306">
        <v>757</v>
      </c>
      <c r="B758" s="611" t="s">
        <v>1560</v>
      </c>
      <c r="C758" s="610"/>
      <c r="D758" s="601" t="s">
        <v>91</v>
      </c>
      <c r="E758" s="6" t="s">
        <v>50</v>
      </c>
      <c r="F758" s="609">
        <v>7</v>
      </c>
      <c r="G758" s="608">
        <v>7</v>
      </c>
      <c r="H758" s="608">
        <f t="shared" si="33"/>
        <v>0</v>
      </c>
      <c r="I758" s="607">
        <v>43004</v>
      </c>
      <c r="J758" s="606" t="s">
        <v>1559</v>
      </c>
      <c r="K758" s="612">
        <v>856</v>
      </c>
      <c r="L758" s="605">
        <v>43003</v>
      </c>
      <c r="M758" s="604">
        <v>2800</v>
      </c>
      <c r="N758" s="615">
        <f t="shared" si="34"/>
        <v>19600</v>
      </c>
      <c r="O758" s="602" t="s">
        <v>587</v>
      </c>
      <c r="P758" s="602"/>
      <c r="Q758" s="602" t="s">
        <v>1562</v>
      </c>
      <c r="R758" s="377" t="s">
        <v>908</v>
      </c>
      <c r="S758" s="602" t="s">
        <v>422</v>
      </c>
      <c r="T758" s="602" t="s">
        <v>423</v>
      </c>
      <c r="U758" s="600"/>
      <c r="V758" s="601"/>
      <c r="W758" s="549"/>
    </row>
    <row r="759" spans="1:23" s="135" customFormat="1" ht="15" hidden="1" customHeight="1">
      <c r="A759" s="306">
        <v>758</v>
      </c>
      <c r="B759" s="611" t="s">
        <v>1560</v>
      </c>
      <c r="C759" s="610"/>
      <c r="D759" s="601" t="s">
        <v>29</v>
      </c>
      <c r="E759" s="5" t="s">
        <v>28</v>
      </c>
      <c r="F759" s="609">
        <v>8</v>
      </c>
      <c r="G759" s="608">
        <v>8</v>
      </c>
      <c r="H759" s="608">
        <f t="shared" si="33"/>
        <v>0</v>
      </c>
      <c r="I759" s="607">
        <v>43004</v>
      </c>
      <c r="J759" s="606" t="s">
        <v>1559</v>
      </c>
      <c r="K759" s="612">
        <v>856</v>
      </c>
      <c r="L759" s="605">
        <v>43003</v>
      </c>
      <c r="M759" s="604">
        <v>465</v>
      </c>
      <c r="N759" s="615">
        <f t="shared" si="34"/>
        <v>3720</v>
      </c>
      <c r="O759" s="602" t="s">
        <v>587</v>
      </c>
      <c r="P759" s="602"/>
      <c r="Q759" s="602" t="s">
        <v>1562</v>
      </c>
      <c r="R759" s="377" t="s">
        <v>908</v>
      </c>
      <c r="S759" s="602" t="s">
        <v>422</v>
      </c>
      <c r="T759" s="602" t="s">
        <v>423</v>
      </c>
      <c r="U759" s="600"/>
      <c r="V759" s="601"/>
      <c r="W759" s="276"/>
    </row>
    <row r="760" spans="1:23" s="135" customFormat="1" ht="15" hidden="1" customHeight="1">
      <c r="A760" s="306">
        <v>759</v>
      </c>
      <c r="B760" s="162"/>
      <c r="C760" s="161"/>
      <c r="D760" s="601" t="s">
        <v>1130</v>
      </c>
      <c r="E760" s="331" t="s">
        <v>1133</v>
      </c>
      <c r="F760" s="373">
        <v>5</v>
      </c>
      <c r="G760" s="372">
        <v>5</v>
      </c>
      <c r="H760" s="608">
        <f t="shared" si="33"/>
        <v>0</v>
      </c>
      <c r="I760" s="607">
        <v>43004</v>
      </c>
      <c r="J760" s="159" t="s">
        <v>1561</v>
      </c>
      <c r="K760" s="239">
        <v>778</v>
      </c>
      <c r="L760" s="605">
        <v>42954</v>
      </c>
      <c r="M760" s="157">
        <v>810</v>
      </c>
      <c r="N760" s="603">
        <f t="shared" si="34"/>
        <v>4050</v>
      </c>
      <c r="O760" s="602" t="s">
        <v>587</v>
      </c>
      <c r="P760" s="154"/>
      <c r="Q760" s="154" t="s">
        <v>1563</v>
      </c>
      <c r="R760" s="377" t="s">
        <v>908</v>
      </c>
      <c r="S760" s="602" t="s">
        <v>422</v>
      </c>
      <c r="T760" s="602" t="s">
        <v>423</v>
      </c>
      <c r="U760" s="67"/>
      <c r="V760" s="153"/>
    </row>
    <row r="761" spans="1:23" s="135" customFormat="1" ht="15" hidden="1" customHeight="1">
      <c r="A761" s="306">
        <v>760</v>
      </c>
      <c r="B761" s="162"/>
      <c r="C761" s="161"/>
      <c r="D761" s="611" t="s">
        <v>939</v>
      </c>
      <c r="E761" s="602" t="s">
        <v>940</v>
      </c>
      <c r="F761" s="373">
        <v>32</v>
      </c>
      <c r="G761" s="372">
        <v>32</v>
      </c>
      <c r="H761" s="608">
        <f t="shared" si="33"/>
        <v>0</v>
      </c>
      <c r="I761" s="160">
        <v>43005</v>
      </c>
      <c r="J761" s="561" t="s">
        <v>424</v>
      </c>
      <c r="K761" s="557">
        <v>827</v>
      </c>
      <c r="L761" s="607">
        <v>42977</v>
      </c>
      <c r="M761" s="604">
        <v>60</v>
      </c>
      <c r="N761" s="172">
        <f t="shared" si="34"/>
        <v>1920</v>
      </c>
      <c r="O761" s="602" t="s">
        <v>587</v>
      </c>
      <c r="P761" s="602"/>
      <c r="Q761" s="154"/>
      <c r="R761" s="377" t="s">
        <v>908</v>
      </c>
      <c r="S761" s="602" t="s">
        <v>422</v>
      </c>
      <c r="T761" s="602" t="s">
        <v>423</v>
      </c>
      <c r="U761" s="67"/>
      <c r="V761" s="153"/>
      <c r="W761" s="276"/>
    </row>
    <row r="762" spans="1:23" s="135" customFormat="1" ht="15" hidden="1" customHeight="1">
      <c r="A762" s="306">
        <v>761</v>
      </c>
      <c r="B762" s="162"/>
      <c r="C762" s="161"/>
      <c r="D762" s="186" t="s">
        <v>226</v>
      </c>
      <c r="E762" s="350" t="s">
        <v>944</v>
      </c>
      <c r="F762" s="373">
        <v>8</v>
      </c>
      <c r="G762" s="608">
        <v>8</v>
      </c>
      <c r="H762" s="608">
        <f t="shared" ref="H762:H825" si="35">F762-G762</f>
        <v>0</v>
      </c>
      <c r="I762" s="607">
        <v>43005</v>
      </c>
      <c r="J762" s="561" t="s">
        <v>424</v>
      </c>
      <c r="K762" s="557">
        <v>827</v>
      </c>
      <c r="L762" s="607">
        <v>42977</v>
      </c>
      <c r="M762" s="604">
        <v>150</v>
      </c>
      <c r="N762" s="603">
        <f t="shared" si="34"/>
        <v>1200</v>
      </c>
      <c r="O762" s="602" t="s">
        <v>587</v>
      </c>
      <c r="P762" s="602"/>
      <c r="Q762" s="154"/>
      <c r="R762" s="377" t="s">
        <v>908</v>
      </c>
      <c r="S762" s="602" t="s">
        <v>422</v>
      </c>
      <c r="T762" s="602" t="s">
        <v>423</v>
      </c>
      <c r="U762" s="600"/>
      <c r="V762" s="153"/>
      <c r="W762" s="276"/>
    </row>
    <row r="763" spans="1:23" s="135" customFormat="1" ht="15" hidden="1" customHeight="1">
      <c r="A763" s="306">
        <v>762</v>
      </c>
      <c r="B763" s="162"/>
      <c r="C763" s="161"/>
      <c r="D763" s="186" t="s">
        <v>226</v>
      </c>
      <c r="E763" s="350" t="s">
        <v>944</v>
      </c>
      <c r="F763" s="373">
        <v>1</v>
      </c>
      <c r="G763" s="608">
        <v>1</v>
      </c>
      <c r="H763" s="608">
        <f t="shared" si="35"/>
        <v>0</v>
      </c>
      <c r="I763" s="607">
        <v>43005</v>
      </c>
      <c r="J763" s="606" t="s">
        <v>1447</v>
      </c>
      <c r="K763" s="557">
        <v>860</v>
      </c>
      <c r="L763" s="607">
        <v>43004</v>
      </c>
      <c r="M763" s="604">
        <v>250</v>
      </c>
      <c r="N763" s="603">
        <f t="shared" si="34"/>
        <v>250</v>
      </c>
      <c r="O763" s="602" t="s">
        <v>587</v>
      </c>
      <c r="P763" s="154"/>
      <c r="Q763" s="154"/>
      <c r="R763" s="377" t="s">
        <v>908</v>
      </c>
      <c r="S763" s="602" t="s">
        <v>422</v>
      </c>
      <c r="T763" s="602" t="s">
        <v>423</v>
      </c>
      <c r="U763" s="600"/>
      <c r="V763" s="153"/>
      <c r="W763" s="276"/>
    </row>
    <row r="764" spans="1:23" s="135" customFormat="1" ht="15" hidden="1" customHeight="1">
      <c r="A764" s="306">
        <v>763</v>
      </c>
      <c r="B764" s="162"/>
      <c r="C764" s="161"/>
      <c r="D764" s="613" t="s">
        <v>95</v>
      </c>
      <c r="E764" s="6" t="s">
        <v>94</v>
      </c>
      <c r="F764" s="373">
        <v>2</v>
      </c>
      <c r="G764" s="608">
        <v>2</v>
      </c>
      <c r="H764" s="608">
        <f t="shared" si="35"/>
        <v>0</v>
      </c>
      <c r="I764" s="607">
        <v>43005</v>
      </c>
      <c r="J764" s="606" t="s">
        <v>1564</v>
      </c>
      <c r="K764" s="612">
        <v>861</v>
      </c>
      <c r="L764" s="605">
        <v>43005</v>
      </c>
      <c r="M764" s="604">
        <v>29240</v>
      </c>
      <c r="N764" s="603">
        <f t="shared" si="34"/>
        <v>58480</v>
      </c>
      <c r="O764" s="602" t="s">
        <v>587</v>
      </c>
      <c r="P764" s="154" t="s">
        <v>2000</v>
      </c>
      <c r="Q764" s="154" t="s">
        <v>1566</v>
      </c>
      <c r="R764" s="377" t="s">
        <v>908</v>
      </c>
      <c r="S764" s="602" t="s">
        <v>422</v>
      </c>
      <c r="T764" s="602" t="s">
        <v>423</v>
      </c>
      <c r="U764" s="600"/>
      <c r="V764" s="601"/>
      <c r="W764" s="276"/>
    </row>
    <row r="765" spans="1:23" s="135" customFormat="1" ht="15" hidden="1" customHeight="1">
      <c r="A765" s="306">
        <v>764</v>
      </c>
      <c r="B765" s="162"/>
      <c r="C765" s="161"/>
      <c r="D765" s="418" t="s">
        <v>56</v>
      </c>
      <c r="E765" s="519" t="s">
        <v>55</v>
      </c>
      <c r="F765" s="373">
        <v>4</v>
      </c>
      <c r="G765" s="608">
        <v>4</v>
      </c>
      <c r="H765" s="608">
        <f t="shared" si="35"/>
        <v>0</v>
      </c>
      <c r="I765" s="607">
        <v>43005</v>
      </c>
      <c r="J765" s="606" t="s">
        <v>1564</v>
      </c>
      <c r="K765" s="612">
        <v>861</v>
      </c>
      <c r="L765" s="605">
        <v>43005</v>
      </c>
      <c r="M765" s="604">
        <v>7280</v>
      </c>
      <c r="N765" s="168">
        <f t="shared" si="34"/>
        <v>29120</v>
      </c>
      <c r="O765" s="602" t="s">
        <v>587</v>
      </c>
      <c r="P765" s="602" t="s">
        <v>2000</v>
      </c>
      <c r="Q765" s="602"/>
      <c r="R765" s="377" t="s">
        <v>908</v>
      </c>
      <c r="S765" s="602" t="s">
        <v>422</v>
      </c>
      <c r="T765" s="602" t="s">
        <v>423</v>
      </c>
      <c r="U765" s="600"/>
      <c r="V765" s="153"/>
    </row>
    <row r="766" spans="1:23" s="135" customFormat="1" ht="15" hidden="1" customHeight="1">
      <c r="A766" s="306">
        <v>765</v>
      </c>
      <c r="B766" s="162"/>
      <c r="C766" s="161"/>
      <c r="D766" s="613" t="s">
        <v>49</v>
      </c>
      <c r="E766" s="350" t="s">
        <v>48</v>
      </c>
      <c r="F766" s="373">
        <v>4</v>
      </c>
      <c r="G766" s="608">
        <v>4</v>
      </c>
      <c r="H766" s="608">
        <f t="shared" si="35"/>
        <v>0</v>
      </c>
      <c r="I766" s="607">
        <v>43005</v>
      </c>
      <c r="J766" s="606" t="s">
        <v>1564</v>
      </c>
      <c r="K766" s="612">
        <v>861</v>
      </c>
      <c r="L766" s="605">
        <v>43005</v>
      </c>
      <c r="M766" s="604">
        <v>8420</v>
      </c>
      <c r="N766" s="603">
        <f t="shared" ref="N766:N829" si="36">IFERROR(M766*G766,0)</f>
        <v>33680</v>
      </c>
      <c r="O766" s="602" t="s">
        <v>587</v>
      </c>
      <c r="P766" s="602" t="s">
        <v>2000</v>
      </c>
      <c r="Q766" s="602"/>
      <c r="R766" s="377" t="s">
        <v>908</v>
      </c>
      <c r="S766" s="602" t="s">
        <v>422</v>
      </c>
      <c r="T766" s="602" t="s">
        <v>423</v>
      </c>
      <c r="U766" s="600"/>
      <c r="V766" s="153"/>
    </row>
    <row r="767" spans="1:23" s="135" customFormat="1" ht="15" hidden="1" customHeight="1">
      <c r="A767" s="306">
        <v>766</v>
      </c>
      <c r="B767" s="162"/>
      <c r="C767" s="161"/>
      <c r="D767" s="601" t="s">
        <v>35</v>
      </c>
      <c r="E767" s="6" t="s">
        <v>34</v>
      </c>
      <c r="F767" s="373">
        <v>8</v>
      </c>
      <c r="G767" s="608">
        <v>8</v>
      </c>
      <c r="H767" s="608">
        <f t="shared" si="35"/>
        <v>0</v>
      </c>
      <c r="I767" s="607">
        <v>43005</v>
      </c>
      <c r="J767" s="606" t="s">
        <v>1564</v>
      </c>
      <c r="K767" s="612">
        <v>861</v>
      </c>
      <c r="L767" s="605">
        <v>43005</v>
      </c>
      <c r="M767" s="604">
        <v>2596</v>
      </c>
      <c r="N767" s="603">
        <f t="shared" si="36"/>
        <v>20768</v>
      </c>
      <c r="O767" s="602" t="s">
        <v>587</v>
      </c>
      <c r="P767" s="602" t="s">
        <v>2000</v>
      </c>
      <c r="Q767" s="602"/>
      <c r="R767" s="377" t="s">
        <v>908</v>
      </c>
      <c r="S767" s="602" t="s">
        <v>422</v>
      </c>
      <c r="T767" s="602" t="s">
        <v>423</v>
      </c>
      <c r="U767" s="600"/>
      <c r="V767" s="153"/>
    </row>
    <row r="768" spans="1:23" s="135" customFormat="1" ht="15" hidden="1" customHeight="1">
      <c r="A768" s="306">
        <v>767</v>
      </c>
      <c r="B768" s="162"/>
      <c r="C768" s="161"/>
      <c r="D768" s="601" t="s">
        <v>29</v>
      </c>
      <c r="E768" s="602" t="s">
        <v>28</v>
      </c>
      <c r="F768" s="373">
        <v>12</v>
      </c>
      <c r="G768" s="608">
        <v>12</v>
      </c>
      <c r="H768" s="608">
        <f t="shared" si="35"/>
        <v>0</v>
      </c>
      <c r="I768" s="607">
        <v>43005</v>
      </c>
      <c r="J768" s="606" t="s">
        <v>1564</v>
      </c>
      <c r="K768" s="612">
        <v>861</v>
      </c>
      <c r="L768" s="605">
        <v>43005</v>
      </c>
      <c r="M768" s="604">
        <v>460</v>
      </c>
      <c r="N768" s="603">
        <f t="shared" si="36"/>
        <v>5520</v>
      </c>
      <c r="O768" s="602" t="s">
        <v>587</v>
      </c>
      <c r="P768" s="602" t="s">
        <v>2000</v>
      </c>
      <c r="Q768" s="602"/>
      <c r="R768" s="377" t="s">
        <v>908</v>
      </c>
      <c r="S768" s="602" t="s">
        <v>422</v>
      </c>
      <c r="T768" s="602" t="s">
        <v>423</v>
      </c>
      <c r="U768" s="600"/>
      <c r="V768" s="153"/>
    </row>
    <row r="769" spans="1:23" s="135" customFormat="1" ht="15" hidden="1" customHeight="1">
      <c r="A769" s="306">
        <v>768</v>
      </c>
      <c r="B769" s="162" t="s">
        <v>1568</v>
      </c>
      <c r="C769" s="161"/>
      <c r="D769" s="601" t="s">
        <v>49</v>
      </c>
      <c r="E769" s="350" t="s">
        <v>48</v>
      </c>
      <c r="F769" s="373">
        <v>1</v>
      </c>
      <c r="G769" s="608">
        <v>1</v>
      </c>
      <c r="H769" s="608">
        <f t="shared" si="35"/>
        <v>0</v>
      </c>
      <c r="I769" s="160">
        <v>43006</v>
      </c>
      <c r="J769" s="159" t="s">
        <v>1565</v>
      </c>
      <c r="K769" s="612">
        <v>862</v>
      </c>
      <c r="L769" s="605">
        <v>43006</v>
      </c>
      <c r="M769" s="604">
        <v>8860</v>
      </c>
      <c r="N769" s="603">
        <f t="shared" si="36"/>
        <v>8860</v>
      </c>
      <c r="O769" s="602" t="s">
        <v>587</v>
      </c>
      <c r="P769" s="154" t="s">
        <v>612</v>
      </c>
      <c r="Q769" s="602" t="s">
        <v>1567</v>
      </c>
      <c r="R769" s="377" t="s">
        <v>908</v>
      </c>
      <c r="S769" s="602" t="s">
        <v>422</v>
      </c>
      <c r="T769" s="602" t="s">
        <v>423</v>
      </c>
      <c r="U769" s="600"/>
      <c r="V769" s="153"/>
      <c r="W769" s="549"/>
    </row>
    <row r="770" spans="1:23" s="135" customFormat="1" ht="15" hidden="1" customHeight="1">
      <c r="A770" s="306">
        <v>769</v>
      </c>
      <c r="B770" s="611" t="s">
        <v>1568</v>
      </c>
      <c r="C770" s="161"/>
      <c r="D770" s="601" t="s">
        <v>35</v>
      </c>
      <c r="E770" s="6" t="s">
        <v>34</v>
      </c>
      <c r="F770" s="373">
        <v>2</v>
      </c>
      <c r="G770" s="372">
        <v>2</v>
      </c>
      <c r="H770" s="608">
        <f t="shared" si="35"/>
        <v>0</v>
      </c>
      <c r="I770" s="607">
        <v>43006</v>
      </c>
      <c r="J770" s="606" t="s">
        <v>1565</v>
      </c>
      <c r="K770" s="612">
        <v>862</v>
      </c>
      <c r="L770" s="605">
        <v>43006</v>
      </c>
      <c r="M770" s="157">
        <v>2700</v>
      </c>
      <c r="N770" s="603">
        <f t="shared" si="36"/>
        <v>5400</v>
      </c>
      <c r="O770" s="602" t="s">
        <v>587</v>
      </c>
      <c r="P770" s="602" t="s">
        <v>612</v>
      </c>
      <c r="Q770" s="602" t="s">
        <v>1567</v>
      </c>
      <c r="R770" s="377" t="s">
        <v>908</v>
      </c>
      <c r="S770" s="602" t="s">
        <v>422</v>
      </c>
      <c r="T770" s="602" t="s">
        <v>423</v>
      </c>
      <c r="U770" s="67"/>
      <c r="V770" s="153"/>
    </row>
    <row r="771" spans="1:23" s="135" customFormat="1" ht="15" hidden="1" customHeight="1">
      <c r="A771" s="306">
        <v>770</v>
      </c>
      <c r="B771" s="162">
        <v>933640</v>
      </c>
      <c r="C771" s="161"/>
      <c r="D771" s="601" t="s">
        <v>90</v>
      </c>
      <c r="E771" s="521" t="s">
        <v>89</v>
      </c>
      <c r="F771" s="373">
        <v>15</v>
      </c>
      <c r="G771" s="608">
        <v>15</v>
      </c>
      <c r="H771" s="608">
        <f t="shared" si="35"/>
        <v>0</v>
      </c>
      <c r="I771" s="160">
        <v>43006</v>
      </c>
      <c r="J771" s="363" t="s">
        <v>1702</v>
      </c>
      <c r="K771" s="612">
        <v>864</v>
      </c>
      <c r="L771" s="605">
        <v>43006</v>
      </c>
      <c r="M771" s="604">
        <v>280</v>
      </c>
      <c r="N771" s="603">
        <f t="shared" si="36"/>
        <v>4200</v>
      </c>
      <c r="O771" s="602" t="s">
        <v>587</v>
      </c>
      <c r="P771" s="602" t="s">
        <v>612</v>
      </c>
      <c r="Q771" s="154" t="s">
        <v>1571</v>
      </c>
      <c r="R771" s="377" t="s">
        <v>908</v>
      </c>
      <c r="S771" s="602" t="s">
        <v>422</v>
      </c>
      <c r="T771" s="602" t="s">
        <v>423</v>
      </c>
      <c r="U771" s="600"/>
      <c r="V771" s="601"/>
      <c r="W771" s="276"/>
    </row>
    <row r="772" spans="1:23" s="135" customFormat="1" ht="15" hidden="1" customHeight="1">
      <c r="A772" s="306">
        <v>771</v>
      </c>
      <c r="B772" s="162" t="s">
        <v>1574</v>
      </c>
      <c r="C772" s="161"/>
      <c r="D772" s="601" t="s">
        <v>219</v>
      </c>
      <c r="E772" s="6" t="s">
        <v>218</v>
      </c>
      <c r="F772" s="373">
        <v>3</v>
      </c>
      <c r="G772" s="372">
        <v>3</v>
      </c>
      <c r="H772" s="608">
        <f t="shared" si="35"/>
        <v>0</v>
      </c>
      <c r="I772" s="160">
        <v>43009</v>
      </c>
      <c r="J772" s="606" t="s">
        <v>1572</v>
      </c>
      <c r="K772" s="612">
        <v>863</v>
      </c>
      <c r="L772" s="605">
        <v>43005</v>
      </c>
      <c r="M772" s="261" t="s">
        <v>1616</v>
      </c>
      <c r="N772" s="603">
        <f t="shared" si="36"/>
        <v>0</v>
      </c>
      <c r="O772" s="602" t="s">
        <v>587</v>
      </c>
      <c r="P772" s="602" t="s">
        <v>612</v>
      </c>
      <c r="Q772" s="154" t="s">
        <v>1573</v>
      </c>
      <c r="R772" s="377" t="s">
        <v>908</v>
      </c>
      <c r="S772" s="602" t="s">
        <v>422</v>
      </c>
      <c r="T772" s="602" t="s">
        <v>423</v>
      </c>
      <c r="U772" s="67" t="s">
        <v>1617</v>
      </c>
      <c r="V772" s="153"/>
      <c r="W772" s="276"/>
    </row>
    <row r="773" spans="1:23" s="135" customFormat="1" ht="15" hidden="1" customHeight="1">
      <c r="A773" s="306">
        <v>772</v>
      </c>
      <c r="B773" s="611" t="s">
        <v>1574</v>
      </c>
      <c r="C773" s="161"/>
      <c r="D773" s="611" t="s">
        <v>939</v>
      </c>
      <c r="E773" s="602" t="s">
        <v>940</v>
      </c>
      <c r="F773" s="373">
        <v>48</v>
      </c>
      <c r="G773" s="608">
        <v>48</v>
      </c>
      <c r="H773" s="608">
        <f t="shared" si="35"/>
        <v>0</v>
      </c>
      <c r="I773" s="607">
        <v>43009</v>
      </c>
      <c r="J773" s="606" t="s">
        <v>1572</v>
      </c>
      <c r="K773" s="612">
        <v>863</v>
      </c>
      <c r="L773" s="605">
        <v>43005</v>
      </c>
      <c r="M773" s="604">
        <f>5700/48</f>
        <v>118.75</v>
      </c>
      <c r="N773" s="603">
        <f t="shared" si="36"/>
        <v>5700</v>
      </c>
      <c r="O773" s="602" t="s">
        <v>587</v>
      </c>
      <c r="P773" s="602" t="s">
        <v>612</v>
      </c>
      <c r="Q773" s="602" t="s">
        <v>1573</v>
      </c>
      <c r="R773" s="377" t="s">
        <v>908</v>
      </c>
      <c r="S773" s="602" t="s">
        <v>422</v>
      </c>
      <c r="T773" s="602" t="s">
        <v>423</v>
      </c>
      <c r="U773" s="67"/>
      <c r="V773" s="153"/>
      <c r="W773" s="276"/>
    </row>
    <row r="774" spans="1:23" s="135" customFormat="1" ht="15" hidden="1" customHeight="1">
      <c r="A774" s="306">
        <v>773</v>
      </c>
      <c r="B774" s="162" t="s">
        <v>1576</v>
      </c>
      <c r="C774" s="161"/>
      <c r="D774" s="601" t="s">
        <v>821</v>
      </c>
      <c r="E774" s="498" t="s">
        <v>822</v>
      </c>
      <c r="F774" s="373">
        <v>3</v>
      </c>
      <c r="G774" s="372">
        <v>3</v>
      </c>
      <c r="H774" s="608">
        <f t="shared" si="35"/>
        <v>0</v>
      </c>
      <c r="I774" s="160">
        <v>43010</v>
      </c>
      <c r="J774" s="561" t="s">
        <v>611</v>
      </c>
      <c r="K774" s="612">
        <v>865</v>
      </c>
      <c r="L774" s="605">
        <v>43010</v>
      </c>
      <c r="M774" s="604">
        <v>810</v>
      </c>
      <c r="N774" s="603">
        <f t="shared" si="36"/>
        <v>2430</v>
      </c>
      <c r="O774" s="602" t="s">
        <v>587</v>
      </c>
      <c r="P774" s="602" t="s">
        <v>612</v>
      </c>
      <c r="Q774" s="602" t="s">
        <v>1575</v>
      </c>
      <c r="R774" s="377" t="s">
        <v>908</v>
      </c>
      <c r="S774" s="602" t="s">
        <v>422</v>
      </c>
      <c r="T774" s="602" t="s">
        <v>423</v>
      </c>
      <c r="U774" s="67"/>
      <c r="V774" s="153"/>
      <c r="W774" s="276"/>
    </row>
    <row r="775" spans="1:23" s="135" customFormat="1" ht="15" hidden="1" customHeight="1">
      <c r="A775" s="306">
        <v>774</v>
      </c>
      <c r="B775" s="162"/>
      <c r="C775" s="161"/>
      <c r="D775" s="611" t="s">
        <v>230</v>
      </c>
      <c r="E775" s="350" t="s">
        <v>943</v>
      </c>
      <c r="F775" s="609">
        <v>2</v>
      </c>
      <c r="G775" s="608">
        <v>2</v>
      </c>
      <c r="H775" s="608">
        <f t="shared" si="35"/>
        <v>0</v>
      </c>
      <c r="I775" s="607">
        <v>43011</v>
      </c>
      <c r="J775" s="606" t="s">
        <v>1577</v>
      </c>
      <c r="K775" s="612">
        <v>867</v>
      </c>
      <c r="L775" s="605">
        <v>43011</v>
      </c>
      <c r="M775" s="604">
        <v>300</v>
      </c>
      <c r="N775" s="603">
        <f t="shared" si="36"/>
        <v>600</v>
      </c>
      <c r="O775" s="602" t="s">
        <v>587</v>
      </c>
      <c r="P775" s="602" t="s">
        <v>555</v>
      </c>
      <c r="Q775" s="602" t="s">
        <v>1578</v>
      </c>
      <c r="R775" s="377" t="s">
        <v>908</v>
      </c>
      <c r="S775" s="602" t="s">
        <v>422</v>
      </c>
      <c r="T775" s="602" t="s">
        <v>423</v>
      </c>
      <c r="U775" s="67"/>
      <c r="V775" s="153"/>
      <c r="W775" s="276"/>
    </row>
    <row r="776" spans="1:23" s="135" customFormat="1" ht="15" hidden="1" customHeight="1">
      <c r="A776" s="306">
        <v>775</v>
      </c>
      <c r="B776" s="611">
        <v>4501507845</v>
      </c>
      <c r="C776" s="610"/>
      <c r="D776" s="601" t="s">
        <v>49</v>
      </c>
      <c r="E776" s="350" t="s">
        <v>48</v>
      </c>
      <c r="F776" s="609">
        <v>1</v>
      </c>
      <c r="G776" s="608">
        <v>1</v>
      </c>
      <c r="H776" s="608">
        <f t="shared" si="35"/>
        <v>0</v>
      </c>
      <c r="I776" s="607">
        <v>43011</v>
      </c>
      <c r="J776" s="606" t="s">
        <v>776</v>
      </c>
      <c r="K776" s="612">
        <v>943</v>
      </c>
      <c r="L776" s="605">
        <v>43054</v>
      </c>
      <c r="M776" s="604">
        <v>8775</v>
      </c>
      <c r="N776" s="603">
        <f t="shared" si="36"/>
        <v>8775</v>
      </c>
      <c r="O776" s="602" t="s">
        <v>587</v>
      </c>
      <c r="P776" s="602" t="s">
        <v>1128</v>
      </c>
      <c r="Q776" s="602" t="s">
        <v>1715</v>
      </c>
      <c r="R776" s="377" t="s">
        <v>908</v>
      </c>
      <c r="S776" s="602" t="s">
        <v>422</v>
      </c>
      <c r="T776" s="602" t="s">
        <v>423</v>
      </c>
      <c r="U776" s="402"/>
      <c r="V776" s="194"/>
      <c r="W776" s="549"/>
    </row>
    <row r="777" spans="1:23" s="135" customFormat="1" ht="15" hidden="1" customHeight="1">
      <c r="A777" s="306">
        <v>776</v>
      </c>
      <c r="B777" s="611">
        <v>4501507845</v>
      </c>
      <c r="C777" s="610"/>
      <c r="D777" s="601" t="s">
        <v>35</v>
      </c>
      <c r="E777" s="6" t="s">
        <v>34</v>
      </c>
      <c r="F777" s="609">
        <v>1</v>
      </c>
      <c r="G777" s="608">
        <v>1</v>
      </c>
      <c r="H777" s="608">
        <f t="shared" si="35"/>
        <v>0</v>
      </c>
      <c r="I777" s="607">
        <v>43011</v>
      </c>
      <c r="J777" s="606" t="s">
        <v>776</v>
      </c>
      <c r="K777" s="612">
        <v>943</v>
      </c>
      <c r="L777" s="605">
        <v>43054</v>
      </c>
      <c r="M777" s="604">
        <v>2700</v>
      </c>
      <c r="N777" s="603">
        <f t="shared" si="36"/>
        <v>2700</v>
      </c>
      <c r="O777" s="602" t="s">
        <v>587</v>
      </c>
      <c r="P777" s="602" t="s">
        <v>1128</v>
      </c>
      <c r="Q777" s="602" t="s">
        <v>1715</v>
      </c>
      <c r="R777" s="377" t="s">
        <v>908</v>
      </c>
      <c r="S777" s="602" t="s">
        <v>422</v>
      </c>
      <c r="T777" s="602" t="s">
        <v>423</v>
      </c>
      <c r="U777" s="402"/>
      <c r="V777" s="194"/>
      <c r="W777" s="549"/>
    </row>
    <row r="778" spans="1:23" s="135" customFormat="1" ht="15" hidden="1" customHeight="1">
      <c r="A778" s="306">
        <v>777</v>
      </c>
      <c r="B778" s="162" t="s">
        <v>1579</v>
      </c>
      <c r="C778" s="161"/>
      <c r="D778" s="601" t="s">
        <v>219</v>
      </c>
      <c r="E778" s="6" t="s">
        <v>218</v>
      </c>
      <c r="F778" s="373">
        <v>55</v>
      </c>
      <c r="G778" s="372">
        <v>55</v>
      </c>
      <c r="H778" s="608">
        <f t="shared" si="35"/>
        <v>0</v>
      </c>
      <c r="I778" s="607">
        <v>43011</v>
      </c>
      <c r="J778" s="606" t="s">
        <v>1587</v>
      </c>
      <c r="K778" s="612">
        <v>866</v>
      </c>
      <c r="L778" s="605">
        <v>43010</v>
      </c>
      <c r="M778" s="604">
        <v>1900</v>
      </c>
      <c r="N778" s="603">
        <f t="shared" si="36"/>
        <v>104500</v>
      </c>
      <c r="O778" s="602" t="s">
        <v>587</v>
      </c>
      <c r="P778" s="154" t="s">
        <v>612</v>
      </c>
      <c r="Q778" s="154"/>
      <c r="R778" s="244" t="s">
        <v>908</v>
      </c>
      <c r="S778" s="413" t="s">
        <v>422</v>
      </c>
      <c r="T778" s="154" t="s">
        <v>423</v>
      </c>
      <c r="U778" s="67"/>
      <c r="V778" s="153"/>
      <c r="W778" s="276"/>
    </row>
    <row r="779" spans="1:23" s="135" customFormat="1" ht="15" hidden="1" customHeight="1">
      <c r="A779" s="306">
        <v>778</v>
      </c>
      <c r="B779" s="611"/>
      <c r="C779" s="610"/>
      <c r="D779" s="186" t="s">
        <v>226</v>
      </c>
      <c r="E779" s="350" t="s">
        <v>944</v>
      </c>
      <c r="F779" s="609">
        <v>4</v>
      </c>
      <c r="G779" s="608">
        <v>4</v>
      </c>
      <c r="H779" s="608">
        <f t="shared" si="35"/>
        <v>0</v>
      </c>
      <c r="I779" s="607">
        <v>43013</v>
      </c>
      <c r="J779" s="606" t="s">
        <v>1580</v>
      </c>
      <c r="K779" s="612">
        <v>869</v>
      </c>
      <c r="L779" s="605">
        <v>43013</v>
      </c>
      <c r="M779" s="604">
        <v>350</v>
      </c>
      <c r="N779" s="603">
        <f t="shared" si="36"/>
        <v>1400</v>
      </c>
      <c r="O779" s="602" t="s">
        <v>587</v>
      </c>
      <c r="P779" s="602" t="s">
        <v>555</v>
      </c>
      <c r="Q779" s="602" t="s">
        <v>1581</v>
      </c>
      <c r="R779" s="377" t="s">
        <v>908</v>
      </c>
      <c r="S779" s="602" t="s">
        <v>422</v>
      </c>
      <c r="T779" s="602" t="s">
        <v>423</v>
      </c>
      <c r="U779" s="600"/>
      <c r="V779" s="601"/>
      <c r="W779" s="276"/>
    </row>
    <row r="780" spans="1:23" s="135" customFormat="1" ht="15" hidden="1" customHeight="1">
      <c r="A780" s="306">
        <v>779</v>
      </c>
      <c r="B780" s="611" t="s">
        <v>1582</v>
      </c>
      <c r="C780" s="610"/>
      <c r="D780" s="601" t="s">
        <v>86</v>
      </c>
      <c r="E780" s="639" t="s">
        <v>85</v>
      </c>
      <c r="F780" s="609">
        <v>1</v>
      </c>
      <c r="G780" s="608">
        <v>1</v>
      </c>
      <c r="H780" s="608">
        <f t="shared" si="35"/>
        <v>0</v>
      </c>
      <c r="I780" s="607">
        <v>43013</v>
      </c>
      <c r="J780" s="606" t="s">
        <v>1583</v>
      </c>
      <c r="K780" s="612">
        <v>868</v>
      </c>
      <c r="L780" s="605">
        <v>43012</v>
      </c>
      <c r="M780" s="604">
        <v>10805</v>
      </c>
      <c r="N780" s="603">
        <f t="shared" si="36"/>
        <v>10805</v>
      </c>
      <c r="O780" s="602" t="s">
        <v>587</v>
      </c>
      <c r="P780" s="602" t="s">
        <v>1584</v>
      </c>
      <c r="Q780" s="602"/>
      <c r="R780" s="607" t="s">
        <v>908</v>
      </c>
      <c r="S780" s="602" t="s">
        <v>422</v>
      </c>
      <c r="T780" s="602" t="s">
        <v>423</v>
      </c>
      <c r="U780" s="600"/>
      <c r="V780" s="601"/>
      <c r="W780" s="276"/>
    </row>
    <row r="781" spans="1:23" s="135" customFormat="1" ht="15" hidden="1" customHeight="1">
      <c r="A781" s="306">
        <v>780</v>
      </c>
      <c r="B781" s="611" t="s">
        <v>1582</v>
      </c>
      <c r="C781" s="610"/>
      <c r="D781" s="601" t="s">
        <v>29</v>
      </c>
      <c r="E781" s="5" t="s">
        <v>28</v>
      </c>
      <c r="F781" s="609">
        <v>2</v>
      </c>
      <c r="G781" s="608">
        <v>2</v>
      </c>
      <c r="H781" s="608">
        <f t="shared" si="35"/>
        <v>0</v>
      </c>
      <c r="I781" s="607">
        <v>43013</v>
      </c>
      <c r="J781" s="606" t="s">
        <v>1583</v>
      </c>
      <c r="K781" s="612">
        <v>868</v>
      </c>
      <c r="L781" s="605">
        <v>43012</v>
      </c>
      <c r="M781" s="604">
        <v>470</v>
      </c>
      <c r="N781" s="603">
        <f t="shared" si="36"/>
        <v>940</v>
      </c>
      <c r="O781" s="602" t="s">
        <v>587</v>
      </c>
      <c r="P781" s="602" t="s">
        <v>1584</v>
      </c>
      <c r="Q781" s="602"/>
      <c r="R781" s="607" t="s">
        <v>908</v>
      </c>
      <c r="S781" s="602" t="s">
        <v>422</v>
      </c>
      <c r="T781" s="602" t="s">
        <v>423</v>
      </c>
      <c r="U781" s="600"/>
      <c r="V781" s="601"/>
    </row>
    <row r="782" spans="1:23" s="135" customFormat="1" ht="15" hidden="1" customHeight="1">
      <c r="A782" s="306">
        <v>781</v>
      </c>
      <c r="B782" s="611" t="s">
        <v>1582</v>
      </c>
      <c r="C782" s="610"/>
      <c r="D782" s="601" t="s">
        <v>35</v>
      </c>
      <c r="E782" s="6" t="s">
        <v>34</v>
      </c>
      <c r="F782" s="609">
        <v>1</v>
      </c>
      <c r="G782" s="608">
        <v>1</v>
      </c>
      <c r="H782" s="608">
        <f t="shared" si="35"/>
        <v>0</v>
      </c>
      <c r="I782" s="607">
        <v>43013</v>
      </c>
      <c r="J782" s="606" t="s">
        <v>1583</v>
      </c>
      <c r="K782" s="612">
        <v>868</v>
      </c>
      <c r="L782" s="605">
        <v>43012</v>
      </c>
      <c r="M782" s="604">
        <v>2700</v>
      </c>
      <c r="N782" s="603">
        <f t="shared" si="36"/>
        <v>2700</v>
      </c>
      <c r="O782" s="602" t="s">
        <v>587</v>
      </c>
      <c r="P782" s="602" t="s">
        <v>1584</v>
      </c>
      <c r="Q782" s="602"/>
      <c r="R782" s="377"/>
      <c r="S782" s="602"/>
      <c r="T782" s="602"/>
      <c r="U782" s="600"/>
      <c r="V782" s="601"/>
    </row>
    <row r="783" spans="1:23" s="135" customFormat="1" ht="15" hidden="1" customHeight="1">
      <c r="A783" s="306">
        <v>782</v>
      </c>
      <c r="B783" s="611" t="s">
        <v>1586</v>
      </c>
      <c r="C783" s="610"/>
      <c r="D783" s="601" t="s">
        <v>895</v>
      </c>
      <c r="E783" s="602" t="s">
        <v>902</v>
      </c>
      <c r="F783" s="609">
        <v>6</v>
      </c>
      <c r="G783" s="608">
        <v>6</v>
      </c>
      <c r="H783" s="608">
        <f t="shared" si="35"/>
        <v>0</v>
      </c>
      <c r="I783" s="607">
        <v>43013</v>
      </c>
      <c r="J783" s="606" t="s">
        <v>1585</v>
      </c>
      <c r="K783" s="612">
        <v>873</v>
      </c>
      <c r="L783" s="605">
        <v>43016</v>
      </c>
      <c r="M783" s="604">
        <v>940</v>
      </c>
      <c r="N783" s="603">
        <f t="shared" si="36"/>
        <v>5640</v>
      </c>
      <c r="O783" s="602" t="s">
        <v>587</v>
      </c>
      <c r="P783" s="602" t="s">
        <v>612</v>
      </c>
      <c r="Q783" s="602"/>
      <c r="R783" s="377" t="s">
        <v>908</v>
      </c>
      <c r="S783" s="602" t="s">
        <v>422</v>
      </c>
      <c r="T783" s="602" t="s">
        <v>423</v>
      </c>
      <c r="U783" s="600"/>
      <c r="V783" s="601"/>
      <c r="W783" s="276"/>
    </row>
    <row r="784" spans="1:23" s="135" customFormat="1" ht="15" hidden="1" customHeight="1">
      <c r="A784" s="306">
        <v>783</v>
      </c>
      <c r="B784" s="611" t="s">
        <v>1586</v>
      </c>
      <c r="C784" s="610"/>
      <c r="D784" s="601" t="s">
        <v>136</v>
      </c>
      <c r="E784" s="602" t="s">
        <v>1380</v>
      </c>
      <c r="F784" s="609">
        <v>2</v>
      </c>
      <c r="G784" s="608">
        <v>2</v>
      </c>
      <c r="H784" s="608">
        <f t="shared" si="35"/>
        <v>0</v>
      </c>
      <c r="I784" s="607">
        <v>43013</v>
      </c>
      <c r="J784" s="606" t="s">
        <v>1585</v>
      </c>
      <c r="K784" s="612">
        <v>873</v>
      </c>
      <c r="L784" s="605">
        <v>43016</v>
      </c>
      <c r="M784" s="604">
        <v>6135</v>
      </c>
      <c r="N784" s="603">
        <f t="shared" si="36"/>
        <v>12270</v>
      </c>
      <c r="O784" s="602" t="s">
        <v>587</v>
      </c>
      <c r="P784" s="602" t="s">
        <v>612</v>
      </c>
      <c r="Q784" s="602"/>
      <c r="R784" s="377" t="s">
        <v>908</v>
      </c>
      <c r="S784" s="602" t="s">
        <v>422</v>
      </c>
      <c r="T784" s="602" t="s">
        <v>423</v>
      </c>
      <c r="U784" s="600"/>
      <c r="V784" s="601"/>
      <c r="W784" s="276"/>
    </row>
    <row r="785" spans="1:23" s="135" customFormat="1" ht="15" hidden="1" customHeight="1">
      <c r="A785" s="306">
        <v>784</v>
      </c>
      <c r="B785" s="611" t="s">
        <v>1586</v>
      </c>
      <c r="C785" s="161"/>
      <c r="D785" s="601" t="s">
        <v>892</v>
      </c>
      <c r="E785" s="602" t="s">
        <v>899</v>
      </c>
      <c r="F785" s="373">
        <v>26</v>
      </c>
      <c r="G785" s="372">
        <v>26</v>
      </c>
      <c r="H785" s="608">
        <f t="shared" si="35"/>
        <v>0</v>
      </c>
      <c r="I785" s="607">
        <v>43013</v>
      </c>
      <c r="J785" s="606" t="s">
        <v>1585</v>
      </c>
      <c r="K785" s="612">
        <v>873</v>
      </c>
      <c r="L785" s="605">
        <v>43016</v>
      </c>
      <c r="M785" s="604">
        <v>860</v>
      </c>
      <c r="N785" s="603">
        <f t="shared" si="36"/>
        <v>22360</v>
      </c>
      <c r="O785" s="602" t="s">
        <v>587</v>
      </c>
      <c r="P785" s="602" t="s">
        <v>612</v>
      </c>
      <c r="Q785" s="154"/>
      <c r="R785" s="377" t="s">
        <v>908</v>
      </c>
      <c r="S785" s="602" t="s">
        <v>422</v>
      </c>
      <c r="T785" s="602" t="s">
        <v>423</v>
      </c>
      <c r="U785" s="67"/>
      <c r="V785" s="153"/>
      <c r="W785" s="549"/>
    </row>
    <row r="786" spans="1:23" s="135" customFormat="1" ht="15" hidden="1" customHeight="1">
      <c r="A786" s="306">
        <v>785</v>
      </c>
      <c r="B786" s="162" t="s">
        <v>1592</v>
      </c>
      <c r="C786" s="161"/>
      <c r="D786" s="601" t="s">
        <v>31</v>
      </c>
      <c r="E786" s="350" t="s">
        <v>28</v>
      </c>
      <c r="F786" s="608">
        <v>10</v>
      </c>
      <c r="G786" s="372">
        <v>10</v>
      </c>
      <c r="H786" s="608">
        <f t="shared" si="35"/>
        <v>0</v>
      </c>
      <c r="I786" s="160">
        <v>43016</v>
      </c>
      <c r="J786" s="561" t="s">
        <v>1047</v>
      </c>
      <c r="K786" s="557">
        <v>870</v>
      </c>
      <c r="L786" s="166">
        <v>43013</v>
      </c>
      <c r="M786" s="378">
        <v>450</v>
      </c>
      <c r="N786" s="603">
        <f t="shared" si="36"/>
        <v>4500</v>
      </c>
      <c r="O786" s="602"/>
      <c r="P786" s="602"/>
      <c r="Q786" s="154"/>
      <c r="R786" s="377" t="s">
        <v>908</v>
      </c>
      <c r="S786" s="602" t="s">
        <v>422</v>
      </c>
      <c r="T786" s="602" t="s">
        <v>423</v>
      </c>
      <c r="U786" s="602"/>
      <c r="V786" s="153"/>
      <c r="W786" s="549"/>
    </row>
    <row r="787" spans="1:23" s="135" customFormat="1" ht="15" hidden="1" customHeight="1">
      <c r="A787" s="306">
        <v>786</v>
      </c>
      <c r="B787" s="611" t="s">
        <v>1592</v>
      </c>
      <c r="C787" s="161"/>
      <c r="D787" s="601" t="s">
        <v>52</v>
      </c>
      <c r="E787" s="6" t="s">
        <v>50</v>
      </c>
      <c r="F787" s="608">
        <v>5</v>
      </c>
      <c r="G787" s="372">
        <v>5</v>
      </c>
      <c r="H787" s="608">
        <f t="shared" si="35"/>
        <v>0</v>
      </c>
      <c r="I787" s="607">
        <v>43016</v>
      </c>
      <c r="J787" s="561" t="s">
        <v>1047</v>
      </c>
      <c r="K787" s="557">
        <v>870</v>
      </c>
      <c r="L787" s="166">
        <v>43013</v>
      </c>
      <c r="M787" s="378">
        <v>1600</v>
      </c>
      <c r="N787" s="603">
        <f t="shared" si="36"/>
        <v>8000</v>
      </c>
      <c r="O787" s="602"/>
      <c r="P787" s="602"/>
      <c r="Q787" s="154"/>
      <c r="R787" s="377" t="s">
        <v>908</v>
      </c>
      <c r="S787" s="602" t="s">
        <v>422</v>
      </c>
      <c r="T787" s="602" t="s">
        <v>423</v>
      </c>
      <c r="U787" s="602"/>
      <c r="V787" s="153"/>
      <c r="W787" s="276"/>
    </row>
    <row r="788" spans="1:23" s="135" customFormat="1" ht="15" hidden="1" customHeight="1">
      <c r="A788" s="306">
        <v>787</v>
      </c>
      <c r="B788" s="611" t="s">
        <v>1596</v>
      </c>
      <c r="C788" s="610"/>
      <c r="D788" s="601" t="s">
        <v>707</v>
      </c>
      <c r="E788" s="252" t="s">
        <v>712</v>
      </c>
      <c r="F788" s="608">
        <v>1</v>
      </c>
      <c r="G788" s="608">
        <v>1</v>
      </c>
      <c r="H788" s="608">
        <f t="shared" si="35"/>
        <v>0</v>
      </c>
      <c r="I788" s="607">
        <v>43017</v>
      </c>
      <c r="J788" s="155" t="s">
        <v>1593</v>
      </c>
      <c r="K788" s="557">
        <v>877</v>
      </c>
      <c r="L788" s="166">
        <v>43017</v>
      </c>
      <c r="M788" s="378">
        <v>950</v>
      </c>
      <c r="N788" s="603">
        <f t="shared" si="36"/>
        <v>950</v>
      </c>
      <c r="O788" s="602" t="s">
        <v>587</v>
      </c>
      <c r="P788" s="602" t="s">
        <v>555</v>
      </c>
      <c r="Q788" s="602" t="s">
        <v>1594</v>
      </c>
      <c r="R788" s="377" t="s">
        <v>908</v>
      </c>
      <c r="S788" s="602" t="s">
        <v>422</v>
      </c>
      <c r="T788" s="602" t="s">
        <v>423</v>
      </c>
      <c r="U788" s="602"/>
      <c r="V788" s="601"/>
    </row>
    <row r="789" spans="1:23" s="135" customFormat="1" ht="15" hidden="1" customHeight="1">
      <c r="A789" s="306">
        <v>788</v>
      </c>
      <c r="B789" s="162">
        <v>933429</v>
      </c>
      <c r="C789" s="610"/>
      <c r="D789" s="601" t="s">
        <v>62</v>
      </c>
      <c r="E789" s="350" t="s">
        <v>61</v>
      </c>
      <c r="F789" s="608">
        <v>10</v>
      </c>
      <c r="G789" s="608">
        <v>10</v>
      </c>
      <c r="H789" s="608">
        <f t="shared" si="35"/>
        <v>0</v>
      </c>
      <c r="I789" s="160">
        <v>43017</v>
      </c>
      <c r="J789" s="363" t="s">
        <v>1702</v>
      </c>
      <c r="K789" s="240">
        <v>875</v>
      </c>
      <c r="L789" s="166">
        <v>43017</v>
      </c>
      <c r="M789" s="378">
        <v>1725</v>
      </c>
      <c r="N789" s="603">
        <f t="shared" si="36"/>
        <v>17250</v>
      </c>
      <c r="O789" s="602" t="s">
        <v>587</v>
      </c>
      <c r="P789" s="602" t="s">
        <v>530</v>
      </c>
      <c r="Q789" s="602" t="s">
        <v>1595</v>
      </c>
      <c r="R789" s="377" t="s">
        <v>908</v>
      </c>
      <c r="S789" s="602" t="s">
        <v>422</v>
      </c>
      <c r="T789" s="602" t="s">
        <v>423</v>
      </c>
      <c r="U789" s="154"/>
      <c r="V789" s="153"/>
      <c r="W789" s="276"/>
    </row>
    <row r="790" spans="1:23" s="135" customFormat="1" ht="15" customHeight="1">
      <c r="A790" s="306">
        <v>789</v>
      </c>
      <c r="B790" s="611" t="s">
        <v>1177</v>
      </c>
      <c r="C790" s="610"/>
      <c r="D790" s="611" t="s">
        <v>246</v>
      </c>
      <c r="E790" s="600" t="s">
        <v>258</v>
      </c>
      <c r="F790" s="609">
        <v>46</v>
      </c>
      <c r="G790" s="609">
        <v>46</v>
      </c>
      <c r="H790" s="614">
        <f t="shared" si="35"/>
        <v>0</v>
      </c>
      <c r="I790" s="607">
        <v>43018</v>
      </c>
      <c r="J790" s="561" t="s">
        <v>1598</v>
      </c>
      <c r="K790" s="557">
        <v>703</v>
      </c>
      <c r="L790" s="607">
        <v>42904</v>
      </c>
      <c r="M790" s="616">
        <v>5780</v>
      </c>
      <c r="N790" s="615">
        <f t="shared" si="36"/>
        <v>265880</v>
      </c>
      <c r="O790" s="559" t="s">
        <v>587</v>
      </c>
      <c r="P790" s="602" t="s">
        <v>1597</v>
      </c>
      <c r="Q790" s="602"/>
      <c r="R790" s="377" t="s">
        <v>908</v>
      </c>
      <c r="S790" s="602" t="s">
        <v>422</v>
      </c>
      <c r="T790" s="602" t="s">
        <v>423</v>
      </c>
      <c r="U790" s="602" t="s">
        <v>1671</v>
      </c>
      <c r="V790" s="600"/>
      <c r="W790" s="601"/>
    </row>
    <row r="791" spans="1:23" s="135" customFormat="1" ht="15" customHeight="1">
      <c r="A791" s="306">
        <v>790</v>
      </c>
      <c r="B791" s="611" t="s">
        <v>1177</v>
      </c>
      <c r="C791" s="610"/>
      <c r="D791" s="611" t="s">
        <v>248</v>
      </c>
      <c r="E791" s="600" t="s">
        <v>260</v>
      </c>
      <c r="F791" s="609">
        <v>148</v>
      </c>
      <c r="G791" s="609">
        <v>148</v>
      </c>
      <c r="H791" s="614">
        <f t="shared" si="35"/>
        <v>0</v>
      </c>
      <c r="I791" s="607">
        <v>43018</v>
      </c>
      <c r="J791" s="561" t="s">
        <v>1598</v>
      </c>
      <c r="K791" s="557">
        <v>703</v>
      </c>
      <c r="L791" s="607">
        <v>42904</v>
      </c>
      <c r="M791" s="616">
        <v>2040</v>
      </c>
      <c r="N791" s="615">
        <f t="shared" si="36"/>
        <v>301920</v>
      </c>
      <c r="O791" s="559" t="s">
        <v>587</v>
      </c>
      <c r="P791" s="602" t="s">
        <v>1597</v>
      </c>
      <c r="Q791" s="602"/>
      <c r="R791" s="377" t="s">
        <v>908</v>
      </c>
      <c r="S791" s="602" t="s">
        <v>422</v>
      </c>
      <c r="T791" s="602" t="s">
        <v>423</v>
      </c>
      <c r="U791" s="602" t="s">
        <v>1671</v>
      </c>
      <c r="V791" s="600"/>
      <c r="W791" s="601"/>
    </row>
    <row r="792" spans="1:23" s="135" customFormat="1" ht="15" customHeight="1">
      <c r="A792" s="306">
        <v>791</v>
      </c>
      <c r="B792" s="611" t="s">
        <v>1177</v>
      </c>
      <c r="C792" s="610"/>
      <c r="D792" s="611" t="s">
        <v>80</v>
      </c>
      <c r="E792" s="350" t="s">
        <v>79</v>
      </c>
      <c r="F792" s="609">
        <v>39</v>
      </c>
      <c r="G792" s="609">
        <v>39</v>
      </c>
      <c r="H792" s="614">
        <f t="shared" si="35"/>
        <v>0</v>
      </c>
      <c r="I792" s="607">
        <v>43018</v>
      </c>
      <c r="J792" s="561" t="s">
        <v>1598</v>
      </c>
      <c r="K792" s="557">
        <v>703</v>
      </c>
      <c r="L792" s="607">
        <v>42904</v>
      </c>
      <c r="M792" s="616">
        <v>798</v>
      </c>
      <c r="N792" s="615">
        <f t="shared" si="36"/>
        <v>31122</v>
      </c>
      <c r="O792" s="559" t="s">
        <v>587</v>
      </c>
      <c r="P792" s="602" t="s">
        <v>1597</v>
      </c>
      <c r="Q792" s="602"/>
      <c r="R792" s="377" t="s">
        <v>908</v>
      </c>
      <c r="S792" s="602" t="s">
        <v>422</v>
      </c>
      <c r="T792" s="602" t="s">
        <v>423</v>
      </c>
      <c r="U792" s="602" t="s">
        <v>1671</v>
      </c>
      <c r="V792" s="600"/>
      <c r="W792" s="601"/>
    </row>
    <row r="793" spans="1:23" s="135" customFormat="1" ht="15" customHeight="1">
      <c r="A793" s="306">
        <v>792</v>
      </c>
      <c r="B793" s="611" t="s">
        <v>1177</v>
      </c>
      <c r="C793" s="610"/>
      <c r="D793" s="611" t="s">
        <v>249</v>
      </c>
      <c r="E793" s="602" t="s">
        <v>261</v>
      </c>
      <c r="F793" s="609">
        <v>184</v>
      </c>
      <c r="G793" s="609">
        <v>184</v>
      </c>
      <c r="H793" s="193">
        <f t="shared" si="35"/>
        <v>0</v>
      </c>
      <c r="I793" s="607">
        <v>43018</v>
      </c>
      <c r="J793" s="561" t="s">
        <v>1814</v>
      </c>
      <c r="K793" s="557">
        <v>703</v>
      </c>
      <c r="L793" s="607">
        <v>42904</v>
      </c>
      <c r="M793" s="616">
        <v>385</v>
      </c>
      <c r="N793" s="615">
        <f t="shared" si="36"/>
        <v>70840</v>
      </c>
      <c r="O793" s="559" t="s">
        <v>587</v>
      </c>
      <c r="P793" s="602" t="s">
        <v>1597</v>
      </c>
      <c r="Q793" s="602"/>
      <c r="R793" s="377" t="s">
        <v>908</v>
      </c>
      <c r="S793" s="602" t="s">
        <v>422</v>
      </c>
      <c r="T793" s="602" t="s">
        <v>423</v>
      </c>
      <c r="U793" s="602" t="s">
        <v>1671</v>
      </c>
      <c r="V793" s="600"/>
      <c r="W793" s="601"/>
    </row>
    <row r="794" spans="1:23" s="135" customFormat="1" ht="15" customHeight="1">
      <c r="A794" s="306">
        <v>793</v>
      </c>
      <c r="B794" s="611" t="s">
        <v>1177</v>
      </c>
      <c r="C794" s="610"/>
      <c r="D794" s="611" t="s">
        <v>1178</v>
      </c>
      <c r="E794" s="498" t="s">
        <v>905</v>
      </c>
      <c r="F794" s="609">
        <v>2</v>
      </c>
      <c r="G794" s="609">
        <v>2</v>
      </c>
      <c r="H794" s="614">
        <f t="shared" si="35"/>
        <v>0</v>
      </c>
      <c r="I794" s="607">
        <v>43018</v>
      </c>
      <c r="J794" s="561" t="s">
        <v>1598</v>
      </c>
      <c r="K794" s="557">
        <v>703</v>
      </c>
      <c r="L794" s="607">
        <v>42904</v>
      </c>
      <c r="M794" s="616">
        <v>320</v>
      </c>
      <c r="N794" s="615">
        <f t="shared" si="36"/>
        <v>640</v>
      </c>
      <c r="O794" s="559" t="s">
        <v>587</v>
      </c>
      <c r="P794" s="602" t="s">
        <v>1597</v>
      </c>
      <c r="Q794" s="602"/>
      <c r="R794" s="377" t="s">
        <v>908</v>
      </c>
      <c r="S794" s="602" t="s">
        <v>422</v>
      </c>
      <c r="T794" s="602" t="s">
        <v>423</v>
      </c>
      <c r="U794" s="602" t="s">
        <v>1671</v>
      </c>
      <c r="V794" s="600"/>
      <c r="W794" s="601"/>
    </row>
    <row r="795" spans="1:23" s="135" customFormat="1" ht="15" customHeight="1">
      <c r="A795" s="306">
        <v>794</v>
      </c>
      <c r="B795" s="611" t="s">
        <v>1177</v>
      </c>
      <c r="C795" s="610"/>
      <c r="D795" s="611" t="s">
        <v>71</v>
      </c>
      <c r="E795" s="535" t="s">
        <v>1166</v>
      </c>
      <c r="F795" s="609">
        <v>28</v>
      </c>
      <c r="G795" s="609">
        <v>28</v>
      </c>
      <c r="H795" s="614">
        <f t="shared" si="35"/>
        <v>0</v>
      </c>
      <c r="I795" s="607">
        <v>43018</v>
      </c>
      <c r="J795" s="561" t="s">
        <v>1598</v>
      </c>
      <c r="K795" s="557">
        <v>703</v>
      </c>
      <c r="L795" s="607">
        <v>42904</v>
      </c>
      <c r="M795" s="616">
        <v>1915</v>
      </c>
      <c r="N795" s="615">
        <f t="shared" si="36"/>
        <v>53620</v>
      </c>
      <c r="O795" s="559" t="s">
        <v>587</v>
      </c>
      <c r="P795" s="602" t="s">
        <v>1597</v>
      </c>
      <c r="Q795" s="602"/>
      <c r="R795" s="377" t="s">
        <v>908</v>
      </c>
      <c r="S795" s="602" t="s">
        <v>422</v>
      </c>
      <c r="T795" s="602" t="s">
        <v>423</v>
      </c>
      <c r="U795" s="602" t="s">
        <v>1671</v>
      </c>
      <c r="V795" s="600"/>
      <c r="W795" s="601"/>
    </row>
    <row r="796" spans="1:23" s="135" customFormat="1" ht="15" customHeight="1">
      <c r="A796" s="306">
        <v>795</v>
      </c>
      <c r="B796" s="611" t="s">
        <v>1177</v>
      </c>
      <c r="C796" s="610"/>
      <c r="D796" s="611" t="s">
        <v>52</v>
      </c>
      <c r="E796" s="6" t="s">
        <v>50</v>
      </c>
      <c r="F796" s="609">
        <v>28</v>
      </c>
      <c r="G796" s="609">
        <v>28</v>
      </c>
      <c r="H796" s="614">
        <f t="shared" si="35"/>
        <v>0</v>
      </c>
      <c r="I796" s="607">
        <v>43018</v>
      </c>
      <c r="J796" s="561" t="s">
        <v>1598</v>
      </c>
      <c r="K796" s="557">
        <v>703</v>
      </c>
      <c r="L796" s="607">
        <v>42904</v>
      </c>
      <c r="M796" s="616">
        <v>1389</v>
      </c>
      <c r="N796" s="615">
        <f t="shared" si="36"/>
        <v>38892</v>
      </c>
      <c r="O796" s="559" t="s">
        <v>587</v>
      </c>
      <c r="P796" s="602" t="s">
        <v>1597</v>
      </c>
      <c r="Q796" s="602"/>
      <c r="R796" s="377" t="s">
        <v>908</v>
      </c>
      <c r="S796" s="602" t="s">
        <v>422</v>
      </c>
      <c r="T796" s="602" t="s">
        <v>423</v>
      </c>
      <c r="U796" s="602" t="s">
        <v>1671</v>
      </c>
      <c r="V796" s="600"/>
      <c r="W796" s="601"/>
    </row>
    <row r="797" spans="1:23" s="135" customFormat="1" ht="15" customHeight="1">
      <c r="A797" s="306">
        <v>796</v>
      </c>
      <c r="B797" s="611" t="s">
        <v>1177</v>
      </c>
      <c r="C797" s="610"/>
      <c r="D797" s="601" t="s">
        <v>1478</v>
      </c>
      <c r="E797" s="535" t="s">
        <v>1394</v>
      </c>
      <c r="F797" s="608">
        <v>6</v>
      </c>
      <c r="G797" s="608">
        <v>6</v>
      </c>
      <c r="H797" s="608">
        <f t="shared" si="35"/>
        <v>0</v>
      </c>
      <c r="I797" s="607">
        <v>43018</v>
      </c>
      <c r="J797" s="561" t="s">
        <v>1598</v>
      </c>
      <c r="K797" s="557">
        <v>703</v>
      </c>
      <c r="L797" s="607">
        <v>42904</v>
      </c>
      <c r="M797" s="378">
        <v>160</v>
      </c>
      <c r="N797" s="603">
        <f t="shared" si="36"/>
        <v>960</v>
      </c>
      <c r="O797" s="559" t="s">
        <v>587</v>
      </c>
      <c r="P797" s="602" t="s">
        <v>1597</v>
      </c>
      <c r="Q797" s="602"/>
      <c r="R797" s="377" t="s">
        <v>908</v>
      </c>
      <c r="S797" s="602" t="s">
        <v>422</v>
      </c>
      <c r="T797" s="602" t="s">
        <v>423</v>
      </c>
      <c r="U797" s="602" t="s">
        <v>1671</v>
      </c>
      <c r="V797" s="601"/>
      <c r="W797" s="276"/>
    </row>
    <row r="798" spans="1:23" s="135" customFormat="1" ht="15" hidden="1" customHeight="1">
      <c r="A798" s="306">
        <v>797</v>
      </c>
      <c r="B798" s="611" t="s">
        <v>1600</v>
      </c>
      <c r="C798" s="610"/>
      <c r="D798" s="601" t="s">
        <v>1588</v>
      </c>
      <c r="E798" s="331" t="s">
        <v>1589</v>
      </c>
      <c r="F798" s="608">
        <v>2</v>
      </c>
      <c r="G798" s="608">
        <v>2</v>
      </c>
      <c r="H798" s="608">
        <f t="shared" si="35"/>
        <v>0</v>
      </c>
      <c r="I798" s="607">
        <v>43018</v>
      </c>
      <c r="J798" s="561" t="s">
        <v>1637</v>
      </c>
      <c r="K798" s="557">
        <v>859</v>
      </c>
      <c r="L798" s="166">
        <v>43004</v>
      </c>
      <c r="M798" s="378">
        <v>650</v>
      </c>
      <c r="N798" s="603">
        <f t="shared" si="36"/>
        <v>1300</v>
      </c>
      <c r="O798" s="559" t="s">
        <v>587</v>
      </c>
      <c r="P798" s="602" t="s">
        <v>1599</v>
      </c>
      <c r="Q798" s="602" t="s">
        <v>1454</v>
      </c>
      <c r="R798" s="377" t="s">
        <v>908</v>
      </c>
      <c r="S798" s="602" t="s">
        <v>422</v>
      </c>
      <c r="T798" s="602" t="s">
        <v>423</v>
      </c>
      <c r="U798" s="602"/>
      <c r="V798" s="601"/>
      <c r="W798" s="549"/>
    </row>
    <row r="799" spans="1:23" s="135" customFormat="1" ht="15" hidden="1" customHeight="1">
      <c r="A799" s="306">
        <v>798</v>
      </c>
      <c r="B799" s="611">
        <v>20170329</v>
      </c>
      <c r="C799" s="610"/>
      <c r="D799" s="601" t="s">
        <v>1480</v>
      </c>
      <c r="E799" s="602" t="s">
        <v>1514</v>
      </c>
      <c r="F799" s="608">
        <v>8</v>
      </c>
      <c r="G799" s="608">
        <v>8</v>
      </c>
      <c r="H799" s="608">
        <f t="shared" si="35"/>
        <v>0</v>
      </c>
      <c r="I799" s="607">
        <v>43018</v>
      </c>
      <c r="J799" s="561" t="s">
        <v>1601</v>
      </c>
      <c r="K799" s="557">
        <v>876</v>
      </c>
      <c r="L799" s="166">
        <v>43017</v>
      </c>
      <c r="M799" s="378">
        <v>4057</v>
      </c>
      <c r="N799" s="603">
        <f t="shared" si="36"/>
        <v>32456</v>
      </c>
      <c r="O799" s="559" t="s">
        <v>587</v>
      </c>
      <c r="P799" s="602" t="s">
        <v>612</v>
      </c>
      <c r="Q799" s="602" t="s">
        <v>1602</v>
      </c>
      <c r="R799" s="377" t="s">
        <v>908</v>
      </c>
      <c r="S799" s="602" t="s">
        <v>422</v>
      </c>
      <c r="T799" s="602" t="s">
        <v>423</v>
      </c>
      <c r="U799" s="154"/>
      <c r="V799" s="601"/>
      <c r="W799" s="276"/>
    </row>
    <row r="800" spans="1:23" s="135" customFormat="1" ht="15" hidden="1" customHeight="1">
      <c r="A800" s="306">
        <v>799</v>
      </c>
      <c r="B800" s="611">
        <v>20170329</v>
      </c>
      <c r="C800" s="610"/>
      <c r="D800" s="601" t="s">
        <v>1505</v>
      </c>
      <c r="E800" s="602" t="s">
        <v>1539</v>
      </c>
      <c r="F800" s="608">
        <v>1</v>
      </c>
      <c r="G800" s="608">
        <v>1</v>
      </c>
      <c r="H800" s="608">
        <f t="shared" si="35"/>
        <v>0</v>
      </c>
      <c r="I800" s="607">
        <v>43018</v>
      </c>
      <c r="J800" s="561" t="s">
        <v>1601</v>
      </c>
      <c r="K800" s="557">
        <v>876</v>
      </c>
      <c r="L800" s="166">
        <v>43017</v>
      </c>
      <c r="M800" s="378">
        <v>54</v>
      </c>
      <c r="N800" s="603">
        <f t="shared" si="36"/>
        <v>54</v>
      </c>
      <c r="O800" s="559" t="s">
        <v>587</v>
      </c>
      <c r="P800" s="602" t="s">
        <v>612</v>
      </c>
      <c r="Q800" s="602" t="s">
        <v>1602</v>
      </c>
      <c r="R800" s="377" t="s">
        <v>908</v>
      </c>
      <c r="S800" s="602" t="s">
        <v>422</v>
      </c>
      <c r="T800" s="602" t="s">
        <v>423</v>
      </c>
      <c r="U800" s="602"/>
      <c r="V800" s="601"/>
      <c r="W800" s="276"/>
    </row>
    <row r="801" spans="1:23" s="135" customFormat="1" ht="15" hidden="1" customHeight="1">
      <c r="A801" s="306">
        <v>800</v>
      </c>
      <c r="B801" s="611">
        <v>20170329</v>
      </c>
      <c r="C801" s="610"/>
      <c r="D801" s="601" t="s">
        <v>1506</v>
      </c>
      <c r="E801" s="602" t="s">
        <v>1540</v>
      </c>
      <c r="F801" s="608">
        <v>1</v>
      </c>
      <c r="G801" s="608">
        <v>1</v>
      </c>
      <c r="H801" s="608">
        <f t="shared" si="35"/>
        <v>0</v>
      </c>
      <c r="I801" s="607">
        <v>43018</v>
      </c>
      <c r="J801" s="561" t="s">
        <v>1601</v>
      </c>
      <c r="K801" s="557">
        <v>876</v>
      </c>
      <c r="L801" s="166">
        <v>43017</v>
      </c>
      <c r="M801" s="378">
        <v>62</v>
      </c>
      <c r="N801" s="603">
        <f t="shared" si="36"/>
        <v>62</v>
      </c>
      <c r="O801" s="559" t="s">
        <v>587</v>
      </c>
      <c r="P801" s="602" t="s">
        <v>612</v>
      </c>
      <c r="Q801" s="602" t="s">
        <v>1602</v>
      </c>
      <c r="R801" s="377" t="s">
        <v>908</v>
      </c>
      <c r="S801" s="602" t="s">
        <v>422</v>
      </c>
      <c r="T801" s="602" t="s">
        <v>423</v>
      </c>
      <c r="U801" s="602"/>
      <c r="V801" s="601"/>
      <c r="W801" s="549"/>
    </row>
    <row r="802" spans="1:23" s="135" customFormat="1" ht="15" hidden="1" customHeight="1">
      <c r="A802" s="306">
        <v>801</v>
      </c>
      <c r="B802" s="611">
        <v>20170329</v>
      </c>
      <c r="C802" s="610"/>
      <c r="D802" s="601" t="s">
        <v>1507</v>
      </c>
      <c r="E802" s="602" t="s">
        <v>1541</v>
      </c>
      <c r="F802" s="608">
        <v>1</v>
      </c>
      <c r="G802" s="608">
        <v>1</v>
      </c>
      <c r="H802" s="608">
        <f t="shared" si="35"/>
        <v>0</v>
      </c>
      <c r="I802" s="607">
        <v>43018</v>
      </c>
      <c r="J802" s="561" t="s">
        <v>1601</v>
      </c>
      <c r="K802" s="557">
        <v>876</v>
      </c>
      <c r="L802" s="166">
        <v>43017</v>
      </c>
      <c r="M802" s="378">
        <v>2337</v>
      </c>
      <c r="N802" s="603">
        <f t="shared" si="36"/>
        <v>2337</v>
      </c>
      <c r="O802" s="559" t="s">
        <v>587</v>
      </c>
      <c r="P802" s="602" t="s">
        <v>612</v>
      </c>
      <c r="Q802" s="602" t="s">
        <v>1602</v>
      </c>
      <c r="R802" s="377" t="s">
        <v>908</v>
      </c>
      <c r="S802" s="602" t="s">
        <v>422</v>
      </c>
      <c r="T802" s="602" t="s">
        <v>423</v>
      </c>
      <c r="U802" s="602"/>
      <c r="V802" s="601"/>
    </row>
    <row r="803" spans="1:23" s="135" customFormat="1" ht="15" hidden="1" customHeight="1">
      <c r="A803" s="306">
        <v>802</v>
      </c>
      <c r="B803" s="611">
        <v>20170329</v>
      </c>
      <c r="C803" s="610"/>
      <c r="D803" s="185" t="s">
        <v>1508</v>
      </c>
      <c r="E803" s="600" t="s">
        <v>1542</v>
      </c>
      <c r="F803" s="609">
        <v>1</v>
      </c>
      <c r="G803" s="608">
        <v>1</v>
      </c>
      <c r="H803" s="608">
        <f t="shared" si="35"/>
        <v>0</v>
      </c>
      <c r="I803" s="607">
        <v>43018</v>
      </c>
      <c r="J803" s="561" t="s">
        <v>1601</v>
      </c>
      <c r="K803" s="557">
        <v>876</v>
      </c>
      <c r="L803" s="166">
        <v>43017</v>
      </c>
      <c r="M803" s="157">
        <v>437</v>
      </c>
      <c r="N803" s="603">
        <f t="shared" si="36"/>
        <v>437</v>
      </c>
      <c r="O803" s="559" t="s">
        <v>587</v>
      </c>
      <c r="P803" s="602" t="s">
        <v>612</v>
      </c>
      <c r="Q803" s="602" t="s">
        <v>1602</v>
      </c>
      <c r="R803" s="377" t="s">
        <v>908</v>
      </c>
      <c r="S803" s="602" t="s">
        <v>422</v>
      </c>
      <c r="T803" s="602" t="s">
        <v>423</v>
      </c>
      <c r="U803" s="67"/>
      <c r="V803" s="601"/>
    </row>
    <row r="804" spans="1:23" s="135" customFormat="1" ht="15" hidden="1" customHeight="1">
      <c r="A804" s="306">
        <v>803</v>
      </c>
      <c r="B804" s="611">
        <v>20170329</v>
      </c>
      <c r="C804" s="610"/>
      <c r="D804" s="185" t="s">
        <v>1509</v>
      </c>
      <c r="E804" s="600" t="s">
        <v>1543</v>
      </c>
      <c r="F804" s="609">
        <v>1</v>
      </c>
      <c r="G804" s="608">
        <v>1</v>
      </c>
      <c r="H804" s="608">
        <f t="shared" si="35"/>
        <v>0</v>
      </c>
      <c r="I804" s="607">
        <v>43018</v>
      </c>
      <c r="J804" s="561" t="s">
        <v>1601</v>
      </c>
      <c r="K804" s="557">
        <v>876</v>
      </c>
      <c r="L804" s="166">
        <v>43017</v>
      </c>
      <c r="M804" s="164">
        <v>1909</v>
      </c>
      <c r="N804" s="603">
        <f t="shared" si="36"/>
        <v>1909</v>
      </c>
      <c r="O804" s="559" t="s">
        <v>587</v>
      </c>
      <c r="P804" s="602" t="s">
        <v>612</v>
      </c>
      <c r="Q804" s="602" t="s">
        <v>1602</v>
      </c>
      <c r="R804" s="377" t="s">
        <v>908</v>
      </c>
      <c r="S804" s="602" t="s">
        <v>422</v>
      </c>
      <c r="T804" s="602" t="s">
        <v>423</v>
      </c>
      <c r="U804" s="67"/>
      <c r="V804" s="601"/>
    </row>
    <row r="805" spans="1:23" s="135" customFormat="1" ht="15" hidden="1" customHeight="1">
      <c r="A805" s="306">
        <v>804</v>
      </c>
      <c r="B805" s="611">
        <v>20170329</v>
      </c>
      <c r="C805" s="610"/>
      <c r="D805" s="601" t="s">
        <v>1510</v>
      </c>
      <c r="E805" s="602" t="s">
        <v>1544</v>
      </c>
      <c r="F805" s="609">
        <v>1</v>
      </c>
      <c r="G805" s="608">
        <v>1</v>
      </c>
      <c r="H805" s="608">
        <f t="shared" si="35"/>
        <v>0</v>
      </c>
      <c r="I805" s="607">
        <v>43018</v>
      </c>
      <c r="J805" s="561" t="s">
        <v>1601</v>
      </c>
      <c r="K805" s="557">
        <v>876</v>
      </c>
      <c r="L805" s="166">
        <v>43017</v>
      </c>
      <c r="M805" s="604">
        <v>578</v>
      </c>
      <c r="N805" s="603">
        <f t="shared" si="36"/>
        <v>578</v>
      </c>
      <c r="O805" s="559" t="s">
        <v>587</v>
      </c>
      <c r="P805" s="602" t="s">
        <v>612</v>
      </c>
      <c r="Q805" s="602" t="s">
        <v>1602</v>
      </c>
      <c r="R805" s="377" t="s">
        <v>908</v>
      </c>
      <c r="S805" s="602" t="s">
        <v>422</v>
      </c>
      <c r="T805" s="602" t="s">
        <v>423</v>
      </c>
      <c r="U805" s="67"/>
      <c r="V805" s="601"/>
      <c r="W805" s="276"/>
    </row>
    <row r="806" spans="1:23" s="135" customFormat="1" ht="15" hidden="1" customHeight="1">
      <c r="A806" s="306">
        <v>805</v>
      </c>
      <c r="B806" s="611">
        <v>20170329</v>
      </c>
      <c r="C806" s="610"/>
      <c r="D806" s="601" t="s">
        <v>1511</v>
      </c>
      <c r="E806" s="602" t="s">
        <v>1545</v>
      </c>
      <c r="F806" s="608">
        <v>1</v>
      </c>
      <c r="G806" s="608">
        <v>1</v>
      </c>
      <c r="H806" s="608">
        <f t="shared" si="35"/>
        <v>0</v>
      </c>
      <c r="I806" s="607">
        <v>43018</v>
      </c>
      <c r="J806" s="561" t="s">
        <v>1601</v>
      </c>
      <c r="K806" s="557">
        <v>876</v>
      </c>
      <c r="L806" s="166">
        <v>43017</v>
      </c>
      <c r="M806" s="604">
        <v>889</v>
      </c>
      <c r="N806" s="603">
        <f t="shared" si="36"/>
        <v>889</v>
      </c>
      <c r="O806" s="559" t="s">
        <v>587</v>
      </c>
      <c r="P806" s="602" t="s">
        <v>612</v>
      </c>
      <c r="Q806" s="602" t="s">
        <v>1602</v>
      </c>
      <c r="R806" s="377" t="s">
        <v>908</v>
      </c>
      <c r="S806" s="602" t="s">
        <v>422</v>
      </c>
      <c r="T806" s="602" t="s">
        <v>423</v>
      </c>
      <c r="U806" s="600"/>
      <c r="V806" s="601"/>
      <c r="W806" s="276"/>
    </row>
    <row r="807" spans="1:23" s="135" customFormat="1" ht="15" hidden="1" customHeight="1">
      <c r="A807" s="306">
        <v>806</v>
      </c>
      <c r="B807" s="611">
        <v>20170329</v>
      </c>
      <c r="C807" s="610"/>
      <c r="D807" s="613" t="s">
        <v>1512</v>
      </c>
      <c r="E807" s="559" t="s">
        <v>1546</v>
      </c>
      <c r="F807" s="608">
        <v>1</v>
      </c>
      <c r="G807" s="608">
        <v>1</v>
      </c>
      <c r="H807" s="608">
        <f t="shared" si="35"/>
        <v>0</v>
      </c>
      <c r="I807" s="607">
        <v>43018</v>
      </c>
      <c r="J807" s="561" t="s">
        <v>1601</v>
      </c>
      <c r="K807" s="557">
        <v>876</v>
      </c>
      <c r="L807" s="166">
        <v>43017</v>
      </c>
      <c r="M807" s="604">
        <v>238</v>
      </c>
      <c r="N807" s="603">
        <f t="shared" si="36"/>
        <v>238</v>
      </c>
      <c r="O807" s="559" t="s">
        <v>587</v>
      </c>
      <c r="P807" s="602" t="s">
        <v>612</v>
      </c>
      <c r="Q807" s="602" t="s">
        <v>1602</v>
      </c>
      <c r="R807" s="377" t="s">
        <v>908</v>
      </c>
      <c r="S807" s="602" t="s">
        <v>422</v>
      </c>
      <c r="T807" s="602" t="s">
        <v>423</v>
      </c>
      <c r="U807" s="67"/>
      <c r="V807" s="601"/>
      <c r="W807" s="549"/>
    </row>
    <row r="808" spans="1:23" s="135" customFormat="1" ht="15" hidden="1" customHeight="1">
      <c r="A808" s="306">
        <v>807</v>
      </c>
      <c r="B808" s="611">
        <v>20170329</v>
      </c>
      <c r="C808" s="610"/>
      <c r="D808" s="613" t="s">
        <v>1513</v>
      </c>
      <c r="E808" s="559" t="s">
        <v>1547</v>
      </c>
      <c r="F808" s="608">
        <v>6</v>
      </c>
      <c r="G808" s="608">
        <v>6</v>
      </c>
      <c r="H808" s="608">
        <f t="shared" si="35"/>
        <v>0</v>
      </c>
      <c r="I808" s="607">
        <v>43018</v>
      </c>
      <c r="J808" s="561" t="s">
        <v>1601</v>
      </c>
      <c r="K808" s="557">
        <v>876</v>
      </c>
      <c r="L808" s="166">
        <v>43017</v>
      </c>
      <c r="M808" s="604">
        <v>486</v>
      </c>
      <c r="N808" s="603">
        <f t="shared" si="36"/>
        <v>2916</v>
      </c>
      <c r="O808" s="559" t="s">
        <v>587</v>
      </c>
      <c r="P808" s="602" t="s">
        <v>612</v>
      </c>
      <c r="Q808" s="602" t="s">
        <v>1602</v>
      </c>
      <c r="R808" s="377" t="s">
        <v>908</v>
      </c>
      <c r="S808" s="602" t="s">
        <v>422</v>
      </c>
      <c r="T808" s="602" t="s">
        <v>423</v>
      </c>
      <c r="U808" s="600"/>
      <c r="V808" s="601"/>
    </row>
    <row r="809" spans="1:23" s="135" customFormat="1" ht="15" hidden="1" customHeight="1">
      <c r="A809" s="306">
        <v>808</v>
      </c>
      <c r="B809" s="611" t="s">
        <v>1604</v>
      </c>
      <c r="C809" s="161"/>
      <c r="D809" s="601" t="s">
        <v>73</v>
      </c>
      <c r="E809" s="602" t="s">
        <v>72</v>
      </c>
      <c r="F809" s="608">
        <v>1</v>
      </c>
      <c r="G809" s="372">
        <v>1</v>
      </c>
      <c r="H809" s="372">
        <f t="shared" si="35"/>
        <v>0</v>
      </c>
      <c r="I809" s="160">
        <v>43019</v>
      </c>
      <c r="J809" s="606" t="s">
        <v>584</v>
      </c>
      <c r="K809" s="240">
        <v>830</v>
      </c>
      <c r="L809" s="605">
        <v>42988</v>
      </c>
      <c r="M809" s="604">
        <v>23895</v>
      </c>
      <c r="N809" s="603">
        <f t="shared" si="36"/>
        <v>23895</v>
      </c>
      <c r="O809" s="559" t="s">
        <v>587</v>
      </c>
      <c r="P809" s="603" t="s">
        <v>555</v>
      </c>
      <c r="Q809" s="154" t="s">
        <v>1603</v>
      </c>
      <c r="R809" s="377" t="s">
        <v>908</v>
      </c>
      <c r="S809" s="602" t="s">
        <v>422</v>
      </c>
      <c r="T809" s="602" t="s">
        <v>423</v>
      </c>
      <c r="U809" s="67"/>
      <c r="V809" s="153"/>
      <c r="W809" s="549"/>
    </row>
    <row r="810" spans="1:23" s="135" customFormat="1" ht="15" hidden="1" customHeight="1">
      <c r="A810" s="306">
        <v>809</v>
      </c>
      <c r="B810" s="611" t="s">
        <v>1604</v>
      </c>
      <c r="C810" s="161"/>
      <c r="D810" s="601" t="s">
        <v>448</v>
      </c>
      <c r="E810" s="602" t="s">
        <v>449</v>
      </c>
      <c r="F810" s="608">
        <v>1</v>
      </c>
      <c r="G810" s="372">
        <v>1</v>
      </c>
      <c r="H810" s="372">
        <f t="shared" si="35"/>
        <v>0</v>
      </c>
      <c r="I810" s="607">
        <v>43019</v>
      </c>
      <c r="J810" s="606" t="s">
        <v>584</v>
      </c>
      <c r="K810" s="240">
        <v>830</v>
      </c>
      <c r="L810" s="605">
        <v>42988</v>
      </c>
      <c r="M810" s="604">
        <v>29900</v>
      </c>
      <c r="N810" s="603">
        <f t="shared" si="36"/>
        <v>29900</v>
      </c>
      <c r="O810" s="559" t="s">
        <v>587</v>
      </c>
      <c r="P810" s="603" t="s">
        <v>555</v>
      </c>
      <c r="Q810" s="602" t="s">
        <v>1603</v>
      </c>
      <c r="R810" s="377" t="s">
        <v>908</v>
      </c>
      <c r="S810" s="602" t="s">
        <v>422</v>
      </c>
      <c r="T810" s="602" t="s">
        <v>423</v>
      </c>
      <c r="U810" s="67"/>
      <c r="V810" s="153"/>
      <c r="W810" s="549"/>
    </row>
    <row r="811" spans="1:23" s="135" customFormat="1" ht="15" hidden="1" customHeight="1">
      <c r="A811" s="306">
        <v>810</v>
      </c>
      <c r="B811" s="611" t="s">
        <v>1605</v>
      </c>
      <c r="C811" s="610"/>
      <c r="D811" s="601" t="s">
        <v>51</v>
      </c>
      <c r="E811" s="602" t="s">
        <v>50</v>
      </c>
      <c r="F811" s="608">
        <v>2</v>
      </c>
      <c r="G811" s="608">
        <v>2</v>
      </c>
      <c r="H811" s="608">
        <f t="shared" si="35"/>
        <v>0</v>
      </c>
      <c r="I811" s="607">
        <v>43019</v>
      </c>
      <c r="J811" s="606" t="s">
        <v>1572</v>
      </c>
      <c r="K811" s="240">
        <v>881</v>
      </c>
      <c r="L811" s="605">
        <v>43018</v>
      </c>
      <c r="M811" s="604">
        <v>3800</v>
      </c>
      <c r="N811" s="603">
        <f t="shared" si="36"/>
        <v>7600</v>
      </c>
      <c r="O811" s="559" t="s">
        <v>587</v>
      </c>
      <c r="P811" s="603" t="s">
        <v>612</v>
      </c>
      <c r="Q811" s="602" t="s">
        <v>1573</v>
      </c>
      <c r="R811" s="377" t="s">
        <v>908</v>
      </c>
      <c r="S811" s="602" t="s">
        <v>422</v>
      </c>
      <c r="T811" s="602" t="s">
        <v>423</v>
      </c>
      <c r="U811" s="600"/>
      <c r="V811" s="601"/>
      <c r="W811" s="276"/>
    </row>
    <row r="812" spans="1:23" s="135" customFormat="1" ht="15" hidden="1" customHeight="1">
      <c r="A812" s="306">
        <v>811</v>
      </c>
      <c r="B812" s="611" t="s">
        <v>1607</v>
      </c>
      <c r="C812" s="610"/>
      <c r="D812" s="601" t="s">
        <v>49</v>
      </c>
      <c r="E812" s="350" t="s">
        <v>48</v>
      </c>
      <c r="F812" s="608">
        <v>2</v>
      </c>
      <c r="G812" s="608">
        <v>2</v>
      </c>
      <c r="H812" s="608">
        <f t="shared" si="35"/>
        <v>0</v>
      </c>
      <c r="I812" s="607">
        <v>43020</v>
      </c>
      <c r="J812" s="606" t="s">
        <v>1606</v>
      </c>
      <c r="K812" s="557">
        <v>871</v>
      </c>
      <c r="L812" s="605">
        <v>43016</v>
      </c>
      <c r="M812" s="604">
        <v>8900</v>
      </c>
      <c r="N812" s="603">
        <f t="shared" si="36"/>
        <v>17800</v>
      </c>
      <c r="O812" s="559" t="s">
        <v>587</v>
      </c>
      <c r="P812" s="603" t="s">
        <v>612</v>
      </c>
      <c r="Q812" s="602" t="s">
        <v>1620</v>
      </c>
      <c r="R812" s="377" t="s">
        <v>908</v>
      </c>
      <c r="S812" s="602" t="s">
        <v>422</v>
      </c>
      <c r="T812" s="602" t="s">
        <v>423</v>
      </c>
      <c r="U812" s="600"/>
      <c r="V812" s="601"/>
    </row>
    <row r="813" spans="1:23" s="135" customFormat="1" ht="15" hidden="1" customHeight="1">
      <c r="A813" s="306">
        <v>812</v>
      </c>
      <c r="B813" s="611" t="s">
        <v>1608</v>
      </c>
      <c r="C813" s="610"/>
      <c r="D813" s="601" t="s">
        <v>37</v>
      </c>
      <c r="E813" s="6" t="s">
        <v>36</v>
      </c>
      <c r="F813" s="608">
        <v>4</v>
      </c>
      <c r="G813" s="608">
        <v>4</v>
      </c>
      <c r="H813" s="608">
        <f t="shared" si="35"/>
        <v>0</v>
      </c>
      <c r="I813" s="607">
        <v>43020</v>
      </c>
      <c r="J813" s="606" t="s">
        <v>1606</v>
      </c>
      <c r="K813" s="557">
        <v>872</v>
      </c>
      <c r="L813" s="605">
        <v>43016</v>
      </c>
      <c r="M813" s="604">
        <v>7600</v>
      </c>
      <c r="N813" s="603">
        <f t="shared" si="36"/>
        <v>30400</v>
      </c>
      <c r="O813" s="559" t="s">
        <v>587</v>
      </c>
      <c r="P813" s="603" t="s">
        <v>612</v>
      </c>
      <c r="Q813" s="602" t="s">
        <v>1620</v>
      </c>
      <c r="R813" s="377" t="s">
        <v>908</v>
      </c>
      <c r="S813" s="602" t="s">
        <v>422</v>
      </c>
      <c r="T813" s="602" t="s">
        <v>423</v>
      </c>
      <c r="U813" s="600"/>
      <c r="V813" s="601"/>
    </row>
    <row r="814" spans="1:23" s="135" customFormat="1" ht="15" hidden="1" customHeight="1">
      <c r="A814" s="306">
        <v>813</v>
      </c>
      <c r="B814" s="611"/>
      <c r="C814" s="610"/>
      <c r="D814" s="601" t="s">
        <v>1609</v>
      </c>
      <c r="E814" s="521" t="s">
        <v>1610</v>
      </c>
      <c r="F814" s="608">
        <v>1</v>
      </c>
      <c r="G814" s="608">
        <v>1</v>
      </c>
      <c r="H814" s="608">
        <f t="shared" si="35"/>
        <v>0</v>
      </c>
      <c r="I814" s="607">
        <v>43018</v>
      </c>
      <c r="J814" s="159" t="s">
        <v>1613</v>
      </c>
      <c r="K814" s="557">
        <v>882</v>
      </c>
      <c r="L814" s="605">
        <v>43018</v>
      </c>
      <c r="M814" s="604">
        <v>180</v>
      </c>
      <c r="N814" s="603">
        <f t="shared" si="36"/>
        <v>180</v>
      </c>
      <c r="O814" s="559" t="s">
        <v>587</v>
      </c>
      <c r="P814" s="602" t="s">
        <v>1614</v>
      </c>
      <c r="Q814" s="602" t="s">
        <v>1615</v>
      </c>
      <c r="R814" s="377" t="s">
        <v>908</v>
      </c>
      <c r="S814" s="602" t="s">
        <v>422</v>
      </c>
      <c r="T814" s="602" t="s">
        <v>423</v>
      </c>
      <c r="U814" s="600"/>
      <c r="V814" s="601"/>
    </row>
    <row r="815" spans="1:23" s="135" customFormat="1" ht="15" hidden="1" customHeight="1">
      <c r="A815" s="306">
        <v>814</v>
      </c>
      <c r="B815" s="611"/>
      <c r="C815" s="610"/>
      <c r="D815" s="601" t="s">
        <v>385</v>
      </c>
      <c r="E815" s="521" t="s">
        <v>387</v>
      </c>
      <c r="F815" s="608">
        <v>1</v>
      </c>
      <c r="G815" s="608">
        <v>1</v>
      </c>
      <c r="H815" s="608">
        <f t="shared" si="35"/>
        <v>0</v>
      </c>
      <c r="I815" s="607">
        <v>43018</v>
      </c>
      <c r="J815" s="606" t="s">
        <v>1613</v>
      </c>
      <c r="K815" s="557">
        <v>882</v>
      </c>
      <c r="L815" s="605">
        <v>43018</v>
      </c>
      <c r="M815" s="604">
        <v>200</v>
      </c>
      <c r="N815" s="603">
        <f t="shared" si="36"/>
        <v>200</v>
      </c>
      <c r="O815" s="559" t="s">
        <v>587</v>
      </c>
      <c r="P815" s="602" t="s">
        <v>1614</v>
      </c>
      <c r="Q815" s="602"/>
      <c r="R815" s="377" t="s">
        <v>908</v>
      </c>
      <c r="S815" s="602" t="s">
        <v>422</v>
      </c>
      <c r="T815" s="602" t="s">
        <v>423</v>
      </c>
      <c r="U815" s="600"/>
      <c r="V815" s="601"/>
    </row>
    <row r="816" spans="1:23" s="135" customFormat="1" ht="15" hidden="1" customHeight="1">
      <c r="A816" s="306">
        <v>815</v>
      </c>
      <c r="B816" s="611"/>
      <c r="C816" s="610"/>
      <c r="D816" s="601" t="s">
        <v>1611</v>
      </c>
      <c r="E816" s="521" t="s">
        <v>1612</v>
      </c>
      <c r="F816" s="608">
        <v>2</v>
      </c>
      <c r="G816" s="608">
        <v>2</v>
      </c>
      <c r="H816" s="608">
        <f t="shared" si="35"/>
        <v>0</v>
      </c>
      <c r="I816" s="607">
        <v>43018</v>
      </c>
      <c r="J816" s="606" t="s">
        <v>1613</v>
      </c>
      <c r="K816" s="557">
        <v>882</v>
      </c>
      <c r="L816" s="605">
        <v>43018</v>
      </c>
      <c r="M816" s="604">
        <v>2050</v>
      </c>
      <c r="N816" s="603">
        <f t="shared" si="36"/>
        <v>4100</v>
      </c>
      <c r="O816" s="559" t="s">
        <v>587</v>
      </c>
      <c r="P816" s="602" t="s">
        <v>1614</v>
      </c>
      <c r="Q816" s="602"/>
      <c r="R816" s="377" t="s">
        <v>908</v>
      </c>
      <c r="S816" s="602" t="s">
        <v>422</v>
      </c>
      <c r="T816" s="602" t="s">
        <v>423</v>
      </c>
      <c r="U816" s="600"/>
      <c r="V816" s="601"/>
    </row>
    <row r="817" spans="1:23" s="135" customFormat="1" ht="15" hidden="1" customHeight="1">
      <c r="A817" s="306">
        <v>816</v>
      </c>
      <c r="B817" s="162"/>
      <c r="C817" s="161"/>
      <c r="D817" s="601" t="s">
        <v>182</v>
      </c>
      <c r="E817" s="521" t="s">
        <v>181</v>
      </c>
      <c r="F817" s="608">
        <v>1</v>
      </c>
      <c r="G817" s="608">
        <v>1</v>
      </c>
      <c r="H817" s="608">
        <f t="shared" si="35"/>
        <v>0</v>
      </c>
      <c r="I817" s="607">
        <v>43018</v>
      </c>
      <c r="J817" s="606" t="s">
        <v>1613</v>
      </c>
      <c r="K817" s="557">
        <v>880</v>
      </c>
      <c r="L817" s="605">
        <v>43018</v>
      </c>
      <c r="M817" s="604">
        <v>5420</v>
      </c>
      <c r="N817" s="603">
        <f t="shared" si="36"/>
        <v>5420</v>
      </c>
      <c r="O817" s="559" t="s">
        <v>587</v>
      </c>
      <c r="P817" s="602" t="s">
        <v>1614</v>
      </c>
      <c r="Q817" s="602" t="s">
        <v>1615</v>
      </c>
      <c r="R817" s="377" t="s">
        <v>908</v>
      </c>
      <c r="S817" s="602" t="s">
        <v>422</v>
      </c>
      <c r="T817" s="602" t="s">
        <v>423</v>
      </c>
      <c r="U817" s="600"/>
      <c r="V817" s="153"/>
      <c r="W817" s="276"/>
    </row>
    <row r="818" spans="1:23" s="135" customFormat="1" ht="15" hidden="1" customHeight="1">
      <c r="A818" s="306">
        <v>817</v>
      </c>
      <c r="B818" s="162"/>
      <c r="C818" s="161"/>
      <c r="D818" s="601" t="s">
        <v>1180</v>
      </c>
      <c r="E818" s="499" t="s">
        <v>1182</v>
      </c>
      <c r="F818" s="608">
        <v>1</v>
      </c>
      <c r="G818" s="608">
        <v>1</v>
      </c>
      <c r="H818" s="608">
        <f t="shared" si="35"/>
        <v>0</v>
      </c>
      <c r="I818" s="607">
        <v>43018</v>
      </c>
      <c r="J818" s="606" t="s">
        <v>1613</v>
      </c>
      <c r="K818" s="557">
        <v>880</v>
      </c>
      <c r="L818" s="605">
        <v>43018</v>
      </c>
      <c r="M818" s="604">
        <v>2850</v>
      </c>
      <c r="N818" s="603">
        <f t="shared" si="36"/>
        <v>2850</v>
      </c>
      <c r="O818" s="559" t="s">
        <v>587</v>
      </c>
      <c r="P818" s="602" t="s">
        <v>1614</v>
      </c>
      <c r="Q818" s="602" t="s">
        <v>1615</v>
      </c>
      <c r="R818" s="377" t="s">
        <v>908</v>
      </c>
      <c r="S818" s="602" t="s">
        <v>422</v>
      </c>
      <c r="T818" s="602" t="s">
        <v>423</v>
      </c>
      <c r="U818" s="600"/>
      <c r="V818" s="153"/>
      <c r="W818" s="276"/>
    </row>
    <row r="819" spans="1:23" s="135" customFormat="1" ht="15" hidden="1" customHeight="1">
      <c r="A819" s="306">
        <v>818</v>
      </c>
      <c r="B819" s="162"/>
      <c r="C819" s="161"/>
      <c r="D819" s="601" t="s">
        <v>30</v>
      </c>
      <c r="E819" s="602" t="s">
        <v>28</v>
      </c>
      <c r="F819" s="608">
        <v>1</v>
      </c>
      <c r="G819" s="608">
        <v>1</v>
      </c>
      <c r="H819" s="608">
        <f t="shared" si="35"/>
        <v>0</v>
      </c>
      <c r="I819" s="607">
        <v>43018</v>
      </c>
      <c r="J819" s="606" t="s">
        <v>1613</v>
      </c>
      <c r="K819" s="557">
        <v>880</v>
      </c>
      <c r="L819" s="605">
        <v>43018</v>
      </c>
      <c r="M819" s="378">
        <v>0</v>
      </c>
      <c r="N819" s="603">
        <f t="shared" si="36"/>
        <v>0</v>
      </c>
      <c r="O819" s="559" t="s">
        <v>587</v>
      </c>
      <c r="P819" s="602" t="s">
        <v>1614</v>
      </c>
      <c r="Q819" s="602" t="s">
        <v>1615</v>
      </c>
      <c r="R819" s="377" t="s">
        <v>908</v>
      </c>
      <c r="S819" s="602" t="s">
        <v>422</v>
      </c>
      <c r="T819" s="602" t="s">
        <v>423</v>
      </c>
      <c r="U819" s="600"/>
      <c r="V819" s="601"/>
      <c r="W819" s="549"/>
    </row>
    <row r="820" spans="1:23" s="135" customFormat="1" ht="15" hidden="1" customHeight="1">
      <c r="A820" s="306">
        <v>819</v>
      </c>
      <c r="B820" s="162" t="s">
        <v>1619</v>
      </c>
      <c r="C820" s="161"/>
      <c r="D820" s="601" t="s">
        <v>219</v>
      </c>
      <c r="E820" s="6" t="s">
        <v>218</v>
      </c>
      <c r="F820" s="608">
        <v>2</v>
      </c>
      <c r="G820" s="608">
        <v>2</v>
      </c>
      <c r="H820" s="608">
        <f t="shared" si="35"/>
        <v>0</v>
      </c>
      <c r="I820" s="160">
        <v>43020</v>
      </c>
      <c r="J820" s="606" t="s">
        <v>1618</v>
      </c>
      <c r="K820" s="240">
        <v>886</v>
      </c>
      <c r="L820" s="166">
        <v>43020</v>
      </c>
      <c r="M820" s="378">
        <v>2000</v>
      </c>
      <c r="N820" s="603">
        <f t="shared" si="36"/>
        <v>4000</v>
      </c>
      <c r="O820" s="559" t="s">
        <v>587</v>
      </c>
      <c r="P820" s="602" t="s">
        <v>1614</v>
      </c>
      <c r="Q820" s="154"/>
      <c r="R820" s="377" t="s">
        <v>908</v>
      </c>
      <c r="S820" s="602" t="s">
        <v>422</v>
      </c>
      <c r="T820" s="154" t="s">
        <v>423</v>
      </c>
      <c r="U820" s="600"/>
      <c r="V820" s="601"/>
      <c r="W820" s="549"/>
    </row>
    <row r="821" spans="1:23" s="135" customFormat="1" ht="15" hidden="1" customHeight="1">
      <c r="A821" s="306">
        <v>820</v>
      </c>
      <c r="B821" s="162" t="s">
        <v>1621</v>
      </c>
      <c r="C821" s="161"/>
      <c r="D821" s="181" t="s">
        <v>49</v>
      </c>
      <c r="E821" s="350" t="s">
        <v>48</v>
      </c>
      <c r="F821" s="373">
        <v>1</v>
      </c>
      <c r="G821" s="373">
        <v>1</v>
      </c>
      <c r="H821" s="608">
        <f t="shared" si="35"/>
        <v>0</v>
      </c>
      <c r="I821" s="160">
        <v>43023</v>
      </c>
      <c r="J821" s="155" t="s">
        <v>1405</v>
      </c>
      <c r="K821" s="240">
        <v>892</v>
      </c>
      <c r="L821" s="166">
        <v>43020</v>
      </c>
      <c r="M821" s="378">
        <v>8860</v>
      </c>
      <c r="N821" s="603">
        <f t="shared" si="36"/>
        <v>8860</v>
      </c>
      <c r="O821" s="559" t="s">
        <v>587</v>
      </c>
      <c r="P821" s="154" t="s">
        <v>612</v>
      </c>
      <c r="Q821" s="154" t="s">
        <v>1622</v>
      </c>
      <c r="R821" s="377" t="s">
        <v>908</v>
      </c>
      <c r="S821" s="602" t="s">
        <v>422</v>
      </c>
      <c r="T821" s="602" t="s">
        <v>423</v>
      </c>
      <c r="U821" s="600"/>
      <c r="V821" s="601"/>
      <c r="W821" s="276"/>
    </row>
    <row r="822" spans="1:23" s="135" customFormat="1" ht="15" hidden="1" customHeight="1">
      <c r="A822" s="306">
        <v>821</v>
      </c>
      <c r="B822" s="611" t="s">
        <v>1621</v>
      </c>
      <c r="C822" s="161"/>
      <c r="D822" s="181" t="s">
        <v>35</v>
      </c>
      <c r="E822" s="6" t="s">
        <v>50</v>
      </c>
      <c r="F822" s="373">
        <v>2</v>
      </c>
      <c r="G822" s="373">
        <v>2</v>
      </c>
      <c r="H822" s="608">
        <f t="shared" si="35"/>
        <v>0</v>
      </c>
      <c r="I822" s="607">
        <v>43023</v>
      </c>
      <c r="J822" s="561" t="s">
        <v>1405</v>
      </c>
      <c r="K822" s="557">
        <v>892</v>
      </c>
      <c r="L822" s="166">
        <v>43020</v>
      </c>
      <c r="M822" s="378">
        <v>2700</v>
      </c>
      <c r="N822" s="603">
        <f t="shared" si="36"/>
        <v>5400</v>
      </c>
      <c r="O822" s="559" t="s">
        <v>587</v>
      </c>
      <c r="P822" s="602" t="s">
        <v>612</v>
      </c>
      <c r="Q822" s="602" t="s">
        <v>1622</v>
      </c>
      <c r="R822" s="377" t="s">
        <v>908</v>
      </c>
      <c r="S822" s="602" t="s">
        <v>422</v>
      </c>
      <c r="T822" s="602" t="s">
        <v>423</v>
      </c>
      <c r="U822" s="600"/>
      <c r="V822" s="601"/>
      <c r="W822" s="549"/>
    </row>
    <row r="823" spans="1:23" s="135" customFormat="1" ht="15" hidden="1" customHeight="1">
      <c r="A823" s="306">
        <v>822</v>
      </c>
      <c r="B823" s="611" t="s">
        <v>1621</v>
      </c>
      <c r="C823" s="161"/>
      <c r="D823" s="181" t="s">
        <v>29</v>
      </c>
      <c r="E823" s="600" t="s">
        <v>28</v>
      </c>
      <c r="F823" s="373">
        <v>3</v>
      </c>
      <c r="G823" s="373">
        <v>3</v>
      </c>
      <c r="H823" s="608">
        <f t="shared" si="35"/>
        <v>0</v>
      </c>
      <c r="I823" s="607">
        <v>43023</v>
      </c>
      <c r="J823" s="561" t="s">
        <v>1405</v>
      </c>
      <c r="K823" s="557">
        <v>892</v>
      </c>
      <c r="L823" s="166">
        <v>43020</v>
      </c>
      <c r="M823" s="378">
        <v>465</v>
      </c>
      <c r="N823" s="603">
        <f t="shared" si="36"/>
        <v>1395</v>
      </c>
      <c r="O823" s="559" t="s">
        <v>587</v>
      </c>
      <c r="P823" s="602" t="s">
        <v>612</v>
      </c>
      <c r="Q823" s="602" t="s">
        <v>1622</v>
      </c>
      <c r="R823" s="377" t="s">
        <v>908</v>
      </c>
      <c r="S823" s="602" t="s">
        <v>422</v>
      </c>
      <c r="T823" s="602" t="s">
        <v>423</v>
      </c>
      <c r="U823" s="600"/>
      <c r="V823" s="601"/>
    </row>
    <row r="824" spans="1:23" s="135" customFormat="1" ht="15" hidden="1" customHeight="1">
      <c r="A824" s="306">
        <v>823</v>
      </c>
      <c r="B824" s="611" t="s">
        <v>1621</v>
      </c>
      <c r="C824" s="161"/>
      <c r="D824" s="558" t="s">
        <v>62</v>
      </c>
      <c r="E824" s="350" t="s">
        <v>61</v>
      </c>
      <c r="F824" s="373">
        <v>6</v>
      </c>
      <c r="G824" s="373">
        <v>6</v>
      </c>
      <c r="H824" s="608">
        <f t="shared" si="35"/>
        <v>0</v>
      </c>
      <c r="I824" s="607">
        <v>43023</v>
      </c>
      <c r="J824" s="561" t="s">
        <v>1405</v>
      </c>
      <c r="K824" s="557">
        <v>892</v>
      </c>
      <c r="L824" s="166">
        <v>43020</v>
      </c>
      <c r="M824" s="378">
        <v>1780</v>
      </c>
      <c r="N824" s="603">
        <f t="shared" si="36"/>
        <v>10680</v>
      </c>
      <c r="O824" s="559" t="s">
        <v>587</v>
      </c>
      <c r="P824" s="602" t="s">
        <v>612</v>
      </c>
      <c r="Q824" s="602" t="s">
        <v>1622</v>
      </c>
      <c r="R824" s="377" t="s">
        <v>908</v>
      </c>
      <c r="S824" s="602" t="s">
        <v>422</v>
      </c>
      <c r="T824" s="602" t="s">
        <v>423</v>
      </c>
      <c r="U824" s="600"/>
      <c r="V824" s="153"/>
      <c r="W824" s="276"/>
    </row>
    <row r="825" spans="1:23" s="135" customFormat="1" ht="15" hidden="1" customHeight="1">
      <c r="A825" s="306">
        <v>824</v>
      </c>
      <c r="B825" s="162">
        <v>1476248</v>
      </c>
      <c r="C825" s="161"/>
      <c r="D825" s="181" t="s">
        <v>225</v>
      </c>
      <c r="E825" s="350" t="s">
        <v>942</v>
      </c>
      <c r="F825" s="373">
        <v>20</v>
      </c>
      <c r="G825" s="373">
        <v>20</v>
      </c>
      <c r="H825" s="608">
        <f t="shared" si="35"/>
        <v>0</v>
      </c>
      <c r="I825" s="607">
        <v>43023</v>
      </c>
      <c r="J825" s="155" t="s">
        <v>580</v>
      </c>
      <c r="K825" s="240">
        <v>888</v>
      </c>
      <c r="L825" s="166">
        <v>43023</v>
      </c>
      <c r="M825" s="378">
        <v>1720</v>
      </c>
      <c r="N825" s="603">
        <f t="shared" si="36"/>
        <v>34400</v>
      </c>
      <c r="O825" s="559" t="s">
        <v>587</v>
      </c>
      <c r="P825" s="154" t="s">
        <v>844</v>
      </c>
      <c r="Q825" s="602" t="s">
        <v>1419</v>
      </c>
      <c r="R825" s="377" t="s">
        <v>908</v>
      </c>
      <c r="S825" s="602" t="s">
        <v>422</v>
      </c>
      <c r="T825" s="602" t="s">
        <v>423</v>
      </c>
      <c r="U825" s="600"/>
      <c r="V825" s="153"/>
      <c r="W825" s="276"/>
    </row>
    <row r="826" spans="1:23" s="135" customFormat="1" ht="15" hidden="1" customHeight="1">
      <c r="A826" s="306">
        <v>825</v>
      </c>
      <c r="B826" s="611">
        <v>1476248</v>
      </c>
      <c r="C826" s="161"/>
      <c r="D826" s="181" t="s">
        <v>226</v>
      </c>
      <c r="E826" s="350" t="s">
        <v>944</v>
      </c>
      <c r="F826" s="373">
        <v>12</v>
      </c>
      <c r="G826" s="373">
        <v>12</v>
      </c>
      <c r="H826" s="608">
        <f t="shared" ref="H826:H889" si="37">F826-G826</f>
        <v>0</v>
      </c>
      <c r="I826" s="607">
        <v>43023</v>
      </c>
      <c r="J826" s="561" t="s">
        <v>580</v>
      </c>
      <c r="K826" s="557">
        <v>888</v>
      </c>
      <c r="L826" s="166">
        <v>43023</v>
      </c>
      <c r="M826" s="378">
        <v>1040</v>
      </c>
      <c r="N826" s="603">
        <f t="shared" si="36"/>
        <v>12480</v>
      </c>
      <c r="O826" s="559" t="s">
        <v>587</v>
      </c>
      <c r="P826" s="602" t="s">
        <v>844</v>
      </c>
      <c r="Q826" s="602" t="s">
        <v>1419</v>
      </c>
      <c r="R826" s="377" t="s">
        <v>908</v>
      </c>
      <c r="S826" s="602" t="s">
        <v>422</v>
      </c>
      <c r="T826" s="602" t="s">
        <v>423</v>
      </c>
      <c r="U826" s="67"/>
      <c r="V826" s="153"/>
      <c r="W826" s="276"/>
    </row>
    <row r="827" spans="1:23" s="135" customFormat="1" ht="15" hidden="1" customHeight="1">
      <c r="A827" s="306">
        <v>826</v>
      </c>
      <c r="B827" s="162">
        <v>604</v>
      </c>
      <c r="C827" s="161"/>
      <c r="D827" s="418" t="s">
        <v>718</v>
      </c>
      <c r="E827" s="535" t="s">
        <v>719</v>
      </c>
      <c r="F827" s="373">
        <v>1</v>
      </c>
      <c r="G827" s="609">
        <v>1</v>
      </c>
      <c r="H827" s="608">
        <f t="shared" si="37"/>
        <v>0</v>
      </c>
      <c r="I827" s="607">
        <v>43023</v>
      </c>
      <c r="J827" s="561" t="s">
        <v>1325</v>
      </c>
      <c r="K827" s="240">
        <v>889</v>
      </c>
      <c r="L827" s="166">
        <v>43023</v>
      </c>
      <c r="M827" s="378">
        <v>1180</v>
      </c>
      <c r="N827" s="603">
        <f t="shared" si="36"/>
        <v>1180</v>
      </c>
      <c r="O827" s="559" t="s">
        <v>587</v>
      </c>
      <c r="P827" s="602" t="s">
        <v>844</v>
      </c>
      <c r="Q827" s="602"/>
      <c r="R827" s="377" t="s">
        <v>908</v>
      </c>
      <c r="S827" s="602" t="s">
        <v>422</v>
      </c>
      <c r="T827" s="602" t="s">
        <v>423</v>
      </c>
      <c r="U827" s="600"/>
      <c r="V827" s="153"/>
      <c r="W827" s="276"/>
    </row>
    <row r="828" spans="1:23" s="135" customFormat="1" ht="15" hidden="1" customHeight="1">
      <c r="A828" s="306">
        <v>827</v>
      </c>
      <c r="B828" s="162" t="s">
        <v>1624</v>
      </c>
      <c r="C828" s="161"/>
      <c r="D828" s="418" t="s">
        <v>62</v>
      </c>
      <c r="E828" s="350" t="s">
        <v>61</v>
      </c>
      <c r="F828" s="373">
        <v>1</v>
      </c>
      <c r="G828" s="609">
        <v>1</v>
      </c>
      <c r="H828" s="608">
        <f t="shared" si="37"/>
        <v>0</v>
      </c>
      <c r="I828" s="607">
        <v>43024</v>
      </c>
      <c r="J828" s="561" t="s">
        <v>1442</v>
      </c>
      <c r="K828" s="557">
        <v>890</v>
      </c>
      <c r="L828" s="166">
        <v>43023</v>
      </c>
      <c r="M828" s="378">
        <v>1730</v>
      </c>
      <c r="N828" s="603">
        <f t="shared" si="36"/>
        <v>1730</v>
      </c>
      <c r="O828" s="559" t="s">
        <v>587</v>
      </c>
      <c r="P828" s="602" t="s">
        <v>844</v>
      </c>
      <c r="Q828" s="602" t="s">
        <v>1625</v>
      </c>
      <c r="R828" s="377" t="s">
        <v>908</v>
      </c>
      <c r="S828" s="602" t="s">
        <v>422</v>
      </c>
      <c r="T828" s="602" t="s">
        <v>423</v>
      </c>
      <c r="U828" s="67"/>
      <c r="V828" s="153"/>
      <c r="W828" s="276"/>
    </row>
    <row r="829" spans="1:23" s="135" customFormat="1" ht="15" hidden="1" customHeight="1">
      <c r="A829" s="306">
        <v>828</v>
      </c>
      <c r="B829" s="611" t="s">
        <v>1624</v>
      </c>
      <c r="C829" s="161"/>
      <c r="D829" s="418" t="s">
        <v>64</v>
      </c>
      <c r="E829" s="6" t="s">
        <v>63</v>
      </c>
      <c r="F829" s="373">
        <v>3</v>
      </c>
      <c r="G829" s="373">
        <v>3</v>
      </c>
      <c r="H829" s="608">
        <f t="shared" si="37"/>
        <v>0</v>
      </c>
      <c r="I829" s="607">
        <v>43024</v>
      </c>
      <c r="J829" s="561" t="s">
        <v>1442</v>
      </c>
      <c r="K829" s="557">
        <v>890</v>
      </c>
      <c r="L829" s="166">
        <v>43023</v>
      </c>
      <c r="M829" s="378">
        <v>2280</v>
      </c>
      <c r="N829" s="603">
        <f t="shared" si="36"/>
        <v>6840</v>
      </c>
      <c r="O829" s="559" t="s">
        <v>587</v>
      </c>
      <c r="P829" s="602" t="s">
        <v>844</v>
      </c>
      <c r="Q829" s="602" t="s">
        <v>1625</v>
      </c>
      <c r="R829" s="377" t="s">
        <v>908</v>
      </c>
      <c r="S829" s="602" t="s">
        <v>422</v>
      </c>
      <c r="T829" s="602" t="s">
        <v>423</v>
      </c>
      <c r="U829" s="600"/>
      <c r="V829" s="601"/>
      <c r="W829" s="276"/>
    </row>
    <row r="830" spans="1:23" s="135" customFormat="1" ht="15" hidden="1" customHeight="1">
      <c r="A830" s="306">
        <v>829</v>
      </c>
      <c r="B830" s="162"/>
      <c r="C830" s="161"/>
      <c r="D830" s="601" t="s">
        <v>939</v>
      </c>
      <c r="E830" s="350" t="s">
        <v>940</v>
      </c>
      <c r="F830" s="373">
        <v>16</v>
      </c>
      <c r="G830" s="609">
        <v>16</v>
      </c>
      <c r="H830" s="608">
        <f t="shared" si="37"/>
        <v>0</v>
      </c>
      <c r="I830" s="607">
        <v>43024</v>
      </c>
      <c r="J830" s="155" t="s">
        <v>1626</v>
      </c>
      <c r="K830" s="240">
        <v>891</v>
      </c>
      <c r="L830" s="166">
        <v>43024</v>
      </c>
      <c r="M830" s="164">
        <v>125</v>
      </c>
      <c r="N830" s="603">
        <f t="shared" ref="N830:N893" si="38">IFERROR(M830*G830,0)</f>
        <v>2000</v>
      </c>
      <c r="O830" s="559" t="s">
        <v>587</v>
      </c>
      <c r="P830" s="602" t="s">
        <v>1627</v>
      </c>
      <c r="Q830" s="154" t="s">
        <v>1628</v>
      </c>
      <c r="R830" s="377" t="s">
        <v>908</v>
      </c>
      <c r="S830" s="602" t="s">
        <v>422</v>
      </c>
      <c r="T830" s="602" t="s">
        <v>423</v>
      </c>
      <c r="U830" s="67"/>
      <c r="V830" s="153"/>
      <c r="W830" s="276"/>
    </row>
    <row r="831" spans="1:23" s="135" customFormat="1" ht="15" hidden="1" customHeight="1">
      <c r="A831" s="306">
        <v>830</v>
      </c>
      <c r="B831" s="162">
        <v>4501484393</v>
      </c>
      <c r="C831" s="161"/>
      <c r="D831" s="418" t="s">
        <v>224</v>
      </c>
      <c r="E831" s="350" t="s">
        <v>941</v>
      </c>
      <c r="F831" s="373">
        <v>8</v>
      </c>
      <c r="G831" s="609">
        <v>8</v>
      </c>
      <c r="H831" s="608">
        <f t="shared" si="37"/>
        <v>0</v>
      </c>
      <c r="I831" s="160">
        <v>43025</v>
      </c>
      <c r="J831" s="155" t="s">
        <v>1629</v>
      </c>
      <c r="K831" s="240">
        <v>857</v>
      </c>
      <c r="L831" s="166">
        <v>43004</v>
      </c>
      <c r="M831" s="164">
        <f>480/8</f>
        <v>60</v>
      </c>
      <c r="N831" s="603">
        <f t="shared" si="38"/>
        <v>480</v>
      </c>
      <c r="O831" s="559" t="s">
        <v>587</v>
      </c>
      <c r="P831" s="602" t="s">
        <v>1627</v>
      </c>
      <c r="Q831" s="154"/>
      <c r="R831" s="377" t="s">
        <v>908</v>
      </c>
      <c r="S831" s="602" t="s">
        <v>422</v>
      </c>
      <c r="T831" s="602" t="s">
        <v>423</v>
      </c>
      <c r="U831" s="67"/>
      <c r="V831" s="153"/>
      <c r="W831" s="276"/>
    </row>
    <row r="832" spans="1:23" s="135" customFormat="1" ht="15" hidden="1" customHeight="1">
      <c r="A832" s="306">
        <v>831</v>
      </c>
      <c r="B832" s="162">
        <v>4501494733</v>
      </c>
      <c r="C832" s="161"/>
      <c r="D832" s="601" t="s">
        <v>230</v>
      </c>
      <c r="E832" s="350" t="s">
        <v>943</v>
      </c>
      <c r="F832" s="609">
        <v>2</v>
      </c>
      <c r="G832" s="609">
        <v>2</v>
      </c>
      <c r="H832" s="608">
        <f t="shared" si="37"/>
        <v>0</v>
      </c>
      <c r="I832" s="607">
        <v>43025</v>
      </c>
      <c r="J832" s="155" t="s">
        <v>1630</v>
      </c>
      <c r="K832" s="240">
        <v>885</v>
      </c>
      <c r="L832" s="166">
        <v>43019</v>
      </c>
      <c r="M832" s="164">
        <v>450</v>
      </c>
      <c r="N832" s="603">
        <f t="shared" si="38"/>
        <v>900</v>
      </c>
      <c r="O832" s="559" t="s">
        <v>587</v>
      </c>
      <c r="P832" s="602" t="s">
        <v>1627</v>
      </c>
      <c r="Q832" s="154"/>
      <c r="R832" s="377" t="s">
        <v>908</v>
      </c>
      <c r="S832" s="602" t="s">
        <v>422</v>
      </c>
      <c r="T832" s="602" t="s">
        <v>423</v>
      </c>
      <c r="U832" s="67"/>
      <c r="V832" s="153"/>
      <c r="W832" s="276"/>
    </row>
    <row r="833" spans="1:23" s="135" customFormat="1" ht="15" hidden="1" customHeight="1">
      <c r="A833" s="306">
        <v>832</v>
      </c>
      <c r="B833" s="162"/>
      <c r="C833" s="161"/>
      <c r="D833" s="601" t="s">
        <v>230</v>
      </c>
      <c r="E833" s="350" t="s">
        <v>943</v>
      </c>
      <c r="F833" s="373">
        <v>2</v>
      </c>
      <c r="G833" s="609">
        <v>2</v>
      </c>
      <c r="H833" s="608">
        <f t="shared" si="37"/>
        <v>0</v>
      </c>
      <c r="I833" s="160">
        <v>43027</v>
      </c>
      <c r="J833" s="155" t="s">
        <v>1631</v>
      </c>
      <c r="K833" s="240">
        <v>899</v>
      </c>
      <c r="L833" s="166">
        <v>43030</v>
      </c>
      <c r="M833" s="164">
        <v>250</v>
      </c>
      <c r="N833" s="603">
        <f t="shared" si="38"/>
        <v>500</v>
      </c>
      <c r="O833" s="559" t="s">
        <v>587</v>
      </c>
      <c r="P833" s="154" t="s">
        <v>555</v>
      </c>
      <c r="Q833" s="154"/>
      <c r="R833" s="244" t="s">
        <v>908</v>
      </c>
      <c r="S833" s="602" t="s">
        <v>422</v>
      </c>
      <c r="T833" s="602" t="s">
        <v>423</v>
      </c>
      <c r="U833" s="600"/>
      <c r="V833" s="601"/>
      <c r="W833" s="276"/>
    </row>
    <row r="834" spans="1:23" s="135" customFormat="1" ht="15" hidden="1" customHeight="1">
      <c r="A834" s="306">
        <v>833</v>
      </c>
      <c r="B834" s="611" t="s">
        <v>1632</v>
      </c>
      <c r="C834" s="161"/>
      <c r="D834" s="186" t="s">
        <v>1692</v>
      </c>
      <c r="E834" s="331" t="s">
        <v>1137</v>
      </c>
      <c r="F834" s="373">
        <v>6</v>
      </c>
      <c r="G834" s="372">
        <v>6</v>
      </c>
      <c r="H834" s="608">
        <f t="shared" si="37"/>
        <v>0</v>
      </c>
      <c r="I834" s="607">
        <v>43027</v>
      </c>
      <c r="J834" s="155" t="s">
        <v>1047</v>
      </c>
      <c r="K834" s="240">
        <v>895</v>
      </c>
      <c r="L834" s="605">
        <v>43027</v>
      </c>
      <c r="M834" s="604">
        <v>555</v>
      </c>
      <c r="N834" s="603">
        <f t="shared" si="38"/>
        <v>3330</v>
      </c>
      <c r="O834" s="559" t="s">
        <v>587</v>
      </c>
      <c r="P834" s="154" t="s">
        <v>530</v>
      </c>
      <c r="Q834" s="154"/>
      <c r="R834" s="377" t="s">
        <v>908</v>
      </c>
      <c r="S834" s="602" t="s">
        <v>422</v>
      </c>
      <c r="T834" s="602" t="s">
        <v>423</v>
      </c>
      <c r="U834" s="67"/>
      <c r="V834" s="153"/>
      <c r="W834" s="276"/>
    </row>
    <row r="835" spans="1:23" s="135" customFormat="1" ht="15" hidden="1" customHeight="1">
      <c r="A835" s="306">
        <v>834</v>
      </c>
      <c r="B835" s="162" t="s">
        <v>1632</v>
      </c>
      <c r="C835" s="161"/>
      <c r="D835" s="558" t="s">
        <v>1498</v>
      </c>
      <c r="E835" s="499" t="s">
        <v>1532</v>
      </c>
      <c r="F835" s="373">
        <v>7</v>
      </c>
      <c r="G835" s="372">
        <v>7</v>
      </c>
      <c r="H835" s="608">
        <f t="shared" si="37"/>
        <v>0</v>
      </c>
      <c r="I835" s="160">
        <v>43027</v>
      </c>
      <c r="J835" s="561" t="s">
        <v>1047</v>
      </c>
      <c r="K835" s="557">
        <v>895</v>
      </c>
      <c r="L835" s="605">
        <v>43027</v>
      </c>
      <c r="M835" s="157">
        <v>630</v>
      </c>
      <c r="N835" s="603">
        <f t="shared" si="38"/>
        <v>4410</v>
      </c>
      <c r="O835" s="559" t="s">
        <v>587</v>
      </c>
      <c r="P835" s="602" t="s">
        <v>530</v>
      </c>
      <c r="Q835" s="154"/>
      <c r="R835" s="377" t="s">
        <v>908</v>
      </c>
      <c r="S835" s="602" t="s">
        <v>422</v>
      </c>
      <c r="T835" s="602" t="s">
        <v>423</v>
      </c>
      <c r="U835" s="67"/>
      <c r="V835" s="153"/>
      <c r="W835" s="276"/>
    </row>
    <row r="836" spans="1:23" s="135" customFormat="1" ht="27" hidden="1" customHeight="1">
      <c r="A836" s="306">
        <v>835</v>
      </c>
      <c r="B836" s="611" t="s">
        <v>1634</v>
      </c>
      <c r="C836" s="610"/>
      <c r="D836" s="558" t="s">
        <v>60</v>
      </c>
      <c r="E836" s="6" t="s">
        <v>59</v>
      </c>
      <c r="F836" s="609">
        <v>13</v>
      </c>
      <c r="G836" s="609">
        <v>13</v>
      </c>
      <c r="H836" s="608">
        <f t="shared" si="37"/>
        <v>0</v>
      </c>
      <c r="I836" s="607">
        <v>43030</v>
      </c>
      <c r="J836" s="363" t="s">
        <v>1702</v>
      </c>
      <c r="K836" s="240">
        <v>896</v>
      </c>
      <c r="L836" s="166">
        <v>43030</v>
      </c>
      <c r="M836" s="164">
        <v>1280</v>
      </c>
      <c r="N836" s="603">
        <f t="shared" si="38"/>
        <v>16640</v>
      </c>
      <c r="O836" s="603" t="s">
        <v>1462</v>
      </c>
      <c r="P836" s="602" t="s">
        <v>530</v>
      </c>
      <c r="Q836" s="602"/>
      <c r="R836" s="377" t="s">
        <v>908</v>
      </c>
      <c r="S836" s="602" t="s">
        <v>422</v>
      </c>
      <c r="T836" s="602" t="s">
        <v>423</v>
      </c>
      <c r="U836" s="600"/>
      <c r="V836" s="153"/>
      <c r="W836" s="276"/>
    </row>
    <row r="837" spans="1:23" s="135" customFormat="1" ht="15" hidden="1" customHeight="1">
      <c r="A837" s="306">
        <v>836</v>
      </c>
      <c r="B837" s="611" t="s">
        <v>1633</v>
      </c>
      <c r="C837" s="610"/>
      <c r="D837" s="611" t="s">
        <v>93</v>
      </c>
      <c r="E837" s="458" t="s">
        <v>92</v>
      </c>
      <c r="F837" s="609">
        <v>1</v>
      </c>
      <c r="G837" s="609">
        <v>1</v>
      </c>
      <c r="H837" s="608">
        <f t="shared" si="37"/>
        <v>0</v>
      </c>
      <c r="I837" s="607">
        <v>43030</v>
      </c>
      <c r="J837" s="606" t="s">
        <v>1565</v>
      </c>
      <c r="K837" s="557">
        <v>898</v>
      </c>
      <c r="L837" s="166">
        <v>43030</v>
      </c>
      <c r="M837" s="378">
        <v>36185</v>
      </c>
      <c r="N837" s="603">
        <f t="shared" si="38"/>
        <v>36185</v>
      </c>
      <c r="O837" s="603" t="s">
        <v>1462</v>
      </c>
      <c r="P837" s="602" t="s">
        <v>612</v>
      </c>
      <c r="Q837" s="602"/>
      <c r="R837" s="377" t="s">
        <v>908</v>
      </c>
      <c r="S837" s="602" t="s">
        <v>422</v>
      </c>
      <c r="T837" s="602" t="s">
        <v>423</v>
      </c>
      <c r="U837" s="600"/>
      <c r="V837" s="601"/>
      <c r="W837" s="276"/>
    </row>
    <row r="838" spans="1:23" s="135" customFormat="1" ht="15" hidden="1" customHeight="1">
      <c r="A838" s="306">
        <v>837</v>
      </c>
      <c r="B838" s="611" t="s">
        <v>1633</v>
      </c>
      <c r="C838" s="161"/>
      <c r="D838" s="558" t="s">
        <v>84</v>
      </c>
      <c r="E838" s="367" t="s">
        <v>83</v>
      </c>
      <c r="F838" s="373">
        <v>1</v>
      </c>
      <c r="G838" s="609">
        <v>1</v>
      </c>
      <c r="H838" s="608">
        <f t="shared" si="37"/>
        <v>0</v>
      </c>
      <c r="I838" s="607">
        <v>43030</v>
      </c>
      <c r="J838" s="561" t="s">
        <v>1990</v>
      </c>
      <c r="K838" s="557">
        <v>898</v>
      </c>
      <c r="L838" s="166">
        <v>43030</v>
      </c>
      <c r="M838" s="378">
        <v>39635</v>
      </c>
      <c r="N838" s="603">
        <f t="shared" si="38"/>
        <v>39635</v>
      </c>
      <c r="O838" s="603" t="s">
        <v>1462</v>
      </c>
      <c r="P838" s="602" t="s">
        <v>612</v>
      </c>
      <c r="Q838" s="154"/>
      <c r="R838" s="377" t="s">
        <v>908</v>
      </c>
      <c r="S838" s="602" t="s">
        <v>422</v>
      </c>
      <c r="T838" s="602" t="s">
        <v>423</v>
      </c>
      <c r="U838" s="67"/>
      <c r="V838" s="153"/>
      <c r="W838" s="276"/>
    </row>
    <row r="839" spans="1:23" s="135" customFormat="1" ht="15" hidden="1" customHeight="1">
      <c r="A839" s="306">
        <v>838</v>
      </c>
      <c r="B839" s="162" t="s">
        <v>1636</v>
      </c>
      <c r="C839" s="161"/>
      <c r="D839" s="558" t="s">
        <v>1169</v>
      </c>
      <c r="E839" s="187" t="s">
        <v>1170</v>
      </c>
      <c r="F839" s="373">
        <v>28</v>
      </c>
      <c r="G839" s="609">
        <v>28</v>
      </c>
      <c r="H839" s="608">
        <f t="shared" si="37"/>
        <v>0</v>
      </c>
      <c r="I839" s="160">
        <v>43031</v>
      </c>
      <c r="J839" s="155" t="s">
        <v>1635</v>
      </c>
      <c r="K839" s="557">
        <v>911</v>
      </c>
      <c r="L839" s="166">
        <v>43034</v>
      </c>
      <c r="M839" s="378">
        <v>1150</v>
      </c>
      <c r="N839" s="603">
        <f t="shared" si="38"/>
        <v>32200</v>
      </c>
      <c r="O839" s="603" t="s">
        <v>1462</v>
      </c>
      <c r="P839" s="602" t="s">
        <v>1597</v>
      </c>
      <c r="Q839" s="154" t="s">
        <v>1653</v>
      </c>
      <c r="R839" s="377" t="s">
        <v>908</v>
      </c>
      <c r="S839" s="602" t="s">
        <v>422</v>
      </c>
      <c r="T839" s="602" t="s">
        <v>423</v>
      </c>
      <c r="U839" s="67"/>
      <c r="V839" s="153"/>
      <c r="W839" s="276"/>
    </row>
    <row r="840" spans="1:23" s="135" customFormat="1" ht="15" hidden="1" customHeight="1">
      <c r="A840" s="306">
        <v>839</v>
      </c>
      <c r="B840" s="611" t="s">
        <v>1636</v>
      </c>
      <c r="C840" s="161"/>
      <c r="D840" s="558" t="s">
        <v>1497</v>
      </c>
      <c r="E840" s="648" t="s">
        <v>1531</v>
      </c>
      <c r="F840" s="373">
        <v>14</v>
      </c>
      <c r="G840" s="608">
        <v>14</v>
      </c>
      <c r="H840" s="608">
        <f t="shared" si="37"/>
        <v>0</v>
      </c>
      <c r="I840" s="607">
        <v>43031</v>
      </c>
      <c r="J840" s="561" t="s">
        <v>1635</v>
      </c>
      <c r="K840" s="557">
        <v>911</v>
      </c>
      <c r="L840" s="166">
        <v>43034</v>
      </c>
      <c r="M840" s="604">
        <v>8125</v>
      </c>
      <c r="N840" s="603">
        <f t="shared" si="38"/>
        <v>113750</v>
      </c>
      <c r="O840" s="603" t="s">
        <v>1462</v>
      </c>
      <c r="P840" s="602" t="s">
        <v>1597</v>
      </c>
      <c r="Q840" s="154"/>
      <c r="R840" s="377" t="s">
        <v>908</v>
      </c>
      <c r="S840" s="602" t="s">
        <v>422</v>
      </c>
      <c r="T840" s="602" t="s">
        <v>423</v>
      </c>
      <c r="U840" s="600"/>
      <c r="V840" s="153"/>
    </row>
    <row r="841" spans="1:23" s="135" customFormat="1" ht="15" hidden="1" customHeight="1">
      <c r="A841" s="306">
        <v>840</v>
      </c>
      <c r="B841" s="611" t="s">
        <v>1636</v>
      </c>
      <c r="C841" s="161"/>
      <c r="D841" s="558" t="s">
        <v>1502</v>
      </c>
      <c r="E841" s="648" t="s">
        <v>1536</v>
      </c>
      <c r="F841" s="373">
        <v>14</v>
      </c>
      <c r="G841" s="608">
        <v>14</v>
      </c>
      <c r="H841" s="608">
        <f t="shared" si="37"/>
        <v>0</v>
      </c>
      <c r="I841" s="607">
        <v>43031</v>
      </c>
      <c r="J841" s="561" t="s">
        <v>1635</v>
      </c>
      <c r="K841" s="557">
        <v>911</v>
      </c>
      <c r="L841" s="166">
        <v>43034</v>
      </c>
      <c r="M841" s="604">
        <v>860</v>
      </c>
      <c r="N841" s="603">
        <f t="shared" si="38"/>
        <v>12040</v>
      </c>
      <c r="O841" s="603" t="s">
        <v>1462</v>
      </c>
      <c r="P841" s="602" t="s">
        <v>1597</v>
      </c>
      <c r="Q841" s="154"/>
      <c r="R841" s="377" t="s">
        <v>908</v>
      </c>
      <c r="S841" s="602" t="s">
        <v>422</v>
      </c>
      <c r="T841" s="602" t="s">
        <v>423</v>
      </c>
      <c r="U841" s="600"/>
      <c r="V841" s="153"/>
    </row>
    <row r="842" spans="1:23" s="135" customFormat="1" ht="15" hidden="1" customHeight="1">
      <c r="A842" s="306">
        <v>841</v>
      </c>
      <c r="B842" s="611" t="s">
        <v>1636</v>
      </c>
      <c r="C842" s="161"/>
      <c r="D842" s="418" t="s">
        <v>1503</v>
      </c>
      <c r="E842" s="354" t="s">
        <v>1537</v>
      </c>
      <c r="F842" s="373">
        <v>14</v>
      </c>
      <c r="G842" s="372">
        <v>14</v>
      </c>
      <c r="H842" s="608">
        <f t="shared" si="37"/>
        <v>0</v>
      </c>
      <c r="I842" s="607">
        <v>43031</v>
      </c>
      <c r="J842" s="561" t="s">
        <v>1635</v>
      </c>
      <c r="K842" s="557">
        <v>911</v>
      </c>
      <c r="L842" s="166">
        <v>43034</v>
      </c>
      <c r="M842" s="604">
        <v>200</v>
      </c>
      <c r="N842" s="603">
        <f t="shared" si="38"/>
        <v>2800</v>
      </c>
      <c r="O842" s="603" t="s">
        <v>1462</v>
      </c>
      <c r="P842" s="602" t="s">
        <v>1597</v>
      </c>
      <c r="Q842" s="154"/>
      <c r="R842" s="377" t="s">
        <v>908</v>
      </c>
      <c r="S842" s="602" t="s">
        <v>422</v>
      </c>
      <c r="T842" s="602" t="s">
        <v>423</v>
      </c>
      <c r="U842" s="67"/>
      <c r="V842" s="153"/>
      <c r="W842" s="276"/>
    </row>
    <row r="843" spans="1:23" s="135" customFormat="1" ht="15" hidden="1" customHeight="1">
      <c r="A843" s="306">
        <v>842</v>
      </c>
      <c r="B843" s="611" t="s">
        <v>1636</v>
      </c>
      <c r="C843" s="161"/>
      <c r="D843" s="418" t="s">
        <v>1504</v>
      </c>
      <c r="E843" s="648" t="s">
        <v>1538</v>
      </c>
      <c r="F843" s="609">
        <v>14</v>
      </c>
      <c r="G843" s="372">
        <v>14</v>
      </c>
      <c r="H843" s="608">
        <f t="shared" si="37"/>
        <v>0</v>
      </c>
      <c r="I843" s="607">
        <v>43031</v>
      </c>
      <c r="J843" s="561" t="s">
        <v>1635</v>
      </c>
      <c r="K843" s="557">
        <v>911</v>
      </c>
      <c r="L843" s="166">
        <v>43034</v>
      </c>
      <c r="M843" s="604">
        <v>1370</v>
      </c>
      <c r="N843" s="603">
        <f t="shared" si="38"/>
        <v>19180</v>
      </c>
      <c r="O843" s="603" t="s">
        <v>1462</v>
      </c>
      <c r="P843" s="602" t="s">
        <v>1597</v>
      </c>
      <c r="Q843" s="154"/>
      <c r="R843" s="377" t="s">
        <v>908</v>
      </c>
      <c r="S843" s="602" t="s">
        <v>422</v>
      </c>
      <c r="T843" s="602" t="s">
        <v>423</v>
      </c>
      <c r="U843" s="67"/>
      <c r="V843" s="153"/>
    </row>
    <row r="844" spans="1:23" s="135" customFormat="1" ht="15" hidden="1" customHeight="1">
      <c r="A844" s="306">
        <v>843</v>
      </c>
      <c r="B844" s="611" t="s">
        <v>1636</v>
      </c>
      <c r="C844" s="161"/>
      <c r="D844" s="558" t="s">
        <v>1235</v>
      </c>
      <c r="E844" s="648" t="s">
        <v>1272</v>
      </c>
      <c r="F844" s="373">
        <v>16</v>
      </c>
      <c r="G844" s="372">
        <v>16</v>
      </c>
      <c r="H844" s="608">
        <f t="shared" si="37"/>
        <v>0</v>
      </c>
      <c r="I844" s="607">
        <v>43031</v>
      </c>
      <c r="J844" s="561" t="s">
        <v>1635</v>
      </c>
      <c r="K844" s="557">
        <v>911</v>
      </c>
      <c r="L844" s="166">
        <v>43034</v>
      </c>
      <c r="M844" s="164">
        <v>185</v>
      </c>
      <c r="N844" s="603">
        <f t="shared" si="38"/>
        <v>2960</v>
      </c>
      <c r="O844" s="603" t="s">
        <v>1462</v>
      </c>
      <c r="P844" s="602" t="s">
        <v>1597</v>
      </c>
      <c r="Q844" s="154"/>
      <c r="R844" s="377" t="s">
        <v>908</v>
      </c>
      <c r="S844" s="602" t="s">
        <v>422</v>
      </c>
      <c r="T844" s="602" t="s">
        <v>423</v>
      </c>
      <c r="U844" s="67"/>
      <c r="V844" s="153"/>
      <c r="W844" s="276"/>
    </row>
    <row r="845" spans="1:23" s="135" customFormat="1" ht="15" hidden="1" customHeight="1">
      <c r="A845" s="306">
        <v>844</v>
      </c>
      <c r="B845" s="611"/>
      <c r="C845" s="610"/>
      <c r="D845" s="601" t="s">
        <v>64</v>
      </c>
      <c r="E845" s="6" t="s">
        <v>63</v>
      </c>
      <c r="F845" s="609">
        <v>1</v>
      </c>
      <c r="G845" s="608">
        <v>1</v>
      </c>
      <c r="H845" s="608">
        <f t="shared" si="37"/>
        <v>0</v>
      </c>
      <c r="I845" s="607">
        <v>43031</v>
      </c>
      <c r="J845" s="606" t="s">
        <v>1047</v>
      </c>
      <c r="K845" s="557">
        <v>900</v>
      </c>
      <c r="L845" s="605">
        <v>43031</v>
      </c>
      <c r="M845" s="604">
        <v>2280</v>
      </c>
      <c r="N845" s="603">
        <f t="shared" si="38"/>
        <v>2280</v>
      </c>
      <c r="O845" s="603" t="s">
        <v>1462</v>
      </c>
      <c r="P845" s="602" t="s">
        <v>512</v>
      </c>
      <c r="Q845" s="602" t="s">
        <v>1362</v>
      </c>
      <c r="R845" s="377" t="s">
        <v>908</v>
      </c>
      <c r="S845" s="602" t="s">
        <v>422</v>
      </c>
      <c r="T845" s="602" t="s">
        <v>423</v>
      </c>
      <c r="U845" s="600"/>
      <c r="V845" s="601"/>
      <c r="W845" s="276"/>
    </row>
    <row r="846" spans="1:23" s="135" customFormat="1" ht="15" hidden="1" customHeight="1">
      <c r="A846" s="306">
        <v>845</v>
      </c>
      <c r="B846" s="162"/>
      <c r="C846" s="161"/>
      <c r="D846" s="558" t="s">
        <v>1478</v>
      </c>
      <c r="E846" s="499" t="s">
        <v>1394</v>
      </c>
      <c r="F846" s="373">
        <v>1</v>
      </c>
      <c r="G846" s="372">
        <v>1</v>
      </c>
      <c r="H846" s="608">
        <f t="shared" si="37"/>
        <v>0</v>
      </c>
      <c r="I846" s="607">
        <v>43031</v>
      </c>
      <c r="J846" s="606" t="s">
        <v>1047</v>
      </c>
      <c r="K846" s="240">
        <v>901</v>
      </c>
      <c r="L846" s="605">
        <v>43031</v>
      </c>
      <c r="M846" s="378">
        <v>150</v>
      </c>
      <c r="N846" s="603">
        <f t="shared" si="38"/>
        <v>150</v>
      </c>
      <c r="O846" s="603" t="s">
        <v>1462</v>
      </c>
      <c r="P846" s="602" t="s">
        <v>512</v>
      </c>
      <c r="Q846" s="602" t="s">
        <v>1362</v>
      </c>
      <c r="R846" s="377" t="s">
        <v>908</v>
      </c>
      <c r="S846" s="602" t="s">
        <v>422</v>
      </c>
      <c r="T846" s="602" t="s">
        <v>423</v>
      </c>
      <c r="U846" s="67"/>
      <c r="V846" s="153"/>
      <c r="W846" s="276"/>
    </row>
    <row r="847" spans="1:23" s="135" customFormat="1" ht="15" hidden="1" customHeight="1">
      <c r="A847" s="306">
        <v>846</v>
      </c>
      <c r="B847" s="162"/>
      <c r="C847" s="161"/>
      <c r="D847" s="278" t="s">
        <v>226</v>
      </c>
      <c r="E847" s="187" t="s">
        <v>944</v>
      </c>
      <c r="F847" s="373">
        <v>2</v>
      </c>
      <c r="G847" s="608">
        <v>2</v>
      </c>
      <c r="H847" s="608">
        <f t="shared" si="37"/>
        <v>0</v>
      </c>
      <c r="I847" s="160">
        <v>43032</v>
      </c>
      <c r="J847" s="561" t="s">
        <v>1642</v>
      </c>
      <c r="K847" s="240">
        <v>905</v>
      </c>
      <c r="L847" s="605">
        <v>43032</v>
      </c>
      <c r="M847" s="378">
        <v>350</v>
      </c>
      <c r="N847" s="603">
        <f t="shared" si="38"/>
        <v>700</v>
      </c>
      <c r="O847" s="603" t="s">
        <v>1643</v>
      </c>
      <c r="P847" s="602" t="s">
        <v>555</v>
      </c>
      <c r="Q847" s="602" t="s">
        <v>1644</v>
      </c>
      <c r="R847" s="377" t="s">
        <v>908</v>
      </c>
      <c r="S847" s="602" t="s">
        <v>422</v>
      </c>
      <c r="T847" s="602" t="s">
        <v>423</v>
      </c>
      <c r="U847" s="67"/>
      <c r="V847" s="601"/>
      <c r="W847" s="276"/>
    </row>
    <row r="848" spans="1:23" s="135" customFormat="1" ht="15" hidden="1" customHeight="1">
      <c r="A848" s="306">
        <v>847</v>
      </c>
      <c r="B848" s="611">
        <v>619</v>
      </c>
      <c r="C848" s="610"/>
      <c r="D848" s="181" t="s">
        <v>247</v>
      </c>
      <c r="E848" s="600" t="s">
        <v>259</v>
      </c>
      <c r="F848" s="609">
        <v>1</v>
      </c>
      <c r="G848" s="608">
        <v>1</v>
      </c>
      <c r="H848" s="608">
        <f t="shared" si="37"/>
        <v>0</v>
      </c>
      <c r="I848" s="607">
        <v>43033</v>
      </c>
      <c r="J848" s="561" t="s">
        <v>1645</v>
      </c>
      <c r="K848" s="557">
        <v>904</v>
      </c>
      <c r="L848" s="166">
        <v>43032</v>
      </c>
      <c r="M848" s="378">
        <v>3900</v>
      </c>
      <c r="N848" s="603">
        <f t="shared" si="38"/>
        <v>3900</v>
      </c>
      <c r="O848" s="603" t="s">
        <v>1462</v>
      </c>
      <c r="P848" s="602" t="s">
        <v>612</v>
      </c>
      <c r="Q848" s="602" t="s">
        <v>1652</v>
      </c>
      <c r="R848" s="377" t="s">
        <v>908</v>
      </c>
      <c r="S848" s="602" t="s">
        <v>422</v>
      </c>
      <c r="T848" s="602" t="s">
        <v>423</v>
      </c>
      <c r="U848" s="67"/>
      <c r="V848" s="153"/>
    </row>
    <row r="849" spans="1:23" s="135" customFormat="1" ht="15" hidden="1" customHeight="1">
      <c r="A849" s="306">
        <v>848</v>
      </c>
      <c r="B849" s="611">
        <v>619</v>
      </c>
      <c r="C849" s="610"/>
      <c r="D849" s="186" t="s">
        <v>250</v>
      </c>
      <c r="E849" s="600" t="s">
        <v>262</v>
      </c>
      <c r="F849" s="609">
        <v>3</v>
      </c>
      <c r="G849" s="608">
        <v>3</v>
      </c>
      <c r="H849" s="608">
        <f t="shared" si="37"/>
        <v>0</v>
      </c>
      <c r="I849" s="607">
        <v>43033</v>
      </c>
      <c r="J849" s="561" t="s">
        <v>1645</v>
      </c>
      <c r="K849" s="557">
        <v>904</v>
      </c>
      <c r="L849" s="166">
        <v>43032</v>
      </c>
      <c r="M849" s="378">
        <v>1485</v>
      </c>
      <c r="N849" s="603">
        <f t="shared" si="38"/>
        <v>4455</v>
      </c>
      <c r="O849" s="603" t="s">
        <v>1462</v>
      </c>
      <c r="P849" s="602" t="s">
        <v>612</v>
      </c>
      <c r="Q849" s="602"/>
      <c r="R849" s="377" t="s">
        <v>908</v>
      </c>
      <c r="S849" s="602" t="s">
        <v>422</v>
      </c>
      <c r="T849" s="602" t="s">
        <v>423</v>
      </c>
      <c r="U849" s="67"/>
      <c r="V849" s="153"/>
      <c r="W849" s="549"/>
    </row>
    <row r="850" spans="1:23" s="135" customFormat="1" ht="15" hidden="1" customHeight="1">
      <c r="A850" s="306">
        <v>849</v>
      </c>
      <c r="B850" s="611">
        <v>619</v>
      </c>
      <c r="C850" s="610"/>
      <c r="D850" s="613" t="s">
        <v>249</v>
      </c>
      <c r="E850" s="600" t="s">
        <v>261</v>
      </c>
      <c r="F850" s="609">
        <v>4</v>
      </c>
      <c r="G850" s="608">
        <v>4</v>
      </c>
      <c r="H850" s="608">
        <f t="shared" si="37"/>
        <v>0</v>
      </c>
      <c r="I850" s="607">
        <v>43033</v>
      </c>
      <c r="J850" s="561" t="s">
        <v>1645</v>
      </c>
      <c r="K850" s="557">
        <v>904</v>
      </c>
      <c r="L850" s="166">
        <v>43032</v>
      </c>
      <c r="M850" s="378">
        <v>470</v>
      </c>
      <c r="N850" s="603">
        <f t="shared" si="38"/>
        <v>1880</v>
      </c>
      <c r="O850" s="603" t="s">
        <v>1462</v>
      </c>
      <c r="P850" s="602" t="s">
        <v>612</v>
      </c>
      <c r="Q850" s="602"/>
      <c r="R850" s="377" t="s">
        <v>908</v>
      </c>
      <c r="S850" s="602" t="s">
        <v>422</v>
      </c>
      <c r="T850" s="602" t="s">
        <v>423</v>
      </c>
      <c r="U850" s="67"/>
      <c r="V850" s="601"/>
      <c r="W850" s="549"/>
    </row>
    <row r="851" spans="1:23" s="135" customFormat="1" ht="15" hidden="1" customHeight="1">
      <c r="A851" s="306">
        <v>850</v>
      </c>
      <c r="B851" s="611">
        <v>619</v>
      </c>
      <c r="C851" s="610"/>
      <c r="D851" s="418" t="s">
        <v>49</v>
      </c>
      <c r="E851" s="350" t="s">
        <v>48</v>
      </c>
      <c r="F851" s="609">
        <v>1</v>
      </c>
      <c r="G851" s="608">
        <v>1</v>
      </c>
      <c r="H851" s="608">
        <f t="shared" si="37"/>
        <v>0</v>
      </c>
      <c r="I851" s="607">
        <v>43033</v>
      </c>
      <c r="J851" s="561" t="s">
        <v>1645</v>
      </c>
      <c r="K851" s="557">
        <v>904</v>
      </c>
      <c r="L851" s="166">
        <v>43032</v>
      </c>
      <c r="M851" s="378">
        <v>8860</v>
      </c>
      <c r="N851" s="603">
        <f t="shared" si="38"/>
        <v>8860</v>
      </c>
      <c r="O851" s="603" t="s">
        <v>1462</v>
      </c>
      <c r="P851" s="602" t="s">
        <v>612</v>
      </c>
      <c r="Q851" s="602"/>
      <c r="R851" s="377" t="s">
        <v>908</v>
      </c>
      <c r="S851" s="602" t="s">
        <v>422</v>
      </c>
      <c r="T851" s="602" t="s">
        <v>423</v>
      </c>
      <c r="U851" s="600"/>
      <c r="V851" s="601"/>
      <c r="W851" s="549"/>
    </row>
    <row r="852" spans="1:23" s="135" customFormat="1" ht="15" hidden="1" customHeight="1">
      <c r="A852" s="306">
        <v>851</v>
      </c>
      <c r="B852" s="611">
        <v>619</v>
      </c>
      <c r="C852" s="610"/>
      <c r="D852" s="418" t="s">
        <v>35</v>
      </c>
      <c r="E852" s="6" t="s">
        <v>34</v>
      </c>
      <c r="F852" s="609">
        <v>3</v>
      </c>
      <c r="G852" s="608">
        <v>3</v>
      </c>
      <c r="H852" s="608">
        <f t="shared" si="37"/>
        <v>0</v>
      </c>
      <c r="I852" s="607">
        <v>43033</v>
      </c>
      <c r="J852" s="561" t="s">
        <v>1645</v>
      </c>
      <c r="K852" s="557">
        <v>904</v>
      </c>
      <c r="L852" s="166">
        <v>43032</v>
      </c>
      <c r="M852" s="378">
        <v>2755</v>
      </c>
      <c r="N852" s="603">
        <f t="shared" si="38"/>
        <v>8265</v>
      </c>
      <c r="O852" s="603" t="s">
        <v>1462</v>
      </c>
      <c r="P852" s="602" t="s">
        <v>612</v>
      </c>
      <c r="Q852" s="602"/>
      <c r="R852" s="377" t="s">
        <v>908</v>
      </c>
      <c r="S852" s="602" t="s">
        <v>422</v>
      </c>
      <c r="T852" s="602" t="s">
        <v>423</v>
      </c>
      <c r="U852" s="600"/>
      <c r="V852" s="601"/>
      <c r="W852" s="276"/>
    </row>
    <row r="853" spans="1:23" s="135" customFormat="1" ht="15" hidden="1" customHeight="1">
      <c r="A853" s="306">
        <v>852</v>
      </c>
      <c r="B853" s="611">
        <v>619</v>
      </c>
      <c r="C853" s="610"/>
      <c r="D853" s="198" t="s">
        <v>29</v>
      </c>
      <c r="E853" s="418" t="s">
        <v>28</v>
      </c>
      <c r="F853" s="609">
        <v>4</v>
      </c>
      <c r="G853" s="608">
        <v>4</v>
      </c>
      <c r="H853" s="608">
        <f t="shared" si="37"/>
        <v>0</v>
      </c>
      <c r="I853" s="607">
        <v>43033</v>
      </c>
      <c r="J853" s="561" t="s">
        <v>1645</v>
      </c>
      <c r="K853" s="557">
        <v>904</v>
      </c>
      <c r="L853" s="166">
        <v>43032</v>
      </c>
      <c r="M853" s="378">
        <v>470</v>
      </c>
      <c r="N853" s="603">
        <f t="shared" si="38"/>
        <v>1880</v>
      </c>
      <c r="O853" s="603" t="s">
        <v>1462</v>
      </c>
      <c r="P853" s="602" t="s">
        <v>612</v>
      </c>
      <c r="Q853" s="602"/>
      <c r="R853" s="377" t="s">
        <v>908</v>
      </c>
      <c r="S853" s="602" t="s">
        <v>422</v>
      </c>
      <c r="T853" s="602" t="s">
        <v>423</v>
      </c>
      <c r="U853" s="600"/>
      <c r="V853" s="601"/>
      <c r="W853" s="276"/>
    </row>
    <row r="854" spans="1:23" s="135" customFormat="1" ht="15" hidden="1" customHeight="1">
      <c r="A854" s="306">
        <v>853</v>
      </c>
      <c r="B854" s="611" t="s">
        <v>1646</v>
      </c>
      <c r="C854" s="610"/>
      <c r="D854" s="558" t="s">
        <v>248</v>
      </c>
      <c r="E854" s="600" t="s">
        <v>260</v>
      </c>
      <c r="F854" s="609">
        <v>2</v>
      </c>
      <c r="G854" s="608">
        <v>2</v>
      </c>
      <c r="H854" s="608">
        <f t="shared" si="37"/>
        <v>0</v>
      </c>
      <c r="I854" s="607">
        <v>43033</v>
      </c>
      <c r="J854" s="561" t="s">
        <v>958</v>
      </c>
      <c r="K854" s="557">
        <v>906</v>
      </c>
      <c r="L854" s="166">
        <v>43033</v>
      </c>
      <c r="M854" s="378">
        <v>1180</v>
      </c>
      <c r="N854" s="603">
        <f t="shared" si="38"/>
        <v>2360</v>
      </c>
      <c r="O854" s="603" t="s">
        <v>1462</v>
      </c>
      <c r="P854" s="602" t="s">
        <v>995</v>
      </c>
      <c r="Q854" s="602" t="s">
        <v>1647</v>
      </c>
      <c r="R854" s="377" t="s">
        <v>908</v>
      </c>
      <c r="S854" s="602" t="s">
        <v>422</v>
      </c>
      <c r="T854" s="602" t="s">
        <v>423</v>
      </c>
      <c r="U854" s="600"/>
      <c r="V854" s="601"/>
      <c r="W854" s="276"/>
    </row>
    <row r="855" spans="1:23" s="135" customFormat="1" ht="15" hidden="1" customHeight="1">
      <c r="A855" s="306">
        <v>854</v>
      </c>
      <c r="B855" s="611" t="s">
        <v>1646</v>
      </c>
      <c r="C855" s="610"/>
      <c r="D855" s="558" t="s">
        <v>78</v>
      </c>
      <c r="E855" s="6" t="s">
        <v>76</v>
      </c>
      <c r="F855" s="609">
        <v>2</v>
      </c>
      <c r="G855" s="608">
        <v>2</v>
      </c>
      <c r="H855" s="608">
        <f t="shared" si="37"/>
        <v>0</v>
      </c>
      <c r="I855" s="607">
        <v>43033</v>
      </c>
      <c r="J855" s="561" t="s">
        <v>958</v>
      </c>
      <c r="K855" s="557">
        <v>906</v>
      </c>
      <c r="L855" s="166">
        <v>43033</v>
      </c>
      <c r="M855" s="378">
        <v>2100</v>
      </c>
      <c r="N855" s="603">
        <f t="shared" si="38"/>
        <v>4200</v>
      </c>
      <c r="O855" s="603" t="s">
        <v>1462</v>
      </c>
      <c r="P855" s="602" t="s">
        <v>995</v>
      </c>
      <c r="Q855" s="602" t="s">
        <v>1647</v>
      </c>
      <c r="R855" s="377" t="s">
        <v>908</v>
      </c>
      <c r="S855" s="602" t="s">
        <v>422</v>
      </c>
      <c r="T855" s="602" t="s">
        <v>423</v>
      </c>
      <c r="U855" s="600"/>
      <c r="V855" s="601"/>
      <c r="W855" s="276"/>
    </row>
    <row r="856" spans="1:23" s="135" customFormat="1" ht="15" hidden="1" customHeight="1">
      <c r="A856" s="306">
        <v>855</v>
      </c>
      <c r="B856" s="611">
        <v>4501516062</v>
      </c>
      <c r="C856" s="610"/>
      <c r="D856" s="181" t="s">
        <v>247</v>
      </c>
      <c r="E856" s="600" t="s">
        <v>259</v>
      </c>
      <c r="F856" s="609">
        <v>6</v>
      </c>
      <c r="G856" s="608">
        <v>6</v>
      </c>
      <c r="H856" s="608">
        <f t="shared" si="37"/>
        <v>0</v>
      </c>
      <c r="I856" s="607">
        <v>43034</v>
      </c>
      <c r="J856" s="561" t="s">
        <v>439</v>
      </c>
      <c r="K856" s="557">
        <v>944</v>
      </c>
      <c r="L856" s="166">
        <v>43054</v>
      </c>
      <c r="M856" s="378">
        <v>3830</v>
      </c>
      <c r="N856" s="603">
        <f t="shared" si="38"/>
        <v>22980</v>
      </c>
      <c r="O856" s="603" t="s">
        <v>1462</v>
      </c>
      <c r="P856" s="602" t="s">
        <v>1128</v>
      </c>
      <c r="Q856" s="602" t="s">
        <v>1649</v>
      </c>
      <c r="R856" s="377" t="s">
        <v>908</v>
      </c>
      <c r="S856" s="602" t="s">
        <v>422</v>
      </c>
      <c r="T856" s="602" t="s">
        <v>423</v>
      </c>
      <c r="U856" s="600"/>
      <c r="V856" s="153"/>
      <c r="W856" s="276"/>
    </row>
    <row r="857" spans="1:23" s="135" customFormat="1" ht="15" hidden="1" customHeight="1">
      <c r="A857" s="306">
        <v>856</v>
      </c>
      <c r="B857" s="162"/>
      <c r="C857" s="610"/>
      <c r="D857" s="186" t="s">
        <v>1692</v>
      </c>
      <c r="E857" s="331" t="s">
        <v>1137</v>
      </c>
      <c r="F857" s="609">
        <v>64</v>
      </c>
      <c r="G857" s="608">
        <v>64</v>
      </c>
      <c r="H857" s="608">
        <f t="shared" si="37"/>
        <v>0</v>
      </c>
      <c r="I857" s="607">
        <v>43036</v>
      </c>
      <c r="J857" s="561" t="s">
        <v>1650</v>
      </c>
      <c r="K857" s="557">
        <v>909</v>
      </c>
      <c r="L857" s="166">
        <v>43034</v>
      </c>
      <c r="M857" s="378">
        <v>555</v>
      </c>
      <c r="N857" s="603">
        <f t="shared" si="38"/>
        <v>35520</v>
      </c>
      <c r="O857" s="603" t="s">
        <v>1462</v>
      </c>
      <c r="P857" s="602" t="s">
        <v>612</v>
      </c>
      <c r="Q857" s="602" t="s">
        <v>1651</v>
      </c>
      <c r="R857" s="377" t="s">
        <v>908</v>
      </c>
      <c r="S857" s="602" t="s">
        <v>422</v>
      </c>
      <c r="T857" s="602" t="s">
        <v>423</v>
      </c>
      <c r="U857" s="600"/>
      <c r="V857" s="153"/>
      <c r="W857" s="276"/>
    </row>
    <row r="858" spans="1:23" s="135" customFormat="1" ht="15" hidden="1" customHeight="1">
      <c r="A858" s="306">
        <v>857</v>
      </c>
      <c r="B858" s="162">
        <v>4501476831</v>
      </c>
      <c r="C858" s="161"/>
      <c r="D858" s="558" t="s">
        <v>205</v>
      </c>
      <c r="E858" s="467" t="s">
        <v>204</v>
      </c>
      <c r="F858" s="373">
        <v>2</v>
      </c>
      <c r="G858" s="608">
        <v>2</v>
      </c>
      <c r="H858" s="608">
        <f t="shared" si="37"/>
        <v>0</v>
      </c>
      <c r="I858" s="160">
        <v>43034</v>
      </c>
      <c r="J858" s="155" t="s">
        <v>439</v>
      </c>
      <c r="K858" s="557">
        <v>907</v>
      </c>
      <c r="L858" s="166">
        <v>43033</v>
      </c>
      <c r="M858" s="378">
        <v>1130</v>
      </c>
      <c r="N858" s="603">
        <f t="shared" si="38"/>
        <v>2260</v>
      </c>
      <c r="O858" s="603" t="s">
        <v>1462</v>
      </c>
      <c r="P858" s="602" t="s">
        <v>597</v>
      </c>
      <c r="Q858" s="154" t="s">
        <v>1648</v>
      </c>
      <c r="R858" s="377" t="s">
        <v>908</v>
      </c>
      <c r="S858" s="602" t="s">
        <v>422</v>
      </c>
      <c r="T858" s="602" t="s">
        <v>423</v>
      </c>
      <c r="U858" s="600"/>
      <c r="V858" s="601"/>
      <c r="W858" s="276"/>
    </row>
    <row r="859" spans="1:23" s="135" customFormat="1" ht="15" hidden="1" customHeight="1">
      <c r="A859" s="306">
        <v>858</v>
      </c>
      <c r="B859" s="611">
        <v>4501476831</v>
      </c>
      <c r="C859" s="161"/>
      <c r="D859" s="558" t="s">
        <v>1638</v>
      </c>
      <c r="E859" s="331" t="s">
        <v>1640</v>
      </c>
      <c r="F859" s="373">
        <v>2</v>
      </c>
      <c r="G859" s="608">
        <v>2</v>
      </c>
      <c r="H859" s="608">
        <f t="shared" si="37"/>
        <v>0</v>
      </c>
      <c r="I859" s="607">
        <v>43034</v>
      </c>
      <c r="J859" s="561" t="s">
        <v>439</v>
      </c>
      <c r="K859" s="557">
        <v>907</v>
      </c>
      <c r="L859" s="166">
        <v>43033</v>
      </c>
      <c r="M859" s="378">
        <v>1430</v>
      </c>
      <c r="N859" s="603">
        <f t="shared" si="38"/>
        <v>2860</v>
      </c>
      <c r="O859" s="603" t="s">
        <v>1462</v>
      </c>
      <c r="P859" s="602" t="s">
        <v>597</v>
      </c>
      <c r="Q859" s="602" t="s">
        <v>1648</v>
      </c>
      <c r="R859" s="377" t="s">
        <v>908</v>
      </c>
      <c r="S859" s="602" t="s">
        <v>422</v>
      </c>
      <c r="T859" s="602" t="s">
        <v>423</v>
      </c>
      <c r="U859" s="600"/>
      <c r="V859" s="601"/>
      <c r="W859" s="276"/>
    </row>
    <row r="860" spans="1:23" s="135" customFormat="1" ht="15" hidden="1" customHeight="1">
      <c r="A860" s="306">
        <v>859</v>
      </c>
      <c r="B860" s="611"/>
      <c r="C860" s="610"/>
      <c r="D860" s="558" t="s">
        <v>77</v>
      </c>
      <c r="E860" s="64" t="s">
        <v>76</v>
      </c>
      <c r="F860" s="609">
        <v>1</v>
      </c>
      <c r="G860" s="608">
        <v>1</v>
      </c>
      <c r="H860" s="608">
        <f t="shared" si="37"/>
        <v>0</v>
      </c>
      <c r="I860" s="607">
        <v>43034</v>
      </c>
      <c r="J860" s="561" t="s">
        <v>1655</v>
      </c>
      <c r="K860" s="557">
        <v>908</v>
      </c>
      <c r="L860" s="166">
        <v>43033</v>
      </c>
      <c r="M860" s="378">
        <v>750</v>
      </c>
      <c r="N860" s="603">
        <f t="shared" si="38"/>
        <v>750</v>
      </c>
      <c r="O860" s="603" t="s">
        <v>1462</v>
      </c>
      <c r="P860" s="602" t="s">
        <v>844</v>
      </c>
      <c r="Q860" s="602" t="s">
        <v>1654</v>
      </c>
      <c r="R860" s="377" t="s">
        <v>908</v>
      </c>
      <c r="S860" s="602" t="s">
        <v>422</v>
      </c>
      <c r="T860" s="602" t="s">
        <v>423</v>
      </c>
      <c r="U860" s="600"/>
      <c r="V860" s="601"/>
      <c r="W860" s="276"/>
    </row>
    <row r="861" spans="1:23" s="135" customFormat="1" ht="15" hidden="1" customHeight="1">
      <c r="A861" s="306">
        <v>860</v>
      </c>
      <c r="B861" s="611"/>
      <c r="C861" s="610"/>
      <c r="D861" s="613" t="s">
        <v>939</v>
      </c>
      <c r="E861" s="5" t="s">
        <v>940</v>
      </c>
      <c r="F861" s="609">
        <v>16</v>
      </c>
      <c r="G861" s="608">
        <v>16</v>
      </c>
      <c r="H861" s="608">
        <f t="shared" si="37"/>
        <v>0</v>
      </c>
      <c r="I861" s="607">
        <v>43034</v>
      </c>
      <c r="J861" s="561" t="s">
        <v>1655</v>
      </c>
      <c r="K861" s="557">
        <v>908</v>
      </c>
      <c r="L861" s="166">
        <v>43033</v>
      </c>
      <c r="M861" s="378">
        <v>125</v>
      </c>
      <c r="N861" s="603">
        <f t="shared" si="38"/>
        <v>2000</v>
      </c>
      <c r="O861" s="603" t="s">
        <v>1462</v>
      </c>
      <c r="P861" s="602" t="s">
        <v>844</v>
      </c>
      <c r="Q861" s="602" t="s">
        <v>1654</v>
      </c>
      <c r="R861" s="377" t="s">
        <v>908</v>
      </c>
      <c r="S861" s="602" t="s">
        <v>422</v>
      </c>
      <c r="T861" s="602" t="s">
        <v>423</v>
      </c>
      <c r="U861" s="600"/>
      <c r="V861" s="601"/>
      <c r="W861" s="276"/>
    </row>
    <row r="862" spans="1:23" s="135" customFormat="1" ht="15" hidden="1" customHeight="1">
      <c r="A862" s="306">
        <v>861</v>
      </c>
      <c r="B862" s="611"/>
      <c r="C862" s="610"/>
      <c r="D862" s="613" t="s">
        <v>605</v>
      </c>
      <c r="E862" s="498" t="s">
        <v>393</v>
      </c>
      <c r="F862" s="609">
        <v>1</v>
      </c>
      <c r="G862" s="608">
        <v>1</v>
      </c>
      <c r="H862" s="608">
        <f t="shared" si="37"/>
        <v>0</v>
      </c>
      <c r="I862" s="607">
        <v>43037</v>
      </c>
      <c r="J862" s="561" t="s">
        <v>1323</v>
      </c>
      <c r="K862" s="557">
        <v>913</v>
      </c>
      <c r="L862" s="166">
        <v>43037</v>
      </c>
      <c r="M862" s="378">
        <v>5355</v>
      </c>
      <c r="N862" s="603">
        <f t="shared" si="38"/>
        <v>5355</v>
      </c>
      <c r="O862" s="603" t="s">
        <v>1462</v>
      </c>
      <c r="P862" s="602" t="s">
        <v>969</v>
      </c>
      <c r="Q862" s="602" t="s">
        <v>1657</v>
      </c>
      <c r="R862" s="377" t="s">
        <v>908</v>
      </c>
      <c r="S862" s="602" t="s">
        <v>422</v>
      </c>
      <c r="T862" s="602" t="s">
        <v>423</v>
      </c>
      <c r="U862" s="600"/>
      <c r="V862" s="601"/>
      <c r="W862" s="549"/>
    </row>
    <row r="863" spans="1:23" s="135" customFormat="1" ht="15" hidden="1" customHeight="1">
      <c r="A863" s="306">
        <v>862</v>
      </c>
      <c r="B863" s="611"/>
      <c r="C863" s="610"/>
      <c r="D863" s="181" t="s">
        <v>1100</v>
      </c>
      <c r="E863" s="559" t="s">
        <v>1102</v>
      </c>
      <c r="F863" s="609">
        <v>2</v>
      </c>
      <c r="G863" s="608">
        <v>2</v>
      </c>
      <c r="H863" s="608">
        <f t="shared" si="37"/>
        <v>0</v>
      </c>
      <c r="I863" s="607">
        <v>43037</v>
      </c>
      <c r="J863" s="561" t="s">
        <v>1323</v>
      </c>
      <c r="K863" s="557">
        <v>913</v>
      </c>
      <c r="L863" s="166">
        <v>43037</v>
      </c>
      <c r="M863" s="378">
        <v>2365</v>
      </c>
      <c r="N863" s="603">
        <f t="shared" si="38"/>
        <v>4730</v>
      </c>
      <c r="O863" s="603" t="s">
        <v>1462</v>
      </c>
      <c r="P863" s="602" t="s">
        <v>969</v>
      </c>
      <c r="Q863" s="602" t="s">
        <v>1657</v>
      </c>
      <c r="R863" s="377" t="s">
        <v>908</v>
      </c>
      <c r="S863" s="602" t="s">
        <v>422</v>
      </c>
      <c r="T863" s="602" t="s">
        <v>423</v>
      </c>
      <c r="U863" s="600"/>
      <c r="V863" s="601"/>
      <c r="W863" s="276"/>
    </row>
    <row r="864" spans="1:23" s="135" customFormat="1" ht="15" hidden="1" customHeight="1">
      <c r="A864" s="306">
        <v>863</v>
      </c>
      <c r="B864" s="162">
        <v>4501502591</v>
      </c>
      <c r="C864" s="161"/>
      <c r="D864" s="181" t="s">
        <v>224</v>
      </c>
      <c r="E864" s="326" t="s">
        <v>941</v>
      </c>
      <c r="F864" s="373">
        <v>4</v>
      </c>
      <c r="G864" s="608">
        <v>4</v>
      </c>
      <c r="H864" s="608">
        <f t="shared" si="37"/>
        <v>0</v>
      </c>
      <c r="I864" s="160">
        <v>43034</v>
      </c>
      <c r="J864" s="155" t="s">
        <v>1658</v>
      </c>
      <c r="K864" s="557">
        <v>894</v>
      </c>
      <c r="L864" s="166">
        <v>43026</v>
      </c>
      <c r="M864" s="378">
        <v>300</v>
      </c>
      <c r="N864" s="603">
        <f t="shared" si="38"/>
        <v>1200</v>
      </c>
      <c r="O864" s="603" t="s">
        <v>1462</v>
      </c>
      <c r="P864" s="154" t="s">
        <v>1128</v>
      </c>
      <c r="Q864" s="154" t="s">
        <v>1659</v>
      </c>
      <c r="R864" s="377" t="s">
        <v>908</v>
      </c>
      <c r="S864" s="602" t="s">
        <v>422</v>
      </c>
      <c r="T864" s="602" t="s">
        <v>423</v>
      </c>
      <c r="U864" s="600"/>
      <c r="V864" s="601"/>
      <c r="W864" s="276"/>
    </row>
    <row r="865" spans="1:23" s="135" customFormat="1" ht="15" hidden="1" customHeight="1">
      <c r="A865" s="306">
        <v>864</v>
      </c>
      <c r="B865" s="162"/>
      <c r="C865" s="161"/>
      <c r="D865" s="601" t="s">
        <v>248</v>
      </c>
      <c r="E865" s="600" t="s">
        <v>260</v>
      </c>
      <c r="F865" s="609">
        <v>1</v>
      </c>
      <c r="G865" s="609">
        <v>1</v>
      </c>
      <c r="H865" s="614">
        <f t="shared" si="37"/>
        <v>0</v>
      </c>
      <c r="I865" s="607">
        <v>43038</v>
      </c>
      <c r="J865" s="561" t="s">
        <v>1660</v>
      </c>
      <c r="K865" s="557">
        <v>917</v>
      </c>
      <c r="L865" s="607">
        <v>43038</v>
      </c>
      <c r="M865" s="616">
        <v>2100</v>
      </c>
      <c r="N865" s="615">
        <f t="shared" si="38"/>
        <v>2100</v>
      </c>
      <c r="O865" s="603" t="s">
        <v>1462</v>
      </c>
      <c r="P865" s="602" t="s">
        <v>555</v>
      </c>
      <c r="Q865" s="600" t="s">
        <v>1661</v>
      </c>
      <c r="R865" s="377" t="s">
        <v>908</v>
      </c>
      <c r="S865" s="602" t="s">
        <v>422</v>
      </c>
      <c r="T865" s="602" t="s">
        <v>423</v>
      </c>
      <c r="U865" s="600"/>
      <c r="V865" s="601"/>
      <c r="W865" s="276"/>
    </row>
    <row r="866" spans="1:23" s="135" customFormat="1" ht="15" hidden="1" customHeight="1">
      <c r="A866" s="306">
        <v>865</v>
      </c>
      <c r="B866" s="162">
        <v>4036567</v>
      </c>
      <c r="C866" s="161"/>
      <c r="D866" s="186" t="s">
        <v>1498</v>
      </c>
      <c r="E866" s="499" t="s">
        <v>1532</v>
      </c>
      <c r="F866" s="373">
        <v>3</v>
      </c>
      <c r="G866" s="608">
        <v>3</v>
      </c>
      <c r="H866" s="608">
        <f t="shared" si="37"/>
        <v>0</v>
      </c>
      <c r="I866" s="160">
        <v>43038</v>
      </c>
      <c r="J866" s="155" t="s">
        <v>1662</v>
      </c>
      <c r="K866" s="557">
        <v>915</v>
      </c>
      <c r="L866" s="607">
        <v>43038</v>
      </c>
      <c r="M866" s="378">
        <v>630</v>
      </c>
      <c r="N866" s="603">
        <f t="shared" si="38"/>
        <v>1890</v>
      </c>
      <c r="O866" s="603" t="s">
        <v>1462</v>
      </c>
      <c r="P866" s="154" t="s">
        <v>612</v>
      </c>
      <c r="Q866" s="154" t="s">
        <v>1663</v>
      </c>
      <c r="R866" s="377" t="s">
        <v>908</v>
      </c>
      <c r="S866" s="602" t="s">
        <v>422</v>
      </c>
      <c r="T866" s="602" t="s">
        <v>423</v>
      </c>
      <c r="U866" s="600"/>
      <c r="V866" s="601"/>
      <c r="W866" s="276"/>
    </row>
    <row r="867" spans="1:23" s="135" customFormat="1" ht="15" hidden="1" customHeight="1">
      <c r="A867" s="306">
        <v>866</v>
      </c>
      <c r="B867" s="611">
        <v>4036567</v>
      </c>
      <c r="C867" s="161"/>
      <c r="D867" s="186" t="s">
        <v>1692</v>
      </c>
      <c r="E867" s="331" t="s">
        <v>1137</v>
      </c>
      <c r="F867" s="373">
        <v>15</v>
      </c>
      <c r="G867" s="608">
        <v>15</v>
      </c>
      <c r="H867" s="608">
        <f t="shared" si="37"/>
        <v>0</v>
      </c>
      <c r="I867" s="607">
        <v>43038</v>
      </c>
      <c r="J867" s="561" t="s">
        <v>1662</v>
      </c>
      <c r="K867" s="557">
        <v>915</v>
      </c>
      <c r="L867" s="607">
        <v>43038</v>
      </c>
      <c r="M867" s="378">
        <v>555</v>
      </c>
      <c r="N867" s="603">
        <f t="shared" si="38"/>
        <v>8325</v>
      </c>
      <c r="O867" s="603" t="s">
        <v>1462</v>
      </c>
      <c r="P867" s="602" t="s">
        <v>612</v>
      </c>
      <c r="Q867" s="602" t="s">
        <v>1663</v>
      </c>
      <c r="R867" s="377" t="s">
        <v>908</v>
      </c>
      <c r="S867" s="602" t="s">
        <v>422</v>
      </c>
      <c r="T867" s="602" t="s">
        <v>423</v>
      </c>
      <c r="U867" s="600"/>
      <c r="V867" s="601"/>
      <c r="W867" s="276"/>
    </row>
    <row r="868" spans="1:23" s="135" customFormat="1" ht="15" hidden="1" customHeight="1">
      <c r="A868" s="306">
        <v>867</v>
      </c>
      <c r="B868" s="162">
        <v>3299</v>
      </c>
      <c r="C868" s="161"/>
      <c r="D868" s="186" t="s">
        <v>222</v>
      </c>
      <c r="E868" s="523" t="s">
        <v>221</v>
      </c>
      <c r="F868" s="373">
        <v>8</v>
      </c>
      <c r="G868" s="608">
        <v>8</v>
      </c>
      <c r="H868" s="608">
        <f t="shared" si="37"/>
        <v>0</v>
      </c>
      <c r="I868" s="607">
        <v>43038</v>
      </c>
      <c r="J868" s="561" t="s">
        <v>831</v>
      </c>
      <c r="K868" s="557">
        <v>914</v>
      </c>
      <c r="L868" s="166">
        <v>43037</v>
      </c>
      <c r="M868" s="378">
        <v>80</v>
      </c>
      <c r="N868" s="603">
        <f t="shared" si="38"/>
        <v>640</v>
      </c>
      <c r="O868" s="603" t="s">
        <v>1462</v>
      </c>
      <c r="P868" s="154" t="s">
        <v>512</v>
      </c>
      <c r="Q868" s="154"/>
      <c r="R868" s="377" t="s">
        <v>908</v>
      </c>
      <c r="S868" s="602" t="s">
        <v>422</v>
      </c>
      <c r="T868" s="602" t="s">
        <v>423</v>
      </c>
      <c r="U868" s="600"/>
      <c r="V868" s="601"/>
      <c r="W868" s="276"/>
    </row>
    <row r="869" spans="1:23" s="135" customFormat="1" ht="15" hidden="1" customHeight="1">
      <c r="A869" s="306">
        <v>868</v>
      </c>
      <c r="B869" s="611">
        <v>3299</v>
      </c>
      <c r="C869" s="161"/>
      <c r="D869" s="611" t="s">
        <v>29</v>
      </c>
      <c r="E869" s="5" t="s">
        <v>28</v>
      </c>
      <c r="F869" s="373">
        <v>1</v>
      </c>
      <c r="G869" s="608">
        <v>1</v>
      </c>
      <c r="H869" s="608">
        <f t="shared" si="37"/>
        <v>0</v>
      </c>
      <c r="I869" s="607">
        <v>43038</v>
      </c>
      <c r="J869" s="561" t="s">
        <v>831</v>
      </c>
      <c r="K869" s="557">
        <v>914</v>
      </c>
      <c r="L869" s="166">
        <v>43037</v>
      </c>
      <c r="M869" s="378">
        <v>470</v>
      </c>
      <c r="N869" s="603">
        <f t="shared" si="38"/>
        <v>470</v>
      </c>
      <c r="O869" s="603" t="s">
        <v>1462</v>
      </c>
      <c r="P869" s="602" t="s">
        <v>512</v>
      </c>
      <c r="Q869" s="154"/>
      <c r="R869" s="377" t="s">
        <v>908</v>
      </c>
      <c r="S869" s="602" t="s">
        <v>422</v>
      </c>
      <c r="T869" s="602" t="s">
        <v>423</v>
      </c>
      <c r="U869" s="600"/>
      <c r="V869" s="601"/>
      <c r="W869" s="276"/>
    </row>
    <row r="870" spans="1:23" s="135" customFormat="1" ht="15" hidden="1" customHeight="1">
      <c r="A870" s="306">
        <v>869</v>
      </c>
      <c r="B870" s="611">
        <v>23941</v>
      </c>
      <c r="C870" s="610"/>
      <c r="D870" s="611" t="s">
        <v>52</v>
      </c>
      <c r="E870" s="354" t="s">
        <v>50</v>
      </c>
      <c r="F870" s="609">
        <v>1</v>
      </c>
      <c r="G870" s="608">
        <v>1</v>
      </c>
      <c r="H870" s="608">
        <f t="shared" si="37"/>
        <v>0</v>
      </c>
      <c r="I870" s="607">
        <v>43038</v>
      </c>
      <c r="J870" s="561" t="s">
        <v>1124</v>
      </c>
      <c r="K870" s="557">
        <v>916</v>
      </c>
      <c r="L870" s="166">
        <v>43038</v>
      </c>
      <c r="M870" s="378">
        <v>1460</v>
      </c>
      <c r="N870" s="603">
        <f t="shared" si="38"/>
        <v>1460</v>
      </c>
      <c r="O870" s="603" t="s">
        <v>1462</v>
      </c>
      <c r="P870" s="602" t="s">
        <v>1664</v>
      </c>
      <c r="Q870" s="602"/>
      <c r="R870" s="377" t="s">
        <v>908</v>
      </c>
      <c r="S870" s="602" t="s">
        <v>422</v>
      </c>
      <c r="T870" s="602" t="s">
        <v>423</v>
      </c>
      <c r="U870" s="402"/>
      <c r="V870" s="194"/>
      <c r="W870" s="276"/>
    </row>
    <row r="871" spans="1:23" s="135" customFormat="1" ht="15" hidden="1" customHeight="1">
      <c r="A871" s="306">
        <v>870</v>
      </c>
      <c r="B871" s="611" t="s">
        <v>1666</v>
      </c>
      <c r="C871" s="610"/>
      <c r="D871" s="198" t="s">
        <v>146</v>
      </c>
      <c r="E871" s="354" t="s">
        <v>145</v>
      </c>
      <c r="F871" s="609">
        <v>3</v>
      </c>
      <c r="G871" s="609">
        <v>3</v>
      </c>
      <c r="H871" s="608">
        <f t="shared" si="37"/>
        <v>0</v>
      </c>
      <c r="I871" s="607">
        <v>43040</v>
      </c>
      <c r="J871" s="561" t="s">
        <v>1667</v>
      </c>
      <c r="K871" s="557">
        <v>920</v>
      </c>
      <c r="L871" s="166">
        <v>43038</v>
      </c>
      <c r="M871" s="378">
        <v>481</v>
      </c>
      <c r="N871" s="603">
        <f t="shared" si="38"/>
        <v>1443</v>
      </c>
      <c r="O871" s="603" t="s">
        <v>1462</v>
      </c>
      <c r="P871" s="602" t="s">
        <v>612</v>
      </c>
      <c r="Q871" s="602"/>
      <c r="R871" s="377" t="s">
        <v>908</v>
      </c>
      <c r="S871" s="602" t="s">
        <v>422</v>
      </c>
      <c r="T871" s="602" t="s">
        <v>423</v>
      </c>
      <c r="U871" s="600"/>
      <c r="V871" s="601"/>
      <c r="W871" s="276"/>
    </row>
    <row r="872" spans="1:23" s="135" customFormat="1" ht="15" hidden="1" customHeight="1">
      <c r="A872" s="306">
        <v>871</v>
      </c>
      <c r="B872" s="611" t="s">
        <v>1666</v>
      </c>
      <c r="C872" s="610"/>
      <c r="D872" s="185" t="s">
        <v>1173</v>
      </c>
      <c r="E872" s="326" t="s">
        <v>1174</v>
      </c>
      <c r="F872" s="609">
        <v>1</v>
      </c>
      <c r="G872" s="609">
        <v>1</v>
      </c>
      <c r="H872" s="608">
        <f t="shared" si="37"/>
        <v>0</v>
      </c>
      <c r="I872" s="607">
        <v>43040</v>
      </c>
      <c r="J872" s="561" t="s">
        <v>1667</v>
      </c>
      <c r="K872" s="557">
        <v>920</v>
      </c>
      <c r="L872" s="166">
        <v>43038</v>
      </c>
      <c r="M872" s="378">
        <v>42602</v>
      </c>
      <c r="N872" s="603">
        <f t="shared" si="38"/>
        <v>42602</v>
      </c>
      <c r="O872" s="603" t="s">
        <v>1462</v>
      </c>
      <c r="P872" s="602" t="s">
        <v>612</v>
      </c>
      <c r="Q872" s="602"/>
      <c r="R872" s="377" t="s">
        <v>908</v>
      </c>
      <c r="S872" s="602" t="s">
        <v>422</v>
      </c>
      <c r="T872" s="602" t="s">
        <v>423</v>
      </c>
      <c r="U872" s="600"/>
      <c r="V872" s="601"/>
      <c r="W872" s="276"/>
    </row>
    <row r="873" spans="1:23" s="135" customFormat="1" ht="15" hidden="1" customHeight="1">
      <c r="A873" s="306">
        <v>872</v>
      </c>
      <c r="B873" s="611" t="s">
        <v>1666</v>
      </c>
      <c r="C873" s="610"/>
      <c r="D873" s="185" t="s">
        <v>136</v>
      </c>
      <c r="E873" s="601" t="s">
        <v>1380</v>
      </c>
      <c r="F873" s="609">
        <v>1</v>
      </c>
      <c r="G873" s="609">
        <v>1</v>
      </c>
      <c r="H873" s="608">
        <f t="shared" si="37"/>
        <v>0</v>
      </c>
      <c r="I873" s="607">
        <v>43040</v>
      </c>
      <c r="J873" s="561" t="s">
        <v>1667</v>
      </c>
      <c r="K873" s="557">
        <v>920</v>
      </c>
      <c r="L873" s="166">
        <v>43038</v>
      </c>
      <c r="M873" s="378">
        <v>6213</v>
      </c>
      <c r="N873" s="603">
        <f t="shared" si="38"/>
        <v>6213</v>
      </c>
      <c r="O873" s="603" t="s">
        <v>1462</v>
      </c>
      <c r="P873" s="602" t="s">
        <v>612</v>
      </c>
      <c r="Q873" s="602"/>
      <c r="R873" s="377" t="s">
        <v>908</v>
      </c>
      <c r="S873" s="602" t="s">
        <v>422</v>
      </c>
      <c r="T873" s="602" t="s">
        <v>423</v>
      </c>
      <c r="U873" s="600"/>
      <c r="V873" s="601"/>
      <c r="W873" s="276"/>
    </row>
    <row r="874" spans="1:23" s="135" customFormat="1" ht="15" hidden="1" customHeight="1">
      <c r="A874" s="306">
        <v>873</v>
      </c>
      <c r="B874" s="611" t="s">
        <v>1666</v>
      </c>
      <c r="C874" s="610"/>
      <c r="D874" s="185" t="s">
        <v>1489</v>
      </c>
      <c r="E874" s="601" t="s">
        <v>1523</v>
      </c>
      <c r="F874" s="609">
        <v>4</v>
      </c>
      <c r="G874" s="609">
        <v>4</v>
      </c>
      <c r="H874" s="608">
        <f t="shared" si="37"/>
        <v>0</v>
      </c>
      <c r="I874" s="607">
        <v>43040</v>
      </c>
      <c r="J874" s="561" t="s">
        <v>1667</v>
      </c>
      <c r="K874" s="557">
        <v>920</v>
      </c>
      <c r="L874" s="166">
        <v>43038</v>
      </c>
      <c r="M874" s="378">
        <v>5028</v>
      </c>
      <c r="N874" s="603">
        <f t="shared" si="38"/>
        <v>20112</v>
      </c>
      <c r="O874" s="603" t="s">
        <v>1462</v>
      </c>
      <c r="P874" s="602" t="s">
        <v>612</v>
      </c>
      <c r="Q874" s="602"/>
      <c r="R874" s="377" t="s">
        <v>908</v>
      </c>
      <c r="S874" s="602" t="s">
        <v>422</v>
      </c>
      <c r="T874" s="602" t="s">
        <v>423</v>
      </c>
      <c r="U874" s="600"/>
      <c r="V874" s="601"/>
      <c r="W874" s="276"/>
    </row>
    <row r="875" spans="1:23" s="135" customFormat="1" ht="15" hidden="1" customHeight="1">
      <c r="A875" s="306">
        <v>874</v>
      </c>
      <c r="B875" s="611" t="s">
        <v>1666</v>
      </c>
      <c r="C875" s="610"/>
      <c r="D875" s="181" t="s">
        <v>1490</v>
      </c>
      <c r="E875" s="326" t="s">
        <v>1524</v>
      </c>
      <c r="F875" s="609">
        <v>4</v>
      </c>
      <c r="G875" s="609">
        <v>4</v>
      </c>
      <c r="H875" s="608">
        <f t="shared" si="37"/>
        <v>0</v>
      </c>
      <c r="I875" s="607">
        <v>43040</v>
      </c>
      <c r="J875" s="561" t="s">
        <v>1667</v>
      </c>
      <c r="K875" s="557">
        <v>920</v>
      </c>
      <c r="L875" s="166">
        <v>43038</v>
      </c>
      <c r="M875" s="378">
        <v>365</v>
      </c>
      <c r="N875" s="603">
        <f t="shared" si="38"/>
        <v>1460</v>
      </c>
      <c r="O875" s="603" t="s">
        <v>1462</v>
      </c>
      <c r="P875" s="602" t="s">
        <v>612</v>
      </c>
      <c r="Q875" s="602"/>
      <c r="R875" s="377" t="s">
        <v>908</v>
      </c>
      <c r="S875" s="602" t="s">
        <v>422</v>
      </c>
      <c r="T875" s="602" t="s">
        <v>423</v>
      </c>
      <c r="U875" s="600"/>
      <c r="V875" s="601"/>
      <c r="W875" s="276"/>
    </row>
    <row r="876" spans="1:23" s="135" customFormat="1" ht="15" hidden="1" customHeight="1">
      <c r="A876" s="306">
        <v>875</v>
      </c>
      <c r="B876" s="611" t="s">
        <v>1666</v>
      </c>
      <c r="C876" s="610"/>
      <c r="D876" s="181" t="s">
        <v>1491</v>
      </c>
      <c r="E876" s="326" t="s">
        <v>1525</v>
      </c>
      <c r="F876" s="609">
        <v>4</v>
      </c>
      <c r="G876" s="609">
        <v>4</v>
      </c>
      <c r="H876" s="608">
        <f t="shared" si="37"/>
        <v>0</v>
      </c>
      <c r="I876" s="607">
        <v>43040</v>
      </c>
      <c r="J876" s="561" t="s">
        <v>1667</v>
      </c>
      <c r="K876" s="557">
        <v>920</v>
      </c>
      <c r="L876" s="166">
        <v>43038</v>
      </c>
      <c r="M876" s="378">
        <v>365</v>
      </c>
      <c r="N876" s="603">
        <f t="shared" si="38"/>
        <v>1460</v>
      </c>
      <c r="O876" s="603" t="s">
        <v>1462</v>
      </c>
      <c r="P876" s="602" t="s">
        <v>612</v>
      </c>
      <c r="Q876" s="602"/>
      <c r="R876" s="377" t="s">
        <v>908</v>
      </c>
      <c r="S876" s="602" t="s">
        <v>422</v>
      </c>
      <c r="T876" s="602" t="s">
        <v>423</v>
      </c>
      <c r="U876" s="600"/>
      <c r="V876" s="601"/>
      <c r="W876" s="276"/>
    </row>
    <row r="877" spans="1:23" s="135" customFormat="1" ht="15" hidden="1" customHeight="1">
      <c r="A877" s="306">
        <v>876</v>
      </c>
      <c r="B877" s="611" t="s">
        <v>1666</v>
      </c>
      <c r="C877" s="610"/>
      <c r="D877" s="181" t="s">
        <v>1492</v>
      </c>
      <c r="E877" s="326" t="s">
        <v>1526</v>
      </c>
      <c r="F877" s="609">
        <v>4</v>
      </c>
      <c r="G877" s="609">
        <v>4</v>
      </c>
      <c r="H877" s="608">
        <f t="shared" si="37"/>
        <v>0</v>
      </c>
      <c r="I877" s="607">
        <v>43040</v>
      </c>
      <c r="J877" s="561" t="s">
        <v>1667</v>
      </c>
      <c r="K877" s="557">
        <v>920</v>
      </c>
      <c r="L877" s="166">
        <v>43038</v>
      </c>
      <c r="M877" s="378">
        <v>510</v>
      </c>
      <c r="N877" s="603">
        <f t="shared" si="38"/>
        <v>2040</v>
      </c>
      <c r="O877" s="603" t="s">
        <v>1462</v>
      </c>
      <c r="P877" s="602" t="s">
        <v>612</v>
      </c>
      <c r="Q877" s="602"/>
      <c r="R877" s="377" t="s">
        <v>908</v>
      </c>
      <c r="S877" s="602" t="s">
        <v>422</v>
      </c>
      <c r="T877" s="602" t="s">
        <v>423</v>
      </c>
      <c r="U877" s="600"/>
      <c r="V877" s="601"/>
      <c r="W877" s="276"/>
    </row>
    <row r="878" spans="1:23" s="135" customFormat="1" ht="15" hidden="1" customHeight="1">
      <c r="A878" s="306">
        <v>877</v>
      </c>
      <c r="B878" s="611" t="s">
        <v>1666</v>
      </c>
      <c r="C878" s="610"/>
      <c r="D878" s="181" t="s">
        <v>1340</v>
      </c>
      <c r="E878" s="326" t="s">
        <v>1339</v>
      </c>
      <c r="F878" s="609">
        <v>4</v>
      </c>
      <c r="G878" s="609">
        <v>4</v>
      </c>
      <c r="H878" s="608">
        <f t="shared" si="37"/>
        <v>0</v>
      </c>
      <c r="I878" s="607">
        <v>43040</v>
      </c>
      <c r="J878" s="561" t="s">
        <v>1667</v>
      </c>
      <c r="K878" s="557">
        <v>920</v>
      </c>
      <c r="L878" s="166">
        <v>43038</v>
      </c>
      <c r="M878" s="378">
        <v>2200</v>
      </c>
      <c r="N878" s="603">
        <f t="shared" si="38"/>
        <v>8800</v>
      </c>
      <c r="O878" s="603" t="s">
        <v>1462</v>
      </c>
      <c r="P878" s="602" t="s">
        <v>612</v>
      </c>
      <c r="Q878" s="602"/>
      <c r="R878" s="377" t="s">
        <v>908</v>
      </c>
      <c r="S878" s="602" t="s">
        <v>422</v>
      </c>
      <c r="T878" s="602" t="s">
        <v>423</v>
      </c>
      <c r="U878" s="600"/>
      <c r="V878" s="601"/>
      <c r="W878" s="549"/>
    </row>
    <row r="879" spans="1:23" s="135" customFormat="1" ht="15" hidden="1" customHeight="1">
      <c r="A879" s="306">
        <v>878</v>
      </c>
      <c r="B879" s="611" t="s">
        <v>1666</v>
      </c>
      <c r="C879" s="610"/>
      <c r="D879" s="601" t="s">
        <v>1493</v>
      </c>
      <c r="E879" s="602" t="s">
        <v>1527</v>
      </c>
      <c r="F879" s="609">
        <v>1</v>
      </c>
      <c r="G879" s="609">
        <v>1</v>
      </c>
      <c r="H879" s="608">
        <f t="shared" si="37"/>
        <v>0</v>
      </c>
      <c r="I879" s="607">
        <v>43040</v>
      </c>
      <c r="J879" s="561" t="s">
        <v>1667</v>
      </c>
      <c r="K879" s="557">
        <v>920</v>
      </c>
      <c r="L879" s="166">
        <v>43038</v>
      </c>
      <c r="M879" s="378">
        <v>8328</v>
      </c>
      <c r="N879" s="603">
        <f t="shared" si="38"/>
        <v>8328</v>
      </c>
      <c r="O879" s="603" t="s">
        <v>1462</v>
      </c>
      <c r="P879" s="602" t="s">
        <v>612</v>
      </c>
      <c r="Q879" s="602"/>
      <c r="R879" s="377" t="s">
        <v>908</v>
      </c>
      <c r="S879" s="602" t="s">
        <v>422</v>
      </c>
      <c r="T879" s="602" t="s">
        <v>423</v>
      </c>
      <c r="U879" s="600"/>
      <c r="V879" s="601"/>
      <c r="W879" s="276"/>
    </row>
    <row r="880" spans="1:23" s="135" customFormat="1" ht="15" hidden="1" customHeight="1">
      <c r="A880" s="306">
        <v>879</v>
      </c>
      <c r="B880" s="611" t="s">
        <v>1666</v>
      </c>
      <c r="C880" s="610"/>
      <c r="D880" s="181" t="s">
        <v>1494</v>
      </c>
      <c r="E880" s="326" t="s">
        <v>1528</v>
      </c>
      <c r="F880" s="609">
        <v>2</v>
      </c>
      <c r="G880" s="609">
        <v>2</v>
      </c>
      <c r="H880" s="608">
        <f t="shared" si="37"/>
        <v>0</v>
      </c>
      <c r="I880" s="607">
        <v>43040</v>
      </c>
      <c r="J880" s="561" t="s">
        <v>1667</v>
      </c>
      <c r="K880" s="557">
        <v>920</v>
      </c>
      <c r="L880" s="166">
        <v>43038</v>
      </c>
      <c r="M880" s="378">
        <v>3066</v>
      </c>
      <c r="N880" s="603">
        <f t="shared" si="38"/>
        <v>6132</v>
      </c>
      <c r="O880" s="603" t="s">
        <v>1462</v>
      </c>
      <c r="P880" s="602" t="s">
        <v>612</v>
      </c>
      <c r="Q880" s="602"/>
      <c r="R880" s="377" t="s">
        <v>908</v>
      </c>
      <c r="S880" s="602" t="s">
        <v>422</v>
      </c>
      <c r="T880" s="602" t="s">
        <v>423</v>
      </c>
      <c r="U880" s="600"/>
      <c r="V880" s="601"/>
      <c r="W880" s="276"/>
    </row>
    <row r="881" spans="1:23" s="135" customFormat="1" ht="15" hidden="1" customHeight="1">
      <c r="A881" s="306">
        <v>880</v>
      </c>
      <c r="B881" s="611" t="s">
        <v>1666</v>
      </c>
      <c r="C881" s="610"/>
      <c r="D881" s="185" t="s">
        <v>1495</v>
      </c>
      <c r="E881" s="601" t="s">
        <v>1529</v>
      </c>
      <c r="F881" s="609">
        <v>1</v>
      </c>
      <c r="G881" s="609">
        <v>1</v>
      </c>
      <c r="H881" s="608">
        <f t="shared" si="37"/>
        <v>0</v>
      </c>
      <c r="I881" s="607">
        <v>43040</v>
      </c>
      <c r="J881" s="561" t="s">
        <v>1667</v>
      </c>
      <c r="K881" s="557">
        <v>920</v>
      </c>
      <c r="L881" s="166">
        <v>43038</v>
      </c>
      <c r="M881" s="378">
        <v>20037</v>
      </c>
      <c r="N881" s="603">
        <f t="shared" si="38"/>
        <v>20037</v>
      </c>
      <c r="O881" s="603" t="s">
        <v>1462</v>
      </c>
      <c r="P881" s="602" t="s">
        <v>612</v>
      </c>
      <c r="Q881" s="602"/>
      <c r="R881" s="377" t="s">
        <v>908</v>
      </c>
      <c r="S881" s="602" t="s">
        <v>422</v>
      </c>
      <c r="T881" s="602" t="s">
        <v>423</v>
      </c>
      <c r="U881" s="600"/>
      <c r="V881" s="601"/>
      <c r="W881" s="276"/>
    </row>
    <row r="882" spans="1:23" s="135" customFormat="1" ht="15" hidden="1" customHeight="1">
      <c r="A882" s="306">
        <v>881</v>
      </c>
      <c r="B882" s="611" t="s">
        <v>1666</v>
      </c>
      <c r="C882" s="610"/>
      <c r="D882" s="181" t="s">
        <v>1496</v>
      </c>
      <c r="E882" s="326" t="s">
        <v>1530</v>
      </c>
      <c r="F882" s="609">
        <v>1</v>
      </c>
      <c r="G882" s="609">
        <v>1</v>
      </c>
      <c r="H882" s="608">
        <f t="shared" si="37"/>
        <v>0</v>
      </c>
      <c r="I882" s="607">
        <v>43040</v>
      </c>
      <c r="J882" s="561" t="s">
        <v>1667</v>
      </c>
      <c r="K882" s="557">
        <v>920</v>
      </c>
      <c r="L882" s="166">
        <v>43038</v>
      </c>
      <c r="M882" s="378">
        <v>2099</v>
      </c>
      <c r="N882" s="603">
        <f t="shared" si="38"/>
        <v>2099</v>
      </c>
      <c r="O882" s="603" t="s">
        <v>1462</v>
      </c>
      <c r="P882" s="602" t="s">
        <v>612</v>
      </c>
      <c r="Q882" s="602"/>
      <c r="R882" s="377" t="s">
        <v>908</v>
      </c>
      <c r="S882" s="602" t="s">
        <v>422</v>
      </c>
      <c r="T882" s="602" t="s">
        <v>423</v>
      </c>
      <c r="U882" s="600"/>
      <c r="V882" s="601"/>
      <c r="W882" s="276"/>
    </row>
    <row r="883" spans="1:23" s="135" customFormat="1" ht="15" hidden="1" customHeight="1">
      <c r="A883" s="306">
        <v>882</v>
      </c>
      <c r="B883" s="611" t="s">
        <v>1666</v>
      </c>
      <c r="C883" s="610"/>
      <c r="D883" s="185" t="s">
        <v>144</v>
      </c>
      <c r="E883" s="326" t="s">
        <v>1665</v>
      </c>
      <c r="F883" s="609">
        <v>2</v>
      </c>
      <c r="G883" s="609">
        <v>2</v>
      </c>
      <c r="H883" s="608">
        <f t="shared" si="37"/>
        <v>0</v>
      </c>
      <c r="I883" s="607">
        <v>43040</v>
      </c>
      <c r="J883" s="561" t="s">
        <v>1667</v>
      </c>
      <c r="K883" s="557">
        <v>920</v>
      </c>
      <c r="L883" s="166">
        <v>43038</v>
      </c>
      <c r="M883" s="378">
        <v>1267</v>
      </c>
      <c r="N883" s="603">
        <f t="shared" si="38"/>
        <v>2534</v>
      </c>
      <c r="O883" s="603" t="s">
        <v>1462</v>
      </c>
      <c r="P883" s="602" t="s">
        <v>612</v>
      </c>
      <c r="Q883" s="602"/>
      <c r="R883" s="377" t="s">
        <v>908</v>
      </c>
      <c r="S883" s="602" t="s">
        <v>422</v>
      </c>
      <c r="T883" s="602" t="s">
        <v>423</v>
      </c>
      <c r="U883" s="601"/>
      <c r="V883" s="601"/>
      <c r="W883" s="276"/>
    </row>
    <row r="884" spans="1:23" s="365" customFormat="1" ht="15" hidden="1" customHeight="1">
      <c r="A884" s="306">
        <v>883</v>
      </c>
      <c r="B884" s="611">
        <v>1618</v>
      </c>
      <c r="C884" s="610"/>
      <c r="D884" s="181" t="s">
        <v>33</v>
      </c>
      <c r="E884" s="350" t="s">
        <v>32</v>
      </c>
      <c r="F884" s="609">
        <v>1</v>
      </c>
      <c r="G884" s="608">
        <v>1</v>
      </c>
      <c r="H884" s="608">
        <f t="shared" si="37"/>
        <v>0</v>
      </c>
      <c r="I884" s="607">
        <v>43041</v>
      </c>
      <c r="J884" s="561" t="s">
        <v>1668</v>
      </c>
      <c r="K884" s="557">
        <v>922</v>
      </c>
      <c r="L884" s="166">
        <v>43040</v>
      </c>
      <c r="M884" s="378">
        <v>930</v>
      </c>
      <c r="N884" s="603">
        <f t="shared" si="38"/>
        <v>930</v>
      </c>
      <c r="O884" s="603" t="s">
        <v>1462</v>
      </c>
      <c r="P884" s="602" t="s">
        <v>512</v>
      </c>
      <c r="Q884" s="602" t="s">
        <v>1674</v>
      </c>
      <c r="R884" s="377" t="s">
        <v>908</v>
      </c>
      <c r="S884" s="602" t="s">
        <v>422</v>
      </c>
      <c r="T884" s="602" t="s">
        <v>423</v>
      </c>
      <c r="U884" s="600"/>
      <c r="V884" s="601"/>
      <c r="W884" s="273"/>
    </row>
    <row r="885" spans="1:23" s="365" customFormat="1" ht="15" hidden="1" customHeight="1">
      <c r="A885" s="306">
        <v>884</v>
      </c>
      <c r="B885" s="611"/>
      <c r="C885" s="610"/>
      <c r="D885" s="181" t="s">
        <v>90</v>
      </c>
      <c r="E885" s="649" t="s">
        <v>89</v>
      </c>
      <c r="F885" s="609">
        <v>1</v>
      </c>
      <c r="G885" s="608">
        <v>1</v>
      </c>
      <c r="H885" s="608">
        <f t="shared" si="37"/>
        <v>0</v>
      </c>
      <c r="I885" s="607">
        <v>43040</v>
      </c>
      <c r="J885" s="561" t="s">
        <v>1669</v>
      </c>
      <c r="K885" s="557">
        <v>925</v>
      </c>
      <c r="L885" s="166">
        <v>43040</v>
      </c>
      <c r="M885" s="378">
        <v>290</v>
      </c>
      <c r="N885" s="603">
        <f t="shared" si="38"/>
        <v>290</v>
      </c>
      <c r="O885" s="603" t="s">
        <v>1462</v>
      </c>
      <c r="P885" s="602" t="s">
        <v>555</v>
      </c>
      <c r="Q885" s="602" t="s">
        <v>1670</v>
      </c>
      <c r="R885" s="377" t="s">
        <v>908</v>
      </c>
      <c r="S885" s="602" t="s">
        <v>422</v>
      </c>
      <c r="T885" s="602" t="s">
        <v>423</v>
      </c>
      <c r="U885" s="600"/>
      <c r="V885" s="601"/>
      <c r="W885" s="273"/>
    </row>
    <row r="886" spans="1:23" s="365" customFormat="1" ht="15" hidden="1" customHeight="1">
      <c r="A886" s="306">
        <v>885</v>
      </c>
      <c r="B886" s="611"/>
      <c r="C886" s="610"/>
      <c r="D886" s="649" t="s">
        <v>1672</v>
      </c>
      <c r="E886" s="331" t="s">
        <v>1673</v>
      </c>
      <c r="F886" s="609">
        <v>1</v>
      </c>
      <c r="G886" s="608">
        <v>1</v>
      </c>
      <c r="H886" s="608">
        <f t="shared" si="37"/>
        <v>0</v>
      </c>
      <c r="I886" s="607">
        <v>43043</v>
      </c>
      <c r="J886" s="561" t="s">
        <v>1650</v>
      </c>
      <c r="K886" s="557">
        <v>918</v>
      </c>
      <c r="L886" s="166">
        <v>43038</v>
      </c>
      <c r="M886" s="378">
        <v>7280</v>
      </c>
      <c r="N886" s="603">
        <f t="shared" si="38"/>
        <v>7280</v>
      </c>
      <c r="O886" s="603" t="s">
        <v>1462</v>
      </c>
      <c r="P886" s="602" t="s">
        <v>612</v>
      </c>
      <c r="Q886" s="602" t="s">
        <v>1675</v>
      </c>
      <c r="R886" s="377" t="s">
        <v>908</v>
      </c>
      <c r="S886" s="602" t="s">
        <v>422</v>
      </c>
      <c r="T886" s="602" t="s">
        <v>423</v>
      </c>
      <c r="U886" s="600"/>
      <c r="V886" s="601"/>
      <c r="W886" s="273"/>
    </row>
    <row r="887" spans="1:23" s="135" customFormat="1" ht="15" hidden="1" customHeight="1">
      <c r="A887" s="306">
        <v>886</v>
      </c>
      <c r="B887" s="611">
        <v>4036615</v>
      </c>
      <c r="C887" s="610"/>
      <c r="D887" s="186" t="s">
        <v>39</v>
      </c>
      <c r="E887" s="350" t="s">
        <v>38</v>
      </c>
      <c r="F887" s="609">
        <v>6</v>
      </c>
      <c r="G887" s="608">
        <v>6</v>
      </c>
      <c r="H887" s="608">
        <f t="shared" si="37"/>
        <v>0</v>
      </c>
      <c r="I887" s="607">
        <v>43044</v>
      </c>
      <c r="J887" s="561" t="s">
        <v>1662</v>
      </c>
      <c r="K887" s="557">
        <v>928</v>
      </c>
      <c r="L887" s="166">
        <v>43044</v>
      </c>
      <c r="M887" s="378">
        <v>4390</v>
      </c>
      <c r="N887" s="603">
        <f t="shared" si="38"/>
        <v>26340</v>
      </c>
      <c r="O887" s="603" t="s">
        <v>1462</v>
      </c>
      <c r="P887" s="602" t="s">
        <v>612</v>
      </c>
      <c r="Q887" s="602" t="s">
        <v>1663</v>
      </c>
      <c r="R887" s="377" t="s">
        <v>908</v>
      </c>
      <c r="S887" s="602" t="s">
        <v>422</v>
      </c>
      <c r="T887" s="602" t="s">
        <v>423</v>
      </c>
      <c r="U887" s="67"/>
      <c r="V887" s="153"/>
      <c r="W887" s="549"/>
    </row>
    <row r="888" spans="1:23" s="135" customFormat="1" ht="15" hidden="1" customHeight="1">
      <c r="A888" s="306">
        <v>887</v>
      </c>
      <c r="B888" s="611">
        <v>4036615</v>
      </c>
      <c r="C888" s="610"/>
      <c r="D888" s="186" t="s">
        <v>1184</v>
      </c>
      <c r="E888" s="535" t="s">
        <v>1187</v>
      </c>
      <c r="F888" s="609">
        <v>2</v>
      </c>
      <c r="G888" s="608">
        <v>2</v>
      </c>
      <c r="H888" s="608">
        <f t="shared" si="37"/>
        <v>0</v>
      </c>
      <c r="I888" s="607">
        <v>43044</v>
      </c>
      <c r="J888" s="561" t="s">
        <v>1662</v>
      </c>
      <c r="K888" s="557">
        <v>928</v>
      </c>
      <c r="L888" s="166">
        <v>43044</v>
      </c>
      <c r="M888" s="378">
        <v>2250</v>
      </c>
      <c r="N888" s="603">
        <f t="shared" si="38"/>
        <v>4500</v>
      </c>
      <c r="O888" s="603" t="s">
        <v>1462</v>
      </c>
      <c r="P888" s="602" t="s">
        <v>612</v>
      </c>
      <c r="Q888" s="602" t="s">
        <v>1663</v>
      </c>
      <c r="R888" s="377" t="s">
        <v>908</v>
      </c>
      <c r="S888" s="602" t="s">
        <v>422</v>
      </c>
      <c r="T888" s="602" t="s">
        <v>423</v>
      </c>
      <c r="U888" s="600"/>
      <c r="V888" s="601"/>
      <c r="W888" s="276"/>
    </row>
    <row r="889" spans="1:23" s="135" customFormat="1" ht="15" hidden="1" customHeight="1">
      <c r="A889" s="306">
        <v>888</v>
      </c>
      <c r="B889" s="611">
        <v>4501516062</v>
      </c>
      <c r="C889" s="610"/>
      <c r="D889" s="181" t="s">
        <v>247</v>
      </c>
      <c r="E889" s="600" t="s">
        <v>259</v>
      </c>
      <c r="F889" s="609">
        <v>7</v>
      </c>
      <c r="G889" s="608">
        <v>7</v>
      </c>
      <c r="H889" s="608">
        <f t="shared" si="37"/>
        <v>0</v>
      </c>
      <c r="I889" s="607">
        <v>43044</v>
      </c>
      <c r="J889" s="561" t="s">
        <v>439</v>
      </c>
      <c r="K889" s="557">
        <v>944</v>
      </c>
      <c r="L889" s="166">
        <v>43054</v>
      </c>
      <c r="M889" s="378">
        <v>3830</v>
      </c>
      <c r="N889" s="603">
        <f t="shared" si="38"/>
        <v>26810</v>
      </c>
      <c r="O889" s="603" t="s">
        <v>1462</v>
      </c>
      <c r="P889" s="602" t="s">
        <v>512</v>
      </c>
      <c r="Q889" s="602" t="s">
        <v>1714</v>
      </c>
      <c r="R889" s="377" t="s">
        <v>908</v>
      </c>
      <c r="S889" s="602" t="s">
        <v>422</v>
      </c>
      <c r="T889" s="602" t="s">
        <v>423</v>
      </c>
      <c r="U889" s="402"/>
      <c r="V889" s="194"/>
      <c r="W889" s="276"/>
    </row>
    <row r="890" spans="1:23" s="365" customFormat="1" ht="15" hidden="1" customHeight="1">
      <c r="A890" s="306">
        <v>889</v>
      </c>
      <c r="B890" s="611" t="s">
        <v>1334</v>
      </c>
      <c r="C890" s="610"/>
      <c r="D890" s="181" t="s">
        <v>1639</v>
      </c>
      <c r="E890" s="331" t="s">
        <v>1641</v>
      </c>
      <c r="F890" s="609">
        <v>1</v>
      </c>
      <c r="G890" s="608">
        <v>1</v>
      </c>
      <c r="H890" s="608">
        <f t="shared" ref="H890:H905" si="39">F890-G890</f>
        <v>0</v>
      </c>
      <c r="I890" s="607">
        <v>43045</v>
      </c>
      <c r="J890" s="561" t="s">
        <v>584</v>
      </c>
      <c r="K890" s="557">
        <v>903</v>
      </c>
      <c r="L890" s="166">
        <v>43032</v>
      </c>
      <c r="M890" s="378">
        <v>29808</v>
      </c>
      <c r="N890" s="603">
        <f t="shared" si="38"/>
        <v>29808</v>
      </c>
      <c r="O890" s="603" t="s">
        <v>1462</v>
      </c>
      <c r="P890" s="602" t="s">
        <v>555</v>
      </c>
      <c r="Q890" s="602" t="s">
        <v>1680</v>
      </c>
      <c r="R890" s="377" t="s">
        <v>908</v>
      </c>
      <c r="S890" s="602" t="s">
        <v>422</v>
      </c>
      <c r="T890" s="602" t="s">
        <v>423</v>
      </c>
      <c r="U890" s="600"/>
      <c r="V890" s="601"/>
      <c r="W890" s="273"/>
    </row>
    <row r="891" spans="1:23" s="365" customFormat="1" ht="15" hidden="1" customHeight="1">
      <c r="A891" s="306">
        <v>890</v>
      </c>
      <c r="B891" s="611">
        <v>2638</v>
      </c>
      <c r="C891" s="610"/>
      <c r="D891" s="181" t="s">
        <v>1681</v>
      </c>
      <c r="E891" s="331" t="s">
        <v>1682</v>
      </c>
      <c r="F891" s="609">
        <v>1</v>
      </c>
      <c r="G891" s="608">
        <v>1</v>
      </c>
      <c r="H891" s="608">
        <f t="shared" si="39"/>
        <v>0</v>
      </c>
      <c r="I891" s="607">
        <v>43045</v>
      </c>
      <c r="J891" s="561" t="s">
        <v>1683</v>
      </c>
      <c r="K891" s="557">
        <v>919</v>
      </c>
      <c r="L891" s="166">
        <v>43038</v>
      </c>
      <c r="M891" s="378">
        <v>2950</v>
      </c>
      <c r="N891" s="603">
        <f t="shared" si="38"/>
        <v>2950</v>
      </c>
      <c r="O891" s="603" t="s">
        <v>1462</v>
      </c>
      <c r="P891" s="602" t="s">
        <v>844</v>
      </c>
      <c r="Q891" s="602" t="s">
        <v>1688</v>
      </c>
      <c r="R891" s="377" t="s">
        <v>908</v>
      </c>
      <c r="S891" s="602" t="s">
        <v>422</v>
      </c>
      <c r="T891" s="602" t="s">
        <v>423</v>
      </c>
      <c r="U891" s="600"/>
      <c r="V891" s="601"/>
      <c r="W891" s="273"/>
    </row>
    <row r="892" spans="1:23" s="365" customFormat="1" ht="15" hidden="1" customHeight="1">
      <c r="A892" s="306">
        <v>891</v>
      </c>
      <c r="B892" s="611" t="s">
        <v>1687</v>
      </c>
      <c r="C892" s="610"/>
      <c r="D892" s="181" t="s">
        <v>939</v>
      </c>
      <c r="E892" s="326" t="s">
        <v>940</v>
      </c>
      <c r="F892" s="609">
        <v>16</v>
      </c>
      <c r="G892" s="608">
        <v>16</v>
      </c>
      <c r="H892" s="608">
        <f t="shared" si="39"/>
        <v>0</v>
      </c>
      <c r="I892" s="607">
        <v>43045</v>
      </c>
      <c r="J892" s="561" t="s">
        <v>1685</v>
      </c>
      <c r="K892" s="557">
        <v>932</v>
      </c>
      <c r="L892" s="166">
        <v>43044</v>
      </c>
      <c r="M892" s="378">
        <f>2000/16</f>
        <v>125</v>
      </c>
      <c r="N892" s="603">
        <f t="shared" si="38"/>
        <v>2000</v>
      </c>
      <c r="O892" s="603" t="s">
        <v>1462</v>
      </c>
      <c r="P892" s="602" t="s">
        <v>555</v>
      </c>
      <c r="Q892" s="602" t="s">
        <v>1686</v>
      </c>
      <c r="R892" s="377" t="s">
        <v>908</v>
      </c>
      <c r="S892" s="602" t="s">
        <v>422</v>
      </c>
      <c r="T892" s="602" t="s">
        <v>423</v>
      </c>
      <c r="U892" s="600"/>
      <c r="V892" s="601"/>
      <c r="W892" s="273"/>
    </row>
    <row r="893" spans="1:23" s="135" customFormat="1" ht="15" hidden="1" customHeight="1">
      <c r="A893" s="306">
        <v>892</v>
      </c>
      <c r="B893" s="162" t="s">
        <v>1690</v>
      </c>
      <c r="C893" s="161"/>
      <c r="D893" s="181" t="s">
        <v>246</v>
      </c>
      <c r="E893" s="600" t="s">
        <v>258</v>
      </c>
      <c r="F893" s="373">
        <v>3</v>
      </c>
      <c r="G893" s="608">
        <v>3</v>
      </c>
      <c r="H893" s="608">
        <f t="shared" si="39"/>
        <v>0</v>
      </c>
      <c r="I893" s="607">
        <v>43045</v>
      </c>
      <c r="J893" s="155" t="s">
        <v>1442</v>
      </c>
      <c r="K893" s="240">
        <v>933</v>
      </c>
      <c r="L893" s="166">
        <v>43045</v>
      </c>
      <c r="M893" s="378">
        <v>5985</v>
      </c>
      <c r="N893" s="603">
        <f t="shared" si="38"/>
        <v>17955</v>
      </c>
      <c r="O893" s="603" t="s">
        <v>1462</v>
      </c>
      <c r="P893" s="154" t="s">
        <v>844</v>
      </c>
      <c r="Q893" s="154" t="s">
        <v>1689</v>
      </c>
      <c r="R893" s="377" t="s">
        <v>908</v>
      </c>
      <c r="S893" s="602" t="s">
        <v>422</v>
      </c>
      <c r="T893" s="602" t="s">
        <v>423</v>
      </c>
      <c r="U893" s="600"/>
      <c r="V893" s="601"/>
      <c r="W893" s="276"/>
    </row>
    <row r="894" spans="1:23" s="135" customFormat="1" ht="15" hidden="1" customHeight="1">
      <c r="A894" s="306">
        <v>893</v>
      </c>
      <c r="B894" s="611" t="s">
        <v>1690</v>
      </c>
      <c r="C894" s="161"/>
      <c r="D894" s="181" t="s">
        <v>248</v>
      </c>
      <c r="E894" s="600" t="s">
        <v>260</v>
      </c>
      <c r="F894" s="373">
        <v>3</v>
      </c>
      <c r="G894" s="608">
        <v>3</v>
      </c>
      <c r="H894" s="608">
        <f t="shared" si="39"/>
        <v>0</v>
      </c>
      <c r="I894" s="607">
        <v>43045</v>
      </c>
      <c r="J894" s="561" t="s">
        <v>1442</v>
      </c>
      <c r="K894" s="557">
        <v>933</v>
      </c>
      <c r="L894" s="166">
        <v>43045</v>
      </c>
      <c r="M894" s="378">
        <v>1860</v>
      </c>
      <c r="N894" s="603">
        <f t="shared" ref="N894:N918" si="40">IFERROR(M894*G894,0)</f>
        <v>5580</v>
      </c>
      <c r="O894" s="603" t="s">
        <v>1462</v>
      </c>
      <c r="P894" s="154" t="s">
        <v>844</v>
      </c>
      <c r="Q894" s="602" t="s">
        <v>1689</v>
      </c>
      <c r="R894" s="377" t="s">
        <v>908</v>
      </c>
      <c r="S894" s="602" t="s">
        <v>422</v>
      </c>
      <c r="T894" s="602" t="s">
        <v>423</v>
      </c>
      <c r="U894" s="600"/>
      <c r="V894" s="601"/>
      <c r="W894" s="549"/>
    </row>
    <row r="895" spans="1:23" s="135" customFormat="1" ht="15" hidden="1" customHeight="1">
      <c r="A895" s="306">
        <v>894</v>
      </c>
      <c r="B895" s="611" t="s">
        <v>1690</v>
      </c>
      <c r="C895" s="161"/>
      <c r="D895" s="181" t="s">
        <v>249</v>
      </c>
      <c r="E895" s="600" t="s">
        <v>261</v>
      </c>
      <c r="F895" s="373">
        <v>6</v>
      </c>
      <c r="G895" s="608">
        <v>6</v>
      </c>
      <c r="H895" s="608">
        <f t="shared" si="39"/>
        <v>0</v>
      </c>
      <c r="I895" s="607">
        <v>43045</v>
      </c>
      <c r="J895" s="561" t="s">
        <v>1442</v>
      </c>
      <c r="K895" s="557">
        <v>933</v>
      </c>
      <c r="L895" s="166">
        <v>43045</v>
      </c>
      <c r="M895" s="378">
        <v>450</v>
      </c>
      <c r="N895" s="603">
        <f t="shared" si="40"/>
        <v>2700</v>
      </c>
      <c r="O895" s="603" t="s">
        <v>1462</v>
      </c>
      <c r="P895" s="154" t="s">
        <v>844</v>
      </c>
      <c r="Q895" s="602" t="s">
        <v>1689</v>
      </c>
      <c r="R895" s="377" t="s">
        <v>908</v>
      </c>
      <c r="S895" s="602" t="s">
        <v>422</v>
      </c>
      <c r="T895" s="602" t="s">
        <v>423</v>
      </c>
      <c r="U895" s="600"/>
      <c r="V895" s="601"/>
    </row>
    <row r="896" spans="1:23" s="650" customFormat="1" ht="15" hidden="1" customHeight="1">
      <c r="A896" s="306">
        <v>895</v>
      </c>
      <c r="B896" s="611">
        <v>4501515310</v>
      </c>
      <c r="C896" s="610"/>
      <c r="D896" s="181" t="s">
        <v>226</v>
      </c>
      <c r="E896" s="326" t="s">
        <v>944</v>
      </c>
      <c r="F896" s="609">
        <v>8</v>
      </c>
      <c r="G896" s="608">
        <v>8</v>
      </c>
      <c r="H896" s="608">
        <f t="shared" si="39"/>
        <v>0</v>
      </c>
      <c r="I896" s="607">
        <v>43045</v>
      </c>
      <c r="J896" s="561" t="s">
        <v>439</v>
      </c>
      <c r="K896" s="557">
        <v>934</v>
      </c>
      <c r="L896" s="166">
        <v>43045</v>
      </c>
      <c r="M896" s="378">
        <v>300</v>
      </c>
      <c r="N896" s="603">
        <f t="shared" si="40"/>
        <v>2400</v>
      </c>
      <c r="O896" s="603" t="s">
        <v>1462</v>
      </c>
      <c r="P896" s="602" t="s">
        <v>844</v>
      </c>
      <c r="Q896" s="602" t="s">
        <v>1696</v>
      </c>
      <c r="R896" s="377" t="s">
        <v>908</v>
      </c>
      <c r="S896" s="602" t="s">
        <v>422</v>
      </c>
      <c r="T896" s="602" t="s">
        <v>423</v>
      </c>
      <c r="U896" s="402"/>
      <c r="V896" s="194"/>
      <c r="W896" s="689"/>
    </row>
    <row r="897" spans="1:23" s="135" customFormat="1" ht="15" hidden="1" customHeight="1">
      <c r="A897" s="306">
        <v>896</v>
      </c>
      <c r="B897" s="611"/>
      <c r="C897" s="610"/>
      <c r="D897" s="181" t="s">
        <v>172</v>
      </c>
      <c r="E897" s="535" t="s">
        <v>1032</v>
      </c>
      <c r="F897" s="609">
        <v>8</v>
      </c>
      <c r="G897" s="608">
        <v>8</v>
      </c>
      <c r="H897" s="608">
        <f t="shared" si="39"/>
        <v>0</v>
      </c>
      <c r="I897" s="607">
        <v>43052</v>
      </c>
      <c r="J897" s="561" t="s">
        <v>1700</v>
      </c>
      <c r="K897" s="557">
        <v>929</v>
      </c>
      <c r="L897" s="166">
        <v>43044</v>
      </c>
      <c r="M897" s="378">
        <v>1260</v>
      </c>
      <c r="N897" s="603">
        <f t="shared" si="40"/>
        <v>10080</v>
      </c>
      <c r="O897" s="603" t="s">
        <v>1462</v>
      </c>
      <c r="P897" s="602" t="s">
        <v>844</v>
      </c>
      <c r="Q897" s="602" t="s">
        <v>1706</v>
      </c>
      <c r="R897" s="377" t="s">
        <v>908</v>
      </c>
      <c r="S897" s="602" t="s">
        <v>422</v>
      </c>
      <c r="T897" s="602" t="s">
        <v>423</v>
      </c>
      <c r="U897" s="402"/>
      <c r="V897" s="194"/>
      <c r="W897" s="549"/>
    </row>
    <row r="898" spans="1:23" s="135" customFormat="1" ht="15" hidden="1" customHeight="1">
      <c r="A898" s="306">
        <v>897</v>
      </c>
      <c r="B898" s="611">
        <v>933967</v>
      </c>
      <c r="C898" s="610"/>
      <c r="D898" s="181" t="s">
        <v>60</v>
      </c>
      <c r="E898" s="6" t="s">
        <v>59</v>
      </c>
      <c r="F898" s="609">
        <v>5</v>
      </c>
      <c r="G898" s="608">
        <v>5</v>
      </c>
      <c r="H898" s="608">
        <f t="shared" si="39"/>
        <v>0</v>
      </c>
      <c r="I898" s="607">
        <v>43052</v>
      </c>
      <c r="J898" s="561" t="s">
        <v>1701</v>
      </c>
      <c r="K898" s="240">
        <v>937</v>
      </c>
      <c r="L898" s="166">
        <v>43051</v>
      </c>
      <c r="M898" s="164">
        <v>1280</v>
      </c>
      <c r="N898" s="603">
        <f t="shared" si="40"/>
        <v>6400</v>
      </c>
      <c r="O898" s="603" t="s">
        <v>1462</v>
      </c>
      <c r="P898" s="602" t="s">
        <v>612</v>
      </c>
      <c r="Q898" s="602" t="s">
        <v>1705</v>
      </c>
      <c r="R898" s="377" t="s">
        <v>908</v>
      </c>
      <c r="S898" s="602" t="s">
        <v>422</v>
      </c>
      <c r="T898" s="602" t="s">
        <v>423</v>
      </c>
      <c r="U898" s="600"/>
      <c r="V898" s="601"/>
      <c r="W898" s="276"/>
    </row>
    <row r="899" spans="1:23" s="135" customFormat="1" ht="15" hidden="1" customHeight="1">
      <c r="A899" s="306">
        <v>898</v>
      </c>
      <c r="B899" s="611">
        <v>933967</v>
      </c>
      <c r="C899" s="161"/>
      <c r="D899" s="181" t="s">
        <v>62</v>
      </c>
      <c r="E899" s="350" t="s">
        <v>61</v>
      </c>
      <c r="F899" s="373">
        <v>7</v>
      </c>
      <c r="G899" s="372">
        <v>7</v>
      </c>
      <c r="H899" s="608">
        <f t="shared" si="39"/>
        <v>0</v>
      </c>
      <c r="I899" s="607">
        <v>43052</v>
      </c>
      <c r="J899" s="561" t="s">
        <v>1701</v>
      </c>
      <c r="K899" s="557">
        <v>937</v>
      </c>
      <c r="L899" s="166">
        <v>43051</v>
      </c>
      <c r="M899" s="378">
        <v>1725</v>
      </c>
      <c r="N899" s="603">
        <f t="shared" si="40"/>
        <v>12075</v>
      </c>
      <c r="O899" s="603" t="s">
        <v>1462</v>
      </c>
      <c r="P899" s="602" t="s">
        <v>612</v>
      </c>
      <c r="Q899" s="602" t="s">
        <v>1705</v>
      </c>
      <c r="R899" s="377" t="s">
        <v>908</v>
      </c>
      <c r="S899" s="413" t="s">
        <v>422</v>
      </c>
      <c r="T899" s="602" t="s">
        <v>423</v>
      </c>
      <c r="U899" s="67"/>
      <c r="V899" s="153"/>
      <c r="W899" s="276"/>
    </row>
    <row r="900" spans="1:23" s="135" customFormat="1" ht="15" hidden="1" customHeight="1">
      <c r="A900" s="306">
        <v>899</v>
      </c>
      <c r="B900" s="611">
        <v>933967</v>
      </c>
      <c r="C900" s="161"/>
      <c r="D900" s="181" t="s">
        <v>47</v>
      </c>
      <c r="E900" s="350" t="s">
        <v>46</v>
      </c>
      <c r="F900" s="373">
        <v>3</v>
      </c>
      <c r="G900" s="608">
        <v>3</v>
      </c>
      <c r="H900" s="608">
        <f t="shared" si="39"/>
        <v>0</v>
      </c>
      <c r="I900" s="607">
        <v>43052</v>
      </c>
      <c r="J900" s="561" t="s">
        <v>1701</v>
      </c>
      <c r="K900" s="557">
        <v>937</v>
      </c>
      <c r="L900" s="166">
        <v>43051</v>
      </c>
      <c r="M900" s="378">
        <v>2850</v>
      </c>
      <c r="N900" s="603">
        <f t="shared" si="40"/>
        <v>8550</v>
      </c>
      <c r="O900" s="603" t="s">
        <v>1462</v>
      </c>
      <c r="P900" s="602" t="s">
        <v>612</v>
      </c>
      <c r="Q900" s="602" t="s">
        <v>1705</v>
      </c>
      <c r="R900" s="377" t="s">
        <v>908</v>
      </c>
      <c r="S900" s="413" t="s">
        <v>422</v>
      </c>
      <c r="T900" s="154" t="s">
        <v>423</v>
      </c>
      <c r="U900" s="600"/>
      <c r="V900" s="153"/>
      <c r="W900" s="276"/>
    </row>
    <row r="901" spans="1:23" s="135" customFormat="1" ht="15" hidden="1" customHeight="1">
      <c r="A901" s="306">
        <v>900</v>
      </c>
      <c r="B901" s="611">
        <v>4501513014</v>
      </c>
      <c r="C901" s="610"/>
      <c r="D901" s="181" t="s">
        <v>49</v>
      </c>
      <c r="E901" s="350" t="s">
        <v>48</v>
      </c>
      <c r="F901" s="609">
        <v>1</v>
      </c>
      <c r="G901" s="608">
        <v>1</v>
      </c>
      <c r="H901" s="608">
        <f t="shared" si="39"/>
        <v>0</v>
      </c>
      <c r="I901" s="607">
        <v>43053</v>
      </c>
      <c r="J901" s="561" t="s">
        <v>997</v>
      </c>
      <c r="K901" s="557">
        <v>941</v>
      </c>
      <c r="L901" s="166">
        <v>43052</v>
      </c>
      <c r="M901" s="378">
        <v>8775</v>
      </c>
      <c r="N901" s="603">
        <f t="shared" si="40"/>
        <v>8775</v>
      </c>
      <c r="O901" s="603" t="s">
        <v>1462</v>
      </c>
      <c r="P901" s="602" t="s">
        <v>597</v>
      </c>
      <c r="Q901" s="602" t="s">
        <v>1710</v>
      </c>
      <c r="R901" s="377" t="s">
        <v>908</v>
      </c>
      <c r="S901" s="602" t="s">
        <v>422</v>
      </c>
      <c r="T901" s="602" t="s">
        <v>423</v>
      </c>
      <c r="U901" s="600"/>
      <c r="V901" s="153"/>
      <c r="W901" s="549"/>
    </row>
    <row r="902" spans="1:23" s="135" customFormat="1" ht="15" hidden="1" customHeight="1">
      <c r="A902" s="306">
        <v>901</v>
      </c>
      <c r="B902" s="611" t="s">
        <v>1709</v>
      </c>
      <c r="C902" s="610"/>
      <c r="D902" s="181" t="s">
        <v>323</v>
      </c>
      <c r="E902" s="251" t="s">
        <v>322</v>
      </c>
      <c r="F902" s="609">
        <v>1</v>
      </c>
      <c r="G902" s="608">
        <v>1</v>
      </c>
      <c r="H902" s="608">
        <f t="shared" si="39"/>
        <v>0</v>
      </c>
      <c r="I902" s="607">
        <v>43053</v>
      </c>
      <c r="J902" s="561" t="s">
        <v>968</v>
      </c>
      <c r="K902" s="557">
        <v>939</v>
      </c>
      <c r="L902" s="166">
        <v>43052</v>
      </c>
      <c r="M902" s="378">
        <v>2580</v>
      </c>
      <c r="N902" s="603">
        <f t="shared" si="40"/>
        <v>2580</v>
      </c>
      <c r="O902" s="603" t="s">
        <v>1462</v>
      </c>
      <c r="P902" s="602" t="s">
        <v>597</v>
      </c>
      <c r="Q902" s="602" t="s">
        <v>970</v>
      </c>
      <c r="R902" s="377" t="s">
        <v>908</v>
      </c>
      <c r="S902" s="602" t="s">
        <v>422</v>
      </c>
      <c r="T902" s="602" t="s">
        <v>423</v>
      </c>
      <c r="U902" s="600"/>
      <c r="V902" s="601"/>
      <c r="W902" s="549"/>
    </row>
    <row r="903" spans="1:23" s="135" customFormat="1" ht="15" hidden="1" customHeight="1">
      <c r="A903" s="306">
        <v>902</v>
      </c>
      <c r="B903" s="611">
        <v>1482</v>
      </c>
      <c r="C903" s="610"/>
      <c r="D903" s="181" t="s">
        <v>246</v>
      </c>
      <c r="E903" s="600" t="s">
        <v>258</v>
      </c>
      <c r="F903" s="609">
        <v>1</v>
      </c>
      <c r="G903" s="608">
        <v>1</v>
      </c>
      <c r="H903" s="608">
        <f t="shared" si="39"/>
        <v>0</v>
      </c>
      <c r="I903" s="607">
        <v>43052</v>
      </c>
      <c r="J903" s="561" t="s">
        <v>1707</v>
      </c>
      <c r="K903" s="557">
        <v>940</v>
      </c>
      <c r="L903" s="166">
        <v>43052</v>
      </c>
      <c r="M903" s="378">
        <v>5910</v>
      </c>
      <c r="N903" s="603">
        <f t="shared" si="40"/>
        <v>5910</v>
      </c>
      <c r="O903" s="603" t="s">
        <v>1462</v>
      </c>
      <c r="P903" s="602" t="s">
        <v>1708</v>
      </c>
      <c r="Q903" s="602" t="s">
        <v>1748</v>
      </c>
      <c r="R903" s="377" t="s">
        <v>908</v>
      </c>
      <c r="S903" s="602" t="s">
        <v>422</v>
      </c>
      <c r="T903" s="602" t="s">
        <v>423</v>
      </c>
      <c r="U903" s="600"/>
      <c r="V903" s="601"/>
      <c r="W903" s="549"/>
    </row>
    <row r="904" spans="1:23" s="135" customFormat="1" ht="15" hidden="1" customHeight="1">
      <c r="A904" s="306">
        <v>903</v>
      </c>
      <c r="B904" s="611">
        <v>1482</v>
      </c>
      <c r="C904" s="610"/>
      <c r="D904" s="181" t="s">
        <v>248</v>
      </c>
      <c r="E904" s="600" t="s">
        <v>260</v>
      </c>
      <c r="F904" s="609">
        <v>1</v>
      </c>
      <c r="G904" s="608">
        <v>1</v>
      </c>
      <c r="H904" s="608">
        <f t="shared" si="39"/>
        <v>0</v>
      </c>
      <c r="I904" s="607">
        <v>43052</v>
      </c>
      <c r="J904" s="561" t="s">
        <v>1707</v>
      </c>
      <c r="K904" s="557">
        <v>940</v>
      </c>
      <c r="L904" s="166">
        <v>43052</v>
      </c>
      <c r="M904" s="378">
        <v>2135</v>
      </c>
      <c r="N904" s="603">
        <f t="shared" si="40"/>
        <v>2135</v>
      </c>
      <c r="O904" s="603" t="s">
        <v>1462</v>
      </c>
      <c r="P904" s="602" t="s">
        <v>1708</v>
      </c>
      <c r="Q904" s="602" t="s">
        <v>1748</v>
      </c>
      <c r="R904" s="377" t="s">
        <v>908</v>
      </c>
      <c r="S904" s="602" t="s">
        <v>422</v>
      </c>
      <c r="T904" s="602" t="s">
        <v>423</v>
      </c>
      <c r="U904" s="600"/>
      <c r="V904" s="601"/>
      <c r="W904" s="276"/>
    </row>
    <row r="905" spans="1:23" s="135" customFormat="1" ht="15" hidden="1" customHeight="1">
      <c r="A905" s="306">
        <v>904</v>
      </c>
      <c r="B905" s="611">
        <v>1482</v>
      </c>
      <c r="C905" s="610"/>
      <c r="D905" s="181" t="s">
        <v>249</v>
      </c>
      <c r="E905" s="600" t="s">
        <v>261</v>
      </c>
      <c r="F905" s="609">
        <v>2</v>
      </c>
      <c r="G905" s="608">
        <v>2</v>
      </c>
      <c r="H905" s="608">
        <f t="shared" si="39"/>
        <v>0</v>
      </c>
      <c r="I905" s="607">
        <v>43052</v>
      </c>
      <c r="J905" s="561" t="s">
        <v>1707</v>
      </c>
      <c r="K905" s="557">
        <v>940</v>
      </c>
      <c r="L905" s="166">
        <v>43052</v>
      </c>
      <c r="M905" s="378">
        <v>450</v>
      </c>
      <c r="N905" s="603">
        <f t="shared" si="40"/>
        <v>900</v>
      </c>
      <c r="O905" s="603" t="s">
        <v>1462</v>
      </c>
      <c r="P905" s="602" t="s">
        <v>1708</v>
      </c>
      <c r="Q905" s="602" t="s">
        <v>1748</v>
      </c>
      <c r="R905" s="377" t="s">
        <v>908</v>
      </c>
      <c r="S905" s="602" t="s">
        <v>422</v>
      </c>
      <c r="T905" s="602" t="s">
        <v>423</v>
      </c>
      <c r="U905" s="600"/>
      <c r="V905" s="601"/>
      <c r="W905" s="276"/>
    </row>
    <row r="906" spans="1:23" s="135" customFormat="1" ht="15" hidden="1" customHeight="1">
      <c r="A906" s="306">
        <v>905</v>
      </c>
      <c r="B906" s="611" t="s">
        <v>1711</v>
      </c>
      <c r="C906" s="610"/>
      <c r="D906" s="181" t="s">
        <v>939</v>
      </c>
      <c r="E906" s="326" t="s">
        <v>1712</v>
      </c>
      <c r="F906" s="609">
        <v>16</v>
      </c>
      <c r="G906" s="608">
        <v>16</v>
      </c>
      <c r="H906" s="608">
        <v>0</v>
      </c>
      <c r="I906" s="607">
        <v>43053</v>
      </c>
      <c r="J906" s="561" t="s">
        <v>564</v>
      </c>
      <c r="K906" s="557">
        <v>942</v>
      </c>
      <c r="L906" s="166">
        <v>43053</v>
      </c>
      <c r="M906" s="378">
        <v>125</v>
      </c>
      <c r="N906" s="603">
        <f t="shared" si="40"/>
        <v>2000</v>
      </c>
      <c r="O906" s="603" t="s">
        <v>1713</v>
      </c>
      <c r="P906" s="602" t="s">
        <v>555</v>
      </c>
      <c r="Q906" s="602" t="s">
        <v>1718</v>
      </c>
      <c r="R906" s="377" t="s">
        <v>908</v>
      </c>
      <c r="S906" s="602" t="s">
        <v>422</v>
      </c>
      <c r="T906" s="602" t="s">
        <v>423</v>
      </c>
      <c r="U906" s="600"/>
      <c r="V906" s="601"/>
      <c r="W906" s="276"/>
    </row>
    <row r="907" spans="1:23" s="135" customFormat="1" ht="15" hidden="1" customHeight="1">
      <c r="A907" s="306">
        <v>906</v>
      </c>
      <c r="B907" s="162" t="s">
        <v>1717</v>
      </c>
      <c r="C907" s="161"/>
      <c r="D907" s="181" t="s">
        <v>448</v>
      </c>
      <c r="E907" s="6" t="s">
        <v>449</v>
      </c>
      <c r="F907" s="373">
        <v>1</v>
      </c>
      <c r="G907" s="372">
        <v>1</v>
      </c>
      <c r="H907" s="608">
        <v>0</v>
      </c>
      <c r="I907" s="160">
        <v>43055</v>
      </c>
      <c r="J907" s="561" t="s">
        <v>584</v>
      </c>
      <c r="K907" s="557">
        <v>946</v>
      </c>
      <c r="L907" s="166">
        <v>43055</v>
      </c>
      <c r="M907" s="378">
        <v>29835</v>
      </c>
      <c r="N907" s="603">
        <f t="shared" si="40"/>
        <v>29835</v>
      </c>
      <c r="O907" s="603" t="s">
        <v>1462</v>
      </c>
      <c r="P907" s="602" t="s">
        <v>555</v>
      </c>
      <c r="Q907" s="602" t="s">
        <v>1718</v>
      </c>
      <c r="R907" s="244" t="s">
        <v>908</v>
      </c>
      <c r="S907" s="413" t="s">
        <v>422</v>
      </c>
      <c r="T907" s="154" t="s">
        <v>423</v>
      </c>
      <c r="U907" s="67"/>
      <c r="V907" s="153"/>
      <c r="W907" s="276"/>
    </row>
    <row r="908" spans="1:23" s="135" customFormat="1" ht="15" hidden="1" customHeight="1">
      <c r="A908" s="306">
        <v>907</v>
      </c>
      <c r="B908" s="611" t="s">
        <v>1717</v>
      </c>
      <c r="C908" s="161"/>
      <c r="D908" s="181" t="s">
        <v>246</v>
      </c>
      <c r="E908" s="600" t="s">
        <v>258</v>
      </c>
      <c r="F908" s="373">
        <v>8</v>
      </c>
      <c r="G908" s="372">
        <v>8</v>
      </c>
      <c r="H908" s="608">
        <v>0</v>
      </c>
      <c r="I908" s="607">
        <v>43055</v>
      </c>
      <c r="J908" s="561" t="s">
        <v>584</v>
      </c>
      <c r="K908" s="557">
        <v>946</v>
      </c>
      <c r="L908" s="166">
        <v>43055</v>
      </c>
      <c r="M908" s="164">
        <v>6447.65</v>
      </c>
      <c r="N908" s="603">
        <f t="shared" si="40"/>
        <v>51581.2</v>
      </c>
      <c r="O908" s="603" t="s">
        <v>1462</v>
      </c>
      <c r="P908" s="602" t="s">
        <v>555</v>
      </c>
      <c r="Q908" s="602" t="s">
        <v>1718</v>
      </c>
      <c r="R908" s="377" t="s">
        <v>908</v>
      </c>
      <c r="S908" s="602" t="s">
        <v>422</v>
      </c>
      <c r="T908" s="602" t="s">
        <v>423</v>
      </c>
      <c r="U908" s="67"/>
      <c r="V908" s="153"/>
      <c r="W908" s="276"/>
    </row>
    <row r="909" spans="1:23" s="135" customFormat="1" ht="15" hidden="1" customHeight="1">
      <c r="A909" s="306">
        <v>908</v>
      </c>
      <c r="B909" s="611" t="s">
        <v>1717</v>
      </c>
      <c r="C909" s="610"/>
      <c r="D909" s="181" t="s">
        <v>248</v>
      </c>
      <c r="E909" s="600" t="s">
        <v>260</v>
      </c>
      <c r="F909" s="609">
        <v>8</v>
      </c>
      <c r="G909" s="608">
        <v>8</v>
      </c>
      <c r="H909" s="608">
        <v>0</v>
      </c>
      <c r="I909" s="607">
        <v>43055</v>
      </c>
      <c r="J909" s="561" t="s">
        <v>584</v>
      </c>
      <c r="K909" s="557">
        <v>946</v>
      </c>
      <c r="L909" s="166">
        <v>43055</v>
      </c>
      <c r="M909" s="378">
        <v>2229.65</v>
      </c>
      <c r="N909" s="603">
        <f t="shared" si="40"/>
        <v>17837.2</v>
      </c>
      <c r="O909" s="603" t="s">
        <v>1462</v>
      </c>
      <c r="P909" s="602" t="s">
        <v>555</v>
      </c>
      <c r="Q909" s="602" t="s">
        <v>1718</v>
      </c>
      <c r="R909" s="377" t="s">
        <v>908</v>
      </c>
      <c r="S909" s="602" t="s">
        <v>422</v>
      </c>
      <c r="T909" s="602" t="s">
        <v>423</v>
      </c>
      <c r="U909" s="600"/>
      <c r="V909" s="601"/>
      <c r="W909" s="276"/>
    </row>
    <row r="910" spans="1:23" s="135" customFormat="1" ht="15" hidden="1" customHeight="1">
      <c r="A910" s="306">
        <v>909</v>
      </c>
      <c r="B910" s="611" t="s">
        <v>1717</v>
      </c>
      <c r="C910" s="610"/>
      <c r="D910" s="181" t="s">
        <v>29</v>
      </c>
      <c r="E910" s="187" t="s">
        <v>28</v>
      </c>
      <c r="F910" s="609">
        <v>16</v>
      </c>
      <c r="G910" s="608">
        <v>16</v>
      </c>
      <c r="H910" s="608">
        <v>0</v>
      </c>
      <c r="I910" s="607">
        <v>43055</v>
      </c>
      <c r="J910" s="561" t="s">
        <v>584</v>
      </c>
      <c r="K910" s="557">
        <v>946</v>
      </c>
      <c r="L910" s="166">
        <v>43055</v>
      </c>
      <c r="M910" s="164">
        <v>493.05</v>
      </c>
      <c r="N910" s="603">
        <f t="shared" si="40"/>
        <v>7888.8</v>
      </c>
      <c r="O910" s="603" t="s">
        <v>1462</v>
      </c>
      <c r="P910" s="602" t="s">
        <v>555</v>
      </c>
      <c r="Q910" s="602" t="s">
        <v>1718</v>
      </c>
      <c r="R910" s="377" t="s">
        <v>908</v>
      </c>
      <c r="S910" s="602" t="s">
        <v>422</v>
      </c>
      <c r="T910" s="602" t="s">
        <v>423</v>
      </c>
      <c r="U910" s="600" t="s">
        <v>2003</v>
      </c>
      <c r="V910" s="601"/>
      <c r="W910" s="276"/>
    </row>
    <row r="911" spans="1:23" s="135" customFormat="1" ht="15" hidden="1" customHeight="1">
      <c r="A911" s="306">
        <v>910</v>
      </c>
      <c r="B911" s="611" t="s">
        <v>1717</v>
      </c>
      <c r="C911" s="610"/>
      <c r="D911" s="181" t="s">
        <v>39</v>
      </c>
      <c r="E911" s="350" t="s">
        <v>38</v>
      </c>
      <c r="F911" s="609">
        <v>2</v>
      </c>
      <c r="G911" s="608">
        <v>2</v>
      </c>
      <c r="H911" s="608">
        <v>0</v>
      </c>
      <c r="I911" s="607">
        <v>43055</v>
      </c>
      <c r="J911" s="561" t="s">
        <v>584</v>
      </c>
      <c r="K911" s="557">
        <v>946</v>
      </c>
      <c r="L911" s="166">
        <v>43055</v>
      </c>
      <c r="M911" s="378">
        <v>4215</v>
      </c>
      <c r="N911" s="603">
        <f t="shared" si="40"/>
        <v>8430</v>
      </c>
      <c r="O911" s="603" t="s">
        <v>1462</v>
      </c>
      <c r="P911" s="602" t="s">
        <v>555</v>
      </c>
      <c r="Q911" s="602" t="s">
        <v>1718</v>
      </c>
      <c r="R911" s="377" t="s">
        <v>908</v>
      </c>
      <c r="S911" s="602" t="s">
        <v>422</v>
      </c>
      <c r="T911" s="602" t="s">
        <v>423</v>
      </c>
      <c r="U911" s="600"/>
      <c r="V911" s="601"/>
    </row>
    <row r="912" spans="1:23" s="135" customFormat="1" ht="15" hidden="1" customHeight="1">
      <c r="A912" s="306">
        <v>911</v>
      </c>
      <c r="B912" s="611" t="s">
        <v>1717</v>
      </c>
      <c r="C912" s="161"/>
      <c r="D912" s="326" t="s">
        <v>77</v>
      </c>
      <c r="E912" s="6" t="s">
        <v>76</v>
      </c>
      <c r="F912" s="609">
        <v>8</v>
      </c>
      <c r="G912" s="372">
        <v>8</v>
      </c>
      <c r="H912" s="608">
        <v>0</v>
      </c>
      <c r="I912" s="607">
        <v>43055</v>
      </c>
      <c r="J912" s="561" t="s">
        <v>584</v>
      </c>
      <c r="K912" s="557">
        <v>946</v>
      </c>
      <c r="L912" s="166">
        <v>43055</v>
      </c>
      <c r="M912" s="378">
        <v>772.35</v>
      </c>
      <c r="N912" s="603">
        <f t="shared" si="40"/>
        <v>6178.8</v>
      </c>
      <c r="O912" s="603" t="s">
        <v>1462</v>
      </c>
      <c r="P912" s="602" t="s">
        <v>555</v>
      </c>
      <c r="Q912" s="602" t="s">
        <v>1718</v>
      </c>
      <c r="R912" s="377" t="s">
        <v>908</v>
      </c>
      <c r="S912" s="602" t="s">
        <v>422</v>
      </c>
      <c r="T912" s="602" t="s">
        <v>423</v>
      </c>
      <c r="U912" s="600"/>
      <c r="V912" s="153"/>
      <c r="W912" s="549"/>
    </row>
    <row r="913" spans="1:23" s="135" customFormat="1" ht="15" hidden="1" customHeight="1">
      <c r="A913" s="306">
        <v>912</v>
      </c>
      <c r="B913" s="611" t="s">
        <v>1717</v>
      </c>
      <c r="C913" s="161"/>
      <c r="D913" s="181" t="s">
        <v>80</v>
      </c>
      <c r="E913" s="558" t="s">
        <v>80</v>
      </c>
      <c r="F913" s="373">
        <v>4</v>
      </c>
      <c r="G913" s="608">
        <v>4</v>
      </c>
      <c r="H913" s="608">
        <v>0</v>
      </c>
      <c r="I913" s="607">
        <v>43055</v>
      </c>
      <c r="J913" s="561" t="s">
        <v>584</v>
      </c>
      <c r="K913" s="557">
        <v>946</v>
      </c>
      <c r="L913" s="166">
        <v>43055</v>
      </c>
      <c r="M913" s="378">
        <v>888.25</v>
      </c>
      <c r="N913" s="603">
        <f t="shared" si="40"/>
        <v>3553</v>
      </c>
      <c r="O913" s="603" t="s">
        <v>1462</v>
      </c>
      <c r="P913" s="602" t="s">
        <v>555</v>
      </c>
      <c r="Q913" s="602" t="s">
        <v>1718</v>
      </c>
      <c r="R913" s="377" t="s">
        <v>908</v>
      </c>
      <c r="S913" s="602" t="s">
        <v>422</v>
      </c>
      <c r="T913" s="602" t="s">
        <v>423</v>
      </c>
      <c r="U913" s="600"/>
      <c r="V913" s="601"/>
      <c r="W913" s="276"/>
    </row>
    <row r="914" spans="1:23" s="135" customFormat="1" ht="15" hidden="1" customHeight="1">
      <c r="A914" s="306">
        <v>913</v>
      </c>
      <c r="B914" s="162"/>
      <c r="C914" s="161"/>
      <c r="D914" s="181" t="s">
        <v>461</v>
      </c>
      <c r="E914" s="326" t="s">
        <v>38</v>
      </c>
      <c r="F914" s="373">
        <v>2</v>
      </c>
      <c r="G914" s="372">
        <v>2</v>
      </c>
      <c r="H914" s="608">
        <v>0</v>
      </c>
      <c r="I914" s="607">
        <v>43055</v>
      </c>
      <c r="J914" s="155" t="s">
        <v>1719</v>
      </c>
      <c r="K914" s="240">
        <v>945</v>
      </c>
      <c r="L914" s="166">
        <v>43055</v>
      </c>
      <c r="M914" s="164">
        <v>6300</v>
      </c>
      <c r="N914" s="603">
        <f t="shared" si="40"/>
        <v>12600</v>
      </c>
      <c r="O914" s="603" t="s">
        <v>1462</v>
      </c>
      <c r="P914" s="154" t="s">
        <v>844</v>
      </c>
      <c r="Q914" s="602" t="s">
        <v>1720</v>
      </c>
      <c r="R914" s="377" t="s">
        <v>908</v>
      </c>
      <c r="S914" s="602" t="s">
        <v>422</v>
      </c>
      <c r="T914" s="602" t="s">
        <v>423</v>
      </c>
      <c r="U914" s="600"/>
      <c r="V914" s="601"/>
      <c r="W914" s="276"/>
    </row>
    <row r="915" spans="1:23" s="135" customFormat="1" ht="15" hidden="1" customHeight="1">
      <c r="A915" s="306">
        <v>914</v>
      </c>
      <c r="B915" s="611"/>
      <c r="C915" s="610"/>
      <c r="D915" s="181" t="s">
        <v>107</v>
      </c>
      <c r="E915" s="677" t="s">
        <v>106</v>
      </c>
      <c r="F915" s="609">
        <v>1</v>
      </c>
      <c r="G915" s="608">
        <v>1</v>
      </c>
      <c r="H915" s="608">
        <v>0</v>
      </c>
      <c r="I915" s="607">
        <v>43055</v>
      </c>
      <c r="J915" s="561" t="s">
        <v>1721</v>
      </c>
      <c r="K915" s="557">
        <v>950</v>
      </c>
      <c r="L915" s="166">
        <v>43058</v>
      </c>
      <c r="M915" s="378">
        <v>39000</v>
      </c>
      <c r="N915" s="603">
        <f t="shared" si="40"/>
        <v>39000</v>
      </c>
      <c r="O915" s="603" t="s">
        <v>1462</v>
      </c>
      <c r="P915" s="602" t="s">
        <v>844</v>
      </c>
      <c r="Q915" s="602" t="s">
        <v>1745</v>
      </c>
      <c r="R915" s="377" t="s">
        <v>908</v>
      </c>
      <c r="S915" s="602" t="s">
        <v>422</v>
      </c>
      <c r="T915" s="602" t="s">
        <v>423</v>
      </c>
      <c r="U915" s="600"/>
      <c r="V915" s="153"/>
      <c r="W915" s="549"/>
    </row>
    <row r="916" spans="1:23" s="135" customFormat="1" ht="15" hidden="1" customHeight="1">
      <c r="A916" s="306">
        <v>915</v>
      </c>
      <c r="B916" s="611" t="s">
        <v>1722</v>
      </c>
      <c r="C916" s="610"/>
      <c r="D916" s="181" t="s">
        <v>37</v>
      </c>
      <c r="E916" s="6" t="s">
        <v>36</v>
      </c>
      <c r="F916" s="609">
        <v>1</v>
      </c>
      <c r="G916" s="608">
        <v>1</v>
      </c>
      <c r="H916" s="608">
        <v>0</v>
      </c>
      <c r="I916" s="607">
        <v>43058</v>
      </c>
      <c r="J916" s="561" t="s">
        <v>1723</v>
      </c>
      <c r="K916" s="240">
        <v>948</v>
      </c>
      <c r="L916" s="166">
        <v>43055</v>
      </c>
      <c r="M916" s="164">
        <v>7100</v>
      </c>
      <c r="N916" s="603">
        <f t="shared" si="40"/>
        <v>7100</v>
      </c>
      <c r="O916" s="603" t="s">
        <v>1462</v>
      </c>
      <c r="P916" s="602" t="s">
        <v>1623</v>
      </c>
      <c r="Q916" s="602" t="s">
        <v>1724</v>
      </c>
      <c r="R916" s="377" t="s">
        <v>908</v>
      </c>
      <c r="S916" s="602" t="s">
        <v>422</v>
      </c>
      <c r="T916" s="602" t="s">
        <v>423</v>
      </c>
      <c r="U916" s="67"/>
      <c r="V916" s="601"/>
      <c r="W916" s="276"/>
    </row>
    <row r="917" spans="1:23" s="135" customFormat="1" ht="15" hidden="1" customHeight="1">
      <c r="A917" s="306">
        <v>916</v>
      </c>
      <c r="B917" s="611">
        <v>20170595</v>
      </c>
      <c r="C917" s="610"/>
      <c r="D917" s="181" t="s">
        <v>1183</v>
      </c>
      <c r="E917" s="187" t="s">
        <v>1186</v>
      </c>
      <c r="F917" s="609">
        <v>30</v>
      </c>
      <c r="G917" s="608">
        <v>30</v>
      </c>
      <c r="H917" s="608">
        <v>0</v>
      </c>
      <c r="I917" s="607">
        <v>43059</v>
      </c>
      <c r="J917" s="561" t="s">
        <v>1601</v>
      </c>
      <c r="K917" s="557">
        <v>952</v>
      </c>
      <c r="L917" s="166">
        <v>43058</v>
      </c>
      <c r="M917" s="378">
        <v>1270</v>
      </c>
      <c r="N917" s="603">
        <f t="shared" si="40"/>
        <v>38100</v>
      </c>
      <c r="O917" s="603" t="s">
        <v>1462</v>
      </c>
      <c r="P917" s="602" t="s">
        <v>612</v>
      </c>
      <c r="Q917" s="602" t="s">
        <v>1746</v>
      </c>
      <c r="R917" s="377" t="s">
        <v>908</v>
      </c>
      <c r="S917" s="602" t="s">
        <v>422</v>
      </c>
      <c r="T917" s="602" t="s">
        <v>423</v>
      </c>
      <c r="U917" s="600"/>
      <c r="V917" s="601"/>
      <c r="W917" s="276"/>
    </row>
    <row r="918" spans="1:23" s="549" customFormat="1" ht="15" hidden="1" customHeight="1">
      <c r="A918" s="306">
        <v>917</v>
      </c>
      <c r="B918" s="611"/>
      <c r="C918" s="610"/>
      <c r="D918" s="181" t="s">
        <v>70</v>
      </c>
      <c r="E918" s="354" t="s">
        <v>69</v>
      </c>
      <c r="F918" s="609">
        <v>2</v>
      </c>
      <c r="G918" s="608">
        <v>2</v>
      </c>
      <c r="H918" s="608">
        <v>0</v>
      </c>
      <c r="I918" s="607">
        <v>43060</v>
      </c>
      <c r="J918" s="561" t="s">
        <v>1160</v>
      </c>
      <c r="K918" s="557">
        <v>954</v>
      </c>
      <c r="L918" s="166">
        <v>43060</v>
      </c>
      <c r="M918" s="378">
        <v>14775</v>
      </c>
      <c r="N918" s="603">
        <f t="shared" si="40"/>
        <v>29550</v>
      </c>
      <c r="O918" s="603" t="s">
        <v>1462</v>
      </c>
      <c r="P918" s="602" t="s">
        <v>1747</v>
      </c>
      <c r="Q918" s="602"/>
      <c r="R918" s="377" t="s">
        <v>908</v>
      </c>
      <c r="S918" s="602" t="s">
        <v>422</v>
      </c>
      <c r="T918" s="602" t="s">
        <v>423</v>
      </c>
      <c r="U918" s="600" t="s">
        <v>1753</v>
      </c>
      <c r="V918" s="601"/>
    </row>
    <row r="919" spans="1:23" s="549" customFormat="1" ht="15" hidden="1" customHeight="1">
      <c r="A919" s="306">
        <v>918</v>
      </c>
      <c r="B919" s="611" t="s">
        <v>1750</v>
      </c>
      <c r="C919" s="610"/>
      <c r="D919" s="326" t="s">
        <v>1751</v>
      </c>
      <c r="E919" s="252" t="s">
        <v>766</v>
      </c>
      <c r="F919" s="609">
        <v>50</v>
      </c>
      <c r="G919" s="608">
        <v>50</v>
      </c>
      <c r="H919" s="608">
        <v>0</v>
      </c>
      <c r="I919" s="607">
        <v>43061</v>
      </c>
      <c r="J919" s="561" t="s">
        <v>611</v>
      </c>
      <c r="K919" s="557">
        <v>955</v>
      </c>
      <c r="L919" s="166">
        <v>43060</v>
      </c>
      <c r="M919" s="378">
        <v>0</v>
      </c>
      <c r="N919" s="603">
        <v>0</v>
      </c>
      <c r="O919" s="603" t="s">
        <v>1462</v>
      </c>
      <c r="P919" s="602" t="s">
        <v>1752</v>
      </c>
      <c r="Q919" s="602"/>
      <c r="R919" s="377" t="s">
        <v>908</v>
      </c>
      <c r="S919" s="602" t="s">
        <v>422</v>
      </c>
      <c r="T919" s="602" t="s">
        <v>423</v>
      </c>
      <c r="U919" s="600" t="s">
        <v>1884</v>
      </c>
      <c r="V919" s="601" t="s">
        <v>1754</v>
      </c>
    </row>
    <row r="920" spans="1:23" s="135" customFormat="1" ht="15" hidden="1" customHeight="1">
      <c r="A920" s="306">
        <v>919</v>
      </c>
      <c r="B920" s="162"/>
      <c r="C920" s="161"/>
      <c r="D920" s="326" t="s">
        <v>64</v>
      </c>
      <c r="E920" s="354" t="s">
        <v>63</v>
      </c>
      <c r="F920" s="609">
        <v>1</v>
      </c>
      <c r="G920" s="608">
        <v>1</v>
      </c>
      <c r="H920" s="608">
        <v>0</v>
      </c>
      <c r="I920" s="607">
        <v>43061</v>
      </c>
      <c r="J920" s="561" t="s">
        <v>1755</v>
      </c>
      <c r="K920" s="557">
        <v>956</v>
      </c>
      <c r="L920" s="166">
        <v>43060</v>
      </c>
      <c r="M920" s="378">
        <v>2280</v>
      </c>
      <c r="N920" s="603">
        <f t="shared" ref="N920:N925" si="41">IFERROR(M920*G920,0)</f>
        <v>2280</v>
      </c>
      <c r="O920" s="603" t="s">
        <v>1462</v>
      </c>
      <c r="P920" s="602" t="s">
        <v>555</v>
      </c>
      <c r="Q920" s="602" t="s">
        <v>1749</v>
      </c>
      <c r="R920" s="377" t="s">
        <v>908</v>
      </c>
      <c r="S920" s="602" t="s">
        <v>422</v>
      </c>
      <c r="T920" s="602" t="s">
        <v>423</v>
      </c>
      <c r="U920" s="600"/>
      <c r="V920" s="601"/>
      <c r="W920" s="276"/>
    </row>
    <row r="921" spans="1:23" s="135" customFormat="1" ht="15" hidden="1" customHeight="1">
      <c r="A921" s="306">
        <v>920</v>
      </c>
      <c r="B921" s="611" t="s">
        <v>1757</v>
      </c>
      <c r="C921" s="610"/>
      <c r="D921" s="181" t="s">
        <v>246</v>
      </c>
      <c r="E921" s="600" t="s">
        <v>258</v>
      </c>
      <c r="F921" s="609">
        <v>1</v>
      </c>
      <c r="G921" s="608">
        <v>1</v>
      </c>
      <c r="H921" s="608">
        <v>0</v>
      </c>
      <c r="I921" s="607">
        <v>43062</v>
      </c>
      <c r="J921" s="561" t="s">
        <v>1442</v>
      </c>
      <c r="K921" s="557">
        <v>960</v>
      </c>
      <c r="L921" s="166">
        <v>43061</v>
      </c>
      <c r="M921" s="378">
        <v>5925</v>
      </c>
      <c r="N921" s="603">
        <f t="shared" si="41"/>
        <v>5925</v>
      </c>
      <c r="O921" s="603" t="s">
        <v>1462</v>
      </c>
      <c r="P921" s="602" t="s">
        <v>612</v>
      </c>
      <c r="Q921" s="602" t="s">
        <v>1760</v>
      </c>
      <c r="R921" s="377" t="s">
        <v>908</v>
      </c>
      <c r="S921" s="602" t="s">
        <v>422</v>
      </c>
      <c r="T921" s="602" t="s">
        <v>423</v>
      </c>
      <c r="U921" s="402"/>
      <c r="V921" s="194"/>
      <c r="W921" s="276"/>
    </row>
    <row r="922" spans="1:23" s="135" customFormat="1" ht="15" hidden="1" customHeight="1">
      <c r="A922" s="306">
        <v>921</v>
      </c>
      <c r="B922" s="611" t="s">
        <v>1757</v>
      </c>
      <c r="C922" s="610"/>
      <c r="D922" s="181" t="s">
        <v>249</v>
      </c>
      <c r="E922" s="600" t="s">
        <v>261</v>
      </c>
      <c r="F922" s="609">
        <v>1</v>
      </c>
      <c r="G922" s="608">
        <v>1</v>
      </c>
      <c r="H922" s="608">
        <v>0</v>
      </c>
      <c r="I922" s="607">
        <v>43062</v>
      </c>
      <c r="J922" s="561" t="s">
        <v>1442</v>
      </c>
      <c r="K922" s="557">
        <v>960</v>
      </c>
      <c r="L922" s="166">
        <v>43061</v>
      </c>
      <c r="M922" s="378">
        <v>450</v>
      </c>
      <c r="N922" s="603">
        <f t="shared" si="41"/>
        <v>450</v>
      </c>
      <c r="O922" s="603" t="s">
        <v>1462</v>
      </c>
      <c r="P922" s="602" t="s">
        <v>612</v>
      </c>
      <c r="Q922" s="602" t="s">
        <v>1760</v>
      </c>
      <c r="R922" s="377" t="s">
        <v>908</v>
      </c>
      <c r="S922" s="602" t="s">
        <v>422</v>
      </c>
      <c r="T922" s="602" t="s">
        <v>423</v>
      </c>
      <c r="U922" s="402"/>
      <c r="V922" s="194"/>
      <c r="W922" s="549"/>
    </row>
    <row r="923" spans="1:23" s="135" customFormat="1" ht="15" hidden="1" customHeight="1">
      <c r="A923" s="306">
        <v>922</v>
      </c>
      <c r="B923" s="611" t="s">
        <v>1757</v>
      </c>
      <c r="C923" s="610"/>
      <c r="D923" s="181" t="s">
        <v>71</v>
      </c>
      <c r="E923" s="535" t="s">
        <v>1758</v>
      </c>
      <c r="F923" s="609">
        <v>8</v>
      </c>
      <c r="G923" s="608">
        <v>8</v>
      </c>
      <c r="H923" s="608">
        <v>0</v>
      </c>
      <c r="I923" s="607">
        <v>43062</v>
      </c>
      <c r="J923" s="561" t="s">
        <v>1442</v>
      </c>
      <c r="K923" s="557">
        <v>960</v>
      </c>
      <c r="L923" s="166">
        <v>43061</v>
      </c>
      <c r="M923" s="378">
        <v>1955</v>
      </c>
      <c r="N923" s="603">
        <f t="shared" si="41"/>
        <v>15640</v>
      </c>
      <c r="O923" s="603" t="s">
        <v>1462</v>
      </c>
      <c r="P923" s="602" t="s">
        <v>612</v>
      </c>
      <c r="Q923" s="602" t="s">
        <v>1760</v>
      </c>
      <c r="R923" s="377" t="s">
        <v>908</v>
      </c>
      <c r="S923" s="602" t="s">
        <v>422</v>
      </c>
      <c r="T923" s="602" t="s">
        <v>423</v>
      </c>
      <c r="U923" s="402"/>
      <c r="V923" s="194"/>
      <c r="W923" s="549"/>
    </row>
    <row r="924" spans="1:23" s="135" customFormat="1" ht="15" hidden="1" customHeight="1">
      <c r="A924" s="306">
        <v>923</v>
      </c>
      <c r="B924" s="611" t="s">
        <v>1757</v>
      </c>
      <c r="C924" s="610"/>
      <c r="D924" s="326" t="s">
        <v>31</v>
      </c>
      <c r="E924" s="350" t="s">
        <v>28</v>
      </c>
      <c r="F924" s="609">
        <v>8</v>
      </c>
      <c r="G924" s="608">
        <v>8</v>
      </c>
      <c r="H924" s="608">
        <v>0</v>
      </c>
      <c r="I924" s="607">
        <v>43062</v>
      </c>
      <c r="J924" s="561" t="s">
        <v>1442</v>
      </c>
      <c r="K924" s="557">
        <v>960</v>
      </c>
      <c r="L924" s="166">
        <v>43061</v>
      </c>
      <c r="M924" s="378">
        <v>450</v>
      </c>
      <c r="N924" s="603">
        <f t="shared" si="41"/>
        <v>3600</v>
      </c>
      <c r="O924" s="603" t="s">
        <v>1462</v>
      </c>
      <c r="P924" s="602" t="s">
        <v>612</v>
      </c>
      <c r="Q924" s="602" t="s">
        <v>1760</v>
      </c>
      <c r="R924" s="377" t="s">
        <v>908</v>
      </c>
      <c r="S924" s="602" t="s">
        <v>422</v>
      </c>
      <c r="T924" s="602" t="s">
        <v>423</v>
      </c>
      <c r="U924" s="402"/>
      <c r="V924" s="194"/>
      <c r="W924" s="549"/>
    </row>
    <row r="925" spans="1:23" s="135" customFormat="1" ht="15" hidden="1" customHeight="1">
      <c r="A925" s="306">
        <v>924</v>
      </c>
      <c r="B925" s="611" t="s">
        <v>1757</v>
      </c>
      <c r="C925" s="610"/>
      <c r="D925" s="181" t="s">
        <v>49</v>
      </c>
      <c r="E925" s="350" t="s">
        <v>48</v>
      </c>
      <c r="F925" s="609">
        <v>1</v>
      </c>
      <c r="G925" s="608">
        <v>1</v>
      </c>
      <c r="H925" s="608">
        <v>0</v>
      </c>
      <c r="I925" s="607">
        <v>43062</v>
      </c>
      <c r="J925" s="561" t="s">
        <v>1442</v>
      </c>
      <c r="K925" s="557">
        <v>960</v>
      </c>
      <c r="L925" s="166">
        <v>43061</v>
      </c>
      <c r="M925" s="378">
        <v>9770</v>
      </c>
      <c r="N925" s="603">
        <f t="shared" si="41"/>
        <v>9770</v>
      </c>
      <c r="O925" s="603" t="s">
        <v>1462</v>
      </c>
      <c r="P925" s="602" t="s">
        <v>612</v>
      </c>
      <c r="Q925" s="602" t="s">
        <v>1760</v>
      </c>
      <c r="R925" s="377" t="s">
        <v>908</v>
      </c>
      <c r="S925" s="602" t="s">
        <v>422</v>
      </c>
      <c r="T925" s="602" t="s">
        <v>423</v>
      </c>
      <c r="U925" s="402"/>
      <c r="V925" s="194"/>
      <c r="W925" s="276"/>
    </row>
    <row r="926" spans="1:23" s="135" customFormat="1" ht="15" hidden="1" customHeight="1">
      <c r="A926" s="306">
        <v>925</v>
      </c>
      <c r="B926" s="611" t="s">
        <v>1757</v>
      </c>
      <c r="C926" s="610"/>
      <c r="D926" s="253" t="s">
        <v>29</v>
      </c>
      <c r="E926" s="5" t="s">
        <v>28</v>
      </c>
      <c r="F926" s="609">
        <v>1</v>
      </c>
      <c r="G926" s="608">
        <v>1</v>
      </c>
      <c r="H926" s="608">
        <v>0</v>
      </c>
      <c r="I926" s="607">
        <v>43062</v>
      </c>
      <c r="J926" s="561" t="s">
        <v>1442</v>
      </c>
      <c r="K926" s="557">
        <v>960</v>
      </c>
      <c r="L926" s="166">
        <v>43061</v>
      </c>
      <c r="M926" s="378">
        <v>0</v>
      </c>
      <c r="N926" s="603">
        <v>0</v>
      </c>
      <c r="O926" s="603" t="s">
        <v>1462</v>
      </c>
      <c r="P926" s="602" t="s">
        <v>612</v>
      </c>
      <c r="Q926" s="602" t="s">
        <v>1760</v>
      </c>
      <c r="R926" s="377" t="s">
        <v>908</v>
      </c>
      <c r="S926" s="602" t="s">
        <v>422</v>
      </c>
      <c r="T926" s="602" t="s">
        <v>423</v>
      </c>
      <c r="U926" s="402"/>
      <c r="V926" s="194"/>
      <c r="W926" s="549"/>
    </row>
    <row r="927" spans="1:23" s="135" customFormat="1" ht="15" hidden="1" customHeight="1">
      <c r="A927" s="306">
        <v>926</v>
      </c>
      <c r="B927" s="162"/>
      <c r="C927" s="161"/>
      <c r="D927" s="601" t="s">
        <v>939</v>
      </c>
      <c r="E927" s="600" t="s">
        <v>940</v>
      </c>
      <c r="F927" s="373">
        <v>16</v>
      </c>
      <c r="G927" s="608">
        <v>16</v>
      </c>
      <c r="H927" s="620">
        <v>0</v>
      </c>
      <c r="I927" s="160">
        <v>43061</v>
      </c>
      <c r="J927" s="155" t="s">
        <v>1759</v>
      </c>
      <c r="K927" s="240">
        <v>957</v>
      </c>
      <c r="L927" s="166">
        <v>43061</v>
      </c>
      <c r="M927" s="378">
        <f>2000/16</f>
        <v>125</v>
      </c>
      <c r="N927" s="603">
        <f t="shared" ref="N927:N968" si="42">IFERROR(M927*G927,0)</f>
        <v>2000</v>
      </c>
      <c r="O927" s="603" t="s">
        <v>1462</v>
      </c>
      <c r="P927" s="154" t="s">
        <v>555</v>
      </c>
      <c r="Q927" s="154"/>
      <c r="R927" s="377" t="s">
        <v>908</v>
      </c>
      <c r="S927" s="602" t="s">
        <v>422</v>
      </c>
      <c r="T927" s="602" t="s">
        <v>423</v>
      </c>
      <c r="U927" s="600"/>
      <c r="V927" s="601"/>
      <c r="W927" s="276"/>
    </row>
    <row r="928" spans="1:23" s="135" customFormat="1" ht="15" hidden="1" customHeight="1">
      <c r="A928" s="306">
        <v>927</v>
      </c>
      <c r="B928" s="611"/>
      <c r="C928" s="610"/>
      <c r="D928" s="601" t="s">
        <v>939</v>
      </c>
      <c r="E928" s="600" t="s">
        <v>940</v>
      </c>
      <c r="F928" s="609">
        <v>32</v>
      </c>
      <c r="G928" s="608">
        <v>32</v>
      </c>
      <c r="H928" s="608">
        <v>0</v>
      </c>
      <c r="I928" s="607">
        <v>43062</v>
      </c>
      <c r="J928" s="561" t="s">
        <v>1761</v>
      </c>
      <c r="K928" s="557">
        <v>963</v>
      </c>
      <c r="L928" s="166">
        <v>43065</v>
      </c>
      <c r="M928" s="378">
        <v>100</v>
      </c>
      <c r="N928" s="603">
        <f t="shared" si="42"/>
        <v>3200</v>
      </c>
      <c r="O928" s="603" t="s">
        <v>587</v>
      </c>
      <c r="P928" s="602" t="s">
        <v>512</v>
      </c>
      <c r="Q928" s="602" t="s">
        <v>1762</v>
      </c>
      <c r="R928" s="377" t="s">
        <v>908</v>
      </c>
      <c r="S928" s="602" t="s">
        <v>422</v>
      </c>
      <c r="T928" s="602" t="s">
        <v>423</v>
      </c>
      <c r="U928" s="600"/>
      <c r="V928" s="601"/>
      <c r="W928" s="276"/>
    </row>
    <row r="929" spans="1:23" s="135" customFormat="1" ht="15" hidden="1" customHeight="1">
      <c r="A929" s="306">
        <v>928</v>
      </c>
      <c r="B929" s="611" t="s">
        <v>1763</v>
      </c>
      <c r="C929" s="610"/>
      <c r="D929" s="181" t="s">
        <v>281</v>
      </c>
      <c r="E929" s="600" t="s">
        <v>280</v>
      </c>
      <c r="F929" s="609">
        <v>1</v>
      </c>
      <c r="G929" s="608">
        <v>1</v>
      </c>
      <c r="H929" s="608">
        <v>0</v>
      </c>
      <c r="I929" s="607">
        <v>43065</v>
      </c>
      <c r="J929" s="561" t="s">
        <v>968</v>
      </c>
      <c r="K929" s="557">
        <v>962</v>
      </c>
      <c r="L929" s="166">
        <v>43062</v>
      </c>
      <c r="M929" s="378">
        <v>4110</v>
      </c>
      <c r="N929" s="603">
        <f t="shared" si="42"/>
        <v>4110</v>
      </c>
      <c r="O929" s="603" t="s">
        <v>587</v>
      </c>
      <c r="P929" s="602" t="s">
        <v>844</v>
      </c>
      <c r="Q929" s="602" t="s">
        <v>970</v>
      </c>
      <c r="R929" s="377" t="s">
        <v>908</v>
      </c>
      <c r="S929" s="602" t="s">
        <v>422</v>
      </c>
      <c r="T929" s="602" t="s">
        <v>423</v>
      </c>
      <c r="U929" s="600"/>
      <c r="V929" s="601"/>
      <c r="W929" s="276"/>
    </row>
    <row r="930" spans="1:23" s="549" customFormat="1" ht="15" hidden="1" customHeight="1">
      <c r="A930" s="306">
        <v>929</v>
      </c>
      <c r="B930" s="611">
        <v>636</v>
      </c>
      <c r="C930" s="196"/>
      <c r="D930" s="181" t="s">
        <v>37</v>
      </c>
      <c r="E930" s="354" t="s">
        <v>36</v>
      </c>
      <c r="F930" s="609">
        <v>1</v>
      </c>
      <c r="G930" s="608">
        <v>1</v>
      </c>
      <c r="H930" s="608">
        <v>0</v>
      </c>
      <c r="I930" s="607">
        <v>43066</v>
      </c>
      <c r="J930" s="561" t="s">
        <v>1764</v>
      </c>
      <c r="K930" s="557">
        <v>961</v>
      </c>
      <c r="L930" s="166">
        <v>43062</v>
      </c>
      <c r="M930" s="378">
        <v>7600</v>
      </c>
      <c r="N930" s="603">
        <f t="shared" si="42"/>
        <v>7600</v>
      </c>
      <c r="O930" s="603" t="s">
        <v>587</v>
      </c>
      <c r="P930" s="602" t="s">
        <v>1765</v>
      </c>
      <c r="Q930" s="602"/>
      <c r="R930" s="377" t="s">
        <v>908</v>
      </c>
      <c r="S930" s="602" t="s">
        <v>422</v>
      </c>
      <c r="T930" s="602" t="s">
        <v>423</v>
      </c>
      <c r="U930" s="600" t="s">
        <v>1071</v>
      </c>
      <c r="V930" s="601"/>
    </row>
    <row r="931" spans="1:23" s="549" customFormat="1" ht="15" hidden="1" customHeight="1">
      <c r="A931" s="306">
        <v>930</v>
      </c>
      <c r="B931" s="611">
        <v>636</v>
      </c>
      <c r="C931" s="196"/>
      <c r="D931" s="181" t="s">
        <v>247</v>
      </c>
      <c r="E931" s="600" t="s">
        <v>259</v>
      </c>
      <c r="F931" s="609">
        <v>1</v>
      </c>
      <c r="G931" s="608">
        <v>1</v>
      </c>
      <c r="H931" s="608">
        <v>0</v>
      </c>
      <c r="I931" s="607">
        <v>43066</v>
      </c>
      <c r="J931" s="561" t="s">
        <v>1764</v>
      </c>
      <c r="K931" s="557">
        <v>961</v>
      </c>
      <c r="L931" s="166">
        <v>43062</v>
      </c>
      <c r="M931" s="378">
        <v>3830</v>
      </c>
      <c r="N931" s="603">
        <f t="shared" si="42"/>
        <v>3830</v>
      </c>
      <c r="O931" s="603" t="s">
        <v>587</v>
      </c>
      <c r="P931" s="602" t="s">
        <v>1765</v>
      </c>
      <c r="Q931" s="602"/>
      <c r="R931" s="377" t="s">
        <v>908</v>
      </c>
      <c r="S931" s="602" t="s">
        <v>422</v>
      </c>
      <c r="T931" s="602" t="s">
        <v>423</v>
      </c>
      <c r="U931" s="600" t="s">
        <v>1071</v>
      </c>
      <c r="V931" s="601"/>
    </row>
    <row r="932" spans="1:23" s="549" customFormat="1" ht="15" hidden="1" customHeight="1">
      <c r="A932" s="306">
        <v>931</v>
      </c>
      <c r="B932" s="611">
        <v>636</v>
      </c>
      <c r="C932" s="196"/>
      <c r="D932" s="181" t="s">
        <v>250</v>
      </c>
      <c r="E932" s="600" t="s">
        <v>262</v>
      </c>
      <c r="F932" s="609">
        <v>2</v>
      </c>
      <c r="G932" s="608">
        <v>2</v>
      </c>
      <c r="H932" s="608">
        <v>0</v>
      </c>
      <c r="I932" s="607">
        <v>43066</v>
      </c>
      <c r="J932" s="561" t="s">
        <v>1764</v>
      </c>
      <c r="K932" s="557">
        <v>961</v>
      </c>
      <c r="L932" s="166">
        <v>43062</v>
      </c>
      <c r="M932" s="378">
        <v>1460</v>
      </c>
      <c r="N932" s="603">
        <f t="shared" si="42"/>
        <v>2920</v>
      </c>
      <c r="O932" s="603" t="s">
        <v>587</v>
      </c>
      <c r="P932" s="602" t="s">
        <v>1765</v>
      </c>
      <c r="Q932" s="602"/>
      <c r="R932" s="377" t="s">
        <v>908</v>
      </c>
      <c r="S932" s="602" t="s">
        <v>422</v>
      </c>
      <c r="T932" s="602" t="s">
        <v>423</v>
      </c>
      <c r="U932" s="600" t="s">
        <v>1071</v>
      </c>
      <c r="V932" s="601"/>
    </row>
    <row r="933" spans="1:23" s="549" customFormat="1" ht="15" hidden="1" customHeight="1">
      <c r="A933" s="306">
        <v>932</v>
      </c>
      <c r="B933" s="611">
        <v>636</v>
      </c>
      <c r="C933" s="196"/>
      <c r="D933" s="181" t="s">
        <v>78</v>
      </c>
      <c r="E933" s="354" t="s">
        <v>76</v>
      </c>
      <c r="F933" s="609">
        <v>2</v>
      </c>
      <c r="G933" s="608">
        <v>2</v>
      </c>
      <c r="H933" s="608">
        <v>0</v>
      </c>
      <c r="I933" s="607">
        <v>43066</v>
      </c>
      <c r="J933" s="561" t="s">
        <v>1764</v>
      </c>
      <c r="K933" s="557">
        <v>961</v>
      </c>
      <c r="L933" s="166">
        <v>43062</v>
      </c>
      <c r="M933" s="378">
        <v>1240</v>
      </c>
      <c r="N933" s="603">
        <f t="shared" si="42"/>
        <v>2480</v>
      </c>
      <c r="O933" s="603" t="s">
        <v>587</v>
      </c>
      <c r="P933" s="602" t="s">
        <v>1765</v>
      </c>
      <c r="Q933" s="602"/>
      <c r="R933" s="377" t="s">
        <v>908</v>
      </c>
      <c r="S933" s="602" t="s">
        <v>422</v>
      </c>
      <c r="T933" s="602" t="s">
        <v>423</v>
      </c>
      <c r="U933" s="600" t="s">
        <v>1071</v>
      </c>
      <c r="V933" s="601"/>
      <c r="W933" s="276"/>
    </row>
    <row r="934" spans="1:23" s="135" customFormat="1" ht="15" customHeight="1">
      <c r="A934" s="306">
        <v>933</v>
      </c>
      <c r="B934" s="611" t="s">
        <v>1767</v>
      </c>
      <c r="C934" s="610"/>
      <c r="D934" s="181" t="s">
        <v>49</v>
      </c>
      <c r="E934" s="559" t="s">
        <v>48</v>
      </c>
      <c r="F934" s="609">
        <v>4</v>
      </c>
      <c r="G934" s="608">
        <v>4</v>
      </c>
      <c r="H934" s="608">
        <v>0</v>
      </c>
      <c r="I934" s="607">
        <v>43065</v>
      </c>
      <c r="J934" s="561" t="s">
        <v>1766</v>
      </c>
      <c r="K934" s="557">
        <v>893</v>
      </c>
      <c r="L934" s="166">
        <v>43025</v>
      </c>
      <c r="M934" s="378">
        <v>8770</v>
      </c>
      <c r="N934" s="603">
        <f t="shared" si="42"/>
        <v>35080</v>
      </c>
      <c r="O934" s="603" t="s">
        <v>1462</v>
      </c>
      <c r="P934" s="602" t="s">
        <v>612</v>
      </c>
      <c r="Q934" s="602" t="s">
        <v>1768</v>
      </c>
      <c r="R934" s="377" t="s">
        <v>908</v>
      </c>
      <c r="S934" s="602" t="s">
        <v>422</v>
      </c>
      <c r="T934" s="602" t="s">
        <v>423</v>
      </c>
      <c r="U934" s="600"/>
      <c r="V934" s="601"/>
    </row>
    <row r="935" spans="1:23" s="135" customFormat="1" ht="15" customHeight="1">
      <c r="A935" s="306">
        <v>934</v>
      </c>
      <c r="B935" s="611" t="s">
        <v>1767</v>
      </c>
      <c r="C935" s="610"/>
      <c r="D935" s="181" t="s">
        <v>56</v>
      </c>
      <c r="E935" s="559" t="s">
        <v>55</v>
      </c>
      <c r="F935" s="609">
        <v>4</v>
      </c>
      <c r="G935" s="608">
        <v>4</v>
      </c>
      <c r="H935" s="608">
        <v>0</v>
      </c>
      <c r="I935" s="607">
        <v>43065</v>
      </c>
      <c r="J935" s="561" t="s">
        <v>1766</v>
      </c>
      <c r="K935" s="557">
        <v>893</v>
      </c>
      <c r="L935" s="166">
        <v>43025</v>
      </c>
      <c r="M935" s="378">
        <v>8010</v>
      </c>
      <c r="N935" s="603">
        <f t="shared" si="42"/>
        <v>32040</v>
      </c>
      <c r="O935" s="603" t="s">
        <v>1462</v>
      </c>
      <c r="P935" s="602" t="s">
        <v>612</v>
      </c>
      <c r="Q935" s="602" t="s">
        <v>1768</v>
      </c>
      <c r="R935" s="377" t="s">
        <v>908</v>
      </c>
      <c r="S935" s="602" t="s">
        <v>422</v>
      </c>
      <c r="T935" s="602" t="s">
        <v>423</v>
      </c>
      <c r="U935" s="600"/>
      <c r="V935" s="601"/>
      <c r="W935" s="276"/>
    </row>
    <row r="936" spans="1:23" s="135" customFormat="1" ht="15" customHeight="1">
      <c r="A936" s="306">
        <v>935</v>
      </c>
      <c r="B936" s="611" t="s">
        <v>1767</v>
      </c>
      <c r="C936" s="610"/>
      <c r="D936" s="601" t="s">
        <v>91</v>
      </c>
      <c r="E936" s="284" t="s">
        <v>50</v>
      </c>
      <c r="F936" s="609">
        <v>8</v>
      </c>
      <c r="G936" s="608">
        <v>8</v>
      </c>
      <c r="H936" s="608">
        <v>0</v>
      </c>
      <c r="I936" s="607">
        <v>43065</v>
      </c>
      <c r="J936" s="561" t="s">
        <v>1766</v>
      </c>
      <c r="K936" s="557">
        <v>893</v>
      </c>
      <c r="L936" s="166">
        <v>43025</v>
      </c>
      <c r="M936" s="378">
        <v>2600</v>
      </c>
      <c r="N936" s="603">
        <f t="shared" si="42"/>
        <v>20800</v>
      </c>
      <c r="O936" s="603" t="s">
        <v>1462</v>
      </c>
      <c r="P936" s="602" t="s">
        <v>612</v>
      </c>
      <c r="Q936" s="602" t="s">
        <v>1768</v>
      </c>
      <c r="R936" s="377" t="s">
        <v>908</v>
      </c>
      <c r="S936" s="602" t="s">
        <v>422</v>
      </c>
      <c r="T936" s="602" t="s">
        <v>423</v>
      </c>
      <c r="U936" s="600"/>
      <c r="V936" s="601"/>
    </row>
    <row r="937" spans="1:23" s="135" customFormat="1" ht="15" customHeight="1">
      <c r="A937" s="306">
        <v>936</v>
      </c>
      <c r="B937" s="611" t="s">
        <v>1767</v>
      </c>
      <c r="C937" s="610"/>
      <c r="D937" s="181" t="s">
        <v>95</v>
      </c>
      <c r="E937" s="326" t="s">
        <v>94</v>
      </c>
      <c r="F937" s="609">
        <v>1</v>
      </c>
      <c r="G937" s="608">
        <v>1</v>
      </c>
      <c r="H937" s="608">
        <v>0</v>
      </c>
      <c r="I937" s="607">
        <v>43065</v>
      </c>
      <c r="J937" s="561" t="s">
        <v>1766</v>
      </c>
      <c r="K937" s="557">
        <v>893</v>
      </c>
      <c r="L937" s="166">
        <v>43025</v>
      </c>
      <c r="M937" s="378">
        <v>32215</v>
      </c>
      <c r="N937" s="603">
        <f t="shared" si="42"/>
        <v>32215</v>
      </c>
      <c r="O937" s="603" t="s">
        <v>1462</v>
      </c>
      <c r="P937" s="602" t="s">
        <v>612</v>
      </c>
      <c r="Q937" s="602" t="s">
        <v>1768</v>
      </c>
      <c r="R937" s="377" t="s">
        <v>908</v>
      </c>
      <c r="S937" s="602" t="s">
        <v>422</v>
      </c>
      <c r="T937" s="602" t="s">
        <v>423</v>
      </c>
      <c r="U937" s="600"/>
      <c r="V937" s="601"/>
    </row>
    <row r="938" spans="1:23" s="365" customFormat="1" ht="15" hidden="1" customHeight="1">
      <c r="A938" s="306">
        <v>937</v>
      </c>
      <c r="B938" s="611" t="s">
        <v>1770</v>
      </c>
      <c r="C938" s="610"/>
      <c r="D938" s="181" t="s">
        <v>246</v>
      </c>
      <c r="E938" s="326" t="s">
        <v>258</v>
      </c>
      <c r="F938" s="609">
        <v>4</v>
      </c>
      <c r="G938" s="608">
        <v>4</v>
      </c>
      <c r="H938" s="608">
        <v>0</v>
      </c>
      <c r="I938" s="607">
        <v>43066</v>
      </c>
      <c r="J938" s="561" t="s">
        <v>1769</v>
      </c>
      <c r="K938" s="557">
        <v>981</v>
      </c>
      <c r="L938" s="166">
        <v>43069</v>
      </c>
      <c r="M938" s="378">
        <v>5510.41</v>
      </c>
      <c r="N938" s="603">
        <f t="shared" si="42"/>
        <v>22041.64</v>
      </c>
      <c r="O938" s="603" t="s">
        <v>587</v>
      </c>
      <c r="P938" s="602" t="s">
        <v>612</v>
      </c>
      <c r="Q938" s="602" t="s">
        <v>1780</v>
      </c>
      <c r="R938" s="377" t="s">
        <v>908</v>
      </c>
      <c r="S938" s="602" t="s">
        <v>422</v>
      </c>
      <c r="T938" s="602" t="s">
        <v>423</v>
      </c>
      <c r="U938" s="600" t="s">
        <v>1771</v>
      </c>
      <c r="V938" s="601"/>
    </row>
    <row r="939" spans="1:23" s="365" customFormat="1" ht="15" hidden="1" customHeight="1">
      <c r="A939" s="306">
        <v>938</v>
      </c>
      <c r="B939" s="611" t="s">
        <v>1770</v>
      </c>
      <c r="C939" s="610"/>
      <c r="D939" s="181" t="s">
        <v>248</v>
      </c>
      <c r="E939" s="677" t="s">
        <v>260</v>
      </c>
      <c r="F939" s="609">
        <v>12</v>
      </c>
      <c r="G939" s="608">
        <v>12</v>
      </c>
      <c r="H939" s="608">
        <v>0</v>
      </c>
      <c r="I939" s="607">
        <v>43066</v>
      </c>
      <c r="J939" s="561" t="s">
        <v>1769</v>
      </c>
      <c r="K939" s="557">
        <v>981</v>
      </c>
      <c r="L939" s="166">
        <v>43069</v>
      </c>
      <c r="M939" s="378">
        <v>2024.7</v>
      </c>
      <c r="N939" s="603">
        <f t="shared" si="42"/>
        <v>24296.400000000001</v>
      </c>
      <c r="O939" s="603" t="s">
        <v>587</v>
      </c>
      <c r="P939" s="602" t="s">
        <v>612</v>
      </c>
      <c r="Q939" s="602" t="s">
        <v>1780</v>
      </c>
      <c r="R939" s="377" t="s">
        <v>908</v>
      </c>
      <c r="S939" s="602" t="s">
        <v>422</v>
      </c>
      <c r="T939" s="602" t="s">
        <v>423</v>
      </c>
      <c r="U939" s="600" t="s">
        <v>1771</v>
      </c>
      <c r="V939" s="601"/>
    </row>
    <row r="940" spans="1:23" s="365" customFormat="1" ht="15" hidden="1" customHeight="1">
      <c r="A940" s="306">
        <v>939</v>
      </c>
      <c r="B940" s="611" t="s">
        <v>1770</v>
      </c>
      <c r="C940" s="610"/>
      <c r="D940" s="181" t="s">
        <v>1588</v>
      </c>
      <c r="E940" s="677" t="s">
        <v>1589</v>
      </c>
      <c r="F940" s="609">
        <v>2</v>
      </c>
      <c r="G940" s="608">
        <v>2</v>
      </c>
      <c r="H940" s="608">
        <v>0</v>
      </c>
      <c r="I940" s="607">
        <v>43066</v>
      </c>
      <c r="J940" s="561" t="s">
        <v>1769</v>
      </c>
      <c r="K940" s="557">
        <v>981</v>
      </c>
      <c r="L940" s="166">
        <v>43069</v>
      </c>
      <c r="M940" s="378">
        <v>540.49</v>
      </c>
      <c r="N940" s="603">
        <f t="shared" si="42"/>
        <v>1080.98</v>
      </c>
      <c r="O940" s="603" t="s">
        <v>587</v>
      </c>
      <c r="P940" s="602" t="s">
        <v>612</v>
      </c>
      <c r="Q940" s="602" t="s">
        <v>1780</v>
      </c>
      <c r="R940" s="377" t="s">
        <v>908</v>
      </c>
      <c r="S940" s="602" t="s">
        <v>422</v>
      </c>
      <c r="T940" s="602" t="s">
        <v>423</v>
      </c>
      <c r="U940" s="600" t="s">
        <v>1771</v>
      </c>
      <c r="V940" s="601"/>
    </row>
    <row r="941" spans="1:23" s="135" customFormat="1" ht="15" hidden="1" customHeight="1">
      <c r="A941" s="306">
        <v>940</v>
      </c>
      <c r="B941" s="254" t="s">
        <v>1772</v>
      </c>
      <c r="C941" s="610"/>
      <c r="D941" s="253" t="s">
        <v>246</v>
      </c>
      <c r="E941" s="600" t="s">
        <v>258</v>
      </c>
      <c r="F941" s="609">
        <v>1</v>
      </c>
      <c r="G941" s="608">
        <v>1</v>
      </c>
      <c r="H941" s="608">
        <v>0</v>
      </c>
      <c r="I941" s="607">
        <v>43066</v>
      </c>
      <c r="J941" s="561" t="s">
        <v>1442</v>
      </c>
      <c r="K941" s="557">
        <v>965</v>
      </c>
      <c r="L941" s="166">
        <v>43066</v>
      </c>
      <c r="M941" s="378">
        <v>5985</v>
      </c>
      <c r="N941" s="603">
        <f t="shared" si="42"/>
        <v>5985</v>
      </c>
      <c r="O941" s="603" t="s">
        <v>587</v>
      </c>
      <c r="P941" s="602" t="s">
        <v>844</v>
      </c>
      <c r="Q941" s="602" t="s">
        <v>1775</v>
      </c>
      <c r="R941" s="377" t="s">
        <v>908</v>
      </c>
      <c r="S941" s="602" t="s">
        <v>422</v>
      </c>
      <c r="T941" s="602" t="s">
        <v>423</v>
      </c>
      <c r="U941" s="600"/>
      <c r="V941" s="194"/>
      <c r="W941" s="650"/>
    </row>
    <row r="942" spans="1:23" s="135" customFormat="1" ht="15" hidden="1" customHeight="1">
      <c r="A942" s="306">
        <v>941</v>
      </c>
      <c r="B942" s="254" t="s">
        <v>1772</v>
      </c>
      <c r="C942" s="610"/>
      <c r="D942" s="558" t="s">
        <v>66</v>
      </c>
      <c r="E942" s="6" t="s">
        <v>65</v>
      </c>
      <c r="F942" s="609">
        <v>3</v>
      </c>
      <c r="G942" s="608">
        <v>3</v>
      </c>
      <c r="H942" s="608">
        <v>0</v>
      </c>
      <c r="I942" s="607">
        <v>43066</v>
      </c>
      <c r="J942" s="561" t="s">
        <v>1442</v>
      </c>
      <c r="K942" s="557">
        <v>965</v>
      </c>
      <c r="L942" s="166">
        <v>43066</v>
      </c>
      <c r="M942" s="378">
        <v>1820</v>
      </c>
      <c r="N942" s="603">
        <f t="shared" si="42"/>
        <v>5460</v>
      </c>
      <c r="O942" s="603" t="s">
        <v>587</v>
      </c>
      <c r="P942" s="602" t="s">
        <v>844</v>
      </c>
      <c r="Q942" s="602" t="s">
        <v>1775</v>
      </c>
      <c r="R942" s="377" t="s">
        <v>908</v>
      </c>
      <c r="S942" s="602" t="s">
        <v>422</v>
      </c>
      <c r="T942" s="602" t="s">
        <v>423</v>
      </c>
      <c r="U942" s="600"/>
      <c r="V942" s="194"/>
      <c r="W942" s="689"/>
    </row>
    <row r="943" spans="1:23" s="650" customFormat="1" ht="15" hidden="1" customHeight="1">
      <c r="A943" s="687">
        <v>942</v>
      </c>
      <c r="B943" s="688"/>
      <c r="C943" s="196"/>
      <c r="D943" s="685" t="s">
        <v>1773</v>
      </c>
      <c r="E943" s="686" t="s">
        <v>1774</v>
      </c>
      <c r="F943" s="585">
        <v>2</v>
      </c>
      <c r="G943" s="620">
        <v>2</v>
      </c>
      <c r="H943" s="620">
        <v>0</v>
      </c>
      <c r="I943" s="179">
        <v>43066</v>
      </c>
      <c r="J943" s="587" t="s">
        <v>1784</v>
      </c>
      <c r="K943" s="588" t="s">
        <v>1781</v>
      </c>
      <c r="L943" s="632"/>
      <c r="M943" s="339">
        <v>0</v>
      </c>
      <c r="N943" s="340">
        <f t="shared" si="42"/>
        <v>0</v>
      </c>
      <c r="O943" s="340" t="s">
        <v>587</v>
      </c>
      <c r="P943" s="189" t="s">
        <v>512</v>
      </c>
      <c r="Q943" s="189" t="s">
        <v>1785</v>
      </c>
      <c r="R943" s="245" t="s">
        <v>908</v>
      </c>
      <c r="S943" s="189" t="s">
        <v>1782</v>
      </c>
      <c r="T943" s="189" t="s">
        <v>423</v>
      </c>
      <c r="U943" s="402" t="s">
        <v>1783</v>
      </c>
      <c r="V943" s="194"/>
      <c r="W943" s="689"/>
    </row>
    <row r="944" spans="1:23" s="135" customFormat="1" ht="15" hidden="1" customHeight="1">
      <c r="A944" s="306">
        <v>943</v>
      </c>
      <c r="B944" s="162"/>
      <c r="C944" s="161"/>
      <c r="D944" s="558" t="s">
        <v>1179</v>
      </c>
      <c r="E944" s="499" t="s">
        <v>1181</v>
      </c>
      <c r="F944" s="609">
        <v>1</v>
      </c>
      <c r="G944" s="372">
        <v>1</v>
      </c>
      <c r="H944" s="620">
        <v>0</v>
      </c>
      <c r="I944" s="160">
        <v>43067</v>
      </c>
      <c r="J944" s="561" t="s">
        <v>1776</v>
      </c>
      <c r="K944" s="240">
        <v>967</v>
      </c>
      <c r="L944" s="166">
        <v>43066</v>
      </c>
      <c r="M944" s="378">
        <v>3800</v>
      </c>
      <c r="N944" s="603">
        <f t="shared" si="42"/>
        <v>3800</v>
      </c>
      <c r="O944" s="603" t="s">
        <v>587</v>
      </c>
      <c r="P944" s="602" t="s">
        <v>512</v>
      </c>
      <c r="Q944" s="154"/>
      <c r="R944" s="377" t="s">
        <v>908</v>
      </c>
      <c r="S944" s="602" t="s">
        <v>422</v>
      </c>
      <c r="T944" s="602" t="s">
        <v>423</v>
      </c>
      <c r="U944" s="67"/>
      <c r="V944" s="153"/>
      <c r="W944" s="276"/>
    </row>
    <row r="945" spans="1:23" s="135" customFormat="1" ht="15" hidden="1" customHeight="1">
      <c r="A945" s="306">
        <v>944</v>
      </c>
      <c r="B945" s="254">
        <v>385524</v>
      </c>
      <c r="C945" s="161"/>
      <c r="D945" s="181" t="s">
        <v>68</v>
      </c>
      <c r="E945" s="6" t="s">
        <v>67</v>
      </c>
      <c r="F945" s="373">
        <v>1</v>
      </c>
      <c r="G945" s="372">
        <v>1</v>
      </c>
      <c r="H945" s="620">
        <v>0</v>
      </c>
      <c r="I945" s="160">
        <v>43067</v>
      </c>
      <c r="J945" s="155" t="s">
        <v>1777</v>
      </c>
      <c r="K945" s="240">
        <v>971</v>
      </c>
      <c r="L945" s="166">
        <v>43067</v>
      </c>
      <c r="M945" s="164">
        <v>3740</v>
      </c>
      <c r="N945" s="603">
        <f t="shared" si="42"/>
        <v>3740</v>
      </c>
      <c r="O945" s="603" t="s">
        <v>587</v>
      </c>
      <c r="P945" s="154" t="s">
        <v>844</v>
      </c>
      <c r="Q945" s="154"/>
      <c r="R945" s="377" t="s">
        <v>908</v>
      </c>
      <c r="S945" s="602" t="s">
        <v>422</v>
      </c>
      <c r="T945" s="602" t="s">
        <v>423</v>
      </c>
      <c r="U945" s="67"/>
      <c r="V945" s="153"/>
      <c r="W945" s="276"/>
    </row>
    <row r="946" spans="1:23" s="365" customFormat="1" ht="15" hidden="1" customHeight="1">
      <c r="A946" s="306">
        <v>945</v>
      </c>
      <c r="B946" s="254" t="s">
        <v>1778</v>
      </c>
      <c r="C946" s="610"/>
      <c r="D946" s="181" t="s">
        <v>70</v>
      </c>
      <c r="E946" s="6" t="s">
        <v>69</v>
      </c>
      <c r="F946" s="609">
        <v>1</v>
      </c>
      <c r="G946" s="608">
        <v>1</v>
      </c>
      <c r="H946" s="608">
        <v>0</v>
      </c>
      <c r="I946" s="607">
        <v>43068</v>
      </c>
      <c r="J946" s="561" t="s">
        <v>1779</v>
      </c>
      <c r="K946" s="557">
        <v>976</v>
      </c>
      <c r="L946" s="166">
        <v>43067</v>
      </c>
      <c r="M946" s="378">
        <v>14240</v>
      </c>
      <c r="N946" s="603">
        <f t="shared" si="42"/>
        <v>14240</v>
      </c>
      <c r="O946" s="603" t="s">
        <v>587</v>
      </c>
      <c r="P946" s="602" t="s">
        <v>612</v>
      </c>
      <c r="Q946" s="602"/>
      <c r="R946" s="377" t="s">
        <v>908</v>
      </c>
      <c r="S946" s="602" t="s">
        <v>422</v>
      </c>
      <c r="T946" s="602" t="s">
        <v>423</v>
      </c>
      <c r="U946" s="600"/>
      <c r="V946" s="601"/>
    </row>
    <row r="947" spans="1:23" s="365" customFormat="1" ht="15" hidden="1" customHeight="1">
      <c r="A947" s="306">
        <v>946</v>
      </c>
      <c r="B947" s="254" t="s">
        <v>1778</v>
      </c>
      <c r="C947" s="610"/>
      <c r="D947" s="558" t="s">
        <v>91</v>
      </c>
      <c r="E947" s="6" t="s">
        <v>50</v>
      </c>
      <c r="F947" s="609">
        <v>10</v>
      </c>
      <c r="G947" s="608">
        <v>10</v>
      </c>
      <c r="H947" s="608">
        <v>0</v>
      </c>
      <c r="I947" s="607">
        <v>43068</v>
      </c>
      <c r="J947" s="561" t="s">
        <v>1779</v>
      </c>
      <c r="K947" s="557">
        <v>976</v>
      </c>
      <c r="L947" s="166">
        <v>43067</v>
      </c>
      <c r="M947" s="378">
        <v>2750</v>
      </c>
      <c r="N947" s="603">
        <f t="shared" si="42"/>
        <v>27500</v>
      </c>
      <c r="O947" s="603" t="s">
        <v>587</v>
      </c>
      <c r="P947" s="602" t="s">
        <v>612</v>
      </c>
      <c r="Q947" s="602"/>
      <c r="R947" s="377" t="s">
        <v>908</v>
      </c>
      <c r="S947" s="602" t="s">
        <v>422</v>
      </c>
      <c r="T947" s="602" t="s">
        <v>423</v>
      </c>
      <c r="U947" s="600"/>
      <c r="V947" s="601"/>
    </row>
    <row r="948" spans="1:23" s="365" customFormat="1" ht="15" hidden="1" customHeight="1">
      <c r="A948" s="306">
        <v>947</v>
      </c>
      <c r="B948" s="254" t="s">
        <v>1778</v>
      </c>
      <c r="C948" s="610"/>
      <c r="D948" s="181" t="s">
        <v>29</v>
      </c>
      <c r="E948" s="600" t="s">
        <v>28</v>
      </c>
      <c r="F948" s="609">
        <v>11</v>
      </c>
      <c r="G948" s="608">
        <v>11</v>
      </c>
      <c r="H948" s="608">
        <v>0</v>
      </c>
      <c r="I948" s="607">
        <v>43068</v>
      </c>
      <c r="J948" s="561" t="s">
        <v>1779</v>
      </c>
      <c r="K948" s="557">
        <v>976</v>
      </c>
      <c r="L948" s="166">
        <v>43067</v>
      </c>
      <c r="M948" s="378">
        <v>465</v>
      </c>
      <c r="N948" s="603">
        <f t="shared" si="42"/>
        <v>5115</v>
      </c>
      <c r="O948" s="603" t="s">
        <v>587</v>
      </c>
      <c r="P948" s="602" t="s">
        <v>612</v>
      </c>
      <c r="Q948" s="602"/>
      <c r="R948" s="377" t="s">
        <v>908</v>
      </c>
      <c r="S948" s="602" t="s">
        <v>422</v>
      </c>
      <c r="T948" s="602" t="s">
        <v>423</v>
      </c>
      <c r="U948" s="600"/>
      <c r="V948" s="601"/>
    </row>
    <row r="949" spans="1:23" s="365" customFormat="1" ht="15" hidden="1" customHeight="1">
      <c r="A949" s="306">
        <v>948</v>
      </c>
      <c r="B949" s="611" t="s">
        <v>1788</v>
      </c>
      <c r="C949" s="610"/>
      <c r="D949" s="181" t="s">
        <v>49</v>
      </c>
      <c r="E949" s="350" t="s">
        <v>48</v>
      </c>
      <c r="F949" s="609">
        <v>1</v>
      </c>
      <c r="G949" s="608">
        <v>1</v>
      </c>
      <c r="H949" s="608">
        <v>0</v>
      </c>
      <c r="I949" s="607">
        <v>43068</v>
      </c>
      <c r="J949" s="561" t="s">
        <v>1789</v>
      </c>
      <c r="K949" s="557">
        <v>969</v>
      </c>
      <c r="L949" s="166">
        <v>43066</v>
      </c>
      <c r="M949" s="378">
        <v>8800</v>
      </c>
      <c r="N949" s="603">
        <f t="shared" si="42"/>
        <v>8800</v>
      </c>
      <c r="O949" s="603" t="s">
        <v>587</v>
      </c>
      <c r="P949" s="602" t="s">
        <v>612</v>
      </c>
      <c r="Q949" s="602" t="s">
        <v>1808</v>
      </c>
      <c r="R949" s="377" t="s">
        <v>908</v>
      </c>
      <c r="S949" s="602" t="s">
        <v>422</v>
      </c>
      <c r="T949" s="602" t="s">
        <v>423</v>
      </c>
      <c r="U949" s="600"/>
      <c r="V949" s="601"/>
    </row>
    <row r="950" spans="1:23" s="365" customFormat="1" ht="15" hidden="1" customHeight="1">
      <c r="A950" s="306">
        <v>949</v>
      </c>
      <c r="B950" s="611" t="s">
        <v>1788</v>
      </c>
      <c r="C950" s="610"/>
      <c r="D950" s="181" t="s">
        <v>35</v>
      </c>
      <c r="E950" s="6" t="s">
        <v>34</v>
      </c>
      <c r="F950" s="609">
        <v>5</v>
      </c>
      <c r="G950" s="608">
        <v>5</v>
      </c>
      <c r="H950" s="608">
        <v>0</v>
      </c>
      <c r="I950" s="607">
        <v>43068</v>
      </c>
      <c r="J950" s="561" t="s">
        <v>1789</v>
      </c>
      <c r="K950" s="557">
        <v>969</v>
      </c>
      <c r="L950" s="166">
        <v>43066</v>
      </c>
      <c r="M950" s="378">
        <v>2725</v>
      </c>
      <c r="N950" s="603">
        <f t="shared" si="42"/>
        <v>13625</v>
      </c>
      <c r="O950" s="603" t="s">
        <v>587</v>
      </c>
      <c r="P950" s="602" t="s">
        <v>612</v>
      </c>
      <c r="Q950" s="602"/>
      <c r="R950" s="377" t="s">
        <v>908</v>
      </c>
      <c r="S950" s="602" t="s">
        <v>422</v>
      </c>
      <c r="T950" s="602" t="s">
        <v>423</v>
      </c>
      <c r="U950" s="600"/>
      <c r="V950" s="601"/>
    </row>
    <row r="951" spans="1:23" s="365" customFormat="1" ht="15" hidden="1" customHeight="1">
      <c r="A951" s="306">
        <v>950</v>
      </c>
      <c r="B951" s="611" t="s">
        <v>1788</v>
      </c>
      <c r="C951" s="610"/>
      <c r="D951" s="558" t="s">
        <v>29</v>
      </c>
      <c r="E951" s="187" t="s">
        <v>28</v>
      </c>
      <c r="F951" s="609">
        <v>6</v>
      </c>
      <c r="G951" s="608">
        <v>6</v>
      </c>
      <c r="H951" s="608">
        <v>0</v>
      </c>
      <c r="I951" s="607">
        <v>43068</v>
      </c>
      <c r="J951" s="561" t="s">
        <v>1789</v>
      </c>
      <c r="K951" s="557">
        <v>969</v>
      </c>
      <c r="L951" s="166">
        <v>43066</v>
      </c>
      <c r="M951" s="378">
        <v>450</v>
      </c>
      <c r="N951" s="603">
        <f t="shared" si="42"/>
        <v>2700</v>
      </c>
      <c r="O951" s="603" t="s">
        <v>587</v>
      </c>
      <c r="P951" s="602" t="s">
        <v>612</v>
      </c>
      <c r="Q951" s="602"/>
      <c r="R951" s="377" t="s">
        <v>908</v>
      </c>
      <c r="S951" s="602" t="s">
        <v>422</v>
      </c>
      <c r="T951" s="602" t="s">
        <v>423</v>
      </c>
      <c r="U951" s="600"/>
      <c r="V951" s="601"/>
      <c r="W951" s="273"/>
    </row>
    <row r="952" spans="1:23" s="365" customFormat="1" ht="15" hidden="1" customHeight="1">
      <c r="A952" s="306">
        <v>951</v>
      </c>
      <c r="B952" s="611" t="s">
        <v>1790</v>
      </c>
      <c r="C952" s="610"/>
      <c r="D952" s="558" t="s">
        <v>246</v>
      </c>
      <c r="E952" s="600" t="s">
        <v>258</v>
      </c>
      <c r="F952" s="609">
        <v>1</v>
      </c>
      <c r="G952" s="608">
        <v>1</v>
      </c>
      <c r="H952" s="608">
        <v>0</v>
      </c>
      <c r="I952" s="607">
        <v>43068</v>
      </c>
      <c r="J952" s="561" t="s">
        <v>1789</v>
      </c>
      <c r="K952" s="557">
        <v>968</v>
      </c>
      <c r="L952" s="166">
        <v>43066</v>
      </c>
      <c r="M952" s="378">
        <v>5925</v>
      </c>
      <c r="N952" s="603">
        <f t="shared" si="42"/>
        <v>5925</v>
      </c>
      <c r="O952" s="603" t="s">
        <v>587</v>
      </c>
      <c r="P952" s="602" t="s">
        <v>612</v>
      </c>
      <c r="Q952" s="602" t="s">
        <v>1808</v>
      </c>
      <c r="R952" s="377" t="s">
        <v>908</v>
      </c>
      <c r="S952" s="602" t="s">
        <v>422</v>
      </c>
      <c r="T952" s="602" t="s">
        <v>423</v>
      </c>
      <c r="U952" s="600"/>
      <c r="V952" s="601"/>
    </row>
    <row r="953" spans="1:23" s="365" customFormat="1" ht="15" hidden="1" customHeight="1">
      <c r="A953" s="306">
        <v>952</v>
      </c>
      <c r="B953" s="611" t="s">
        <v>1790</v>
      </c>
      <c r="C953" s="610"/>
      <c r="D953" s="181" t="s">
        <v>248</v>
      </c>
      <c r="E953" s="600" t="s">
        <v>260</v>
      </c>
      <c r="F953" s="609">
        <v>3</v>
      </c>
      <c r="G953" s="608">
        <v>3</v>
      </c>
      <c r="H953" s="608">
        <v>0</v>
      </c>
      <c r="I953" s="607">
        <v>43068</v>
      </c>
      <c r="J953" s="561" t="s">
        <v>1789</v>
      </c>
      <c r="K953" s="557">
        <v>968</v>
      </c>
      <c r="L953" s="166">
        <v>43066</v>
      </c>
      <c r="M953" s="378">
        <v>2155</v>
      </c>
      <c r="N953" s="603">
        <f t="shared" si="42"/>
        <v>6465</v>
      </c>
      <c r="O953" s="603" t="s">
        <v>587</v>
      </c>
      <c r="P953" s="602" t="s">
        <v>612</v>
      </c>
      <c r="Q953" s="602"/>
      <c r="R953" s="377" t="s">
        <v>908</v>
      </c>
      <c r="S953" s="602" t="s">
        <v>422</v>
      </c>
      <c r="T953" s="602" t="s">
        <v>423</v>
      </c>
      <c r="U953" s="600"/>
      <c r="V953" s="601"/>
    </row>
    <row r="954" spans="1:23" s="365" customFormat="1" ht="15" hidden="1" customHeight="1">
      <c r="A954" s="306">
        <v>953</v>
      </c>
      <c r="B954" s="611" t="s">
        <v>1790</v>
      </c>
      <c r="C954" s="610"/>
      <c r="D954" s="181" t="s">
        <v>249</v>
      </c>
      <c r="E954" s="326" t="s">
        <v>28</v>
      </c>
      <c r="F954" s="609">
        <v>4</v>
      </c>
      <c r="G954" s="608">
        <v>4</v>
      </c>
      <c r="H954" s="608">
        <v>0</v>
      </c>
      <c r="I954" s="607">
        <v>43068</v>
      </c>
      <c r="J954" s="561" t="s">
        <v>1789</v>
      </c>
      <c r="K954" s="557">
        <v>968</v>
      </c>
      <c r="L954" s="166">
        <v>43066</v>
      </c>
      <c r="M954" s="378">
        <v>450</v>
      </c>
      <c r="N954" s="603">
        <f t="shared" si="42"/>
        <v>1800</v>
      </c>
      <c r="O954" s="603" t="s">
        <v>587</v>
      </c>
      <c r="P954" s="602" t="s">
        <v>612</v>
      </c>
      <c r="Q954" s="602"/>
      <c r="R954" s="377" t="s">
        <v>908</v>
      </c>
      <c r="S954" s="602" t="s">
        <v>422</v>
      </c>
      <c r="T954" s="602" t="s">
        <v>423</v>
      </c>
      <c r="U954" s="600"/>
      <c r="V954" s="601"/>
    </row>
    <row r="955" spans="1:23" s="365" customFormat="1" ht="15" hidden="1" customHeight="1">
      <c r="A955" s="306">
        <v>954</v>
      </c>
      <c r="B955" s="611" t="s">
        <v>1790</v>
      </c>
      <c r="C955" s="610"/>
      <c r="D955" s="181" t="s">
        <v>78</v>
      </c>
      <c r="E955" s="6" t="s">
        <v>76</v>
      </c>
      <c r="F955" s="609">
        <v>1</v>
      </c>
      <c r="G955" s="608">
        <v>1</v>
      </c>
      <c r="H955" s="608">
        <v>0</v>
      </c>
      <c r="I955" s="607">
        <v>43068</v>
      </c>
      <c r="J955" s="561" t="s">
        <v>1789</v>
      </c>
      <c r="K955" s="557">
        <v>968</v>
      </c>
      <c r="L955" s="166">
        <v>43066</v>
      </c>
      <c r="M955" s="378">
        <v>1450</v>
      </c>
      <c r="N955" s="603">
        <f t="shared" si="42"/>
        <v>1450</v>
      </c>
      <c r="O955" s="603" t="s">
        <v>587</v>
      </c>
      <c r="P955" s="602" t="s">
        <v>612</v>
      </c>
      <c r="Q955" s="602"/>
      <c r="R955" s="377" t="s">
        <v>908</v>
      </c>
      <c r="S955" s="602" t="s">
        <v>422</v>
      </c>
      <c r="T955" s="602" t="s">
        <v>423</v>
      </c>
      <c r="U955" s="600"/>
      <c r="V955" s="601"/>
      <c r="W955" s="273"/>
    </row>
    <row r="956" spans="1:23" s="365" customFormat="1" ht="15" hidden="1" customHeight="1">
      <c r="A956" s="306">
        <v>955</v>
      </c>
      <c r="B956" s="255" t="s">
        <v>1793</v>
      </c>
      <c r="C956" s="610"/>
      <c r="D956" s="181" t="s">
        <v>226</v>
      </c>
      <c r="E956" s="187" t="s">
        <v>944</v>
      </c>
      <c r="F956" s="609">
        <v>2</v>
      </c>
      <c r="G956" s="608">
        <v>2</v>
      </c>
      <c r="H956" s="608">
        <v>0</v>
      </c>
      <c r="I956" s="607">
        <v>43068</v>
      </c>
      <c r="J956" s="561" t="s">
        <v>1791</v>
      </c>
      <c r="K956" s="557">
        <v>921</v>
      </c>
      <c r="L956" s="166">
        <v>43038</v>
      </c>
      <c r="M956" s="378">
        <v>300</v>
      </c>
      <c r="N956" s="603">
        <f t="shared" si="42"/>
        <v>600</v>
      </c>
      <c r="O956" s="603" t="s">
        <v>1462</v>
      </c>
      <c r="P956" s="602" t="s">
        <v>555</v>
      </c>
      <c r="Q956" s="602" t="s">
        <v>1792</v>
      </c>
      <c r="R956" s="377" t="s">
        <v>908</v>
      </c>
      <c r="S956" s="602" t="s">
        <v>422</v>
      </c>
      <c r="T956" s="602" t="s">
        <v>423</v>
      </c>
      <c r="U956" s="600"/>
      <c r="V956" s="601"/>
      <c r="W956" s="273"/>
    </row>
    <row r="957" spans="1:23" s="135" customFormat="1" ht="15" hidden="1" customHeight="1">
      <c r="A957" s="306">
        <v>956</v>
      </c>
      <c r="B957" s="255" t="s">
        <v>1795</v>
      </c>
      <c r="C957" s="610"/>
      <c r="D957" s="601" t="s">
        <v>1786</v>
      </c>
      <c r="E957" s="559" t="s">
        <v>1725</v>
      </c>
      <c r="F957" s="609">
        <v>1</v>
      </c>
      <c r="G957" s="608">
        <v>1</v>
      </c>
      <c r="H957" s="608">
        <v>0</v>
      </c>
      <c r="I957" s="607">
        <v>43069</v>
      </c>
      <c r="J957" s="561" t="s">
        <v>1794</v>
      </c>
      <c r="K957" s="557">
        <v>975</v>
      </c>
      <c r="L957" s="166">
        <v>43067</v>
      </c>
      <c r="M957" s="604">
        <v>99980</v>
      </c>
      <c r="N957" s="603">
        <f t="shared" si="42"/>
        <v>99980</v>
      </c>
      <c r="O957" s="603" t="s">
        <v>1462</v>
      </c>
      <c r="P957" s="602" t="s">
        <v>612</v>
      </c>
      <c r="Q957" s="602" t="s">
        <v>1809</v>
      </c>
      <c r="R957" s="377" t="s">
        <v>908</v>
      </c>
      <c r="S957" s="602" t="s">
        <v>422</v>
      </c>
      <c r="T957" s="602" t="s">
        <v>423</v>
      </c>
      <c r="U957" s="600"/>
      <c r="V957" s="153"/>
      <c r="W957" s="549"/>
    </row>
    <row r="958" spans="1:23" s="135" customFormat="1" ht="15" hidden="1" customHeight="1">
      <c r="A958" s="306">
        <v>957</v>
      </c>
      <c r="B958" s="255" t="s">
        <v>1795</v>
      </c>
      <c r="C958" s="610"/>
      <c r="D958" s="326" t="s">
        <v>1726</v>
      </c>
      <c r="E958" s="326" t="s">
        <v>1727</v>
      </c>
      <c r="F958" s="609">
        <v>1</v>
      </c>
      <c r="G958" s="608">
        <v>1</v>
      </c>
      <c r="H958" s="608">
        <v>0</v>
      </c>
      <c r="I958" s="607">
        <v>43069</v>
      </c>
      <c r="J958" s="561" t="s">
        <v>1794</v>
      </c>
      <c r="K958" s="557">
        <v>975</v>
      </c>
      <c r="L958" s="166"/>
      <c r="M958" s="378"/>
      <c r="N958" s="603">
        <f t="shared" si="42"/>
        <v>0</v>
      </c>
      <c r="O958" s="603"/>
      <c r="P958" s="602"/>
      <c r="Q958" s="602"/>
      <c r="R958" s="377" t="s">
        <v>908</v>
      </c>
      <c r="S958" s="602" t="s">
        <v>422</v>
      </c>
      <c r="T958" s="602" t="s">
        <v>423</v>
      </c>
      <c r="U958" s="600"/>
      <c r="V958" s="601"/>
    </row>
    <row r="959" spans="1:23" s="135" customFormat="1" ht="15" hidden="1" customHeight="1">
      <c r="A959" s="306">
        <v>958</v>
      </c>
      <c r="B959" s="255" t="s">
        <v>1795</v>
      </c>
      <c r="C959" s="610"/>
      <c r="D959" s="601" t="s">
        <v>1728</v>
      </c>
      <c r="E959" s="602" t="s">
        <v>1729</v>
      </c>
      <c r="F959" s="609">
        <v>1</v>
      </c>
      <c r="G959" s="608">
        <v>1</v>
      </c>
      <c r="H959" s="608">
        <v>0</v>
      </c>
      <c r="I959" s="607">
        <v>43069</v>
      </c>
      <c r="J959" s="561" t="s">
        <v>1794</v>
      </c>
      <c r="K959" s="557">
        <v>975</v>
      </c>
      <c r="L959" s="166"/>
      <c r="M959" s="604"/>
      <c r="N959" s="603">
        <f t="shared" si="42"/>
        <v>0</v>
      </c>
      <c r="O959" s="602"/>
      <c r="P959" s="602"/>
      <c r="Q959" s="602"/>
      <c r="R959" s="377" t="s">
        <v>908</v>
      </c>
      <c r="S959" s="602" t="s">
        <v>422</v>
      </c>
      <c r="T959" s="602" t="s">
        <v>423</v>
      </c>
      <c r="U959" s="600"/>
      <c r="V959" s="601"/>
    </row>
    <row r="960" spans="1:23" s="135" customFormat="1" ht="15" hidden="1" customHeight="1">
      <c r="A960" s="306">
        <v>959</v>
      </c>
      <c r="B960" s="255" t="s">
        <v>1795</v>
      </c>
      <c r="C960" s="610"/>
      <c r="D960" s="326" t="s">
        <v>1730</v>
      </c>
      <c r="E960" s="181" t="s">
        <v>1731</v>
      </c>
      <c r="F960" s="609">
        <v>1</v>
      </c>
      <c r="G960" s="608">
        <v>1</v>
      </c>
      <c r="H960" s="608">
        <v>0</v>
      </c>
      <c r="I960" s="607">
        <v>43069</v>
      </c>
      <c r="J960" s="561" t="s">
        <v>1794</v>
      </c>
      <c r="K960" s="557">
        <v>975</v>
      </c>
      <c r="L960" s="166"/>
      <c r="M960" s="378"/>
      <c r="N960" s="603">
        <f t="shared" si="42"/>
        <v>0</v>
      </c>
      <c r="O960" s="603"/>
      <c r="P960" s="602"/>
      <c r="Q960" s="602"/>
      <c r="R960" s="377" t="s">
        <v>908</v>
      </c>
      <c r="S960" s="602" t="s">
        <v>422</v>
      </c>
      <c r="T960" s="602" t="s">
        <v>423</v>
      </c>
      <c r="U960" s="600"/>
      <c r="V960" s="601"/>
      <c r="W960" s="276"/>
    </row>
    <row r="961" spans="1:23" s="135" customFormat="1" ht="15" hidden="1" customHeight="1">
      <c r="A961" s="306">
        <v>960</v>
      </c>
      <c r="B961" s="255" t="s">
        <v>1795</v>
      </c>
      <c r="C961" s="610"/>
      <c r="D961" s="601" t="s">
        <v>1732</v>
      </c>
      <c r="E961" s="600" t="s">
        <v>1733</v>
      </c>
      <c r="F961" s="609">
        <v>1</v>
      </c>
      <c r="G961" s="608">
        <v>1</v>
      </c>
      <c r="H961" s="608">
        <v>0</v>
      </c>
      <c r="I961" s="607">
        <v>43069</v>
      </c>
      <c r="J961" s="561" t="s">
        <v>1794</v>
      </c>
      <c r="K961" s="557">
        <v>975</v>
      </c>
      <c r="L961" s="605"/>
      <c r="M961" s="604"/>
      <c r="N961" s="603">
        <f t="shared" si="42"/>
        <v>0</v>
      </c>
      <c r="O961" s="602"/>
      <c r="P961" s="602"/>
      <c r="Q961" s="602"/>
      <c r="R961" s="377" t="s">
        <v>908</v>
      </c>
      <c r="S961" s="602" t="s">
        <v>422</v>
      </c>
      <c r="T961" s="602" t="s">
        <v>423</v>
      </c>
      <c r="U961" s="600"/>
      <c r="V961" s="601"/>
      <c r="W961" s="549"/>
    </row>
    <row r="962" spans="1:23" s="135" customFormat="1" ht="15" hidden="1" customHeight="1">
      <c r="A962" s="306">
        <v>961</v>
      </c>
      <c r="B962" s="255" t="s">
        <v>1795</v>
      </c>
      <c r="C962" s="610"/>
      <c r="D962" s="601" t="s">
        <v>1734</v>
      </c>
      <c r="E962" s="601" t="s">
        <v>1735</v>
      </c>
      <c r="F962" s="609">
        <v>1</v>
      </c>
      <c r="G962" s="608">
        <v>1</v>
      </c>
      <c r="H962" s="608">
        <v>0</v>
      </c>
      <c r="I962" s="607">
        <v>43069</v>
      </c>
      <c r="J962" s="561" t="s">
        <v>1794</v>
      </c>
      <c r="K962" s="557">
        <v>975</v>
      </c>
      <c r="L962" s="605"/>
      <c r="M962" s="604"/>
      <c r="N962" s="603">
        <f t="shared" si="42"/>
        <v>0</v>
      </c>
      <c r="O962" s="602"/>
      <c r="P962" s="602"/>
      <c r="Q962" s="602"/>
      <c r="R962" s="377" t="s">
        <v>908</v>
      </c>
      <c r="S962" s="602" t="s">
        <v>422</v>
      </c>
      <c r="T962" s="602" t="s">
        <v>423</v>
      </c>
      <c r="U962" s="600"/>
      <c r="V962" s="601"/>
      <c r="W962" s="276"/>
    </row>
    <row r="963" spans="1:23" s="135" customFormat="1" ht="15" hidden="1" customHeight="1">
      <c r="A963" s="306">
        <v>962</v>
      </c>
      <c r="B963" s="255" t="s">
        <v>1795</v>
      </c>
      <c r="C963" s="610"/>
      <c r="D963" s="601" t="s">
        <v>1736</v>
      </c>
      <c r="E963" s="601" t="s">
        <v>1737</v>
      </c>
      <c r="F963" s="609">
        <v>1</v>
      </c>
      <c r="G963" s="608">
        <v>1</v>
      </c>
      <c r="H963" s="608">
        <v>0</v>
      </c>
      <c r="I963" s="607">
        <v>43069</v>
      </c>
      <c r="J963" s="561" t="s">
        <v>1794</v>
      </c>
      <c r="K963" s="557">
        <v>975</v>
      </c>
      <c r="L963" s="605"/>
      <c r="M963" s="604"/>
      <c r="N963" s="603">
        <f t="shared" si="42"/>
        <v>0</v>
      </c>
      <c r="O963" s="602"/>
      <c r="P963" s="602"/>
      <c r="Q963" s="602"/>
      <c r="R963" s="377" t="s">
        <v>908</v>
      </c>
      <c r="S963" s="602" t="s">
        <v>422</v>
      </c>
      <c r="T963" s="602" t="s">
        <v>423</v>
      </c>
      <c r="U963" s="600"/>
      <c r="V963" s="601"/>
      <c r="W963" s="276"/>
    </row>
    <row r="964" spans="1:23" s="135" customFormat="1" ht="15" hidden="1" customHeight="1">
      <c r="A964" s="306">
        <v>963</v>
      </c>
      <c r="B964" s="611" t="s">
        <v>1796</v>
      </c>
      <c r="C964" s="610"/>
      <c r="D964" s="601" t="s">
        <v>1787</v>
      </c>
      <c r="E964" s="187" t="s">
        <v>1738</v>
      </c>
      <c r="F964" s="609">
        <v>1</v>
      </c>
      <c r="G964" s="608">
        <v>1</v>
      </c>
      <c r="H964" s="608">
        <v>0</v>
      </c>
      <c r="I964" s="607">
        <v>43069</v>
      </c>
      <c r="J964" s="561" t="s">
        <v>1667</v>
      </c>
      <c r="K964" s="557">
        <v>974</v>
      </c>
      <c r="L964" s="605">
        <v>43067</v>
      </c>
      <c r="M964" s="604">
        <v>83000</v>
      </c>
      <c r="N964" s="603">
        <f t="shared" si="42"/>
        <v>83000</v>
      </c>
      <c r="O964" s="602" t="s">
        <v>1462</v>
      </c>
      <c r="P964" s="602" t="s">
        <v>1797</v>
      </c>
      <c r="Q964" s="602"/>
      <c r="R964" s="377" t="s">
        <v>908</v>
      </c>
      <c r="S964" s="602" t="s">
        <v>422</v>
      </c>
      <c r="T964" s="602" t="s">
        <v>423</v>
      </c>
      <c r="U964" s="600"/>
      <c r="V964" s="601"/>
      <c r="W964" s="276"/>
    </row>
    <row r="965" spans="1:23" s="135" customFormat="1" ht="15" hidden="1" customHeight="1">
      <c r="A965" s="306">
        <v>964</v>
      </c>
      <c r="B965" s="611" t="s">
        <v>1796</v>
      </c>
      <c r="C965" s="610"/>
      <c r="D965" s="601" t="s">
        <v>1739</v>
      </c>
      <c r="E965" s="277" t="s">
        <v>1740</v>
      </c>
      <c r="F965" s="609">
        <v>1</v>
      </c>
      <c r="G965" s="608">
        <v>1</v>
      </c>
      <c r="H965" s="608">
        <v>0</v>
      </c>
      <c r="I965" s="607">
        <v>43069</v>
      </c>
      <c r="J965" s="561" t="s">
        <v>1667</v>
      </c>
      <c r="K965" s="557">
        <v>974</v>
      </c>
      <c r="L965" s="605"/>
      <c r="M965" s="604"/>
      <c r="N965" s="603">
        <f t="shared" si="42"/>
        <v>0</v>
      </c>
      <c r="O965" s="602"/>
      <c r="P965" s="602"/>
      <c r="Q965" s="602"/>
      <c r="R965" s="377"/>
      <c r="S965" s="602"/>
      <c r="T965" s="602"/>
      <c r="U965" s="600"/>
      <c r="V965" s="601"/>
      <c r="W965" s="276"/>
    </row>
    <row r="966" spans="1:23" s="135" customFormat="1" ht="15" hidden="1" customHeight="1">
      <c r="A966" s="306">
        <v>965</v>
      </c>
      <c r="B966" s="611" t="s">
        <v>1796</v>
      </c>
      <c r="C966" s="610"/>
      <c r="D966" s="601" t="s">
        <v>1730</v>
      </c>
      <c r="E966" s="284" t="s">
        <v>1731</v>
      </c>
      <c r="F966" s="609">
        <v>1</v>
      </c>
      <c r="G966" s="608">
        <v>1</v>
      </c>
      <c r="H966" s="608">
        <v>0</v>
      </c>
      <c r="I966" s="607">
        <v>43069</v>
      </c>
      <c r="J966" s="561" t="s">
        <v>1667</v>
      </c>
      <c r="K966" s="557">
        <v>974</v>
      </c>
      <c r="L966" s="605"/>
      <c r="M966" s="604"/>
      <c r="N966" s="603">
        <f t="shared" si="42"/>
        <v>0</v>
      </c>
      <c r="O966" s="602"/>
      <c r="P966" s="602"/>
      <c r="Q966" s="602"/>
      <c r="R966" s="377"/>
      <c r="S966" s="602"/>
      <c r="T966" s="602"/>
      <c r="U966" s="600"/>
      <c r="V966" s="601"/>
      <c r="W966" s="549"/>
    </row>
    <row r="967" spans="1:23" s="135" customFormat="1" ht="15" hidden="1" customHeight="1">
      <c r="A967" s="306">
        <v>966</v>
      </c>
      <c r="B967" s="611" t="s">
        <v>1796</v>
      </c>
      <c r="C967" s="610"/>
      <c r="D967" s="601" t="s">
        <v>1741</v>
      </c>
      <c r="E967" s="331" t="s">
        <v>1742</v>
      </c>
      <c r="F967" s="609">
        <v>1</v>
      </c>
      <c r="G967" s="608">
        <v>1</v>
      </c>
      <c r="H967" s="608">
        <v>0</v>
      </c>
      <c r="I967" s="607">
        <v>43069</v>
      </c>
      <c r="J967" s="561" t="s">
        <v>1667</v>
      </c>
      <c r="K967" s="557">
        <v>974</v>
      </c>
      <c r="L967" s="605"/>
      <c r="M967" s="604"/>
      <c r="N967" s="603">
        <f t="shared" si="42"/>
        <v>0</v>
      </c>
      <c r="O967" s="602"/>
      <c r="P967" s="602"/>
      <c r="Q967" s="602"/>
      <c r="R967" s="377"/>
      <c r="S967" s="602"/>
      <c r="T967" s="602"/>
      <c r="U967" s="600"/>
      <c r="V967" s="601"/>
      <c r="W967" s="549"/>
    </row>
    <row r="968" spans="1:23" s="135" customFormat="1" ht="15" hidden="1" customHeight="1">
      <c r="A968" s="306">
        <v>967</v>
      </c>
      <c r="B968" s="611" t="s">
        <v>1796</v>
      </c>
      <c r="C968" s="610"/>
      <c r="D968" s="326" t="s">
        <v>1743</v>
      </c>
      <c r="E968" s="690" t="s">
        <v>1744</v>
      </c>
      <c r="F968" s="609">
        <v>1</v>
      </c>
      <c r="G968" s="608">
        <v>1</v>
      </c>
      <c r="H968" s="608">
        <v>0</v>
      </c>
      <c r="I968" s="607">
        <v>43069</v>
      </c>
      <c r="J968" s="561" t="s">
        <v>1667</v>
      </c>
      <c r="K968" s="557">
        <v>974</v>
      </c>
      <c r="L968" s="166"/>
      <c r="M968" s="378"/>
      <c r="N968" s="603">
        <f t="shared" si="42"/>
        <v>0</v>
      </c>
      <c r="O968" s="603"/>
      <c r="P968" s="602"/>
      <c r="Q968" s="602"/>
      <c r="R968" s="377"/>
      <c r="S968" s="602"/>
      <c r="T968" s="602"/>
      <c r="U968" s="600"/>
      <c r="V968" s="601"/>
      <c r="W968" s="549"/>
    </row>
    <row r="969" spans="1:23" s="135" customFormat="1" ht="15" hidden="1" customHeight="1">
      <c r="A969" s="306">
        <v>968</v>
      </c>
      <c r="B969" s="250" t="s">
        <v>1798</v>
      </c>
      <c r="C969" s="161" t="s">
        <v>1807</v>
      </c>
      <c r="D969" s="601" t="s">
        <v>1497</v>
      </c>
      <c r="E969" s="290" t="s">
        <v>1531</v>
      </c>
      <c r="F969" s="373">
        <v>72</v>
      </c>
      <c r="G969" s="372">
        <v>72</v>
      </c>
      <c r="H969" s="608">
        <v>0</v>
      </c>
      <c r="I969" s="607">
        <v>43060</v>
      </c>
      <c r="J969" s="606" t="s">
        <v>1799</v>
      </c>
      <c r="K969" s="240">
        <v>936</v>
      </c>
      <c r="L969" s="605">
        <v>43051</v>
      </c>
      <c r="M969" s="604">
        <v>1599987.69</v>
      </c>
      <c r="N969" s="604">
        <v>1599987.69</v>
      </c>
      <c r="O969" s="603" t="s">
        <v>1462</v>
      </c>
      <c r="P969" s="618" t="s">
        <v>1802</v>
      </c>
      <c r="Q969" s="154" t="s">
        <v>1803</v>
      </c>
      <c r="R969" s="244" t="s">
        <v>908</v>
      </c>
      <c r="S969" s="413" t="s">
        <v>422</v>
      </c>
      <c r="T969" s="154" t="s">
        <v>423</v>
      </c>
      <c r="U969" s="600"/>
      <c r="V969" s="601"/>
      <c r="W969" s="276"/>
    </row>
    <row r="970" spans="1:23" s="135" customFormat="1" ht="15" hidden="1" customHeight="1">
      <c r="A970" s="306">
        <v>969</v>
      </c>
      <c r="B970" s="250" t="s">
        <v>1798</v>
      </c>
      <c r="C970" s="610" t="s">
        <v>1807</v>
      </c>
      <c r="D970" s="601" t="s">
        <v>1800</v>
      </c>
      <c r="E970" s="290" t="s">
        <v>1801</v>
      </c>
      <c r="F970" s="373">
        <v>43</v>
      </c>
      <c r="G970" s="608">
        <v>43</v>
      </c>
      <c r="H970" s="608">
        <v>0</v>
      </c>
      <c r="I970" s="160">
        <v>43066</v>
      </c>
      <c r="J970" s="606" t="s">
        <v>1799</v>
      </c>
      <c r="K970" s="557">
        <v>936</v>
      </c>
      <c r="L970" s="605">
        <v>43051</v>
      </c>
      <c r="M970" s="604"/>
      <c r="N970" s="603">
        <f t="shared" ref="N970:N986" si="43">IFERROR(M970*G970,0)</f>
        <v>0</v>
      </c>
      <c r="O970" s="603" t="s">
        <v>1462</v>
      </c>
      <c r="P970" s="618" t="s">
        <v>1804</v>
      </c>
      <c r="Q970" s="602" t="s">
        <v>1803</v>
      </c>
      <c r="R970" s="377" t="s">
        <v>908</v>
      </c>
      <c r="S970" s="602" t="s">
        <v>422</v>
      </c>
      <c r="T970" s="602" t="s">
        <v>423</v>
      </c>
      <c r="U970" s="600"/>
      <c r="V970" s="601"/>
      <c r="W970" s="549"/>
    </row>
    <row r="971" spans="1:23" s="549" customFormat="1" ht="15" hidden="1" customHeight="1">
      <c r="A971" s="306">
        <v>970</v>
      </c>
      <c r="B971" s="250"/>
      <c r="C971" s="610"/>
      <c r="D971" s="601" t="s">
        <v>226</v>
      </c>
      <c r="E971" s="181" t="s">
        <v>1837</v>
      </c>
      <c r="F971" s="609">
        <v>2</v>
      </c>
      <c r="G971" s="608">
        <v>2</v>
      </c>
      <c r="H971" s="608">
        <v>0</v>
      </c>
      <c r="I971" s="607">
        <v>43066</v>
      </c>
      <c r="J971" s="606" t="s">
        <v>1842</v>
      </c>
      <c r="K971" s="557">
        <v>966</v>
      </c>
      <c r="L971" s="605">
        <v>43066</v>
      </c>
      <c r="M971" s="604">
        <v>300</v>
      </c>
      <c r="N971" s="603">
        <f t="shared" si="43"/>
        <v>600</v>
      </c>
      <c r="O971" s="603" t="s">
        <v>1462</v>
      </c>
      <c r="P971" s="618" t="s">
        <v>555</v>
      </c>
      <c r="Q971" s="602">
        <v>567770374</v>
      </c>
      <c r="R971" s="377" t="s">
        <v>908</v>
      </c>
      <c r="S971" s="602" t="s">
        <v>422</v>
      </c>
      <c r="T971" s="602" t="s">
        <v>423</v>
      </c>
      <c r="U971" s="600"/>
      <c r="V971" s="601"/>
    </row>
    <row r="972" spans="1:23" s="365" customFormat="1" ht="15" hidden="1" customHeight="1">
      <c r="A972" s="306">
        <v>971</v>
      </c>
      <c r="B972" s="611" t="s">
        <v>1805</v>
      </c>
      <c r="C972" s="610"/>
      <c r="D972" s="601" t="s">
        <v>247</v>
      </c>
      <c r="E972" s="600" t="s">
        <v>259</v>
      </c>
      <c r="F972" s="609">
        <v>5</v>
      </c>
      <c r="G972" s="608">
        <v>5</v>
      </c>
      <c r="H972" s="608">
        <v>0</v>
      </c>
      <c r="I972" s="607">
        <v>43072</v>
      </c>
      <c r="J972" s="606" t="s">
        <v>1806</v>
      </c>
      <c r="K972" s="557">
        <v>979</v>
      </c>
      <c r="L972" s="605">
        <v>43069</v>
      </c>
      <c r="M972" s="604">
        <v>3500</v>
      </c>
      <c r="N972" s="603">
        <f t="shared" si="43"/>
        <v>17500</v>
      </c>
      <c r="O972" s="602" t="s">
        <v>587</v>
      </c>
      <c r="P972" s="602" t="s">
        <v>612</v>
      </c>
      <c r="Q972" s="602" t="s">
        <v>1813</v>
      </c>
      <c r="R972" s="377" t="s">
        <v>908</v>
      </c>
      <c r="S972" s="602" t="s">
        <v>422</v>
      </c>
      <c r="T972" s="602" t="s">
        <v>423</v>
      </c>
      <c r="U972" s="600"/>
      <c r="V972" s="601"/>
    </row>
    <row r="973" spans="1:23" s="365" customFormat="1" ht="15" hidden="1" customHeight="1">
      <c r="A973" s="306">
        <v>972</v>
      </c>
      <c r="B973" s="611" t="s">
        <v>1805</v>
      </c>
      <c r="C973" s="610"/>
      <c r="D973" s="601" t="s">
        <v>250</v>
      </c>
      <c r="E973" s="600" t="s">
        <v>262</v>
      </c>
      <c r="F973" s="609">
        <v>5</v>
      </c>
      <c r="G973" s="608">
        <v>5</v>
      </c>
      <c r="H973" s="608">
        <v>0</v>
      </c>
      <c r="I973" s="607">
        <v>43072</v>
      </c>
      <c r="J973" s="606" t="s">
        <v>1806</v>
      </c>
      <c r="K973" s="557">
        <v>979</v>
      </c>
      <c r="L973" s="605">
        <v>43069</v>
      </c>
      <c r="M973" s="604">
        <v>1428</v>
      </c>
      <c r="N973" s="603">
        <f t="shared" si="43"/>
        <v>7140</v>
      </c>
      <c r="O973" s="602" t="s">
        <v>587</v>
      </c>
      <c r="P973" s="602" t="s">
        <v>612</v>
      </c>
      <c r="Q973" s="602" t="s">
        <v>1813</v>
      </c>
      <c r="R973" s="377" t="s">
        <v>908</v>
      </c>
      <c r="S973" s="602" t="s">
        <v>422</v>
      </c>
      <c r="T973" s="602" t="s">
        <v>423</v>
      </c>
      <c r="U973" s="600"/>
      <c r="V973" s="601"/>
    </row>
    <row r="974" spans="1:23" s="365" customFormat="1" ht="15" hidden="1" customHeight="1">
      <c r="A974" s="306">
        <v>973</v>
      </c>
      <c r="B974" s="611" t="s">
        <v>1805</v>
      </c>
      <c r="C974" s="610"/>
      <c r="D974" s="601" t="s">
        <v>249</v>
      </c>
      <c r="E974" s="600" t="s">
        <v>261</v>
      </c>
      <c r="F974" s="609">
        <v>10</v>
      </c>
      <c r="G974" s="608">
        <v>10</v>
      </c>
      <c r="H974" s="608">
        <v>0</v>
      </c>
      <c r="I974" s="607">
        <v>43072</v>
      </c>
      <c r="J974" s="606" t="s">
        <v>1806</v>
      </c>
      <c r="K974" s="557">
        <v>979</v>
      </c>
      <c r="L974" s="605">
        <v>43069</v>
      </c>
      <c r="M974" s="604">
        <v>400</v>
      </c>
      <c r="N974" s="603">
        <f t="shared" si="43"/>
        <v>4000</v>
      </c>
      <c r="O974" s="602" t="s">
        <v>587</v>
      </c>
      <c r="P974" s="602" t="s">
        <v>612</v>
      </c>
      <c r="Q974" s="602" t="s">
        <v>1813</v>
      </c>
      <c r="R974" s="377" t="s">
        <v>908</v>
      </c>
      <c r="S974" s="602" t="s">
        <v>422</v>
      </c>
      <c r="T974" s="602" t="s">
        <v>423</v>
      </c>
      <c r="U974" s="600"/>
      <c r="V974" s="601"/>
      <c r="W974" s="273"/>
    </row>
    <row r="975" spans="1:23" s="365" customFormat="1" ht="15" hidden="1" customHeight="1">
      <c r="A975" s="306">
        <v>974</v>
      </c>
      <c r="B975" s="611">
        <v>1746</v>
      </c>
      <c r="C975" s="610"/>
      <c r="D975" s="601" t="s">
        <v>37</v>
      </c>
      <c r="E975" s="535" t="s">
        <v>1166</v>
      </c>
      <c r="F975" s="609">
        <v>1</v>
      </c>
      <c r="G975" s="608">
        <v>1</v>
      </c>
      <c r="H975" s="608">
        <v>0</v>
      </c>
      <c r="I975" s="607">
        <v>43072</v>
      </c>
      <c r="J975" s="606" t="s">
        <v>1810</v>
      </c>
      <c r="K975" s="557">
        <v>982</v>
      </c>
      <c r="L975" s="605">
        <v>43069</v>
      </c>
      <c r="M975" s="604">
        <v>7500</v>
      </c>
      <c r="N975" s="603">
        <f t="shared" si="43"/>
        <v>7500</v>
      </c>
      <c r="O975" s="602" t="s">
        <v>587</v>
      </c>
      <c r="P975" s="602" t="s">
        <v>530</v>
      </c>
      <c r="Q975" s="602">
        <v>503952895</v>
      </c>
      <c r="R975" s="377" t="s">
        <v>908</v>
      </c>
      <c r="S975" s="602" t="s">
        <v>422</v>
      </c>
      <c r="T975" s="602" t="s">
        <v>423</v>
      </c>
      <c r="U975" s="600"/>
      <c r="V975" s="601"/>
      <c r="W975" s="273"/>
    </row>
    <row r="976" spans="1:23" s="135" customFormat="1" ht="15" hidden="1" customHeight="1">
      <c r="A976" s="306">
        <v>975</v>
      </c>
      <c r="B976" s="613" t="s">
        <v>1811</v>
      </c>
      <c r="C976" s="161"/>
      <c r="D976" s="601" t="s">
        <v>505</v>
      </c>
      <c r="E976" s="497" t="s">
        <v>1816</v>
      </c>
      <c r="F976" s="373">
        <v>1</v>
      </c>
      <c r="G976" s="372">
        <v>1</v>
      </c>
      <c r="H976" s="608">
        <v>0</v>
      </c>
      <c r="I976" s="160">
        <v>43073</v>
      </c>
      <c r="J976" s="159" t="s">
        <v>1812</v>
      </c>
      <c r="K976" s="557">
        <v>983</v>
      </c>
      <c r="L976" s="605">
        <v>43072</v>
      </c>
      <c r="M976" s="604">
        <v>4110</v>
      </c>
      <c r="N976" s="603">
        <f t="shared" si="43"/>
        <v>4110</v>
      </c>
      <c r="O976" s="602" t="s">
        <v>587</v>
      </c>
      <c r="P976" s="154" t="s">
        <v>555</v>
      </c>
      <c r="Q976" s="154" t="s">
        <v>1891</v>
      </c>
      <c r="R976" s="377" t="s">
        <v>908</v>
      </c>
      <c r="S976" s="602" t="s">
        <v>422</v>
      </c>
      <c r="T976" s="602" t="s">
        <v>423</v>
      </c>
      <c r="U976" s="67"/>
      <c r="V976" s="153"/>
      <c r="W976" s="276"/>
    </row>
    <row r="977" spans="1:23" s="135" customFormat="1" ht="15" hidden="1" customHeight="1">
      <c r="A977" s="306">
        <v>976</v>
      </c>
      <c r="B977" s="613" t="s">
        <v>1811</v>
      </c>
      <c r="C977" s="161"/>
      <c r="D977" s="601" t="s">
        <v>250</v>
      </c>
      <c r="E977" s="354" t="s">
        <v>262</v>
      </c>
      <c r="F977" s="373">
        <v>1</v>
      </c>
      <c r="G977" s="608">
        <v>1</v>
      </c>
      <c r="H977" s="608">
        <v>0</v>
      </c>
      <c r="I977" s="607">
        <v>43073</v>
      </c>
      <c r="J977" s="606" t="s">
        <v>1812</v>
      </c>
      <c r="K977" s="557">
        <v>983</v>
      </c>
      <c r="L977" s="605">
        <v>43072</v>
      </c>
      <c r="M977" s="604">
        <v>1485</v>
      </c>
      <c r="N977" s="603">
        <f t="shared" si="43"/>
        <v>1485</v>
      </c>
      <c r="O977" s="602" t="s">
        <v>587</v>
      </c>
      <c r="P977" s="602" t="s">
        <v>555</v>
      </c>
      <c r="Q977" s="154"/>
      <c r="R977" s="377" t="s">
        <v>908</v>
      </c>
      <c r="S977" s="602" t="s">
        <v>422</v>
      </c>
      <c r="T977" s="602" t="s">
        <v>423</v>
      </c>
      <c r="U977" s="600"/>
      <c r="V977" s="601"/>
      <c r="W977" s="276"/>
    </row>
    <row r="978" spans="1:23" s="365" customFormat="1" ht="15" hidden="1" customHeight="1">
      <c r="A978" s="306">
        <v>977</v>
      </c>
      <c r="B978" s="611"/>
      <c r="C978" s="610"/>
      <c r="D978" s="601" t="s">
        <v>33</v>
      </c>
      <c r="E978" s="350" t="s">
        <v>32</v>
      </c>
      <c r="F978" s="609">
        <v>1</v>
      </c>
      <c r="G978" s="608">
        <v>1</v>
      </c>
      <c r="H978" s="608">
        <v>0</v>
      </c>
      <c r="I978" s="607">
        <v>43074</v>
      </c>
      <c r="J978" s="606" t="s">
        <v>1815</v>
      </c>
      <c r="K978" s="557">
        <v>985</v>
      </c>
      <c r="L978" s="605">
        <v>43073</v>
      </c>
      <c r="M978" s="604">
        <v>930</v>
      </c>
      <c r="N978" s="603">
        <f t="shared" si="43"/>
        <v>930</v>
      </c>
      <c r="O978" s="602" t="s">
        <v>587</v>
      </c>
      <c r="P978" s="602" t="s">
        <v>555</v>
      </c>
      <c r="Q978" s="602" t="s">
        <v>1825</v>
      </c>
      <c r="R978" s="377" t="s">
        <v>908</v>
      </c>
      <c r="S978" s="602" t="s">
        <v>422</v>
      </c>
      <c r="T978" s="602" t="s">
        <v>423</v>
      </c>
      <c r="U978" s="600"/>
      <c r="V978" s="601"/>
      <c r="W978" s="273"/>
    </row>
    <row r="979" spans="1:23" s="365" customFormat="1" ht="15" hidden="1" customHeight="1">
      <c r="A979" s="306">
        <v>978</v>
      </c>
      <c r="B979" s="611"/>
      <c r="C979" s="610"/>
      <c r="D979" s="601" t="s">
        <v>1022</v>
      </c>
      <c r="E979" s="559" t="s">
        <v>1028</v>
      </c>
      <c r="F979" s="609">
        <v>1</v>
      </c>
      <c r="G979" s="608">
        <v>1</v>
      </c>
      <c r="H979" s="608">
        <v>0</v>
      </c>
      <c r="I979" s="607">
        <v>43074</v>
      </c>
      <c r="J979" s="606" t="s">
        <v>1817</v>
      </c>
      <c r="K979" s="557">
        <v>986</v>
      </c>
      <c r="L979" s="605">
        <v>43073</v>
      </c>
      <c r="M979" s="604">
        <v>4755</v>
      </c>
      <c r="N979" s="603">
        <f t="shared" si="43"/>
        <v>4755</v>
      </c>
      <c r="O979" s="602" t="s">
        <v>587</v>
      </c>
      <c r="P979" s="602" t="s">
        <v>1128</v>
      </c>
      <c r="Q979" s="602" t="s">
        <v>1890</v>
      </c>
      <c r="R979" s="377" t="s">
        <v>908</v>
      </c>
      <c r="S979" s="602" t="s">
        <v>422</v>
      </c>
      <c r="T979" s="602" t="s">
        <v>423</v>
      </c>
      <c r="U979" s="600"/>
      <c r="V979" s="601"/>
      <c r="W979" s="273"/>
    </row>
    <row r="980" spans="1:23" s="365" customFormat="1" ht="15" hidden="1" customHeight="1">
      <c r="A980" s="306">
        <v>979</v>
      </c>
      <c r="B980" s="611"/>
      <c r="C980" s="610"/>
      <c r="D980" s="601" t="s">
        <v>1180</v>
      </c>
      <c r="E980" s="559" t="s">
        <v>1182</v>
      </c>
      <c r="F980" s="609">
        <v>1</v>
      </c>
      <c r="G980" s="608">
        <v>1</v>
      </c>
      <c r="H980" s="608">
        <v>0</v>
      </c>
      <c r="I980" s="607">
        <v>43074</v>
      </c>
      <c r="J980" s="606" t="s">
        <v>1817</v>
      </c>
      <c r="K980" s="557">
        <v>986</v>
      </c>
      <c r="L980" s="605">
        <v>43073</v>
      </c>
      <c r="M980" s="604">
        <v>2175</v>
      </c>
      <c r="N980" s="603">
        <f t="shared" si="43"/>
        <v>2175</v>
      </c>
      <c r="O980" s="602" t="s">
        <v>587</v>
      </c>
      <c r="P980" s="602" t="s">
        <v>1128</v>
      </c>
      <c r="Q980" s="602" t="s">
        <v>1890</v>
      </c>
      <c r="R980" s="377" t="s">
        <v>908</v>
      </c>
      <c r="S980" s="602" t="s">
        <v>422</v>
      </c>
      <c r="T980" s="602" t="s">
        <v>423</v>
      </c>
      <c r="U980" s="600"/>
      <c r="V980" s="601"/>
      <c r="W980" s="273"/>
    </row>
    <row r="981" spans="1:23" s="365" customFormat="1" ht="15" hidden="1" customHeight="1">
      <c r="A981" s="306">
        <v>980</v>
      </c>
      <c r="B981" s="611" t="s">
        <v>1818</v>
      </c>
      <c r="C981" s="610"/>
      <c r="D981" s="601" t="s">
        <v>146</v>
      </c>
      <c r="E981" s="649" t="s">
        <v>145</v>
      </c>
      <c r="F981" s="609">
        <v>1</v>
      </c>
      <c r="G981" s="608">
        <v>1</v>
      </c>
      <c r="H981" s="608">
        <v>0</v>
      </c>
      <c r="I981" s="607">
        <v>43075</v>
      </c>
      <c r="J981" s="606" t="s">
        <v>1819</v>
      </c>
      <c r="K981" s="557">
        <v>987</v>
      </c>
      <c r="L981" s="605">
        <v>43074</v>
      </c>
      <c r="M981" s="604">
        <v>445</v>
      </c>
      <c r="N981" s="603">
        <f t="shared" si="43"/>
        <v>445</v>
      </c>
      <c r="O981" s="602" t="s">
        <v>587</v>
      </c>
      <c r="P981" s="602" t="s">
        <v>1820</v>
      </c>
      <c r="Q981" s="602" t="s">
        <v>1826</v>
      </c>
      <c r="R981" s="377" t="s">
        <v>908</v>
      </c>
      <c r="S981" s="602" t="s">
        <v>422</v>
      </c>
      <c r="T981" s="602" t="s">
        <v>423</v>
      </c>
      <c r="U981" s="600"/>
      <c r="V981" s="601"/>
      <c r="W981" s="273"/>
    </row>
    <row r="982" spans="1:23" s="365" customFormat="1" ht="15" hidden="1" customHeight="1">
      <c r="A982" s="306">
        <v>981</v>
      </c>
      <c r="B982" s="611" t="s">
        <v>1821</v>
      </c>
      <c r="C982" s="610"/>
      <c r="D982" s="601" t="s">
        <v>80</v>
      </c>
      <c r="E982" s="350" t="s">
        <v>79</v>
      </c>
      <c r="F982" s="609">
        <v>2</v>
      </c>
      <c r="G982" s="608">
        <v>2</v>
      </c>
      <c r="H982" s="608">
        <v>0</v>
      </c>
      <c r="I982" s="607">
        <v>43075</v>
      </c>
      <c r="J982" s="561" t="s">
        <v>611</v>
      </c>
      <c r="K982" s="557">
        <v>997</v>
      </c>
      <c r="L982" s="605">
        <v>43074</v>
      </c>
      <c r="M982" s="604">
        <v>1080</v>
      </c>
      <c r="N982" s="603">
        <f t="shared" si="43"/>
        <v>2160</v>
      </c>
      <c r="O982" s="602" t="s">
        <v>587</v>
      </c>
      <c r="P982" s="602" t="s">
        <v>555</v>
      </c>
      <c r="Q982" s="602" t="s">
        <v>1822</v>
      </c>
      <c r="R982" s="377" t="s">
        <v>908</v>
      </c>
      <c r="S982" s="602" t="s">
        <v>422</v>
      </c>
      <c r="T982" s="602" t="s">
        <v>423</v>
      </c>
      <c r="U982" s="600"/>
      <c r="V982" s="601"/>
    </row>
    <row r="983" spans="1:23" s="365" customFormat="1" ht="15" hidden="1" customHeight="1">
      <c r="A983" s="306">
        <v>982</v>
      </c>
      <c r="B983" s="611">
        <v>17101</v>
      </c>
      <c r="C983" s="610"/>
      <c r="D983" s="601" t="s">
        <v>64</v>
      </c>
      <c r="E983" s="6" t="s">
        <v>63</v>
      </c>
      <c r="F983" s="609">
        <v>3</v>
      </c>
      <c r="G983" s="608">
        <v>3</v>
      </c>
      <c r="H983" s="608">
        <v>0</v>
      </c>
      <c r="I983" s="607">
        <v>43075</v>
      </c>
      <c r="J983" s="606" t="s">
        <v>1823</v>
      </c>
      <c r="K983" s="557">
        <v>994</v>
      </c>
      <c r="L983" s="605">
        <v>43075</v>
      </c>
      <c r="M983" s="604">
        <v>2280</v>
      </c>
      <c r="N983" s="603">
        <f t="shared" si="43"/>
        <v>6840</v>
      </c>
      <c r="O983" s="602" t="s">
        <v>587</v>
      </c>
      <c r="P983" s="602" t="s">
        <v>512</v>
      </c>
      <c r="Q983" s="602" t="s">
        <v>1824</v>
      </c>
      <c r="R983" s="377" t="s">
        <v>908</v>
      </c>
      <c r="S983" s="602" t="s">
        <v>422</v>
      </c>
      <c r="T983" s="602" t="s">
        <v>423</v>
      </c>
      <c r="U983" s="600" t="s">
        <v>1827</v>
      </c>
      <c r="V983" s="601"/>
      <c r="W983" s="273"/>
    </row>
    <row r="984" spans="1:23" s="365" customFormat="1" ht="15" hidden="1" customHeight="1">
      <c r="A984" s="306">
        <v>983</v>
      </c>
      <c r="B984" s="611">
        <v>1523</v>
      </c>
      <c r="C984" s="610"/>
      <c r="D984" s="535" t="s">
        <v>82</v>
      </c>
      <c r="E984" s="418" t="s">
        <v>81</v>
      </c>
      <c r="F984" s="609">
        <v>1</v>
      </c>
      <c r="G984" s="608">
        <v>1</v>
      </c>
      <c r="H984" s="608">
        <f>F984-G984</f>
        <v>0</v>
      </c>
      <c r="I984" s="607">
        <v>43076</v>
      </c>
      <c r="J984" s="606" t="s">
        <v>1707</v>
      </c>
      <c r="K984" s="557">
        <v>990</v>
      </c>
      <c r="L984" s="605">
        <v>43075</v>
      </c>
      <c r="M984" s="604">
        <v>4280</v>
      </c>
      <c r="N984" s="603">
        <f t="shared" si="43"/>
        <v>4280</v>
      </c>
      <c r="O984" s="602" t="s">
        <v>587</v>
      </c>
      <c r="P984" s="602" t="s">
        <v>792</v>
      </c>
      <c r="Q984" s="600" t="s">
        <v>2008</v>
      </c>
      <c r="R984" s="377" t="s">
        <v>908</v>
      </c>
      <c r="S984" s="602" t="s">
        <v>422</v>
      </c>
      <c r="T984" s="602" t="s">
        <v>423</v>
      </c>
      <c r="U984" s="618" t="s">
        <v>1836</v>
      </c>
      <c r="V984" s="601"/>
      <c r="W984" s="273"/>
    </row>
    <row r="985" spans="1:23" s="365" customFormat="1" ht="15" hidden="1" customHeight="1">
      <c r="A985" s="306">
        <v>984</v>
      </c>
      <c r="B985" s="611">
        <v>1524</v>
      </c>
      <c r="C985" s="610"/>
      <c r="D985" s="613" t="s">
        <v>54</v>
      </c>
      <c r="E985" s="601" t="s">
        <v>368</v>
      </c>
      <c r="F985" s="609">
        <v>1</v>
      </c>
      <c r="G985" s="608">
        <v>1</v>
      </c>
      <c r="H985" s="608">
        <f>F985-G985</f>
        <v>0</v>
      </c>
      <c r="I985" s="607">
        <v>43076</v>
      </c>
      <c r="J985" s="606" t="s">
        <v>1707</v>
      </c>
      <c r="K985" s="557">
        <v>991</v>
      </c>
      <c r="L985" s="605">
        <v>43075</v>
      </c>
      <c r="M985" s="604">
        <v>4110</v>
      </c>
      <c r="N985" s="603">
        <f t="shared" si="43"/>
        <v>4110</v>
      </c>
      <c r="O985" s="602" t="s">
        <v>587</v>
      </c>
      <c r="P985" s="602" t="s">
        <v>792</v>
      </c>
      <c r="Q985" s="600" t="s">
        <v>2008</v>
      </c>
      <c r="R985" s="377" t="s">
        <v>908</v>
      </c>
      <c r="S985" s="602" t="s">
        <v>422</v>
      </c>
      <c r="T985" s="602" t="s">
        <v>423</v>
      </c>
      <c r="U985" s="618" t="s">
        <v>1836</v>
      </c>
      <c r="V985" s="601"/>
      <c r="W985" s="273"/>
    </row>
    <row r="986" spans="1:23" s="135" customFormat="1" ht="15" hidden="1" customHeight="1">
      <c r="A986" s="306">
        <v>985</v>
      </c>
      <c r="B986" s="611" t="s">
        <v>1841</v>
      </c>
      <c r="C986" s="610"/>
      <c r="D986" s="326" t="s">
        <v>226</v>
      </c>
      <c r="E986" s="181" t="s">
        <v>1837</v>
      </c>
      <c r="F986" s="609">
        <v>4</v>
      </c>
      <c r="G986" s="609">
        <v>4</v>
      </c>
      <c r="H986" s="608">
        <v>0</v>
      </c>
      <c r="I986" s="607">
        <v>43076</v>
      </c>
      <c r="J986" s="561" t="s">
        <v>1838</v>
      </c>
      <c r="K986" s="557">
        <v>995</v>
      </c>
      <c r="L986" s="166">
        <v>43076</v>
      </c>
      <c r="M986" s="378">
        <v>300</v>
      </c>
      <c r="N986" s="603">
        <f t="shared" si="43"/>
        <v>1200</v>
      </c>
      <c r="O986" s="603" t="s">
        <v>587</v>
      </c>
      <c r="P986" s="602" t="s">
        <v>512</v>
      </c>
      <c r="Q986" s="602" t="s">
        <v>1839</v>
      </c>
      <c r="R986" s="377" t="s">
        <v>908</v>
      </c>
      <c r="S986" s="602" t="s">
        <v>422</v>
      </c>
      <c r="T986" s="602" t="s">
        <v>423</v>
      </c>
      <c r="U986" s="600"/>
      <c r="V986" s="601"/>
    </row>
    <row r="987" spans="1:23" s="135" customFormat="1" ht="15" hidden="1" customHeight="1">
      <c r="A987" s="306">
        <v>986</v>
      </c>
      <c r="B987" s="611"/>
      <c r="C987" s="610"/>
      <c r="D987" s="601" t="s">
        <v>1828</v>
      </c>
      <c r="E987" s="326" t="s">
        <v>1828</v>
      </c>
      <c r="F987" s="609">
        <v>4</v>
      </c>
      <c r="G987" s="608">
        <v>4</v>
      </c>
      <c r="H987" s="608">
        <f t="shared" ref="H987:H1028" si="44">F987-G987</f>
        <v>0</v>
      </c>
      <c r="I987" s="607">
        <v>43076</v>
      </c>
      <c r="J987" s="606" t="s">
        <v>878</v>
      </c>
      <c r="K987" s="557">
        <v>996</v>
      </c>
      <c r="L987" s="605">
        <v>43076</v>
      </c>
      <c r="M987" s="604"/>
      <c r="N987" s="603">
        <v>23504</v>
      </c>
      <c r="O987" s="602" t="s">
        <v>587</v>
      </c>
      <c r="P987" s="602" t="s">
        <v>555</v>
      </c>
      <c r="Q987" s="600" t="s">
        <v>1840</v>
      </c>
      <c r="R987" s="377" t="s">
        <v>908</v>
      </c>
      <c r="S987" s="602" t="s">
        <v>422</v>
      </c>
      <c r="T987" s="602" t="s">
        <v>423</v>
      </c>
      <c r="U987" s="600"/>
      <c r="V987" s="601"/>
      <c r="W987" s="276"/>
    </row>
    <row r="988" spans="1:23" s="135" customFormat="1" ht="15" hidden="1" customHeight="1">
      <c r="A988" s="306">
        <v>987</v>
      </c>
      <c r="B988" s="611"/>
      <c r="C988" s="610"/>
      <c r="D988" s="601" t="s">
        <v>1829</v>
      </c>
      <c r="E988" s="247" t="s">
        <v>1829</v>
      </c>
      <c r="F988" s="609">
        <v>4</v>
      </c>
      <c r="G988" s="608">
        <v>4</v>
      </c>
      <c r="H988" s="608">
        <f t="shared" si="44"/>
        <v>0</v>
      </c>
      <c r="I988" s="607">
        <v>43076</v>
      </c>
      <c r="J988" s="606" t="s">
        <v>878</v>
      </c>
      <c r="K988" s="557">
        <v>996</v>
      </c>
      <c r="L988" s="605">
        <v>43076</v>
      </c>
      <c r="M988" s="604"/>
      <c r="N988" s="603"/>
      <c r="O988" s="602" t="s">
        <v>587</v>
      </c>
      <c r="P988" s="602" t="s">
        <v>555</v>
      </c>
      <c r="Q988" s="600" t="s">
        <v>1840</v>
      </c>
      <c r="R988" s="377" t="s">
        <v>908</v>
      </c>
      <c r="S988" s="602" t="s">
        <v>422</v>
      </c>
      <c r="T988" s="602" t="s">
        <v>423</v>
      </c>
      <c r="U988" s="600"/>
      <c r="V988" s="601"/>
      <c r="W988" s="276"/>
    </row>
    <row r="989" spans="1:23" s="135" customFormat="1" ht="15" hidden="1" customHeight="1">
      <c r="A989" s="306">
        <v>988</v>
      </c>
      <c r="B989" s="611"/>
      <c r="C989" s="610"/>
      <c r="D989" s="601" t="s">
        <v>1830</v>
      </c>
      <c r="E989" s="602" t="s">
        <v>1830</v>
      </c>
      <c r="F989" s="609">
        <v>5</v>
      </c>
      <c r="G989" s="608">
        <v>5</v>
      </c>
      <c r="H989" s="608">
        <f t="shared" si="44"/>
        <v>0</v>
      </c>
      <c r="I989" s="607">
        <v>43076</v>
      </c>
      <c r="J989" s="606" t="s">
        <v>878</v>
      </c>
      <c r="K989" s="557">
        <v>996</v>
      </c>
      <c r="L989" s="605">
        <v>43076</v>
      </c>
      <c r="M989" s="604"/>
      <c r="N989" s="603"/>
      <c r="O989" s="602" t="s">
        <v>587</v>
      </c>
      <c r="P989" s="602" t="s">
        <v>555</v>
      </c>
      <c r="Q989" s="600" t="s">
        <v>1840</v>
      </c>
      <c r="R989" s="377" t="s">
        <v>908</v>
      </c>
      <c r="S989" s="602" t="s">
        <v>422</v>
      </c>
      <c r="T989" s="602" t="s">
        <v>423</v>
      </c>
      <c r="U989" s="600"/>
      <c r="V989" s="601"/>
      <c r="W989" s="276"/>
    </row>
    <row r="990" spans="1:23" s="135" customFormat="1" ht="15" hidden="1" customHeight="1">
      <c r="A990" s="306">
        <v>989</v>
      </c>
      <c r="B990" s="611"/>
      <c r="C990" s="610"/>
      <c r="D990" s="601" t="s">
        <v>1831</v>
      </c>
      <c r="E990" s="326" t="s">
        <v>1831</v>
      </c>
      <c r="F990" s="609">
        <v>5</v>
      </c>
      <c r="G990" s="608">
        <v>5</v>
      </c>
      <c r="H990" s="608">
        <f t="shared" si="44"/>
        <v>0</v>
      </c>
      <c r="I990" s="607">
        <v>43076</v>
      </c>
      <c r="J990" s="606" t="s">
        <v>878</v>
      </c>
      <c r="K990" s="557">
        <v>996</v>
      </c>
      <c r="L990" s="605">
        <v>43076</v>
      </c>
      <c r="M990" s="604"/>
      <c r="N990" s="603"/>
      <c r="O990" s="602" t="s">
        <v>587</v>
      </c>
      <c r="P990" s="602" t="s">
        <v>555</v>
      </c>
      <c r="Q990" s="600" t="s">
        <v>1840</v>
      </c>
      <c r="R990" s="377" t="s">
        <v>908</v>
      </c>
      <c r="S990" s="602" t="s">
        <v>422</v>
      </c>
      <c r="T990" s="602" t="s">
        <v>423</v>
      </c>
      <c r="U990" s="600"/>
      <c r="V990" s="153"/>
      <c r="W990" s="276"/>
    </row>
    <row r="991" spans="1:23" s="135" customFormat="1" ht="15" hidden="1" customHeight="1">
      <c r="A991" s="306">
        <v>990</v>
      </c>
      <c r="B991" s="611"/>
      <c r="C991" s="610"/>
      <c r="D991" s="601" t="s">
        <v>1832</v>
      </c>
      <c r="E991" s="247" t="s">
        <v>1832</v>
      </c>
      <c r="F991" s="609">
        <v>5</v>
      </c>
      <c r="G991" s="608">
        <v>5</v>
      </c>
      <c r="H991" s="608">
        <f t="shared" si="44"/>
        <v>0</v>
      </c>
      <c r="I991" s="607">
        <v>43076</v>
      </c>
      <c r="J991" s="606" t="s">
        <v>878</v>
      </c>
      <c r="K991" s="557">
        <v>996</v>
      </c>
      <c r="L991" s="605">
        <v>43076</v>
      </c>
      <c r="M991" s="604"/>
      <c r="N991" s="603"/>
      <c r="O991" s="602" t="s">
        <v>587</v>
      </c>
      <c r="P991" s="602" t="s">
        <v>555</v>
      </c>
      <c r="Q991" s="600" t="s">
        <v>1840</v>
      </c>
      <c r="R991" s="377" t="s">
        <v>908</v>
      </c>
      <c r="S991" s="602" t="s">
        <v>422</v>
      </c>
      <c r="T991" s="602" t="s">
        <v>423</v>
      </c>
      <c r="U991" s="601"/>
      <c r="V991" s="601"/>
      <c r="W991" s="276"/>
    </row>
    <row r="992" spans="1:23" s="135" customFormat="1" ht="15" hidden="1" customHeight="1">
      <c r="A992" s="306">
        <v>991</v>
      </c>
      <c r="B992" s="611"/>
      <c r="C992" s="610"/>
      <c r="D992" s="601" t="s">
        <v>1833</v>
      </c>
      <c r="E992" s="602" t="s">
        <v>1833</v>
      </c>
      <c r="F992" s="609">
        <v>5</v>
      </c>
      <c r="G992" s="608">
        <v>5</v>
      </c>
      <c r="H992" s="608">
        <f t="shared" si="44"/>
        <v>0</v>
      </c>
      <c r="I992" s="607">
        <v>43076</v>
      </c>
      <c r="J992" s="606" t="s">
        <v>878</v>
      </c>
      <c r="K992" s="557">
        <v>996</v>
      </c>
      <c r="L992" s="605">
        <v>43076</v>
      </c>
      <c r="M992" s="604"/>
      <c r="N992" s="603"/>
      <c r="O992" s="602" t="s">
        <v>587</v>
      </c>
      <c r="P992" s="602" t="s">
        <v>555</v>
      </c>
      <c r="Q992" s="600" t="s">
        <v>1840</v>
      </c>
      <c r="R992" s="377" t="s">
        <v>908</v>
      </c>
      <c r="S992" s="602" t="s">
        <v>422</v>
      </c>
      <c r="T992" s="602" t="s">
        <v>423</v>
      </c>
      <c r="U992" s="402"/>
      <c r="V992" s="153"/>
      <c r="W992" s="276"/>
    </row>
    <row r="993" spans="1:23" s="135" customFormat="1" ht="15" hidden="1" customHeight="1">
      <c r="A993" s="306">
        <v>992</v>
      </c>
      <c r="B993" s="611"/>
      <c r="C993" s="610"/>
      <c r="D993" s="601" t="s">
        <v>1834</v>
      </c>
      <c r="E993" s="326" t="s">
        <v>1834</v>
      </c>
      <c r="F993" s="609">
        <v>5</v>
      </c>
      <c r="G993" s="608">
        <v>5</v>
      </c>
      <c r="H993" s="608">
        <f t="shared" si="44"/>
        <v>0</v>
      </c>
      <c r="I993" s="607">
        <v>43076</v>
      </c>
      <c r="J993" s="606" t="s">
        <v>878</v>
      </c>
      <c r="K993" s="557">
        <v>996</v>
      </c>
      <c r="L993" s="605">
        <v>43076</v>
      </c>
      <c r="M993" s="604"/>
      <c r="N993" s="603"/>
      <c r="O993" s="602" t="s">
        <v>587</v>
      </c>
      <c r="P993" s="602" t="s">
        <v>555</v>
      </c>
      <c r="Q993" s="600" t="s">
        <v>1840</v>
      </c>
      <c r="R993" s="377" t="s">
        <v>908</v>
      </c>
      <c r="S993" s="602" t="s">
        <v>422</v>
      </c>
      <c r="T993" s="602" t="s">
        <v>423</v>
      </c>
      <c r="U993" s="600"/>
      <c r="V993" s="601"/>
      <c r="W993" s="276"/>
    </row>
    <row r="994" spans="1:23" s="135" customFormat="1" ht="15" hidden="1" customHeight="1">
      <c r="A994" s="306">
        <v>993</v>
      </c>
      <c r="B994" s="611"/>
      <c r="C994" s="610"/>
      <c r="D994" s="601" t="s">
        <v>1835</v>
      </c>
      <c r="E994" s="247" t="s">
        <v>1835</v>
      </c>
      <c r="F994" s="609">
        <v>5</v>
      </c>
      <c r="G994" s="608">
        <v>5</v>
      </c>
      <c r="H994" s="608">
        <f t="shared" si="44"/>
        <v>0</v>
      </c>
      <c r="I994" s="607">
        <v>43076</v>
      </c>
      <c r="J994" s="606" t="s">
        <v>878</v>
      </c>
      <c r="K994" s="557">
        <v>996</v>
      </c>
      <c r="L994" s="605">
        <v>43076</v>
      </c>
      <c r="M994" s="604"/>
      <c r="N994" s="603"/>
      <c r="O994" s="602" t="s">
        <v>587</v>
      </c>
      <c r="P994" s="602" t="s">
        <v>555</v>
      </c>
      <c r="Q994" s="600" t="s">
        <v>1840</v>
      </c>
      <c r="R994" s="377" t="s">
        <v>908</v>
      </c>
      <c r="S994" s="602" t="s">
        <v>422</v>
      </c>
      <c r="T994" s="602" t="s">
        <v>423</v>
      </c>
      <c r="U994" s="600"/>
      <c r="V994" s="601"/>
      <c r="W994" s="276"/>
    </row>
    <row r="995" spans="1:23" s="135" customFormat="1" ht="15" hidden="1" customHeight="1">
      <c r="A995" s="306">
        <v>994</v>
      </c>
      <c r="B995" s="250" t="s">
        <v>1844</v>
      </c>
      <c r="C995" s="161"/>
      <c r="D995" s="601" t="s">
        <v>62</v>
      </c>
      <c r="E995" s="350" t="s">
        <v>61</v>
      </c>
      <c r="F995" s="373">
        <v>15</v>
      </c>
      <c r="G995" s="372">
        <v>15</v>
      </c>
      <c r="H995" s="372">
        <f t="shared" si="44"/>
        <v>0</v>
      </c>
      <c r="I995" s="160">
        <v>43079</v>
      </c>
      <c r="J995" s="159" t="s">
        <v>1843</v>
      </c>
      <c r="K995" s="240">
        <v>997</v>
      </c>
      <c r="L995" s="158">
        <v>43076</v>
      </c>
      <c r="M995" s="157">
        <v>1725</v>
      </c>
      <c r="N995" s="603">
        <f t="shared" ref="N995:N1076" si="45">IFERROR(M995*G995,0)</f>
        <v>25875</v>
      </c>
      <c r="O995" s="602" t="s">
        <v>587</v>
      </c>
      <c r="P995" s="154" t="s">
        <v>512</v>
      </c>
      <c r="Q995" s="154">
        <v>114767777</v>
      </c>
      <c r="R995" s="377" t="s">
        <v>908</v>
      </c>
      <c r="S995" s="602" t="s">
        <v>422</v>
      </c>
      <c r="T995" s="602" t="s">
        <v>423</v>
      </c>
      <c r="U995" s="67"/>
      <c r="V995" s="153"/>
    </row>
    <row r="996" spans="1:23" s="135" customFormat="1" ht="15" hidden="1" customHeight="1">
      <c r="A996" s="306">
        <v>995</v>
      </c>
      <c r="B996" s="250" t="s">
        <v>1845</v>
      </c>
      <c r="C996" s="161"/>
      <c r="D996" s="601" t="s">
        <v>107</v>
      </c>
      <c r="E996" s="521" t="s">
        <v>106</v>
      </c>
      <c r="F996" s="373">
        <v>1</v>
      </c>
      <c r="G996" s="372">
        <v>1</v>
      </c>
      <c r="H996" s="372">
        <f t="shared" si="44"/>
        <v>0</v>
      </c>
      <c r="I996" s="607">
        <v>43079</v>
      </c>
      <c r="J996" s="159" t="s">
        <v>1846</v>
      </c>
      <c r="K996" s="240">
        <v>984</v>
      </c>
      <c r="L996" s="158">
        <v>43072</v>
      </c>
      <c r="M996" s="157">
        <v>37775</v>
      </c>
      <c r="N996" s="603">
        <f t="shared" si="45"/>
        <v>37775</v>
      </c>
      <c r="O996" s="602" t="s">
        <v>587</v>
      </c>
      <c r="P996" s="154" t="s">
        <v>555</v>
      </c>
      <c r="Q996" s="154" t="s">
        <v>1847</v>
      </c>
      <c r="R996" s="377" t="s">
        <v>908</v>
      </c>
      <c r="S996" s="602" t="s">
        <v>422</v>
      </c>
      <c r="T996" s="602" t="s">
        <v>423</v>
      </c>
      <c r="U996" s="67" t="s">
        <v>1848</v>
      </c>
      <c r="V996" s="153"/>
    </row>
    <row r="997" spans="1:23" s="135" customFormat="1" ht="15" hidden="1" customHeight="1">
      <c r="A997" s="306">
        <v>996</v>
      </c>
      <c r="B997" s="250" t="s">
        <v>1845</v>
      </c>
      <c r="C997" s="161"/>
      <c r="D997" s="601" t="s">
        <v>73</v>
      </c>
      <c r="E997" s="350" t="s">
        <v>72</v>
      </c>
      <c r="F997" s="373">
        <v>1</v>
      </c>
      <c r="G997" s="372">
        <v>1</v>
      </c>
      <c r="H997" s="372">
        <f t="shared" si="44"/>
        <v>0</v>
      </c>
      <c r="I997" s="607">
        <v>43079</v>
      </c>
      <c r="J997" s="606" t="s">
        <v>1846</v>
      </c>
      <c r="K997" s="557">
        <v>984</v>
      </c>
      <c r="L997" s="605">
        <v>43072</v>
      </c>
      <c r="M997" s="157">
        <v>23400</v>
      </c>
      <c r="N997" s="603">
        <f t="shared" si="45"/>
        <v>23400</v>
      </c>
      <c r="O997" s="602" t="s">
        <v>587</v>
      </c>
      <c r="P997" s="602" t="s">
        <v>555</v>
      </c>
      <c r="Q997" s="602" t="s">
        <v>1847</v>
      </c>
      <c r="R997" s="377" t="s">
        <v>908</v>
      </c>
      <c r="S997" s="602" t="s">
        <v>422</v>
      </c>
      <c r="T997" s="602" t="s">
        <v>423</v>
      </c>
      <c r="U997" s="600" t="s">
        <v>1848</v>
      </c>
      <c r="V997" s="153"/>
    </row>
    <row r="998" spans="1:23" s="365" customFormat="1" ht="15" hidden="1" customHeight="1">
      <c r="A998" s="306">
        <v>997</v>
      </c>
      <c r="B998" s="611" t="s">
        <v>1849</v>
      </c>
      <c r="C998" s="610"/>
      <c r="D998" s="601" t="s">
        <v>80</v>
      </c>
      <c r="E998" s="350" t="s">
        <v>79</v>
      </c>
      <c r="F998" s="609">
        <v>2</v>
      </c>
      <c r="G998" s="608">
        <v>2</v>
      </c>
      <c r="H998" s="608">
        <f t="shared" si="44"/>
        <v>0</v>
      </c>
      <c r="I998" s="607">
        <v>43080</v>
      </c>
      <c r="J998" s="606" t="s">
        <v>968</v>
      </c>
      <c r="K998" s="557">
        <v>999</v>
      </c>
      <c r="L998" s="605">
        <v>43079</v>
      </c>
      <c r="M998" s="604">
        <v>1140</v>
      </c>
      <c r="N998" s="603">
        <f t="shared" si="45"/>
        <v>2280</v>
      </c>
      <c r="O998" s="602" t="s">
        <v>587</v>
      </c>
      <c r="P998" s="602" t="s">
        <v>612</v>
      </c>
      <c r="Q998" s="602" t="s">
        <v>970</v>
      </c>
      <c r="R998" s="377" t="s">
        <v>908</v>
      </c>
      <c r="S998" s="602" t="s">
        <v>422</v>
      </c>
      <c r="T998" s="602" t="s">
        <v>423</v>
      </c>
      <c r="U998" s="600"/>
      <c r="V998" s="601"/>
    </row>
    <row r="999" spans="1:23" s="365" customFormat="1" ht="15" hidden="1" customHeight="1">
      <c r="A999" s="306">
        <v>998</v>
      </c>
      <c r="B999" s="611">
        <v>191</v>
      </c>
      <c r="C999" s="610"/>
      <c r="D999" s="601" t="s">
        <v>107</v>
      </c>
      <c r="E999" s="649" t="s">
        <v>106</v>
      </c>
      <c r="F999" s="609">
        <v>1</v>
      </c>
      <c r="G999" s="608">
        <v>1</v>
      </c>
      <c r="H999" s="608">
        <f t="shared" si="44"/>
        <v>0</v>
      </c>
      <c r="I999" s="607">
        <v>43082</v>
      </c>
      <c r="J999" s="606" t="s">
        <v>1851</v>
      </c>
      <c r="K999" s="557">
        <v>1000</v>
      </c>
      <c r="L999" s="605">
        <v>43082</v>
      </c>
      <c r="M999" s="604">
        <v>39120</v>
      </c>
      <c r="N999" s="603">
        <f t="shared" si="45"/>
        <v>39120</v>
      </c>
      <c r="O999" s="602" t="s">
        <v>587</v>
      </c>
      <c r="P999" s="602" t="s">
        <v>612</v>
      </c>
      <c r="Q999" s="602" t="s">
        <v>1852</v>
      </c>
      <c r="R999" s="377" t="s">
        <v>908</v>
      </c>
      <c r="S999" s="602" t="s">
        <v>422</v>
      </c>
      <c r="T999" s="602" t="s">
        <v>423</v>
      </c>
      <c r="U999" s="600"/>
      <c r="V999" s="601"/>
      <c r="W999" s="273"/>
    </row>
    <row r="1000" spans="1:23" s="365" customFormat="1" ht="15" hidden="1" customHeight="1">
      <c r="A1000" s="306">
        <v>999</v>
      </c>
      <c r="B1000" s="701" t="s">
        <v>1855</v>
      </c>
      <c r="C1000" s="610"/>
      <c r="D1000" s="601" t="s">
        <v>35</v>
      </c>
      <c r="E1000" s="6" t="s">
        <v>50</v>
      </c>
      <c r="F1000" s="609">
        <v>25</v>
      </c>
      <c r="G1000" s="608">
        <v>25</v>
      </c>
      <c r="H1000" s="608">
        <f t="shared" si="44"/>
        <v>0</v>
      </c>
      <c r="I1000" s="607">
        <v>43083</v>
      </c>
      <c r="J1000" s="606" t="s">
        <v>1856</v>
      </c>
      <c r="K1000" s="557">
        <v>988</v>
      </c>
      <c r="L1000" s="605">
        <v>43075</v>
      </c>
      <c r="M1000" s="604">
        <v>2576</v>
      </c>
      <c r="N1000" s="603">
        <f t="shared" si="45"/>
        <v>64400</v>
      </c>
      <c r="O1000" s="602" t="s">
        <v>587</v>
      </c>
      <c r="P1000" s="602" t="s">
        <v>1857</v>
      </c>
      <c r="Q1000" s="602" t="s">
        <v>1858</v>
      </c>
      <c r="R1000" s="377" t="s">
        <v>908</v>
      </c>
      <c r="S1000" s="602" t="s">
        <v>422</v>
      </c>
      <c r="T1000" s="602" t="s">
        <v>423</v>
      </c>
      <c r="U1000" s="600"/>
      <c r="V1000" s="601"/>
      <c r="W1000" s="273"/>
    </row>
    <row r="1001" spans="1:23" s="365" customFormat="1" ht="15" hidden="1" customHeight="1">
      <c r="A1001" s="306">
        <v>1000</v>
      </c>
      <c r="B1001" s="701" t="s">
        <v>1855</v>
      </c>
      <c r="C1001" s="610"/>
      <c r="D1001" s="601" t="s">
        <v>49</v>
      </c>
      <c r="E1001" s="350" t="s">
        <v>48</v>
      </c>
      <c r="F1001" s="609">
        <v>5</v>
      </c>
      <c r="G1001" s="608">
        <v>5</v>
      </c>
      <c r="H1001" s="608">
        <f t="shared" si="44"/>
        <v>0</v>
      </c>
      <c r="I1001" s="607">
        <v>43083</v>
      </c>
      <c r="J1001" s="606" t="s">
        <v>1856</v>
      </c>
      <c r="K1001" s="557">
        <v>988</v>
      </c>
      <c r="L1001" s="605">
        <v>43075</v>
      </c>
      <c r="M1001" s="604">
        <v>8310</v>
      </c>
      <c r="N1001" s="603">
        <f t="shared" si="45"/>
        <v>41550</v>
      </c>
      <c r="O1001" s="602" t="s">
        <v>587</v>
      </c>
      <c r="P1001" s="602" t="s">
        <v>1857</v>
      </c>
      <c r="Q1001" s="602" t="s">
        <v>1858</v>
      </c>
      <c r="R1001" s="377" t="s">
        <v>908</v>
      </c>
      <c r="S1001" s="602" t="s">
        <v>422</v>
      </c>
      <c r="T1001" s="602" t="s">
        <v>423</v>
      </c>
      <c r="U1001" s="600"/>
      <c r="V1001" s="601"/>
    </row>
    <row r="1002" spans="1:23" s="365" customFormat="1" ht="15" hidden="1" customHeight="1">
      <c r="A1002" s="306">
        <v>1001</v>
      </c>
      <c r="B1002" s="701" t="s">
        <v>1855</v>
      </c>
      <c r="C1002" s="610"/>
      <c r="D1002" s="601" t="s">
        <v>29</v>
      </c>
      <c r="E1002" s="187" t="s">
        <v>28</v>
      </c>
      <c r="F1002" s="609">
        <v>30</v>
      </c>
      <c r="G1002" s="608">
        <v>30</v>
      </c>
      <c r="H1002" s="608">
        <f t="shared" si="44"/>
        <v>0</v>
      </c>
      <c r="I1002" s="607">
        <v>43083</v>
      </c>
      <c r="J1002" s="606" t="s">
        <v>1856</v>
      </c>
      <c r="K1002" s="557">
        <v>988</v>
      </c>
      <c r="L1002" s="605">
        <v>43075</v>
      </c>
      <c r="M1002" s="604">
        <v>440</v>
      </c>
      <c r="N1002" s="603">
        <f t="shared" si="45"/>
        <v>13200</v>
      </c>
      <c r="O1002" s="602" t="s">
        <v>587</v>
      </c>
      <c r="P1002" s="602" t="s">
        <v>1857</v>
      </c>
      <c r="Q1002" s="602" t="s">
        <v>1858</v>
      </c>
      <c r="R1002" s="377" t="s">
        <v>908</v>
      </c>
      <c r="S1002" s="602" t="s">
        <v>422</v>
      </c>
      <c r="T1002" s="602" t="s">
        <v>423</v>
      </c>
      <c r="U1002" s="600"/>
      <c r="V1002" s="601"/>
    </row>
    <row r="1003" spans="1:23" s="365" customFormat="1" ht="15" hidden="1" customHeight="1">
      <c r="A1003" s="306">
        <v>1002</v>
      </c>
      <c r="B1003" s="611" t="s">
        <v>1853</v>
      </c>
      <c r="C1003" s="610"/>
      <c r="D1003" s="601" t="s">
        <v>75</v>
      </c>
      <c r="E1003" s="418" t="s">
        <v>74</v>
      </c>
      <c r="F1003" s="609">
        <v>1</v>
      </c>
      <c r="G1003" s="608">
        <v>1</v>
      </c>
      <c r="H1003" s="608">
        <f t="shared" si="44"/>
        <v>0</v>
      </c>
      <c r="I1003" s="607">
        <v>43087</v>
      </c>
      <c r="J1003" s="606" t="s">
        <v>1854</v>
      </c>
      <c r="K1003" s="557">
        <v>10001</v>
      </c>
      <c r="L1003" s="605">
        <v>43082</v>
      </c>
      <c r="M1003" s="604">
        <v>32600</v>
      </c>
      <c r="N1003" s="603">
        <f t="shared" si="45"/>
        <v>32600</v>
      </c>
      <c r="O1003" s="602" t="s">
        <v>587</v>
      </c>
      <c r="P1003" s="602" t="s">
        <v>1797</v>
      </c>
      <c r="Q1003" s="602" t="s">
        <v>1889</v>
      </c>
      <c r="R1003" s="377" t="s">
        <v>908</v>
      </c>
      <c r="S1003" s="602" t="s">
        <v>422</v>
      </c>
      <c r="T1003" s="602" t="s">
        <v>423</v>
      </c>
      <c r="U1003" s="600"/>
      <c r="V1003" s="601"/>
    </row>
    <row r="1004" spans="1:23" s="365" customFormat="1" ht="15" hidden="1" customHeight="1">
      <c r="A1004" s="306">
        <v>1003</v>
      </c>
      <c r="B1004" s="611" t="s">
        <v>1853</v>
      </c>
      <c r="C1004" s="610"/>
      <c r="D1004" s="601" t="s">
        <v>73</v>
      </c>
      <c r="E1004" s="289" t="s">
        <v>72</v>
      </c>
      <c r="F1004" s="609">
        <v>1</v>
      </c>
      <c r="G1004" s="608">
        <v>1</v>
      </c>
      <c r="H1004" s="608">
        <f t="shared" si="44"/>
        <v>0</v>
      </c>
      <c r="I1004" s="607">
        <v>43087</v>
      </c>
      <c r="J1004" s="606" t="s">
        <v>1854</v>
      </c>
      <c r="K1004" s="557">
        <v>10001</v>
      </c>
      <c r="L1004" s="605">
        <v>43082</v>
      </c>
      <c r="M1004" s="604">
        <v>21650</v>
      </c>
      <c r="N1004" s="603">
        <f t="shared" si="45"/>
        <v>21650</v>
      </c>
      <c r="O1004" s="602" t="s">
        <v>587</v>
      </c>
      <c r="P1004" s="602" t="s">
        <v>1797</v>
      </c>
      <c r="Q1004" s="602"/>
      <c r="R1004" s="377" t="s">
        <v>908</v>
      </c>
      <c r="S1004" s="602" t="s">
        <v>422</v>
      </c>
      <c r="T1004" s="602" t="s">
        <v>423</v>
      </c>
      <c r="U1004" s="600"/>
      <c r="V1004" s="601"/>
    </row>
    <row r="1005" spans="1:23" s="365" customFormat="1" ht="15" hidden="1" customHeight="1">
      <c r="A1005" s="306">
        <v>1004</v>
      </c>
      <c r="B1005" s="611" t="s">
        <v>1853</v>
      </c>
      <c r="C1005" s="610"/>
      <c r="D1005" s="601" t="s">
        <v>49</v>
      </c>
      <c r="E1005" s="350" t="s">
        <v>48</v>
      </c>
      <c r="F1005" s="609">
        <v>1</v>
      </c>
      <c r="G1005" s="608">
        <v>1</v>
      </c>
      <c r="H1005" s="608">
        <f t="shared" si="44"/>
        <v>0</v>
      </c>
      <c r="I1005" s="607">
        <v>43087</v>
      </c>
      <c r="J1005" s="606" t="s">
        <v>1854</v>
      </c>
      <c r="K1005" s="557">
        <v>10001</v>
      </c>
      <c r="L1005" s="605">
        <v>43082</v>
      </c>
      <c r="M1005" s="604">
        <v>8450</v>
      </c>
      <c r="N1005" s="603">
        <f t="shared" si="45"/>
        <v>8450</v>
      </c>
      <c r="O1005" s="602" t="s">
        <v>587</v>
      </c>
      <c r="P1005" s="602" t="s">
        <v>1797</v>
      </c>
      <c r="Q1005" s="602"/>
      <c r="R1005" s="377" t="s">
        <v>908</v>
      </c>
      <c r="S1005" s="602" t="s">
        <v>422</v>
      </c>
      <c r="T1005" s="602" t="s">
        <v>423</v>
      </c>
      <c r="U1005" s="600"/>
      <c r="V1005" s="601"/>
    </row>
    <row r="1006" spans="1:23" s="365" customFormat="1" ht="15" hidden="1" customHeight="1">
      <c r="A1006" s="306">
        <v>1005</v>
      </c>
      <c r="B1006" s="611" t="s">
        <v>1853</v>
      </c>
      <c r="C1006" s="610"/>
      <c r="D1006" s="601" t="s">
        <v>35</v>
      </c>
      <c r="E1006" s="6" t="s">
        <v>50</v>
      </c>
      <c r="F1006" s="609">
        <v>1</v>
      </c>
      <c r="G1006" s="608">
        <v>1</v>
      </c>
      <c r="H1006" s="608">
        <f t="shared" si="44"/>
        <v>0</v>
      </c>
      <c r="I1006" s="607">
        <v>43087</v>
      </c>
      <c r="J1006" s="606" t="s">
        <v>1854</v>
      </c>
      <c r="K1006" s="557">
        <v>10001</v>
      </c>
      <c r="L1006" s="605">
        <v>43082</v>
      </c>
      <c r="M1006" s="604">
        <v>2600</v>
      </c>
      <c r="N1006" s="603">
        <f t="shared" si="45"/>
        <v>2600</v>
      </c>
      <c r="O1006" s="602" t="s">
        <v>587</v>
      </c>
      <c r="P1006" s="602" t="s">
        <v>1797</v>
      </c>
      <c r="Q1006" s="602"/>
      <c r="R1006" s="377" t="s">
        <v>908</v>
      </c>
      <c r="S1006" s="602" t="s">
        <v>422</v>
      </c>
      <c r="T1006" s="602" t="s">
        <v>423</v>
      </c>
      <c r="U1006" s="600"/>
      <c r="V1006" s="601"/>
      <c r="W1006" s="273"/>
    </row>
    <row r="1007" spans="1:23" s="135" customFormat="1" ht="15" hidden="1" customHeight="1">
      <c r="A1007" s="306">
        <v>1006</v>
      </c>
      <c r="B1007" s="162" t="s">
        <v>1867</v>
      </c>
      <c r="C1007" s="161"/>
      <c r="D1007" s="601" t="s">
        <v>1859</v>
      </c>
      <c r="E1007" s="331" t="s">
        <v>1860</v>
      </c>
      <c r="F1007" s="373">
        <v>1</v>
      </c>
      <c r="G1007" s="372">
        <v>1</v>
      </c>
      <c r="H1007" s="372">
        <f t="shared" si="44"/>
        <v>0</v>
      </c>
      <c r="I1007" s="160">
        <v>43086</v>
      </c>
      <c r="J1007" s="159" t="s">
        <v>1073</v>
      </c>
      <c r="K1007" s="240">
        <v>1003</v>
      </c>
      <c r="L1007" s="158">
        <v>43086</v>
      </c>
      <c r="M1007" s="157">
        <v>25233.15</v>
      </c>
      <c r="N1007" s="603">
        <f t="shared" si="45"/>
        <v>25233.15</v>
      </c>
      <c r="O1007" s="189" t="s">
        <v>587</v>
      </c>
      <c r="P1007" s="154" t="s">
        <v>844</v>
      </c>
      <c r="Q1007" s="602" t="s">
        <v>1868</v>
      </c>
      <c r="R1007" s="244" t="s">
        <v>908</v>
      </c>
      <c r="S1007" s="413" t="s">
        <v>422</v>
      </c>
      <c r="T1007" s="154" t="s">
        <v>423</v>
      </c>
      <c r="U1007" s="67"/>
      <c r="V1007" s="153"/>
    </row>
    <row r="1008" spans="1:23" s="135" customFormat="1" ht="15" hidden="1" customHeight="1">
      <c r="A1008" s="306">
        <v>1007</v>
      </c>
      <c r="B1008" s="162" t="s">
        <v>1869</v>
      </c>
      <c r="C1008" s="161"/>
      <c r="D1008" s="601" t="s">
        <v>283</v>
      </c>
      <c r="E1008" s="67" t="s">
        <v>282</v>
      </c>
      <c r="F1008" s="373">
        <v>4</v>
      </c>
      <c r="G1008" s="372">
        <v>4</v>
      </c>
      <c r="H1008" s="372">
        <f t="shared" si="44"/>
        <v>0</v>
      </c>
      <c r="I1008" s="607">
        <v>43086</v>
      </c>
      <c r="J1008" s="159" t="s">
        <v>584</v>
      </c>
      <c r="K1008" s="240">
        <v>1002</v>
      </c>
      <c r="L1008" s="605">
        <v>43086</v>
      </c>
      <c r="M1008" s="157">
        <v>860</v>
      </c>
      <c r="N1008" s="603">
        <f t="shared" si="45"/>
        <v>3440</v>
      </c>
      <c r="O1008" s="189" t="s">
        <v>587</v>
      </c>
      <c r="P1008" s="602" t="s">
        <v>844</v>
      </c>
      <c r="Q1008" s="602" t="s">
        <v>1870</v>
      </c>
      <c r="R1008" s="377" t="s">
        <v>908</v>
      </c>
      <c r="S1008" s="602" t="s">
        <v>422</v>
      </c>
      <c r="T1008" s="602" t="s">
        <v>423</v>
      </c>
      <c r="U1008" s="67"/>
      <c r="V1008" s="153"/>
    </row>
    <row r="1009" spans="1:23" s="135" customFormat="1" ht="15" hidden="1" customHeight="1">
      <c r="A1009" s="306">
        <v>1008</v>
      </c>
      <c r="B1009" s="601">
        <v>234472</v>
      </c>
      <c r="C1009" s="161"/>
      <c r="D1009" s="601" t="s">
        <v>1872</v>
      </c>
      <c r="E1009" s="67" t="s">
        <v>1873</v>
      </c>
      <c r="F1009" s="373">
        <v>40</v>
      </c>
      <c r="G1009" s="372">
        <v>40</v>
      </c>
      <c r="H1009" s="372">
        <f t="shared" si="44"/>
        <v>0</v>
      </c>
      <c r="I1009" s="607">
        <v>43086</v>
      </c>
      <c r="J1009" s="159" t="s">
        <v>1874</v>
      </c>
      <c r="K1009" s="240">
        <v>1007</v>
      </c>
      <c r="L1009" s="158">
        <v>43086</v>
      </c>
      <c r="M1009" s="157">
        <v>648</v>
      </c>
      <c r="N1009" s="603">
        <f t="shared" si="45"/>
        <v>25920</v>
      </c>
      <c r="O1009" s="189" t="s">
        <v>587</v>
      </c>
      <c r="P1009" s="154" t="s">
        <v>1857</v>
      </c>
      <c r="Q1009" s="154" t="s">
        <v>1875</v>
      </c>
      <c r="R1009" s="377" t="s">
        <v>908</v>
      </c>
      <c r="S1009" s="602" t="s">
        <v>422</v>
      </c>
      <c r="T1009" s="602" t="s">
        <v>423</v>
      </c>
      <c r="U1009" s="67"/>
      <c r="V1009" s="153"/>
    </row>
    <row r="1010" spans="1:23" s="365" customFormat="1" ht="15" hidden="1" customHeight="1">
      <c r="A1010" s="306">
        <v>1009</v>
      </c>
      <c r="B1010" s="611"/>
      <c r="C1010" s="610"/>
      <c r="D1010" s="601" t="s">
        <v>111</v>
      </c>
      <c r="E1010" s="601" t="s">
        <v>110</v>
      </c>
      <c r="F1010" s="609">
        <v>1</v>
      </c>
      <c r="G1010" s="608">
        <v>1</v>
      </c>
      <c r="H1010" s="608">
        <f t="shared" si="44"/>
        <v>0</v>
      </c>
      <c r="I1010" s="607">
        <v>43087</v>
      </c>
      <c r="J1010" s="606" t="s">
        <v>1876</v>
      </c>
      <c r="K1010" s="557">
        <v>1004</v>
      </c>
      <c r="L1010" s="605">
        <v>43086</v>
      </c>
      <c r="M1010" s="604">
        <v>50910</v>
      </c>
      <c r="N1010" s="603">
        <f t="shared" si="45"/>
        <v>50910</v>
      </c>
      <c r="O1010" s="602" t="s">
        <v>587</v>
      </c>
      <c r="P1010" s="602" t="s">
        <v>1857</v>
      </c>
      <c r="Q1010" s="602" t="s">
        <v>1882</v>
      </c>
      <c r="R1010" s="377" t="s">
        <v>908</v>
      </c>
      <c r="S1010" s="602" t="s">
        <v>422</v>
      </c>
      <c r="T1010" s="602" t="s">
        <v>423</v>
      </c>
      <c r="U1010" s="600"/>
      <c r="V1010" s="601"/>
    </row>
    <row r="1011" spans="1:23" s="365" customFormat="1" ht="15" hidden="1" customHeight="1">
      <c r="A1011" s="306">
        <v>1010</v>
      </c>
      <c r="B1011" s="611"/>
      <c r="C1011" s="610"/>
      <c r="D1011" s="601" t="s">
        <v>1345</v>
      </c>
      <c r="E1011" s="354" t="s">
        <v>1344</v>
      </c>
      <c r="F1011" s="609">
        <v>1</v>
      </c>
      <c r="G1011" s="608">
        <v>1</v>
      </c>
      <c r="H1011" s="608">
        <f t="shared" si="44"/>
        <v>0</v>
      </c>
      <c r="I1011" s="607">
        <v>43087</v>
      </c>
      <c r="J1011" s="606" t="s">
        <v>1876</v>
      </c>
      <c r="K1011" s="557">
        <v>1004</v>
      </c>
      <c r="L1011" s="605">
        <v>43086</v>
      </c>
      <c r="M1011" s="604">
        <v>34090</v>
      </c>
      <c r="N1011" s="603">
        <f t="shared" si="45"/>
        <v>34090</v>
      </c>
      <c r="O1011" s="602" t="s">
        <v>587</v>
      </c>
      <c r="P1011" s="602" t="s">
        <v>1857</v>
      </c>
      <c r="Q1011" s="602" t="s">
        <v>1882</v>
      </c>
      <c r="R1011" s="377" t="s">
        <v>908</v>
      </c>
      <c r="S1011" s="602" t="s">
        <v>422</v>
      </c>
      <c r="T1011" s="602" t="s">
        <v>423</v>
      </c>
      <c r="U1011" s="600"/>
      <c r="V1011" s="601"/>
    </row>
    <row r="1012" spans="1:23" s="135" customFormat="1" ht="15" hidden="1" customHeight="1">
      <c r="A1012" s="306">
        <v>1011</v>
      </c>
      <c r="B1012" s="162"/>
      <c r="C1012" s="161"/>
      <c r="D1012" s="601" t="s">
        <v>41</v>
      </c>
      <c r="E1012" s="6" t="s">
        <v>40</v>
      </c>
      <c r="F1012" s="373">
        <v>1</v>
      </c>
      <c r="G1012" s="372">
        <v>1</v>
      </c>
      <c r="H1012" s="372">
        <f t="shared" si="44"/>
        <v>0</v>
      </c>
      <c r="I1012" s="160">
        <v>43087</v>
      </c>
      <c r="J1012" s="159" t="s">
        <v>1877</v>
      </c>
      <c r="K1012" s="240">
        <v>1009</v>
      </c>
      <c r="L1012" s="158">
        <v>43087</v>
      </c>
      <c r="M1012" s="157">
        <v>12235</v>
      </c>
      <c r="N1012" s="156">
        <f t="shared" si="45"/>
        <v>12235</v>
      </c>
      <c r="O1012" s="189" t="s">
        <v>587</v>
      </c>
      <c r="P1012" s="154" t="s">
        <v>844</v>
      </c>
      <c r="Q1012" s="154" t="s">
        <v>1888</v>
      </c>
      <c r="R1012" s="244" t="s">
        <v>908</v>
      </c>
      <c r="S1012" s="413" t="s">
        <v>422</v>
      </c>
      <c r="T1012" s="154" t="s">
        <v>423</v>
      </c>
      <c r="U1012" s="67"/>
      <c r="V1012" s="153"/>
      <c r="W1012" s="276"/>
    </row>
    <row r="1013" spans="1:23" s="135" customFormat="1" ht="15" hidden="1" customHeight="1">
      <c r="A1013" s="306">
        <v>1012</v>
      </c>
      <c r="B1013" s="162"/>
      <c r="C1013" s="161"/>
      <c r="D1013" s="601" t="s">
        <v>1165</v>
      </c>
      <c r="E1013" s="331" t="s">
        <v>1455</v>
      </c>
      <c r="F1013" s="373">
        <v>1</v>
      </c>
      <c r="G1013" s="372">
        <v>1</v>
      </c>
      <c r="H1013" s="372">
        <f t="shared" si="44"/>
        <v>0</v>
      </c>
      <c r="I1013" s="160">
        <v>43087</v>
      </c>
      <c r="J1013" s="159" t="s">
        <v>1878</v>
      </c>
      <c r="K1013" s="240">
        <v>1010</v>
      </c>
      <c r="L1013" s="158">
        <v>43087</v>
      </c>
      <c r="M1013" s="157">
        <v>2679</v>
      </c>
      <c r="N1013" s="156">
        <f t="shared" si="45"/>
        <v>2679</v>
      </c>
      <c r="O1013" s="189" t="s">
        <v>587</v>
      </c>
      <c r="P1013" s="154" t="s">
        <v>844</v>
      </c>
      <c r="Q1013" s="154" t="s">
        <v>1879</v>
      </c>
      <c r="R1013" s="244" t="s">
        <v>908</v>
      </c>
      <c r="S1013" s="413" t="s">
        <v>422</v>
      </c>
      <c r="T1013" s="154" t="s">
        <v>423</v>
      </c>
      <c r="U1013" s="67"/>
      <c r="V1013" s="153"/>
      <c r="W1013" s="276"/>
    </row>
    <row r="1014" spans="1:23" s="135" customFormat="1" ht="15" hidden="1" customHeight="1">
      <c r="A1014" s="306">
        <v>1013</v>
      </c>
      <c r="B1014" s="162">
        <v>4501543299</v>
      </c>
      <c r="C1014" s="161"/>
      <c r="D1014" s="601" t="s">
        <v>1165</v>
      </c>
      <c r="E1014" s="331" t="s">
        <v>1455</v>
      </c>
      <c r="F1014" s="373">
        <v>2</v>
      </c>
      <c r="G1014" s="372">
        <v>2</v>
      </c>
      <c r="H1014" s="372">
        <f t="shared" si="44"/>
        <v>0</v>
      </c>
      <c r="I1014" s="607">
        <v>43087</v>
      </c>
      <c r="J1014" s="159" t="s">
        <v>1880</v>
      </c>
      <c r="K1014" s="240">
        <v>1008</v>
      </c>
      <c r="L1014" s="158">
        <v>43086</v>
      </c>
      <c r="M1014" s="157">
        <v>2520</v>
      </c>
      <c r="N1014" s="156">
        <f t="shared" si="45"/>
        <v>5040</v>
      </c>
      <c r="O1014" s="189" t="s">
        <v>587</v>
      </c>
      <c r="P1014" s="602" t="s">
        <v>995</v>
      </c>
      <c r="Q1014" s="154" t="s">
        <v>1881</v>
      </c>
      <c r="R1014" s="377" t="s">
        <v>908</v>
      </c>
      <c r="S1014" s="602" t="s">
        <v>422</v>
      </c>
      <c r="T1014" s="602" t="s">
        <v>423</v>
      </c>
      <c r="U1014" s="67"/>
      <c r="V1014" s="153"/>
    </row>
    <row r="1015" spans="1:23" s="135" customFormat="1" ht="15" hidden="1" customHeight="1">
      <c r="A1015" s="306">
        <v>1014</v>
      </c>
      <c r="B1015" s="162"/>
      <c r="C1015" s="161"/>
      <c r="D1015" s="601" t="s">
        <v>224</v>
      </c>
      <c r="E1015" s="120" t="s">
        <v>941</v>
      </c>
      <c r="F1015" s="373">
        <v>4</v>
      </c>
      <c r="G1015" s="372">
        <v>4</v>
      </c>
      <c r="H1015" s="372">
        <f t="shared" si="44"/>
        <v>0</v>
      </c>
      <c r="I1015" s="160">
        <v>43087</v>
      </c>
      <c r="J1015" s="159" t="s">
        <v>1883</v>
      </c>
      <c r="K1015" s="240">
        <v>1006</v>
      </c>
      <c r="L1015" s="158">
        <v>43086</v>
      </c>
      <c r="M1015" s="157">
        <v>120</v>
      </c>
      <c r="N1015" s="156">
        <f t="shared" si="45"/>
        <v>480</v>
      </c>
      <c r="O1015" s="189" t="s">
        <v>587</v>
      </c>
      <c r="P1015" s="154" t="s">
        <v>745</v>
      </c>
      <c r="Q1015" s="154" t="s">
        <v>555</v>
      </c>
      <c r="R1015" s="244" t="s">
        <v>908</v>
      </c>
      <c r="S1015" s="413" t="s">
        <v>422</v>
      </c>
      <c r="T1015" s="154" t="s">
        <v>423</v>
      </c>
      <c r="U1015" s="67"/>
      <c r="V1015" s="153"/>
    </row>
    <row r="1016" spans="1:23" s="365" customFormat="1" ht="15" hidden="1" customHeight="1">
      <c r="A1016" s="306">
        <v>1015</v>
      </c>
      <c r="B1016" s="611" t="s">
        <v>1798</v>
      </c>
      <c r="C1016" s="610" t="s">
        <v>1807</v>
      </c>
      <c r="D1016" s="601" t="s">
        <v>1861</v>
      </c>
      <c r="E1016" s="354" t="s">
        <v>1862</v>
      </c>
      <c r="F1016" s="609">
        <v>6</v>
      </c>
      <c r="G1016" s="608">
        <v>6</v>
      </c>
      <c r="H1016" s="608">
        <f t="shared" si="44"/>
        <v>0</v>
      </c>
      <c r="I1016" s="607">
        <v>43088</v>
      </c>
      <c r="J1016" s="606" t="s">
        <v>1799</v>
      </c>
      <c r="K1016" s="557">
        <v>973</v>
      </c>
      <c r="L1016" s="605">
        <v>43067</v>
      </c>
      <c r="M1016" s="604">
        <v>23065.18</v>
      </c>
      <c r="N1016" s="603">
        <f t="shared" si="45"/>
        <v>138391.08000000002</v>
      </c>
      <c r="O1016" s="602" t="s">
        <v>587</v>
      </c>
      <c r="P1016" s="602" t="s">
        <v>1597</v>
      </c>
      <c r="Q1016" s="602" t="s">
        <v>1803</v>
      </c>
      <c r="R1016" s="377" t="s">
        <v>908</v>
      </c>
      <c r="S1016" s="602" t="s">
        <v>422</v>
      </c>
      <c r="T1016" s="602" t="s">
        <v>423</v>
      </c>
      <c r="U1016" s="600"/>
      <c r="V1016" s="601"/>
    </row>
    <row r="1017" spans="1:23" s="365" customFormat="1" ht="15" hidden="1" customHeight="1">
      <c r="A1017" s="306">
        <v>1016</v>
      </c>
      <c r="B1017" s="611"/>
      <c r="C1017" s="610" t="s">
        <v>1807</v>
      </c>
      <c r="D1017" s="601" t="s">
        <v>1863</v>
      </c>
      <c r="E1017" s="600" t="s">
        <v>1864</v>
      </c>
      <c r="F1017" s="609">
        <v>12</v>
      </c>
      <c r="G1017" s="608">
        <v>12</v>
      </c>
      <c r="H1017" s="608">
        <f t="shared" si="44"/>
        <v>0</v>
      </c>
      <c r="I1017" s="607">
        <v>43088</v>
      </c>
      <c r="J1017" s="606" t="s">
        <v>1799</v>
      </c>
      <c r="K1017" s="557">
        <v>977</v>
      </c>
      <c r="L1017" s="605">
        <v>43068</v>
      </c>
      <c r="M1017" s="604">
        <f>57044.43+4473.33</f>
        <v>61517.760000000002</v>
      </c>
      <c r="N1017" s="603">
        <f t="shared" si="45"/>
        <v>738213.12</v>
      </c>
      <c r="O1017" s="602" t="s">
        <v>587</v>
      </c>
      <c r="P1017" s="602" t="s">
        <v>1597</v>
      </c>
      <c r="Q1017" s="602" t="s">
        <v>1803</v>
      </c>
      <c r="R1017" s="377" t="s">
        <v>908</v>
      </c>
      <c r="S1017" s="602" t="s">
        <v>422</v>
      </c>
      <c r="T1017" s="602" t="s">
        <v>423</v>
      </c>
      <c r="U1017" s="600"/>
      <c r="V1017" s="601"/>
    </row>
    <row r="1018" spans="1:23" s="365" customFormat="1" ht="15" hidden="1" customHeight="1">
      <c r="A1018" s="306">
        <v>1017</v>
      </c>
      <c r="B1018" s="611">
        <v>193</v>
      </c>
      <c r="C1018" s="610"/>
      <c r="D1018" s="601" t="s">
        <v>73</v>
      </c>
      <c r="E1018" s="326" t="s">
        <v>72</v>
      </c>
      <c r="F1018" s="609">
        <v>1</v>
      </c>
      <c r="G1018" s="608">
        <v>1</v>
      </c>
      <c r="H1018" s="608">
        <f t="shared" si="44"/>
        <v>0</v>
      </c>
      <c r="I1018" s="607">
        <v>43088</v>
      </c>
      <c r="J1018" s="606" t="s">
        <v>1851</v>
      </c>
      <c r="K1018" s="557">
        <v>1011</v>
      </c>
      <c r="L1018" s="605">
        <v>43088</v>
      </c>
      <c r="M1018" s="604">
        <v>24240</v>
      </c>
      <c r="N1018" s="603">
        <f t="shared" si="45"/>
        <v>24240</v>
      </c>
      <c r="O1018" s="602" t="s">
        <v>587</v>
      </c>
      <c r="P1018" s="602" t="s">
        <v>1857</v>
      </c>
      <c r="Q1018" s="602" t="s">
        <v>1887</v>
      </c>
      <c r="R1018" s="377" t="s">
        <v>908</v>
      </c>
      <c r="S1018" s="602" t="s">
        <v>422</v>
      </c>
      <c r="T1018" s="602" t="s">
        <v>423</v>
      </c>
      <c r="U1018" s="600"/>
      <c r="V1018" s="601"/>
      <c r="W1018" s="273"/>
    </row>
    <row r="1019" spans="1:23" s="135" customFormat="1" ht="15" hidden="1" customHeight="1">
      <c r="A1019" s="306">
        <v>1018</v>
      </c>
      <c r="B1019" s="162"/>
      <c r="C1019" s="161"/>
      <c r="D1019" s="601" t="s">
        <v>54</v>
      </c>
      <c r="E1019" s="350" t="s">
        <v>368</v>
      </c>
      <c r="F1019" s="373">
        <v>1</v>
      </c>
      <c r="G1019" s="372">
        <v>1</v>
      </c>
      <c r="H1019" s="608">
        <f t="shared" si="44"/>
        <v>0</v>
      </c>
      <c r="I1019" s="160">
        <v>43089</v>
      </c>
      <c r="J1019" s="159" t="s">
        <v>1885</v>
      </c>
      <c r="K1019" s="240">
        <v>1012</v>
      </c>
      <c r="L1019" s="605">
        <v>43088</v>
      </c>
      <c r="M1019" s="157">
        <v>4110</v>
      </c>
      <c r="N1019" s="156">
        <f t="shared" si="45"/>
        <v>4110</v>
      </c>
      <c r="O1019" s="602" t="s">
        <v>587</v>
      </c>
      <c r="P1019" s="154" t="s">
        <v>1128</v>
      </c>
      <c r="Q1019" s="154" t="s">
        <v>1886</v>
      </c>
      <c r="R1019" s="377" t="s">
        <v>908</v>
      </c>
      <c r="S1019" s="602" t="s">
        <v>422</v>
      </c>
      <c r="T1019" s="602" t="s">
        <v>423</v>
      </c>
      <c r="U1019" s="67"/>
      <c r="V1019" s="153"/>
      <c r="W1019" s="276"/>
    </row>
    <row r="1020" spans="1:23" s="365" customFormat="1" ht="15" hidden="1" customHeight="1">
      <c r="A1020" s="306"/>
      <c r="B1020" s="611">
        <v>1089</v>
      </c>
      <c r="C1020" s="610"/>
      <c r="D1020" s="601" t="s">
        <v>184</v>
      </c>
      <c r="E1020" s="350" t="s">
        <v>1899</v>
      </c>
      <c r="F1020" s="609">
        <v>1</v>
      </c>
      <c r="G1020" s="608">
        <v>1</v>
      </c>
      <c r="H1020" s="608">
        <f t="shared" si="44"/>
        <v>0</v>
      </c>
      <c r="I1020" s="607">
        <v>43090</v>
      </c>
      <c r="J1020" s="606" t="s">
        <v>1900</v>
      </c>
      <c r="K1020" s="557">
        <v>953</v>
      </c>
      <c r="L1020" s="605">
        <v>43058</v>
      </c>
      <c r="M1020" s="604">
        <v>365</v>
      </c>
      <c r="N1020" s="603">
        <f t="shared" si="45"/>
        <v>365</v>
      </c>
      <c r="O1020" s="602" t="s">
        <v>587</v>
      </c>
      <c r="P1020" s="602" t="s">
        <v>1857</v>
      </c>
      <c r="Q1020" s="602" t="s">
        <v>1901</v>
      </c>
      <c r="R1020" s="377" t="s">
        <v>908</v>
      </c>
      <c r="S1020" s="602" t="s">
        <v>422</v>
      </c>
      <c r="T1020" s="602" t="s">
        <v>423</v>
      </c>
      <c r="U1020" s="600"/>
      <c r="V1020" s="601"/>
      <c r="W1020" s="273"/>
    </row>
    <row r="1021" spans="1:23" s="365" customFormat="1" ht="15" hidden="1" customHeight="1">
      <c r="A1021" s="306">
        <v>1019</v>
      </c>
      <c r="B1021" s="611">
        <v>1089</v>
      </c>
      <c r="C1021" s="610"/>
      <c r="D1021" s="601" t="s">
        <v>1132</v>
      </c>
      <c r="E1021" s="418" t="s">
        <v>1136</v>
      </c>
      <c r="F1021" s="609">
        <v>1</v>
      </c>
      <c r="G1021" s="608">
        <v>1</v>
      </c>
      <c r="H1021" s="608">
        <f t="shared" si="44"/>
        <v>0</v>
      </c>
      <c r="I1021" s="607">
        <v>43090</v>
      </c>
      <c r="J1021" s="606" t="s">
        <v>1900</v>
      </c>
      <c r="K1021" s="557">
        <v>953</v>
      </c>
      <c r="L1021" s="605">
        <v>43058</v>
      </c>
      <c r="M1021" s="604">
        <v>2022</v>
      </c>
      <c r="N1021" s="603">
        <f t="shared" si="45"/>
        <v>2022</v>
      </c>
      <c r="O1021" s="602" t="s">
        <v>587</v>
      </c>
      <c r="P1021" s="602" t="s">
        <v>1857</v>
      </c>
      <c r="Q1021" s="602"/>
      <c r="R1021" s="377" t="s">
        <v>908</v>
      </c>
      <c r="S1021" s="602" t="s">
        <v>422</v>
      </c>
      <c r="T1021" s="602" t="s">
        <v>423</v>
      </c>
      <c r="U1021" s="600"/>
      <c r="V1021" s="601"/>
      <c r="W1021" s="273"/>
    </row>
    <row r="1022" spans="1:23" s="365" customFormat="1" ht="15" hidden="1" customHeight="1">
      <c r="A1022" s="306">
        <v>1020</v>
      </c>
      <c r="B1022" s="611">
        <v>1089</v>
      </c>
      <c r="C1022" s="610"/>
      <c r="D1022" s="601" t="s">
        <v>188</v>
      </c>
      <c r="E1022" s="418" t="s">
        <v>1136</v>
      </c>
      <c r="F1022" s="609">
        <v>2</v>
      </c>
      <c r="G1022" s="608">
        <v>2</v>
      </c>
      <c r="H1022" s="608">
        <f t="shared" si="44"/>
        <v>0</v>
      </c>
      <c r="I1022" s="607">
        <v>43090</v>
      </c>
      <c r="J1022" s="606" t="s">
        <v>1900</v>
      </c>
      <c r="K1022" s="557">
        <v>953</v>
      </c>
      <c r="L1022" s="605">
        <v>43058</v>
      </c>
      <c r="M1022" s="604">
        <v>5653</v>
      </c>
      <c r="N1022" s="603">
        <f t="shared" si="45"/>
        <v>11306</v>
      </c>
      <c r="O1022" s="602" t="s">
        <v>587</v>
      </c>
      <c r="P1022" s="602" t="s">
        <v>1857</v>
      </c>
      <c r="Q1022" s="602"/>
      <c r="R1022" s="377" t="s">
        <v>908</v>
      </c>
      <c r="S1022" s="602" t="s">
        <v>422</v>
      </c>
      <c r="T1022" s="602" t="s">
        <v>423</v>
      </c>
      <c r="U1022" s="600"/>
      <c r="V1022" s="601"/>
    </row>
    <row r="1023" spans="1:23" s="365" customFormat="1" ht="15" hidden="1" customHeight="1">
      <c r="A1023" s="306">
        <v>1021</v>
      </c>
      <c r="B1023" s="611">
        <v>1089</v>
      </c>
      <c r="C1023" s="610"/>
      <c r="D1023" s="601" t="s">
        <v>372</v>
      </c>
      <c r="E1023" s="418" t="s">
        <v>159</v>
      </c>
      <c r="F1023" s="609">
        <v>1</v>
      </c>
      <c r="G1023" s="608">
        <v>1</v>
      </c>
      <c r="H1023" s="608">
        <f t="shared" si="44"/>
        <v>0</v>
      </c>
      <c r="I1023" s="607">
        <v>43090</v>
      </c>
      <c r="J1023" s="606" t="s">
        <v>1900</v>
      </c>
      <c r="K1023" s="557">
        <v>953</v>
      </c>
      <c r="L1023" s="605">
        <v>43058</v>
      </c>
      <c r="M1023" s="604">
        <v>3718</v>
      </c>
      <c r="N1023" s="603">
        <f t="shared" si="45"/>
        <v>3718</v>
      </c>
      <c r="O1023" s="602" t="s">
        <v>587</v>
      </c>
      <c r="P1023" s="602" t="s">
        <v>1857</v>
      </c>
      <c r="Q1023" s="602"/>
      <c r="R1023" s="377" t="s">
        <v>908</v>
      </c>
      <c r="S1023" s="602" t="s">
        <v>422</v>
      </c>
      <c r="T1023" s="602" t="s">
        <v>423</v>
      </c>
      <c r="U1023" s="600"/>
      <c r="V1023" s="601"/>
    </row>
    <row r="1024" spans="1:23" s="365" customFormat="1" ht="15" hidden="1" customHeight="1">
      <c r="A1024" s="306">
        <v>1022</v>
      </c>
      <c r="B1024" s="611"/>
      <c r="C1024" s="610"/>
      <c r="D1024" s="601" t="s">
        <v>1184</v>
      </c>
      <c r="E1024" s="418" t="s">
        <v>1187</v>
      </c>
      <c r="F1024" s="609">
        <v>8</v>
      </c>
      <c r="G1024" s="608">
        <v>8</v>
      </c>
      <c r="H1024" s="608">
        <f t="shared" si="44"/>
        <v>0</v>
      </c>
      <c r="I1024" s="607">
        <v>43090</v>
      </c>
      <c r="J1024" s="606" t="s">
        <v>1662</v>
      </c>
      <c r="K1024" s="557">
        <v>1016</v>
      </c>
      <c r="L1024" s="605">
        <v>43090</v>
      </c>
      <c r="M1024" s="604">
        <v>2250</v>
      </c>
      <c r="N1024" s="603">
        <f t="shared" si="45"/>
        <v>18000</v>
      </c>
      <c r="O1024" s="602" t="s">
        <v>587</v>
      </c>
      <c r="P1024" s="602" t="s">
        <v>844</v>
      </c>
      <c r="Q1024" s="602"/>
      <c r="R1024" s="377" t="s">
        <v>908</v>
      </c>
      <c r="S1024" s="602" t="s">
        <v>422</v>
      </c>
      <c r="T1024" s="602" t="s">
        <v>423</v>
      </c>
      <c r="U1024" s="600"/>
      <c r="V1024" s="601"/>
      <c r="W1024" s="273"/>
    </row>
    <row r="1025" spans="1:23" s="365" customFormat="1" ht="15" hidden="1" customHeight="1">
      <c r="A1025" s="306">
        <v>1023</v>
      </c>
      <c r="B1025" s="611"/>
      <c r="C1025" s="610"/>
      <c r="D1025" s="601" t="s">
        <v>33</v>
      </c>
      <c r="E1025" s="350" t="s">
        <v>32</v>
      </c>
      <c r="F1025" s="609">
        <v>2</v>
      </c>
      <c r="G1025" s="608">
        <v>2</v>
      </c>
      <c r="H1025" s="608">
        <f t="shared" si="44"/>
        <v>0</v>
      </c>
      <c r="I1025" s="607">
        <v>43090</v>
      </c>
      <c r="J1025" s="606" t="s">
        <v>1902</v>
      </c>
      <c r="K1025" s="557">
        <v>1014</v>
      </c>
      <c r="L1025" s="605">
        <v>43089</v>
      </c>
      <c r="M1025" s="604">
        <v>900</v>
      </c>
      <c r="N1025" s="603">
        <f t="shared" si="45"/>
        <v>1800</v>
      </c>
      <c r="O1025" s="602" t="s">
        <v>587</v>
      </c>
      <c r="P1025" s="602" t="s">
        <v>1917</v>
      </c>
      <c r="Q1025" s="602"/>
      <c r="R1025" s="377" t="s">
        <v>908</v>
      </c>
      <c r="S1025" s="602" t="s">
        <v>422</v>
      </c>
      <c r="T1025" s="602"/>
      <c r="U1025" s="600"/>
      <c r="V1025" s="601"/>
      <c r="W1025" s="273"/>
    </row>
    <row r="1026" spans="1:23" s="365" customFormat="1" ht="15" hidden="1" customHeight="1">
      <c r="A1026" s="306">
        <v>1024</v>
      </c>
      <c r="B1026" s="611"/>
      <c r="C1026" s="610"/>
      <c r="D1026" s="601" t="s">
        <v>64</v>
      </c>
      <c r="E1026" s="6" t="s">
        <v>63</v>
      </c>
      <c r="F1026" s="609">
        <v>4</v>
      </c>
      <c r="G1026" s="608">
        <v>4</v>
      </c>
      <c r="H1026" s="608">
        <f t="shared" si="44"/>
        <v>0</v>
      </c>
      <c r="I1026" s="607">
        <v>43090</v>
      </c>
      <c r="J1026" s="606" t="s">
        <v>1902</v>
      </c>
      <c r="K1026" s="557">
        <v>1014</v>
      </c>
      <c r="L1026" s="605">
        <v>43089</v>
      </c>
      <c r="M1026" s="604">
        <v>2200</v>
      </c>
      <c r="N1026" s="603">
        <f t="shared" si="45"/>
        <v>8800</v>
      </c>
      <c r="O1026" s="602" t="s">
        <v>587</v>
      </c>
      <c r="P1026" s="602" t="s">
        <v>1917</v>
      </c>
      <c r="Q1026" s="602"/>
      <c r="R1026" s="377" t="s">
        <v>908</v>
      </c>
      <c r="S1026" s="602" t="s">
        <v>422</v>
      </c>
      <c r="T1026" s="602"/>
      <c r="U1026" s="600"/>
      <c r="V1026" s="601"/>
      <c r="W1026" s="273"/>
    </row>
    <row r="1027" spans="1:23" s="365" customFormat="1" ht="15" hidden="1" customHeight="1">
      <c r="A1027" s="306">
        <v>1025</v>
      </c>
      <c r="B1027" s="611"/>
      <c r="C1027" s="610"/>
      <c r="D1027" s="601" t="s">
        <v>1184</v>
      </c>
      <c r="E1027" s="418" t="s">
        <v>1187</v>
      </c>
      <c r="F1027" s="609">
        <v>1</v>
      </c>
      <c r="G1027" s="608">
        <v>1</v>
      </c>
      <c r="H1027" s="608">
        <f t="shared" si="44"/>
        <v>0</v>
      </c>
      <c r="I1027" s="607">
        <v>43090</v>
      </c>
      <c r="J1027" s="606" t="s">
        <v>1662</v>
      </c>
      <c r="K1027" s="557">
        <v>1024</v>
      </c>
      <c r="L1027" s="605">
        <v>43090</v>
      </c>
      <c r="M1027" s="604">
        <v>2250</v>
      </c>
      <c r="N1027" s="603">
        <f t="shared" si="45"/>
        <v>2250</v>
      </c>
      <c r="O1027" s="602" t="s">
        <v>587</v>
      </c>
      <c r="P1027" s="602" t="s">
        <v>844</v>
      </c>
      <c r="Q1027" s="602"/>
      <c r="R1027" s="377" t="s">
        <v>908</v>
      </c>
      <c r="S1027" s="602" t="s">
        <v>422</v>
      </c>
      <c r="T1027" s="602"/>
      <c r="U1027" s="600"/>
      <c r="V1027" s="601"/>
    </row>
    <row r="1028" spans="1:23" s="365" customFormat="1" ht="15" hidden="1" customHeight="1">
      <c r="A1028" s="306">
        <v>1026</v>
      </c>
      <c r="B1028" s="611"/>
      <c r="C1028" s="610"/>
      <c r="D1028" s="601" t="s">
        <v>49</v>
      </c>
      <c r="E1028" s="350" t="s">
        <v>48</v>
      </c>
      <c r="F1028" s="609">
        <v>26</v>
      </c>
      <c r="G1028" s="608">
        <v>26</v>
      </c>
      <c r="H1028" s="608">
        <f t="shared" si="44"/>
        <v>0</v>
      </c>
      <c r="I1028" s="607">
        <v>43090</v>
      </c>
      <c r="J1028" s="606" t="s">
        <v>1903</v>
      </c>
      <c r="K1028" s="557">
        <v>1021</v>
      </c>
      <c r="L1028" s="605">
        <v>43089</v>
      </c>
      <c r="M1028" s="604">
        <v>8200</v>
      </c>
      <c r="N1028" s="603">
        <f t="shared" si="45"/>
        <v>213200</v>
      </c>
      <c r="O1028" s="602" t="s">
        <v>587</v>
      </c>
      <c r="P1028" s="602" t="s">
        <v>1857</v>
      </c>
      <c r="Q1028" s="602"/>
      <c r="R1028" s="377" t="s">
        <v>908</v>
      </c>
      <c r="S1028" s="602" t="s">
        <v>422</v>
      </c>
      <c r="T1028" s="602"/>
      <c r="U1028" s="600"/>
      <c r="V1028" s="601"/>
    </row>
    <row r="1029" spans="1:23" s="365" customFormat="1" ht="15" hidden="1" customHeight="1">
      <c r="A1029" s="306">
        <v>1029</v>
      </c>
      <c r="B1029" s="611" t="s">
        <v>1895</v>
      </c>
      <c r="C1029" s="610"/>
      <c r="D1029" s="601" t="s">
        <v>1896</v>
      </c>
      <c r="E1029" s="187" t="s">
        <v>1898</v>
      </c>
      <c r="F1029" s="609">
        <v>10</v>
      </c>
      <c r="G1029" s="608">
        <v>10</v>
      </c>
      <c r="H1029" s="608">
        <f>F1029-G1029</f>
        <v>0</v>
      </c>
      <c r="I1029" s="607">
        <v>43093</v>
      </c>
      <c r="J1029" s="606" t="s">
        <v>1704</v>
      </c>
      <c r="K1029" s="557">
        <v>1019</v>
      </c>
      <c r="L1029" s="605">
        <v>43090</v>
      </c>
      <c r="M1029" s="604">
        <v>770</v>
      </c>
      <c r="N1029" s="603">
        <f t="shared" si="45"/>
        <v>7700</v>
      </c>
      <c r="O1029" s="602" t="s">
        <v>587</v>
      </c>
      <c r="P1029" s="602" t="s">
        <v>1940</v>
      </c>
      <c r="Q1029" s="602"/>
      <c r="R1029" s="377" t="s">
        <v>908</v>
      </c>
      <c r="S1029" s="602" t="s">
        <v>422</v>
      </c>
      <c r="T1029" s="602"/>
      <c r="U1029" s="600"/>
      <c r="V1029" s="601"/>
    </row>
    <row r="1030" spans="1:23" s="135" customFormat="1" ht="15" hidden="1" customHeight="1">
      <c r="A1030" s="306">
        <v>1030</v>
      </c>
      <c r="B1030" s="334">
        <v>1500102847</v>
      </c>
      <c r="C1030" s="384"/>
      <c r="D1030" s="333" t="s">
        <v>52</v>
      </c>
      <c r="E1030" s="708" t="s">
        <v>50</v>
      </c>
      <c r="F1030" s="391">
        <v>12</v>
      </c>
      <c r="G1030" s="385">
        <v>12</v>
      </c>
      <c r="H1030" s="385">
        <f>F1030-G1030</f>
        <v>0</v>
      </c>
      <c r="I1030" s="386">
        <v>43093</v>
      </c>
      <c r="J1030" s="366" t="s">
        <v>1892</v>
      </c>
      <c r="K1030" s="709">
        <v>1020</v>
      </c>
      <c r="L1030" s="393">
        <v>43090</v>
      </c>
      <c r="M1030" s="394">
        <v>1455</v>
      </c>
      <c r="N1030" s="710">
        <f t="shared" si="45"/>
        <v>17460</v>
      </c>
      <c r="O1030" s="388" t="s">
        <v>587</v>
      </c>
      <c r="P1030" s="388" t="s">
        <v>1893</v>
      </c>
      <c r="Q1030" s="388" t="s">
        <v>1977</v>
      </c>
      <c r="R1030" s="389" t="s">
        <v>908</v>
      </c>
      <c r="S1030" s="388" t="s">
        <v>422</v>
      </c>
      <c r="T1030" s="388" t="s">
        <v>423</v>
      </c>
      <c r="U1030" s="67"/>
      <c r="V1030" s="153"/>
    </row>
    <row r="1031" spans="1:23" s="135" customFormat="1" ht="15" hidden="1" customHeight="1">
      <c r="A1031" s="306">
        <v>1031</v>
      </c>
      <c r="B1031" s="180" t="s">
        <v>1894</v>
      </c>
      <c r="C1031" s="196"/>
      <c r="D1031" s="194" t="s">
        <v>95</v>
      </c>
      <c r="E1031" s="704" t="s">
        <v>94</v>
      </c>
      <c r="F1031" s="585">
        <v>2</v>
      </c>
      <c r="G1031" s="620">
        <v>2</v>
      </c>
      <c r="H1031" s="620">
        <f>F1031-G1031</f>
        <v>0</v>
      </c>
      <c r="I1031" s="179">
        <v>43192</v>
      </c>
      <c r="J1031" s="606" t="s">
        <v>1565</v>
      </c>
      <c r="K1031" s="588">
        <v>1015</v>
      </c>
      <c r="L1031" s="702">
        <v>43089</v>
      </c>
      <c r="M1031" s="703">
        <v>30998</v>
      </c>
      <c r="N1031" s="603">
        <f t="shared" si="45"/>
        <v>61996</v>
      </c>
      <c r="O1031" s="189" t="s">
        <v>587</v>
      </c>
      <c r="P1031" s="388" t="s">
        <v>612</v>
      </c>
      <c r="Q1031" s="189"/>
      <c r="R1031" s="245" t="s">
        <v>908</v>
      </c>
      <c r="S1031" s="189" t="s">
        <v>422</v>
      </c>
      <c r="T1031" s="189" t="s">
        <v>423</v>
      </c>
      <c r="U1031" s="67"/>
      <c r="V1031" s="153"/>
    </row>
    <row r="1032" spans="1:23" s="135" customFormat="1" ht="15" hidden="1" customHeight="1">
      <c r="A1032" s="306">
        <v>1032</v>
      </c>
      <c r="B1032" s="180" t="s">
        <v>1894</v>
      </c>
      <c r="C1032" s="196"/>
      <c r="D1032" s="194" t="s">
        <v>56</v>
      </c>
      <c r="E1032" s="705" t="s">
        <v>55</v>
      </c>
      <c r="F1032" s="585">
        <v>10</v>
      </c>
      <c r="G1032" s="620">
        <v>10</v>
      </c>
      <c r="H1032" s="620">
        <f>F1032-G1032</f>
        <v>0</v>
      </c>
      <c r="I1032" s="179">
        <v>43192</v>
      </c>
      <c r="J1032" s="606" t="s">
        <v>1565</v>
      </c>
      <c r="K1032" s="588">
        <v>1015</v>
      </c>
      <c r="L1032" s="702">
        <v>43089</v>
      </c>
      <c r="M1032" s="703">
        <v>8077</v>
      </c>
      <c r="N1032" s="603">
        <f t="shared" si="45"/>
        <v>80770</v>
      </c>
      <c r="O1032" s="189" t="s">
        <v>587</v>
      </c>
      <c r="P1032" s="189" t="s">
        <v>2005</v>
      </c>
      <c r="Q1032" s="189"/>
      <c r="R1032" s="245" t="s">
        <v>908</v>
      </c>
      <c r="S1032" s="189" t="s">
        <v>422</v>
      </c>
      <c r="T1032" s="189" t="s">
        <v>423</v>
      </c>
      <c r="U1032" s="67"/>
      <c r="V1032" s="153"/>
    </row>
    <row r="1033" spans="1:23" s="135" customFormat="1" ht="15" hidden="1" customHeight="1">
      <c r="A1033" s="306">
        <v>1033</v>
      </c>
      <c r="B1033" s="180" t="s">
        <v>1894</v>
      </c>
      <c r="C1033" s="196"/>
      <c r="D1033" s="194" t="s">
        <v>605</v>
      </c>
      <c r="E1033" s="706" t="s">
        <v>393</v>
      </c>
      <c r="F1033" s="585">
        <v>2</v>
      </c>
      <c r="G1033" s="620">
        <v>2</v>
      </c>
      <c r="H1033" s="620">
        <f>F1033-G1033</f>
        <v>0</v>
      </c>
      <c r="I1033" s="179">
        <v>43192</v>
      </c>
      <c r="J1033" s="606" t="s">
        <v>1565</v>
      </c>
      <c r="K1033" s="588">
        <v>1015</v>
      </c>
      <c r="L1033" s="702">
        <v>43089</v>
      </c>
      <c r="M1033" s="703">
        <v>5410</v>
      </c>
      <c r="N1033" s="603">
        <f t="shared" si="45"/>
        <v>10820</v>
      </c>
      <c r="O1033" s="189" t="s">
        <v>587</v>
      </c>
      <c r="P1033" s="189" t="s">
        <v>2006</v>
      </c>
      <c r="Q1033" s="189"/>
      <c r="R1033" s="245" t="s">
        <v>908</v>
      </c>
      <c r="S1033" s="189" t="s">
        <v>422</v>
      </c>
      <c r="T1033" s="189" t="s">
        <v>423</v>
      </c>
      <c r="U1033" s="67"/>
      <c r="V1033" s="153"/>
    </row>
    <row r="1034" spans="1:23" s="365" customFormat="1" ht="15" hidden="1" customHeight="1">
      <c r="A1034" s="306">
        <v>1035</v>
      </c>
      <c r="B1034" s="611" t="s">
        <v>1910</v>
      </c>
      <c r="C1034" s="610"/>
      <c r="D1034" s="601" t="s">
        <v>1897</v>
      </c>
      <c r="E1034" s="601" t="s">
        <v>1911</v>
      </c>
      <c r="F1034" s="609">
        <v>30</v>
      </c>
      <c r="G1034" s="608">
        <v>30</v>
      </c>
      <c r="H1034" s="608">
        <v>0</v>
      </c>
      <c r="I1034" s="607">
        <v>43092</v>
      </c>
      <c r="J1034" s="606" t="s">
        <v>1912</v>
      </c>
      <c r="K1034" s="557">
        <v>1017</v>
      </c>
      <c r="L1034" s="605">
        <v>43092</v>
      </c>
      <c r="M1034" s="604">
        <v>860</v>
      </c>
      <c r="N1034" s="603">
        <f t="shared" si="45"/>
        <v>25800</v>
      </c>
      <c r="O1034" s="602" t="s">
        <v>587</v>
      </c>
      <c r="P1034" s="602" t="s">
        <v>1913</v>
      </c>
      <c r="Q1034" s="602"/>
      <c r="R1034" s="377" t="s">
        <v>908</v>
      </c>
      <c r="S1034" s="602" t="s">
        <v>422</v>
      </c>
      <c r="T1034" s="602" t="s">
        <v>494</v>
      </c>
      <c r="U1034" s="600"/>
      <c r="V1034" s="601"/>
    </row>
    <row r="1035" spans="1:23" s="135" customFormat="1" ht="15" hidden="1" customHeight="1">
      <c r="A1035" s="306">
        <v>1039</v>
      </c>
      <c r="B1035" s="162" t="s">
        <v>1915</v>
      </c>
      <c r="C1035" s="161"/>
      <c r="D1035" s="601" t="s">
        <v>550</v>
      </c>
      <c r="E1035" s="707" t="s">
        <v>1914</v>
      </c>
      <c r="F1035" s="373">
        <v>8</v>
      </c>
      <c r="G1035" s="372">
        <v>8</v>
      </c>
      <c r="H1035" s="608">
        <v>0</v>
      </c>
      <c r="I1035" s="160">
        <v>43093</v>
      </c>
      <c r="J1035" s="159" t="s">
        <v>584</v>
      </c>
      <c r="K1035" s="240">
        <v>1018</v>
      </c>
      <c r="L1035" s="158">
        <v>43090</v>
      </c>
      <c r="M1035" s="157">
        <v>3609</v>
      </c>
      <c r="N1035" s="603">
        <f t="shared" si="45"/>
        <v>28872</v>
      </c>
      <c r="O1035" s="189" t="s">
        <v>587</v>
      </c>
      <c r="P1035" s="154" t="s">
        <v>555</v>
      </c>
      <c r="Q1035" s="154" t="s">
        <v>1916</v>
      </c>
      <c r="R1035" s="244" t="s">
        <v>908</v>
      </c>
      <c r="S1035" s="413" t="s">
        <v>422</v>
      </c>
      <c r="T1035" s="154" t="s">
        <v>423</v>
      </c>
      <c r="U1035" s="67"/>
      <c r="V1035" s="153"/>
      <c r="W1035" s="276"/>
    </row>
    <row r="1036" spans="1:23" s="135" customFormat="1" ht="15" hidden="1" customHeight="1">
      <c r="A1036" s="306">
        <v>1041</v>
      </c>
      <c r="B1036" s="162">
        <v>934251</v>
      </c>
      <c r="C1036" s="161"/>
      <c r="D1036" s="601" t="s">
        <v>60</v>
      </c>
      <c r="E1036" s="6" t="s">
        <v>59</v>
      </c>
      <c r="F1036" s="373">
        <v>20</v>
      </c>
      <c r="G1036" s="372">
        <v>20</v>
      </c>
      <c r="H1036" s="608">
        <v>0</v>
      </c>
      <c r="I1036" s="607">
        <v>43093</v>
      </c>
      <c r="J1036" s="159" t="s">
        <v>1702</v>
      </c>
      <c r="K1036" s="239">
        <v>1023</v>
      </c>
      <c r="L1036" s="605">
        <v>43090</v>
      </c>
      <c r="M1036" s="157">
        <v>1280</v>
      </c>
      <c r="N1036" s="603">
        <f t="shared" si="45"/>
        <v>25600</v>
      </c>
      <c r="O1036" s="189" t="s">
        <v>587</v>
      </c>
      <c r="P1036" s="154" t="s">
        <v>844</v>
      </c>
      <c r="Q1036" s="154"/>
      <c r="R1036" s="377" t="s">
        <v>908</v>
      </c>
      <c r="S1036" s="602" t="s">
        <v>422</v>
      </c>
      <c r="T1036" s="602" t="s">
        <v>423</v>
      </c>
      <c r="U1036" s="67"/>
      <c r="V1036" s="153"/>
      <c r="W1036" s="276"/>
    </row>
    <row r="1037" spans="1:23" s="135" customFormat="1" ht="15" hidden="1" customHeight="1">
      <c r="A1037" s="306">
        <v>1042</v>
      </c>
      <c r="B1037" s="611">
        <v>934251</v>
      </c>
      <c r="C1037" s="161"/>
      <c r="D1037" s="601" t="s">
        <v>62</v>
      </c>
      <c r="E1037" s="350" t="s">
        <v>61</v>
      </c>
      <c r="F1037" s="373">
        <v>5</v>
      </c>
      <c r="G1037" s="372">
        <v>5</v>
      </c>
      <c r="H1037" s="608">
        <v>0</v>
      </c>
      <c r="I1037" s="607">
        <v>43093</v>
      </c>
      <c r="J1037" s="606" t="s">
        <v>1702</v>
      </c>
      <c r="K1037" s="612">
        <v>1023</v>
      </c>
      <c r="L1037" s="605">
        <v>43090</v>
      </c>
      <c r="M1037" s="157">
        <v>1725</v>
      </c>
      <c r="N1037" s="603">
        <f t="shared" si="45"/>
        <v>8625</v>
      </c>
      <c r="O1037" s="189" t="s">
        <v>587</v>
      </c>
      <c r="P1037" s="602" t="s">
        <v>844</v>
      </c>
      <c r="Q1037" s="154"/>
      <c r="R1037" s="377" t="s">
        <v>908</v>
      </c>
      <c r="S1037" s="602" t="s">
        <v>422</v>
      </c>
      <c r="T1037" s="602" t="s">
        <v>423</v>
      </c>
      <c r="U1037" s="67"/>
      <c r="V1037" s="153"/>
    </row>
    <row r="1038" spans="1:23" s="365" customFormat="1" ht="15" hidden="1" customHeight="1">
      <c r="A1038" s="306">
        <v>1043</v>
      </c>
      <c r="B1038" s="1070" t="s">
        <v>1939</v>
      </c>
      <c r="C1038" s="1067" t="s">
        <v>1807</v>
      </c>
      <c r="D1038" s="333" t="s">
        <v>1918</v>
      </c>
      <c r="E1038" s="390" t="s">
        <v>1919</v>
      </c>
      <c r="F1038" s="391">
        <v>1</v>
      </c>
      <c r="G1038" s="385">
        <v>1</v>
      </c>
      <c r="H1038" s="385">
        <v>0</v>
      </c>
      <c r="I1038" s="386">
        <v>43094</v>
      </c>
      <c r="J1038" s="716" t="s">
        <v>1938</v>
      </c>
      <c r="K1038" s="392"/>
      <c r="L1038" s="393"/>
      <c r="M1038" s="394"/>
      <c r="N1038" s="710">
        <f t="shared" si="45"/>
        <v>0</v>
      </c>
      <c r="O1038" s="388"/>
      <c r="P1038" s="388"/>
      <c r="Q1038" s="388"/>
      <c r="R1038" s="389"/>
      <c r="S1038" s="388"/>
      <c r="T1038" s="388"/>
      <c r="U1038" s="600"/>
      <c r="V1038" s="601"/>
    </row>
    <row r="1039" spans="1:23" s="365" customFormat="1" ht="15" hidden="1" customHeight="1">
      <c r="A1039" s="306">
        <v>1044</v>
      </c>
      <c r="B1039" s="1071"/>
      <c r="C1039" s="1068"/>
      <c r="D1039" s="333" t="s">
        <v>668</v>
      </c>
      <c r="E1039" s="390" t="s">
        <v>1273</v>
      </c>
      <c r="F1039" s="391">
        <v>1</v>
      </c>
      <c r="G1039" s="385">
        <v>1</v>
      </c>
      <c r="H1039" s="385">
        <v>0</v>
      </c>
      <c r="I1039" s="386">
        <v>43094</v>
      </c>
      <c r="J1039" s="716" t="s">
        <v>1938</v>
      </c>
      <c r="K1039" s="709"/>
      <c r="L1039" s="393"/>
      <c r="M1039" s="394"/>
      <c r="N1039" s="710">
        <f t="shared" si="45"/>
        <v>0</v>
      </c>
      <c r="O1039" s="388"/>
      <c r="P1039" s="388"/>
      <c r="Q1039" s="388"/>
      <c r="R1039" s="389"/>
      <c r="S1039" s="388"/>
      <c r="T1039" s="388"/>
      <c r="U1039" s="600"/>
      <c r="V1039" s="601"/>
    </row>
    <row r="1040" spans="1:23" s="365" customFormat="1" ht="15" hidden="1" customHeight="1">
      <c r="A1040" s="306">
        <v>1045</v>
      </c>
      <c r="B1040" s="1071"/>
      <c r="C1040" s="1068"/>
      <c r="D1040" s="333" t="s">
        <v>1920</v>
      </c>
      <c r="E1040" s="390" t="s">
        <v>1921</v>
      </c>
      <c r="F1040" s="391">
        <v>44</v>
      </c>
      <c r="G1040" s="385">
        <v>44</v>
      </c>
      <c r="H1040" s="385">
        <v>0</v>
      </c>
      <c r="I1040" s="386">
        <v>43094</v>
      </c>
      <c r="J1040" s="716" t="s">
        <v>1938</v>
      </c>
      <c r="K1040" s="392"/>
      <c r="L1040" s="393"/>
      <c r="M1040" s="394"/>
      <c r="N1040" s="710">
        <f t="shared" si="45"/>
        <v>0</v>
      </c>
      <c r="O1040" s="388"/>
      <c r="P1040" s="388"/>
      <c r="Q1040" s="388"/>
      <c r="R1040" s="389"/>
      <c r="S1040" s="388"/>
      <c r="T1040" s="388"/>
      <c r="U1040" s="600"/>
      <c r="V1040" s="601"/>
    </row>
    <row r="1041" spans="1:22" s="365" customFormat="1" ht="15" hidden="1" customHeight="1">
      <c r="A1041" s="306">
        <v>1046</v>
      </c>
      <c r="B1041" s="1071"/>
      <c r="C1041" s="1068"/>
      <c r="D1041" s="333" t="s">
        <v>1922</v>
      </c>
      <c r="E1041" s="390" t="s">
        <v>1923</v>
      </c>
      <c r="F1041" s="391">
        <v>95</v>
      </c>
      <c r="G1041" s="385">
        <v>95</v>
      </c>
      <c r="H1041" s="385">
        <v>0</v>
      </c>
      <c r="I1041" s="386">
        <v>43094</v>
      </c>
      <c r="J1041" s="716" t="s">
        <v>1938</v>
      </c>
      <c r="K1041" s="709"/>
      <c r="L1041" s="393"/>
      <c r="M1041" s="394"/>
      <c r="N1041" s="710">
        <f t="shared" si="45"/>
        <v>0</v>
      </c>
      <c r="O1041" s="388"/>
      <c r="P1041" s="388"/>
      <c r="Q1041" s="388"/>
      <c r="R1041" s="389"/>
      <c r="S1041" s="388"/>
      <c r="T1041" s="388"/>
      <c r="U1041" s="600"/>
      <c r="V1041" s="601"/>
    </row>
    <row r="1042" spans="1:22" s="365" customFormat="1" ht="15" hidden="1" customHeight="1">
      <c r="A1042" s="306">
        <v>1047</v>
      </c>
      <c r="B1042" s="1071"/>
      <c r="C1042" s="1068"/>
      <c r="D1042" s="333" t="s">
        <v>1184</v>
      </c>
      <c r="E1042" s="390" t="s">
        <v>1924</v>
      </c>
      <c r="F1042" s="391">
        <v>45</v>
      </c>
      <c r="G1042" s="385">
        <v>45</v>
      </c>
      <c r="H1042" s="385">
        <v>0</v>
      </c>
      <c r="I1042" s="386">
        <v>43094</v>
      </c>
      <c r="J1042" s="716" t="s">
        <v>1938</v>
      </c>
      <c r="K1042" s="709"/>
      <c r="L1042" s="393"/>
      <c r="M1042" s="394"/>
      <c r="N1042" s="710">
        <f t="shared" si="45"/>
        <v>0</v>
      </c>
      <c r="O1042" s="388"/>
      <c r="P1042" s="388"/>
      <c r="Q1042" s="388"/>
      <c r="R1042" s="389"/>
      <c r="S1042" s="388"/>
      <c r="T1042" s="388"/>
      <c r="U1042" s="600"/>
      <c r="V1042" s="601"/>
    </row>
    <row r="1043" spans="1:22" s="365" customFormat="1" ht="15" hidden="1" customHeight="1">
      <c r="A1043" s="306">
        <v>1048</v>
      </c>
      <c r="B1043" s="1071"/>
      <c r="C1043" s="1068"/>
      <c r="D1043" s="333" t="s">
        <v>1925</v>
      </c>
      <c r="E1043" s="390" t="s">
        <v>1926</v>
      </c>
      <c r="F1043" s="391">
        <v>91</v>
      </c>
      <c r="G1043" s="385">
        <v>91</v>
      </c>
      <c r="H1043" s="385">
        <v>0</v>
      </c>
      <c r="I1043" s="386">
        <v>43094</v>
      </c>
      <c r="J1043" s="716" t="s">
        <v>1938</v>
      </c>
      <c r="K1043" s="709"/>
      <c r="L1043" s="393"/>
      <c r="M1043" s="394"/>
      <c r="N1043" s="710">
        <f t="shared" si="45"/>
        <v>0</v>
      </c>
      <c r="O1043" s="388"/>
      <c r="P1043" s="388"/>
      <c r="Q1043" s="388"/>
      <c r="R1043" s="389"/>
      <c r="S1043" s="388"/>
      <c r="T1043" s="388"/>
      <c r="U1043" s="402" t="s">
        <v>2001</v>
      </c>
      <c r="V1043" s="601"/>
    </row>
    <row r="1044" spans="1:22" s="365" customFormat="1" ht="15" hidden="1" customHeight="1">
      <c r="A1044" s="306">
        <v>1049</v>
      </c>
      <c r="B1044" s="1071"/>
      <c r="C1044" s="1068"/>
      <c r="D1044" s="333" t="s">
        <v>1504</v>
      </c>
      <c r="E1044" s="390" t="s">
        <v>1927</v>
      </c>
      <c r="F1044" s="391">
        <v>44</v>
      </c>
      <c r="G1044" s="385">
        <v>44</v>
      </c>
      <c r="H1044" s="385">
        <v>0</v>
      </c>
      <c r="I1044" s="386">
        <v>43094</v>
      </c>
      <c r="J1044" s="716" t="s">
        <v>1938</v>
      </c>
      <c r="K1044" s="709"/>
      <c r="L1044" s="393"/>
      <c r="M1044" s="394"/>
      <c r="N1044" s="710">
        <f t="shared" si="45"/>
        <v>0</v>
      </c>
      <c r="O1044" s="388"/>
      <c r="P1044" s="388"/>
      <c r="Q1044" s="388"/>
      <c r="R1044" s="389"/>
      <c r="S1044" s="388"/>
      <c r="T1044" s="388"/>
      <c r="U1044" s="600"/>
      <c r="V1044" s="601"/>
    </row>
    <row r="1045" spans="1:22" s="365" customFormat="1" ht="15" hidden="1" customHeight="1">
      <c r="A1045" s="306">
        <v>1050</v>
      </c>
      <c r="B1045" s="1071"/>
      <c r="C1045" s="1068"/>
      <c r="D1045" s="333" t="s">
        <v>389</v>
      </c>
      <c r="E1045" s="711" t="s">
        <v>1928</v>
      </c>
      <c r="F1045" s="391">
        <v>2</v>
      </c>
      <c r="G1045" s="385">
        <v>2</v>
      </c>
      <c r="H1045" s="385">
        <v>0</v>
      </c>
      <c r="I1045" s="386">
        <v>43094</v>
      </c>
      <c r="J1045" s="716" t="s">
        <v>1938</v>
      </c>
      <c r="K1045" s="392">
        <v>970</v>
      </c>
      <c r="L1045" s="393">
        <v>43067</v>
      </c>
      <c r="M1045" s="394"/>
      <c r="N1045" s="710">
        <v>416121.95</v>
      </c>
      <c r="O1045" s="388"/>
      <c r="P1045" s="388" t="s">
        <v>1941</v>
      </c>
      <c r="Q1045" s="388" t="s">
        <v>1803</v>
      </c>
      <c r="R1045" s="389" t="s">
        <v>908</v>
      </c>
      <c r="S1045" s="388" t="s">
        <v>422</v>
      </c>
      <c r="T1045" s="388" t="s">
        <v>423</v>
      </c>
      <c r="U1045" s="600"/>
      <c r="V1045" s="601"/>
    </row>
    <row r="1046" spans="1:22" s="365" customFormat="1" ht="15" hidden="1" customHeight="1">
      <c r="A1046" s="306">
        <v>1051</v>
      </c>
      <c r="B1046" s="1071"/>
      <c r="C1046" s="1068"/>
      <c r="D1046" s="333" t="s">
        <v>550</v>
      </c>
      <c r="E1046" s="390" t="s">
        <v>1929</v>
      </c>
      <c r="F1046" s="391">
        <v>3</v>
      </c>
      <c r="G1046" s="385">
        <v>3</v>
      </c>
      <c r="H1046" s="385">
        <v>0</v>
      </c>
      <c r="I1046" s="386">
        <v>43094</v>
      </c>
      <c r="J1046" s="716" t="s">
        <v>1938</v>
      </c>
      <c r="K1046" s="392">
        <v>1005</v>
      </c>
      <c r="L1046" s="393">
        <v>43093</v>
      </c>
      <c r="M1046" s="394"/>
      <c r="N1046" s="710">
        <v>27215.86</v>
      </c>
      <c r="O1046" s="388"/>
      <c r="P1046" s="388" t="s">
        <v>1942</v>
      </c>
      <c r="Q1046" s="388" t="s">
        <v>1803</v>
      </c>
      <c r="R1046" s="389" t="s">
        <v>908</v>
      </c>
      <c r="S1046" s="388" t="s">
        <v>422</v>
      </c>
      <c r="T1046" s="388" t="s">
        <v>423</v>
      </c>
      <c r="U1046" s="600"/>
      <c r="V1046" s="601"/>
    </row>
    <row r="1047" spans="1:22" s="365" customFormat="1" ht="15" hidden="1" customHeight="1">
      <c r="A1047" s="306">
        <v>1052</v>
      </c>
      <c r="B1047" s="1071"/>
      <c r="C1047" s="1068"/>
      <c r="D1047" s="333" t="s">
        <v>205</v>
      </c>
      <c r="E1047" s="390" t="s">
        <v>1256</v>
      </c>
      <c r="F1047" s="391">
        <v>3</v>
      </c>
      <c r="G1047" s="385">
        <v>3</v>
      </c>
      <c r="H1047" s="385">
        <v>0</v>
      </c>
      <c r="I1047" s="386">
        <v>43094</v>
      </c>
      <c r="J1047" s="716" t="s">
        <v>1938</v>
      </c>
      <c r="K1047" s="709"/>
      <c r="L1047" s="393"/>
      <c r="M1047" s="394"/>
      <c r="N1047" s="710">
        <f t="shared" si="45"/>
        <v>0</v>
      </c>
      <c r="O1047" s="388"/>
      <c r="P1047" s="388"/>
      <c r="Q1047" s="388"/>
      <c r="R1047" s="389"/>
      <c r="S1047" s="388"/>
      <c r="T1047" s="388"/>
      <c r="U1047" s="600"/>
      <c r="V1047" s="601"/>
    </row>
    <row r="1048" spans="1:22" s="365" customFormat="1" ht="15" hidden="1" customHeight="1">
      <c r="A1048" s="306">
        <v>1053</v>
      </c>
      <c r="B1048" s="1071"/>
      <c r="C1048" s="1068"/>
      <c r="D1048" s="333" t="s">
        <v>1930</v>
      </c>
      <c r="E1048" s="333" t="s">
        <v>1534</v>
      </c>
      <c r="F1048" s="391">
        <v>3</v>
      </c>
      <c r="G1048" s="385">
        <v>3</v>
      </c>
      <c r="H1048" s="385">
        <v>0</v>
      </c>
      <c r="I1048" s="386">
        <v>43094</v>
      </c>
      <c r="J1048" s="716" t="s">
        <v>1938</v>
      </c>
      <c r="K1048" s="392"/>
      <c r="L1048" s="393"/>
      <c r="M1048" s="394"/>
      <c r="N1048" s="710">
        <f t="shared" si="45"/>
        <v>0</v>
      </c>
      <c r="O1048" s="388"/>
      <c r="P1048" s="388"/>
      <c r="Q1048" s="388"/>
      <c r="R1048" s="389"/>
      <c r="S1048" s="388"/>
      <c r="T1048" s="388"/>
      <c r="U1048" s="600"/>
      <c r="V1048" s="601"/>
    </row>
    <row r="1049" spans="1:22" s="365" customFormat="1" ht="15" hidden="1" customHeight="1">
      <c r="A1049" s="306">
        <v>1054</v>
      </c>
      <c r="B1049" s="1071"/>
      <c r="C1049" s="1068"/>
      <c r="D1049" s="333" t="s">
        <v>1931</v>
      </c>
      <c r="E1049" s="390" t="s">
        <v>1932</v>
      </c>
      <c r="F1049" s="391">
        <v>4</v>
      </c>
      <c r="G1049" s="385">
        <v>4</v>
      </c>
      <c r="H1049" s="385">
        <v>0</v>
      </c>
      <c r="I1049" s="386">
        <v>43094</v>
      </c>
      <c r="J1049" s="716" t="s">
        <v>1938</v>
      </c>
      <c r="K1049" s="392"/>
      <c r="L1049" s="393"/>
      <c r="M1049" s="394"/>
      <c r="N1049" s="710">
        <f t="shared" si="45"/>
        <v>0</v>
      </c>
      <c r="O1049" s="388"/>
      <c r="P1049" s="388"/>
      <c r="Q1049" s="388"/>
      <c r="R1049" s="389"/>
      <c r="S1049" s="388"/>
      <c r="T1049" s="388"/>
      <c r="U1049" s="600"/>
      <c r="V1049" s="601"/>
    </row>
    <row r="1050" spans="1:22" s="365" customFormat="1" ht="15" hidden="1" customHeight="1">
      <c r="A1050" s="306">
        <v>1055</v>
      </c>
      <c r="B1050" s="1071"/>
      <c r="C1050" s="1068"/>
      <c r="D1050" s="333" t="s">
        <v>1933</v>
      </c>
      <c r="E1050" s="390" t="s">
        <v>1934</v>
      </c>
      <c r="F1050" s="391">
        <v>47</v>
      </c>
      <c r="G1050" s="385">
        <v>47</v>
      </c>
      <c r="H1050" s="385">
        <v>0</v>
      </c>
      <c r="I1050" s="386">
        <v>43094</v>
      </c>
      <c r="J1050" s="716" t="s">
        <v>1938</v>
      </c>
      <c r="K1050" s="709"/>
      <c r="L1050" s="393"/>
      <c r="M1050" s="394"/>
      <c r="N1050" s="710">
        <f t="shared" si="45"/>
        <v>0</v>
      </c>
      <c r="O1050" s="388"/>
      <c r="P1050" s="388"/>
      <c r="Q1050" s="388"/>
      <c r="R1050" s="389"/>
      <c r="S1050" s="388"/>
      <c r="T1050" s="388"/>
      <c r="U1050" s="600"/>
      <c r="V1050" s="601"/>
    </row>
    <row r="1051" spans="1:22" s="365" customFormat="1" ht="15" hidden="1" customHeight="1">
      <c r="A1051" s="306">
        <v>1056</v>
      </c>
      <c r="B1051" s="1071"/>
      <c r="C1051" s="1068"/>
      <c r="D1051" s="333" t="s">
        <v>658</v>
      </c>
      <c r="E1051" s="390" t="s">
        <v>1935</v>
      </c>
      <c r="F1051" s="391">
        <v>4</v>
      </c>
      <c r="G1051" s="385">
        <v>4</v>
      </c>
      <c r="H1051" s="385">
        <v>0</v>
      </c>
      <c r="I1051" s="386">
        <v>43094</v>
      </c>
      <c r="J1051" s="716" t="s">
        <v>1938</v>
      </c>
      <c r="K1051" s="709"/>
      <c r="L1051" s="393"/>
      <c r="M1051" s="394"/>
      <c r="N1051" s="710">
        <f t="shared" si="45"/>
        <v>0</v>
      </c>
      <c r="O1051" s="388"/>
      <c r="P1051" s="388"/>
      <c r="Q1051" s="388"/>
      <c r="R1051" s="389"/>
      <c r="S1051" s="388"/>
      <c r="T1051" s="388"/>
      <c r="U1051" s="600"/>
      <c r="V1051" s="601"/>
    </row>
    <row r="1052" spans="1:22" s="365" customFormat="1" ht="15" hidden="1" customHeight="1">
      <c r="A1052" s="306">
        <v>1058</v>
      </c>
      <c r="B1052" s="1072"/>
      <c r="C1052" s="1069"/>
      <c r="D1052" s="333" t="s">
        <v>1936</v>
      </c>
      <c r="E1052" s="708" t="s">
        <v>1937</v>
      </c>
      <c r="F1052" s="391">
        <v>8</v>
      </c>
      <c r="G1052" s="385">
        <v>8</v>
      </c>
      <c r="H1052" s="385">
        <v>0</v>
      </c>
      <c r="I1052" s="386">
        <v>43094</v>
      </c>
      <c r="J1052" s="716" t="s">
        <v>1938</v>
      </c>
      <c r="K1052" s="709"/>
      <c r="L1052" s="393"/>
      <c r="M1052" s="394"/>
      <c r="N1052" s="710">
        <f t="shared" si="45"/>
        <v>0</v>
      </c>
      <c r="O1052" s="388"/>
      <c r="P1052" s="388"/>
      <c r="Q1052" s="388"/>
      <c r="R1052" s="389"/>
      <c r="S1052" s="388"/>
      <c r="T1052" s="388"/>
      <c r="U1052" s="600"/>
      <c r="V1052" s="601"/>
    </row>
    <row r="1053" spans="1:22" s="365" customFormat="1" ht="15" hidden="1" customHeight="1">
      <c r="A1053" s="306">
        <v>1059</v>
      </c>
      <c r="B1053" s="611">
        <v>1606</v>
      </c>
      <c r="C1053" s="610"/>
      <c r="D1053" s="601" t="s">
        <v>49</v>
      </c>
      <c r="E1053" s="350" t="s">
        <v>48</v>
      </c>
      <c r="F1053" s="609">
        <v>1</v>
      </c>
      <c r="G1053" s="608">
        <v>1</v>
      </c>
      <c r="H1053" s="608">
        <f t="shared" ref="H1053:H1082" si="46">F1053-G1053</f>
        <v>0</v>
      </c>
      <c r="I1053" s="607">
        <v>43095</v>
      </c>
      <c r="J1053" s="606" t="s">
        <v>1707</v>
      </c>
      <c r="K1053" s="612">
        <v>1025</v>
      </c>
      <c r="L1053" s="605">
        <v>43093</v>
      </c>
      <c r="M1053" s="604">
        <v>8860</v>
      </c>
      <c r="N1053" s="603">
        <f t="shared" si="45"/>
        <v>8860</v>
      </c>
      <c r="O1053" s="602" t="s">
        <v>587</v>
      </c>
      <c r="P1053" s="602" t="s">
        <v>1940</v>
      </c>
      <c r="Q1053" s="602" t="s">
        <v>1748</v>
      </c>
      <c r="R1053" s="377" t="s">
        <v>908</v>
      </c>
      <c r="S1053" s="602" t="s">
        <v>422</v>
      </c>
      <c r="T1053" s="602" t="s">
        <v>423</v>
      </c>
      <c r="U1053" s="600"/>
      <c r="V1053" s="601"/>
    </row>
    <row r="1054" spans="1:22" s="365" customFormat="1" ht="15" hidden="1" customHeight="1">
      <c r="A1054" s="306">
        <v>1060</v>
      </c>
      <c r="B1054" s="611">
        <v>1606</v>
      </c>
      <c r="C1054" s="610"/>
      <c r="D1054" s="601" t="s">
        <v>35</v>
      </c>
      <c r="E1054" s="6" t="s">
        <v>50</v>
      </c>
      <c r="F1054" s="609">
        <v>3</v>
      </c>
      <c r="G1054" s="608">
        <v>3</v>
      </c>
      <c r="H1054" s="608">
        <f t="shared" si="46"/>
        <v>0</v>
      </c>
      <c r="I1054" s="607">
        <v>43095</v>
      </c>
      <c r="J1054" s="606" t="s">
        <v>1707</v>
      </c>
      <c r="K1054" s="612">
        <v>1025</v>
      </c>
      <c r="L1054" s="605">
        <v>43093</v>
      </c>
      <c r="M1054" s="604">
        <v>2275</v>
      </c>
      <c r="N1054" s="603">
        <f t="shared" si="45"/>
        <v>6825</v>
      </c>
      <c r="O1054" s="602" t="s">
        <v>587</v>
      </c>
      <c r="P1054" s="602" t="s">
        <v>1940</v>
      </c>
      <c r="Q1054" s="602" t="s">
        <v>1748</v>
      </c>
      <c r="R1054" s="377" t="s">
        <v>908</v>
      </c>
      <c r="S1054" s="602" t="s">
        <v>422</v>
      </c>
      <c r="T1054" s="602" t="s">
        <v>423</v>
      </c>
      <c r="U1054" s="600"/>
      <c r="V1054" s="601"/>
    </row>
    <row r="1055" spans="1:22" s="365" customFormat="1" ht="15" hidden="1" customHeight="1">
      <c r="A1055" s="306">
        <v>1061</v>
      </c>
      <c r="B1055" s="611" t="s">
        <v>1943</v>
      </c>
      <c r="C1055" s="610"/>
      <c r="D1055" s="601" t="s">
        <v>107</v>
      </c>
      <c r="E1055" s="649" t="s">
        <v>106</v>
      </c>
      <c r="F1055" s="609">
        <v>1</v>
      </c>
      <c r="G1055" s="608">
        <v>1</v>
      </c>
      <c r="H1055" s="608">
        <f t="shared" si="46"/>
        <v>0</v>
      </c>
      <c r="I1055" s="607">
        <v>43096</v>
      </c>
      <c r="J1055" s="606" t="s">
        <v>1151</v>
      </c>
      <c r="K1055" s="612">
        <v>1028</v>
      </c>
      <c r="L1055" s="605">
        <v>43094</v>
      </c>
      <c r="M1055" s="604">
        <v>39000</v>
      </c>
      <c r="N1055" s="603">
        <f t="shared" si="45"/>
        <v>39000</v>
      </c>
      <c r="O1055" s="602" t="s">
        <v>587</v>
      </c>
      <c r="P1055" s="602" t="s">
        <v>1940</v>
      </c>
      <c r="Q1055" s="602" t="s">
        <v>1946</v>
      </c>
      <c r="R1055" s="377" t="s">
        <v>908</v>
      </c>
      <c r="S1055" s="602" t="s">
        <v>422</v>
      </c>
      <c r="T1055" s="602" t="s">
        <v>423</v>
      </c>
      <c r="U1055" s="600"/>
      <c r="V1055" s="601"/>
    </row>
    <row r="1056" spans="1:22" s="365" customFormat="1" ht="15" hidden="1" customHeight="1">
      <c r="A1056" s="306">
        <v>1062</v>
      </c>
      <c r="B1056" s="611">
        <v>381321</v>
      </c>
      <c r="C1056" s="610"/>
      <c r="D1056" s="601" t="s">
        <v>107</v>
      </c>
      <c r="E1056" s="649" t="s">
        <v>106</v>
      </c>
      <c r="F1056" s="609">
        <v>1</v>
      </c>
      <c r="G1056" s="608">
        <v>1</v>
      </c>
      <c r="H1056" s="608">
        <f t="shared" si="46"/>
        <v>0</v>
      </c>
      <c r="I1056" s="607">
        <v>43115</v>
      </c>
      <c r="J1056" s="606" t="s">
        <v>472</v>
      </c>
      <c r="K1056" s="612">
        <v>949</v>
      </c>
      <c r="L1056" s="605">
        <v>43058</v>
      </c>
      <c r="M1056" s="604">
        <v>38500</v>
      </c>
      <c r="N1056" s="603">
        <f t="shared" si="45"/>
        <v>38500</v>
      </c>
      <c r="O1056" s="602" t="s">
        <v>587</v>
      </c>
      <c r="P1056" s="602" t="s">
        <v>512</v>
      </c>
      <c r="Q1056" s="602"/>
      <c r="R1056" s="377" t="s">
        <v>908</v>
      </c>
      <c r="S1056" s="602" t="s">
        <v>422</v>
      </c>
      <c r="T1056" s="602" t="s">
        <v>423</v>
      </c>
      <c r="U1056" s="600"/>
      <c r="V1056" s="601"/>
    </row>
    <row r="1057" spans="1:23" s="365" customFormat="1" ht="15" hidden="1" customHeight="1">
      <c r="A1057" s="306">
        <v>1063</v>
      </c>
      <c r="B1057" s="611" t="s">
        <v>1945</v>
      </c>
      <c r="C1057" s="610"/>
      <c r="D1057" s="601" t="s">
        <v>1865</v>
      </c>
      <c r="E1057" s="354" t="s">
        <v>1866</v>
      </c>
      <c r="F1057" s="609">
        <v>48</v>
      </c>
      <c r="G1057" s="608">
        <v>48</v>
      </c>
      <c r="H1057" s="608">
        <f t="shared" si="46"/>
        <v>0</v>
      </c>
      <c r="I1057" s="607">
        <v>43097</v>
      </c>
      <c r="J1057" s="606" t="s">
        <v>1944</v>
      </c>
      <c r="K1057" s="557">
        <v>1026</v>
      </c>
      <c r="L1057" s="605">
        <v>43093</v>
      </c>
      <c r="M1057" s="604">
        <v>585</v>
      </c>
      <c r="N1057" s="603">
        <f t="shared" si="45"/>
        <v>28080</v>
      </c>
      <c r="O1057" s="602" t="s">
        <v>587</v>
      </c>
      <c r="P1057" s="602" t="s">
        <v>1940</v>
      </c>
      <c r="Q1057" s="602" t="s">
        <v>1950</v>
      </c>
      <c r="R1057" s="377" t="s">
        <v>908</v>
      </c>
      <c r="S1057" s="602" t="s">
        <v>422</v>
      </c>
      <c r="T1057" s="602" t="s">
        <v>423</v>
      </c>
      <c r="U1057" s="600"/>
      <c r="V1057" s="601"/>
    </row>
    <row r="1058" spans="1:23" s="135" customFormat="1" ht="15" hidden="1" customHeight="1">
      <c r="A1058" s="306">
        <v>1064</v>
      </c>
      <c r="B1058" s="162">
        <v>234537</v>
      </c>
      <c r="C1058" s="161"/>
      <c r="D1058" s="601" t="s">
        <v>226</v>
      </c>
      <c r="E1058" s="212" t="s">
        <v>944</v>
      </c>
      <c r="F1058" s="373">
        <v>6</v>
      </c>
      <c r="G1058" s="372">
        <v>6</v>
      </c>
      <c r="H1058" s="608">
        <f t="shared" si="46"/>
        <v>0</v>
      </c>
      <c r="I1058" s="160">
        <v>43096</v>
      </c>
      <c r="J1058" s="159" t="s">
        <v>1874</v>
      </c>
      <c r="K1058" s="240">
        <v>1029</v>
      </c>
      <c r="L1058" s="158">
        <v>43065</v>
      </c>
      <c r="M1058" s="157">
        <v>300</v>
      </c>
      <c r="N1058" s="603">
        <f t="shared" si="45"/>
        <v>1800</v>
      </c>
      <c r="O1058" s="189" t="s">
        <v>587</v>
      </c>
      <c r="P1058" s="154" t="s">
        <v>512</v>
      </c>
      <c r="Q1058" s="154"/>
      <c r="R1058" s="377" t="s">
        <v>908</v>
      </c>
      <c r="S1058" s="602" t="s">
        <v>422</v>
      </c>
      <c r="T1058" s="602" t="s">
        <v>423</v>
      </c>
      <c r="U1058" s="67"/>
      <c r="V1058" s="153"/>
    </row>
    <row r="1059" spans="1:23" s="135" customFormat="1" ht="15" hidden="1" customHeight="1">
      <c r="A1059" s="306">
        <v>1065</v>
      </c>
      <c r="B1059" s="162" t="s">
        <v>1947</v>
      </c>
      <c r="C1059" s="161"/>
      <c r="D1059" s="601" t="s">
        <v>62</v>
      </c>
      <c r="E1059" s="350" t="s">
        <v>61</v>
      </c>
      <c r="F1059" s="373">
        <v>1</v>
      </c>
      <c r="G1059" s="372">
        <v>1</v>
      </c>
      <c r="H1059" s="608">
        <f t="shared" si="46"/>
        <v>0</v>
      </c>
      <c r="I1059" s="607">
        <v>43096</v>
      </c>
      <c r="J1059" s="159" t="s">
        <v>1948</v>
      </c>
      <c r="K1059" s="240">
        <v>1030</v>
      </c>
      <c r="L1059" s="158">
        <v>43065</v>
      </c>
      <c r="M1059" s="157">
        <v>1730</v>
      </c>
      <c r="N1059" s="156">
        <f t="shared" si="45"/>
        <v>1730</v>
      </c>
      <c r="O1059" s="189" t="s">
        <v>587</v>
      </c>
      <c r="P1059" s="154" t="s">
        <v>995</v>
      </c>
      <c r="Q1059" s="154" t="s">
        <v>1949</v>
      </c>
      <c r="R1059" s="377" t="s">
        <v>908</v>
      </c>
      <c r="S1059" s="602" t="s">
        <v>422</v>
      </c>
      <c r="T1059" s="602" t="s">
        <v>423</v>
      </c>
      <c r="U1059" s="67"/>
      <c r="V1059" s="153"/>
    </row>
    <row r="1060" spans="1:23" s="135" customFormat="1" ht="15" hidden="1" customHeight="1">
      <c r="A1060" s="306">
        <v>1066</v>
      </c>
      <c r="B1060" s="162" t="s">
        <v>1953</v>
      </c>
      <c r="C1060" s="161"/>
      <c r="D1060" s="601" t="s">
        <v>47</v>
      </c>
      <c r="E1060" s="350" t="s">
        <v>46</v>
      </c>
      <c r="F1060" s="373">
        <v>10</v>
      </c>
      <c r="G1060" s="372">
        <v>10</v>
      </c>
      <c r="H1060" s="608">
        <f t="shared" si="46"/>
        <v>0</v>
      </c>
      <c r="I1060" s="607">
        <v>43096</v>
      </c>
      <c r="J1060" s="159" t="s">
        <v>1951</v>
      </c>
      <c r="K1060" s="240">
        <v>1031</v>
      </c>
      <c r="L1060" s="158">
        <v>43066</v>
      </c>
      <c r="M1060" s="157">
        <v>2850</v>
      </c>
      <c r="N1060" s="156">
        <f t="shared" si="45"/>
        <v>28500</v>
      </c>
      <c r="O1060" s="189" t="s">
        <v>587</v>
      </c>
      <c r="P1060" s="154" t="s">
        <v>1940</v>
      </c>
      <c r="Q1060" s="154" t="s">
        <v>1952</v>
      </c>
      <c r="R1060" s="377" t="s">
        <v>908</v>
      </c>
      <c r="S1060" s="602" t="s">
        <v>422</v>
      </c>
      <c r="T1060" s="602" t="s">
        <v>423</v>
      </c>
      <c r="U1060" s="67"/>
      <c r="V1060" s="153"/>
    </row>
    <row r="1061" spans="1:23" s="135" customFormat="1" ht="15" hidden="1" customHeight="1">
      <c r="A1061" s="306">
        <v>1067</v>
      </c>
      <c r="B1061" s="611" t="s">
        <v>1953</v>
      </c>
      <c r="C1061" s="161"/>
      <c r="D1061" s="601" t="s">
        <v>62</v>
      </c>
      <c r="E1061" s="350" t="s">
        <v>61</v>
      </c>
      <c r="F1061" s="373">
        <v>10</v>
      </c>
      <c r="G1061" s="372">
        <v>10</v>
      </c>
      <c r="H1061" s="608">
        <f t="shared" si="46"/>
        <v>0</v>
      </c>
      <c r="I1061" s="607">
        <v>43096</v>
      </c>
      <c r="J1061" s="606" t="s">
        <v>1951</v>
      </c>
      <c r="K1061" s="557">
        <v>1031</v>
      </c>
      <c r="L1061" s="605">
        <v>43066</v>
      </c>
      <c r="M1061" s="157">
        <v>1725</v>
      </c>
      <c r="N1061" s="156">
        <f t="shared" si="45"/>
        <v>17250</v>
      </c>
      <c r="O1061" s="189" t="s">
        <v>587</v>
      </c>
      <c r="P1061" s="154" t="s">
        <v>1940</v>
      </c>
      <c r="Q1061" s="602" t="s">
        <v>1952</v>
      </c>
      <c r="R1061" s="377" t="s">
        <v>908</v>
      </c>
      <c r="S1061" s="602" t="s">
        <v>422</v>
      </c>
      <c r="T1061" s="602" t="s">
        <v>423</v>
      </c>
      <c r="U1061" s="67"/>
      <c r="V1061" s="153"/>
    </row>
    <row r="1062" spans="1:23" s="365" customFormat="1" ht="15" customHeight="1">
      <c r="A1062" s="306">
        <v>1068</v>
      </c>
      <c r="B1062" s="611" t="s">
        <v>1954</v>
      </c>
      <c r="C1062" s="610"/>
      <c r="D1062" s="601" t="s">
        <v>1022</v>
      </c>
      <c r="E1062" s="535" t="s">
        <v>1028</v>
      </c>
      <c r="F1062" s="609">
        <v>1</v>
      </c>
      <c r="G1062" s="608">
        <v>1</v>
      </c>
      <c r="H1062" s="608">
        <f t="shared" si="46"/>
        <v>0</v>
      </c>
      <c r="I1062" s="607">
        <v>43100</v>
      </c>
      <c r="J1062" s="606" t="s">
        <v>1955</v>
      </c>
      <c r="K1062" s="612">
        <v>1037</v>
      </c>
      <c r="L1062" s="605">
        <v>43097</v>
      </c>
      <c r="M1062" s="604">
        <v>4755</v>
      </c>
      <c r="N1062" s="603">
        <f t="shared" si="45"/>
        <v>4755</v>
      </c>
      <c r="O1062" s="602" t="s">
        <v>587</v>
      </c>
      <c r="P1062" s="602" t="s">
        <v>1940</v>
      </c>
      <c r="Q1062" s="602" t="s">
        <v>1956</v>
      </c>
      <c r="R1062" s="377" t="s">
        <v>908</v>
      </c>
      <c r="S1062" s="602" t="s">
        <v>422</v>
      </c>
      <c r="T1062" s="602" t="s">
        <v>423</v>
      </c>
      <c r="U1062" s="600"/>
      <c r="V1062" s="601"/>
    </row>
    <row r="1063" spans="1:23" s="365" customFormat="1" ht="15" customHeight="1">
      <c r="A1063" s="306">
        <v>1069</v>
      </c>
      <c r="B1063" s="611" t="s">
        <v>1954</v>
      </c>
      <c r="C1063" s="610"/>
      <c r="D1063" s="601" t="s">
        <v>1180</v>
      </c>
      <c r="E1063" s="535" t="s">
        <v>1182</v>
      </c>
      <c r="F1063" s="609">
        <v>6</v>
      </c>
      <c r="G1063" s="608">
        <v>6</v>
      </c>
      <c r="H1063" s="608">
        <f t="shared" si="46"/>
        <v>0</v>
      </c>
      <c r="I1063" s="607">
        <v>43100</v>
      </c>
      <c r="J1063" s="606" t="s">
        <v>1955</v>
      </c>
      <c r="K1063" s="612">
        <v>1037</v>
      </c>
      <c r="L1063" s="605">
        <v>43097</v>
      </c>
      <c r="M1063" s="604">
        <v>2175</v>
      </c>
      <c r="N1063" s="603">
        <f t="shared" si="45"/>
        <v>13050</v>
      </c>
      <c r="O1063" s="602" t="s">
        <v>587</v>
      </c>
      <c r="P1063" s="602" t="s">
        <v>1940</v>
      </c>
      <c r="Q1063" s="602" t="s">
        <v>1956</v>
      </c>
      <c r="R1063" s="377" t="s">
        <v>908</v>
      </c>
      <c r="S1063" s="602" t="s">
        <v>422</v>
      </c>
      <c r="T1063" s="602" t="s">
        <v>423</v>
      </c>
      <c r="U1063" s="600"/>
      <c r="V1063" s="601"/>
    </row>
    <row r="1064" spans="1:23" s="365" customFormat="1" ht="15" hidden="1" customHeight="1">
      <c r="A1064" s="306">
        <v>1070</v>
      </c>
      <c r="B1064" s="611" t="s">
        <v>1957</v>
      </c>
      <c r="C1064" s="610"/>
      <c r="D1064" s="601" t="s">
        <v>51</v>
      </c>
      <c r="E1064" s="6" t="s">
        <v>50</v>
      </c>
      <c r="F1064" s="609">
        <v>1</v>
      </c>
      <c r="G1064" s="608">
        <v>1</v>
      </c>
      <c r="H1064" s="608">
        <f t="shared" si="46"/>
        <v>0</v>
      </c>
      <c r="I1064" s="607">
        <v>43100</v>
      </c>
      <c r="J1064" s="606" t="s">
        <v>1047</v>
      </c>
      <c r="K1064" s="612">
        <v>1034</v>
      </c>
      <c r="L1064" s="605">
        <v>43066</v>
      </c>
      <c r="M1064" s="604">
        <v>2550</v>
      </c>
      <c r="N1064" s="603">
        <f t="shared" si="45"/>
        <v>2550</v>
      </c>
      <c r="O1064" s="602" t="s">
        <v>587</v>
      </c>
      <c r="P1064" s="602" t="s">
        <v>844</v>
      </c>
      <c r="Q1064" s="602" t="s">
        <v>1958</v>
      </c>
      <c r="R1064" s="377" t="s">
        <v>908</v>
      </c>
      <c r="S1064" s="602" t="s">
        <v>422</v>
      </c>
      <c r="T1064" s="602" t="s">
        <v>423</v>
      </c>
      <c r="U1064" s="600"/>
      <c r="V1064" s="601"/>
    </row>
    <row r="1065" spans="1:23" s="365" customFormat="1" ht="15" hidden="1" customHeight="1">
      <c r="A1065" s="306">
        <v>1071</v>
      </c>
      <c r="B1065" s="611" t="s">
        <v>1959</v>
      </c>
      <c r="C1065" s="610"/>
      <c r="D1065" s="601" t="s">
        <v>64</v>
      </c>
      <c r="E1065" s="6" t="s">
        <v>63</v>
      </c>
      <c r="F1065" s="609">
        <v>20</v>
      </c>
      <c r="G1065" s="608">
        <v>20</v>
      </c>
      <c r="H1065" s="608">
        <f t="shared" si="46"/>
        <v>0</v>
      </c>
      <c r="I1065" s="607">
        <v>43101</v>
      </c>
      <c r="J1065" s="606" t="s">
        <v>611</v>
      </c>
      <c r="K1065" s="612">
        <v>1039</v>
      </c>
      <c r="L1065" s="605">
        <v>43097</v>
      </c>
      <c r="M1065" s="604">
        <v>2275</v>
      </c>
      <c r="N1065" s="603">
        <f t="shared" si="45"/>
        <v>45500</v>
      </c>
      <c r="O1065" s="602" t="s">
        <v>587</v>
      </c>
      <c r="P1065" s="602" t="s">
        <v>1940</v>
      </c>
      <c r="Q1065" s="602" t="s">
        <v>1976</v>
      </c>
      <c r="R1065" s="377" t="s">
        <v>908</v>
      </c>
      <c r="S1065" s="602" t="s">
        <v>422</v>
      </c>
      <c r="T1065" s="602" t="s">
        <v>423</v>
      </c>
      <c r="U1065" s="600"/>
      <c r="V1065" s="601"/>
    </row>
    <row r="1066" spans="1:23" s="365" customFormat="1" ht="15" hidden="1" customHeight="1">
      <c r="A1066" s="306">
        <v>1072</v>
      </c>
      <c r="B1066" s="611" t="s">
        <v>1960</v>
      </c>
      <c r="C1066" s="610"/>
      <c r="D1066" s="601" t="s">
        <v>71</v>
      </c>
      <c r="E1066" s="350" t="s">
        <v>65</v>
      </c>
      <c r="F1066" s="609">
        <v>3</v>
      </c>
      <c r="G1066" s="608">
        <v>3</v>
      </c>
      <c r="H1066" s="608">
        <f t="shared" si="46"/>
        <v>0</v>
      </c>
      <c r="I1066" s="607">
        <v>43100</v>
      </c>
      <c r="J1066" s="606" t="s">
        <v>1961</v>
      </c>
      <c r="K1066" s="612">
        <v>1038</v>
      </c>
      <c r="L1066" s="605">
        <v>43097</v>
      </c>
      <c r="M1066" s="604">
        <v>1975</v>
      </c>
      <c r="N1066" s="603">
        <f t="shared" si="45"/>
        <v>5925</v>
      </c>
      <c r="O1066" s="602" t="s">
        <v>587</v>
      </c>
      <c r="P1066" s="602" t="s">
        <v>555</v>
      </c>
      <c r="Q1066" s="602" t="s">
        <v>1968</v>
      </c>
      <c r="R1066" s="377" t="s">
        <v>908</v>
      </c>
      <c r="S1066" s="602" t="s">
        <v>422</v>
      </c>
      <c r="T1066" s="602" t="s">
        <v>423</v>
      </c>
      <c r="U1066" s="600"/>
      <c r="V1066" s="601"/>
    </row>
    <row r="1067" spans="1:23" s="365" customFormat="1" ht="15" hidden="1" customHeight="1">
      <c r="A1067" s="306">
        <v>1073</v>
      </c>
      <c r="B1067" s="611" t="s">
        <v>1960</v>
      </c>
      <c r="C1067" s="610"/>
      <c r="D1067" s="601" t="s">
        <v>52</v>
      </c>
      <c r="E1067" s="6" t="s">
        <v>50</v>
      </c>
      <c r="F1067" s="609">
        <v>9</v>
      </c>
      <c r="G1067" s="608">
        <v>9</v>
      </c>
      <c r="H1067" s="608">
        <f t="shared" si="46"/>
        <v>0</v>
      </c>
      <c r="I1067" s="607">
        <v>43100</v>
      </c>
      <c r="J1067" s="606" t="s">
        <v>1961</v>
      </c>
      <c r="K1067" s="612">
        <v>1038</v>
      </c>
      <c r="L1067" s="605">
        <v>43097</v>
      </c>
      <c r="M1067" s="604">
        <v>1485</v>
      </c>
      <c r="N1067" s="603">
        <f t="shared" si="45"/>
        <v>13365</v>
      </c>
      <c r="O1067" s="602" t="s">
        <v>587</v>
      </c>
      <c r="P1067" s="602" t="s">
        <v>555</v>
      </c>
      <c r="Q1067" s="602" t="s">
        <v>1968</v>
      </c>
      <c r="R1067" s="377" t="s">
        <v>908</v>
      </c>
      <c r="S1067" s="602" t="s">
        <v>422</v>
      </c>
      <c r="T1067" s="602" t="s">
        <v>423</v>
      </c>
      <c r="U1067" s="600"/>
      <c r="V1067" s="601"/>
      <c r="W1067" s="273"/>
    </row>
    <row r="1068" spans="1:23" s="549" customFormat="1" ht="15" hidden="1" customHeight="1">
      <c r="A1068" s="306">
        <v>1074</v>
      </c>
      <c r="B1068" s="611"/>
      <c r="C1068" s="610"/>
      <c r="D1068" s="601" t="s">
        <v>90</v>
      </c>
      <c r="E1068" s="546" t="s">
        <v>89</v>
      </c>
      <c r="F1068" s="609">
        <v>2</v>
      </c>
      <c r="G1068" s="608">
        <v>2</v>
      </c>
      <c r="H1068" s="608">
        <f t="shared" si="46"/>
        <v>0</v>
      </c>
      <c r="I1068" s="607">
        <v>43100</v>
      </c>
      <c r="J1068" s="606" t="s">
        <v>1962</v>
      </c>
      <c r="K1068" s="612">
        <v>1041</v>
      </c>
      <c r="L1068" s="605">
        <v>43100</v>
      </c>
      <c r="M1068" s="604">
        <v>290</v>
      </c>
      <c r="N1068" s="603">
        <f t="shared" si="45"/>
        <v>580</v>
      </c>
      <c r="O1068" s="602" t="s">
        <v>587</v>
      </c>
      <c r="P1068" s="602" t="s">
        <v>995</v>
      </c>
      <c r="Q1068" s="602" t="s">
        <v>1967</v>
      </c>
      <c r="R1068" s="377" t="s">
        <v>908</v>
      </c>
      <c r="S1068" s="602" t="s">
        <v>422</v>
      </c>
      <c r="T1068" s="602" t="s">
        <v>423</v>
      </c>
      <c r="U1068" s="600"/>
      <c r="V1068" s="601"/>
      <c r="W1068" s="276"/>
    </row>
    <row r="1069" spans="1:23" s="549" customFormat="1" ht="15" hidden="1" customHeight="1">
      <c r="A1069" s="306">
        <v>1075</v>
      </c>
      <c r="B1069" s="611"/>
      <c r="C1069" s="610"/>
      <c r="D1069" s="601" t="s">
        <v>90</v>
      </c>
      <c r="E1069" s="546" t="s">
        <v>89</v>
      </c>
      <c r="F1069" s="609">
        <v>2</v>
      </c>
      <c r="G1069" s="608">
        <v>2</v>
      </c>
      <c r="H1069" s="608">
        <f t="shared" si="46"/>
        <v>0</v>
      </c>
      <c r="I1069" s="607">
        <v>43100</v>
      </c>
      <c r="J1069" s="606" t="s">
        <v>1963</v>
      </c>
      <c r="K1069" s="612">
        <v>1040</v>
      </c>
      <c r="L1069" s="605">
        <v>43100</v>
      </c>
      <c r="M1069" s="604">
        <v>290</v>
      </c>
      <c r="N1069" s="603">
        <f t="shared" si="45"/>
        <v>580</v>
      </c>
      <c r="O1069" s="602" t="s">
        <v>587</v>
      </c>
      <c r="P1069" s="602" t="s">
        <v>995</v>
      </c>
      <c r="Q1069" s="602" t="s">
        <v>1967</v>
      </c>
      <c r="R1069" s="377" t="s">
        <v>908</v>
      </c>
      <c r="S1069" s="602" t="s">
        <v>422</v>
      </c>
      <c r="T1069" s="602" t="s">
        <v>423</v>
      </c>
      <c r="U1069" s="600"/>
      <c r="V1069" s="601"/>
    </row>
    <row r="1070" spans="1:23" s="135" customFormat="1" ht="26.25" hidden="1" customHeight="1">
      <c r="A1070" s="306">
        <v>1076</v>
      </c>
      <c r="B1070" s="611" t="s">
        <v>1964</v>
      </c>
      <c r="C1070" s="610"/>
      <c r="D1070" s="601" t="s">
        <v>70</v>
      </c>
      <c r="E1070" s="6" t="s">
        <v>69</v>
      </c>
      <c r="F1070" s="609">
        <v>53</v>
      </c>
      <c r="G1070" s="608">
        <f>49+4</f>
        <v>53</v>
      </c>
      <c r="H1070" s="608">
        <f t="shared" si="46"/>
        <v>0</v>
      </c>
      <c r="I1070" s="736" t="s">
        <v>2007</v>
      </c>
      <c r="J1070" s="606" t="s">
        <v>1965</v>
      </c>
      <c r="K1070" s="612">
        <v>1036</v>
      </c>
      <c r="L1070" s="605">
        <v>43097</v>
      </c>
      <c r="M1070" s="604">
        <v>14150</v>
      </c>
      <c r="N1070" s="603">
        <f t="shared" si="45"/>
        <v>749950</v>
      </c>
      <c r="O1070" s="602" t="s">
        <v>587</v>
      </c>
      <c r="P1070" s="1076" t="s">
        <v>1993</v>
      </c>
      <c r="Q1070" s="1073" t="s">
        <v>1992</v>
      </c>
      <c r="R1070" s="377" t="s">
        <v>908</v>
      </c>
      <c r="S1070" s="602" t="s">
        <v>422</v>
      </c>
      <c r="T1070" s="602" t="s">
        <v>423</v>
      </c>
      <c r="U1070" s="67" t="s">
        <v>2004</v>
      </c>
      <c r="V1070" s="153"/>
    </row>
    <row r="1071" spans="1:23" s="135" customFormat="1" ht="15" hidden="1" customHeight="1">
      <c r="A1071" s="306">
        <v>1077</v>
      </c>
      <c r="B1071" s="611" t="s">
        <v>1964</v>
      </c>
      <c r="C1071" s="161"/>
      <c r="D1071" s="601" t="s">
        <v>91</v>
      </c>
      <c r="E1071" s="6" t="s">
        <v>50</v>
      </c>
      <c r="F1071" s="373">
        <v>53</v>
      </c>
      <c r="G1071" s="372">
        <v>53</v>
      </c>
      <c r="H1071" s="608">
        <f t="shared" si="46"/>
        <v>0</v>
      </c>
      <c r="I1071" s="607">
        <v>43101</v>
      </c>
      <c r="J1071" s="606" t="s">
        <v>1965</v>
      </c>
      <c r="K1071" s="612">
        <v>1036</v>
      </c>
      <c r="L1071" s="605">
        <v>43097</v>
      </c>
      <c r="M1071" s="157">
        <v>2700</v>
      </c>
      <c r="N1071" s="156">
        <f t="shared" si="45"/>
        <v>143100</v>
      </c>
      <c r="O1071" s="602" t="s">
        <v>587</v>
      </c>
      <c r="P1071" s="1074"/>
      <c r="Q1071" s="1074"/>
      <c r="R1071" s="377" t="s">
        <v>908</v>
      </c>
      <c r="S1071" s="602" t="s">
        <v>422</v>
      </c>
      <c r="T1071" s="602" t="s">
        <v>423</v>
      </c>
      <c r="U1071" s="67"/>
      <c r="V1071" s="153"/>
    </row>
    <row r="1072" spans="1:23" s="135" customFormat="1" ht="15" hidden="1" customHeight="1">
      <c r="A1072" s="306">
        <v>1078</v>
      </c>
      <c r="B1072" s="611" t="s">
        <v>1966</v>
      </c>
      <c r="C1072" s="161"/>
      <c r="D1072" s="185" t="s">
        <v>1022</v>
      </c>
      <c r="E1072" s="535" t="s">
        <v>1028</v>
      </c>
      <c r="F1072" s="373">
        <v>26</v>
      </c>
      <c r="G1072" s="373">
        <v>26</v>
      </c>
      <c r="H1072" s="608">
        <f t="shared" si="46"/>
        <v>0</v>
      </c>
      <c r="I1072" s="607">
        <v>43101</v>
      </c>
      <c r="J1072" s="606" t="s">
        <v>1965</v>
      </c>
      <c r="K1072" s="240">
        <v>1042</v>
      </c>
      <c r="L1072" s="605">
        <v>43097</v>
      </c>
      <c r="M1072" s="175">
        <v>4754</v>
      </c>
      <c r="N1072" s="172">
        <f t="shared" si="45"/>
        <v>123604</v>
      </c>
      <c r="O1072" s="602" t="s">
        <v>587</v>
      </c>
      <c r="P1072" s="1074"/>
      <c r="Q1072" s="1074"/>
      <c r="R1072" s="377" t="s">
        <v>908</v>
      </c>
      <c r="S1072" s="602" t="s">
        <v>422</v>
      </c>
      <c r="T1072" s="602" t="s">
        <v>423</v>
      </c>
      <c r="U1072" s="154"/>
      <c r="V1072" s="67"/>
      <c r="W1072" s="169"/>
    </row>
    <row r="1073" spans="1:23" s="135" customFormat="1" ht="15" hidden="1" customHeight="1">
      <c r="A1073" s="306">
        <v>1079</v>
      </c>
      <c r="B1073" s="611" t="s">
        <v>1966</v>
      </c>
      <c r="C1073" s="161"/>
      <c r="D1073" s="601" t="s">
        <v>246</v>
      </c>
      <c r="E1073" s="600" t="s">
        <v>258</v>
      </c>
      <c r="F1073" s="373">
        <v>5</v>
      </c>
      <c r="G1073" s="372">
        <v>5</v>
      </c>
      <c r="H1073" s="608">
        <f t="shared" si="46"/>
        <v>0</v>
      </c>
      <c r="I1073" s="607">
        <v>43101</v>
      </c>
      <c r="J1073" s="606" t="s">
        <v>1965</v>
      </c>
      <c r="K1073" s="557">
        <v>1042</v>
      </c>
      <c r="L1073" s="605">
        <v>43097</v>
      </c>
      <c r="M1073" s="157">
        <v>5981</v>
      </c>
      <c r="N1073" s="156">
        <f t="shared" si="45"/>
        <v>29905</v>
      </c>
      <c r="O1073" s="602" t="s">
        <v>587</v>
      </c>
      <c r="P1073" s="1075"/>
      <c r="Q1073" s="1075"/>
      <c r="R1073" s="377" t="s">
        <v>908</v>
      </c>
      <c r="S1073" s="602" t="s">
        <v>422</v>
      </c>
      <c r="T1073" s="602" t="s">
        <v>423</v>
      </c>
      <c r="U1073" s="67"/>
      <c r="V1073" s="153"/>
    </row>
    <row r="1074" spans="1:23" s="135" customFormat="1" ht="15" hidden="1" customHeight="1">
      <c r="A1074" s="306">
        <v>1080</v>
      </c>
      <c r="B1074" s="162"/>
      <c r="C1074" s="161"/>
      <c r="D1074" s="185" t="s">
        <v>37</v>
      </c>
      <c r="E1074" s="6" t="s">
        <v>36</v>
      </c>
      <c r="F1074" s="373">
        <v>1</v>
      </c>
      <c r="G1074" s="373">
        <v>1</v>
      </c>
      <c r="H1074" s="183">
        <f t="shared" si="46"/>
        <v>0</v>
      </c>
      <c r="I1074" s="607">
        <v>43101</v>
      </c>
      <c r="J1074" s="155" t="s">
        <v>634</v>
      </c>
      <c r="K1074" s="240" t="s">
        <v>1991</v>
      </c>
      <c r="L1074" s="371"/>
      <c r="M1074" s="175"/>
      <c r="N1074" s="603">
        <f t="shared" si="45"/>
        <v>0</v>
      </c>
      <c r="O1074" s="602" t="s">
        <v>587</v>
      </c>
      <c r="P1074" s="154" t="s">
        <v>555</v>
      </c>
      <c r="Q1074" s="160" t="s">
        <v>1970</v>
      </c>
      <c r="R1074" s="377" t="s">
        <v>908</v>
      </c>
      <c r="S1074" s="602" t="s">
        <v>1969</v>
      </c>
      <c r="T1074" s="154" t="s">
        <v>423</v>
      </c>
      <c r="U1074" s="154"/>
      <c r="V1074" s="67"/>
      <c r="W1074" s="169"/>
    </row>
    <row r="1075" spans="1:23" s="135" customFormat="1" ht="15" hidden="1" customHeight="1">
      <c r="A1075" s="306">
        <v>1081</v>
      </c>
      <c r="B1075" s="162"/>
      <c r="C1075" s="161"/>
      <c r="D1075" s="185" t="s">
        <v>224</v>
      </c>
      <c r="E1075" s="165" t="s">
        <v>941</v>
      </c>
      <c r="F1075" s="373">
        <v>20</v>
      </c>
      <c r="G1075" s="373">
        <v>20</v>
      </c>
      <c r="H1075" s="183">
        <f t="shared" si="46"/>
        <v>0</v>
      </c>
      <c r="I1075" s="607">
        <v>43101</v>
      </c>
      <c r="J1075" s="155" t="s">
        <v>564</v>
      </c>
      <c r="K1075" s="240">
        <v>1027</v>
      </c>
      <c r="L1075" s="371">
        <v>43064</v>
      </c>
      <c r="M1075" s="175">
        <f>3900/20</f>
        <v>195</v>
      </c>
      <c r="N1075" s="603">
        <f t="shared" si="45"/>
        <v>3900</v>
      </c>
      <c r="O1075" s="602" t="s">
        <v>1643</v>
      </c>
      <c r="P1075" s="154" t="s">
        <v>555</v>
      </c>
      <c r="Q1075" s="160" t="s">
        <v>1971</v>
      </c>
      <c r="R1075" s="377" t="s">
        <v>908</v>
      </c>
      <c r="S1075" s="413" t="s">
        <v>422</v>
      </c>
      <c r="T1075" s="154" t="s">
        <v>423</v>
      </c>
      <c r="U1075" s="388" t="s">
        <v>1972</v>
      </c>
      <c r="V1075" s="67"/>
      <c r="W1075" s="169"/>
    </row>
    <row r="1076" spans="1:23" s="365" customFormat="1" ht="15" hidden="1" customHeight="1">
      <c r="A1076" s="306">
        <v>1082</v>
      </c>
      <c r="B1076" s="611" t="s">
        <v>1974</v>
      </c>
      <c r="C1076" s="610"/>
      <c r="D1076" s="601" t="s">
        <v>70</v>
      </c>
      <c r="E1076" s="6" t="s">
        <v>69</v>
      </c>
      <c r="F1076" s="609">
        <v>1</v>
      </c>
      <c r="G1076" s="608">
        <v>1</v>
      </c>
      <c r="H1076" s="608">
        <f t="shared" si="46"/>
        <v>0</v>
      </c>
      <c r="I1076" s="607">
        <v>43111</v>
      </c>
      <c r="J1076" s="606" t="s">
        <v>1973</v>
      </c>
      <c r="K1076" s="612">
        <v>1043</v>
      </c>
      <c r="L1076" s="605">
        <v>43100</v>
      </c>
      <c r="M1076" s="604">
        <v>14775</v>
      </c>
      <c r="N1076" s="603">
        <f t="shared" si="45"/>
        <v>14775</v>
      </c>
      <c r="O1076" s="602" t="s">
        <v>587</v>
      </c>
      <c r="P1076" s="602" t="s">
        <v>555</v>
      </c>
      <c r="Q1076" s="602" t="s">
        <v>1986</v>
      </c>
      <c r="R1076" s="377" t="s">
        <v>908</v>
      </c>
      <c r="S1076" s="602" t="s">
        <v>422</v>
      </c>
      <c r="T1076" s="602" t="s">
        <v>423</v>
      </c>
      <c r="U1076" s="600" t="s">
        <v>2009</v>
      </c>
      <c r="V1076" s="601"/>
      <c r="W1076" s="273"/>
    </row>
    <row r="1077" spans="1:23" s="365" customFormat="1" ht="15" hidden="1" customHeight="1">
      <c r="A1077" s="306">
        <v>1083</v>
      </c>
      <c r="B1077" s="611" t="s">
        <v>1974</v>
      </c>
      <c r="C1077" s="610"/>
      <c r="D1077" s="601" t="s">
        <v>91</v>
      </c>
      <c r="E1077" s="6" t="s">
        <v>50</v>
      </c>
      <c r="F1077" s="609">
        <v>4</v>
      </c>
      <c r="G1077" s="608">
        <v>4</v>
      </c>
      <c r="H1077" s="608">
        <f t="shared" si="46"/>
        <v>0</v>
      </c>
      <c r="I1077" s="607">
        <v>43111</v>
      </c>
      <c r="J1077" s="606" t="s">
        <v>1973</v>
      </c>
      <c r="K1077" s="612">
        <v>1043</v>
      </c>
      <c r="L1077" s="605">
        <v>43100</v>
      </c>
      <c r="M1077" s="604">
        <v>2750</v>
      </c>
      <c r="N1077" s="603">
        <f t="shared" ref="N1077:N1082" si="47">IFERROR(M1077*G1077,0)</f>
        <v>11000</v>
      </c>
      <c r="O1077" s="602" t="s">
        <v>587</v>
      </c>
      <c r="P1077" s="602" t="s">
        <v>555</v>
      </c>
      <c r="Q1077" s="602"/>
      <c r="R1077" s="377" t="s">
        <v>908</v>
      </c>
      <c r="S1077" s="602" t="s">
        <v>422</v>
      </c>
      <c r="T1077" s="602" t="s">
        <v>423</v>
      </c>
      <c r="U1077" s="600"/>
      <c r="V1077" s="601"/>
      <c r="W1077" s="273"/>
    </row>
    <row r="1078" spans="1:23" s="365" customFormat="1" ht="15" hidden="1" customHeight="1">
      <c r="A1078" s="306">
        <v>1084</v>
      </c>
      <c r="B1078" s="611" t="s">
        <v>1974</v>
      </c>
      <c r="C1078" s="610"/>
      <c r="D1078" s="601" t="s">
        <v>29</v>
      </c>
      <c r="E1078" s="5" t="s">
        <v>28</v>
      </c>
      <c r="F1078" s="609">
        <v>5</v>
      </c>
      <c r="G1078" s="608">
        <v>5</v>
      </c>
      <c r="H1078" s="608">
        <f t="shared" si="46"/>
        <v>0</v>
      </c>
      <c r="I1078" s="607">
        <v>43111</v>
      </c>
      <c r="J1078" s="606" t="s">
        <v>1973</v>
      </c>
      <c r="K1078" s="612">
        <v>1043</v>
      </c>
      <c r="L1078" s="605">
        <v>43100</v>
      </c>
      <c r="M1078" s="604">
        <v>465</v>
      </c>
      <c r="N1078" s="603">
        <f t="shared" si="47"/>
        <v>2325</v>
      </c>
      <c r="O1078" s="602" t="s">
        <v>587</v>
      </c>
      <c r="P1078" s="602" t="s">
        <v>555</v>
      </c>
      <c r="Q1078" s="602"/>
      <c r="R1078" s="377" t="s">
        <v>908</v>
      </c>
      <c r="S1078" s="602" t="s">
        <v>422</v>
      </c>
      <c r="T1078" s="602" t="s">
        <v>423</v>
      </c>
      <c r="U1078" s="600"/>
      <c r="V1078" s="601"/>
    </row>
    <row r="1079" spans="1:23" s="365" customFormat="1" ht="15" hidden="1" customHeight="1">
      <c r="A1079" s="306">
        <v>1085</v>
      </c>
      <c r="B1079" s="611">
        <v>70023406</v>
      </c>
      <c r="C1079" s="610"/>
      <c r="D1079" s="601" t="s">
        <v>1498</v>
      </c>
      <c r="E1079" s="535" t="s">
        <v>1532</v>
      </c>
      <c r="F1079" s="609">
        <v>40</v>
      </c>
      <c r="G1079" s="608">
        <v>40</v>
      </c>
      <c r="H1079" s="608">
        <f t="shared" si="46"/>
        <v>0</v>
      </c>
      <c r="I1079" s="607">
        <v>43110</v>
      </c>
      <c r="J1079" s="606" t="s">
        <v>1975</v>
      </c>
      <c r="K1079" s="612">
        <v>1044</v>
      </c>
      <c r="L1079" s="605">
        <v>43455</v>
      </c>
      <c r="M1079" s="604">
        <v>695</v>
      </c>
      <c r="N1079" s="603">
        <f t="shared" si="47"/>
        <v>27800</v>
      </c>
      <c r="O1079" s="602" t="s">
        <v>587</v>
      </c>
      <c r="P1079" s="602" t="s">
        <v>1940</v>
      </c>
      <c r="Q1079" s="602" t="s">
        <v>1987</v>
      </c>
      <c r="R1079" s="377" t="s">
        <v>908</v>
      </c>
      <c r="S1079" s="602" t="s">
        <v>422</v>
      </c>
      <c r="T1079" s="602" t="s">
        <v>423</v>
      </c>
      <c r="U1079" s="600"/>
      <c r="V1079" s="601"/>
    </row>
    <row r="1080" spans="1:23" s="135" customFormat="1" ht="15" hidden="1" customHeight="1">
      <c r="A1080" s="306">
        <v>1086</v>
      </c>
      <c r="B1080" s="162" t="s">
        <v>1978</v>
      </c>
      <c r="C1080" s="161"/>
      <c r="D1080" s="601" t="s">
        <v>761</v>
      </c>
      <c r="E1080" s="178" t="s">
        <v>1979</v>
      </c>
      <c r="F1080" s="373">
        <v>50</v>
      </c>
      <c r="G1080" s="372">
        <v>50</v>
      </c>
      <c r="H1080" s="372">
        <f t="shared" si="46"/>
        <v>0</v>
      </c>
      <c r="I1080" s="160">
        <v>43455</v>
      </c>
      <c r="J1080" s="159" t="s">
        <v>1902</v>
      </c>
      <c r="K1080" s="239">
        <v>1013</v>
      </c>
      <c r="L1080" s="158">
        <v>43088</v>
      </c>
      <c r="M1080" s="157">
        <v>90</v>
      </c>
      <c r="N1080" s="603">
        <f t="shared" si="47"/>
        <v>4500</v>
      </c>
      <c r="O1080" s="602" t="s">
        <v>587</v>
      </c>
      <c r="P1080" s="154" t="s">
        <v>1981</v>
      </c>
      <c r="Q1080" s="602" t="s">
        <v>1980</v>
      </c>
      <c r="R1080" s="244" t="s">
        <v>908</v>
      </c>
      <c r="S1080" s="413" t="s">
        <v>422</v>
      </c>
      <c r="T1080" s="154" t="s">
        <v>423</v>
      </c>
      <c r="U1080" s="67"/>
      <c r="V1080" s="153"/>
    </row>
    <row r="1081" spans="1:23" s="135" customFormat="1" ht="15" hidden="1" customHeight="1">
      <c r="A1081" s="306">
        <v>1087</v>
      </c>
      <c r="B1081" s="162">
        <v>4501532795</v>
      </c>
      <c r="C1081" s="161"/>
      <c r="D1081" s="185" t="s">
        <v>939</v>
      </c>
      <c r="E1081" s="418" t="s">
        <v>940</v>
      </c>
      <c r="F1081" s="373">
        <v>16</v>
      </c>
      <c r="G1081" s="372">
        <v>16</v>
      </c>
      <c r="H1081" s="608">
        <f t="shared" si="46"/>
        <v>0</v>
      </c>
      <c r="I1081" s="160">
        <v>43110</v>
      </c>
      <c r="J1081" s="159" t="s">
        <v>1984</v>
      </c>
      <c r="K1081" s="239">
        <v>998</v>
      </c>
      <c r="L1081" s="158">
        <v>43079</v>
      </c>
      <c r="M1081" s="157">
        <f>2300/16</f>
        <v>143.75</v>
      </c>
      <c r="N1081" s="603">
        <f t="shared" si="47"/>
        <v>2300</v>
      </c>
      <c r="O1081" s="602" t="s">
        <v>587</v>
      </c>
      <c r="P1081" s="154" t="s">
        <v>555</v>
      </c>
      <c r="Q1081" s="154" t="s">
        <v>1985</v>
      </c>
      <c r="R1081" s="377" t="s">
        <v>908</v>
      </c>
      <c r="S1081" s="602" t="s">
        <v>422</v>
      </c>
      <c r="T1081" s="602" t="s">
        <v>423</v>
      </c>
      <c r="U1081" s="67"/>
      <c r="V1081" s="153"/>
      <c r="W1081" s="276"/>
    </row>
    <row r="1082" spans="1:23" s="135" customFormat="1" ht="15" hidden="1" customHeight="1">
      <c r="A1082" s="163">
        <v>1088</v>
      </c>
      <c r="B1082" s="206" t="s">
        <v>1798</v>
      </c>
      <c r="C1082" s="215" t="s">
        <v>1807</v>
      </c>
      <c r="D1082" s="186" t="s">
        <v>1239</v>
      </c>
      <c r="E1082" s="187" t="s">
        <v>1277</v>
      </c>
      <c r="F1082" s="609">
        <v>8</v>
      </c>
      <c r="G1082" s="608">
        <v>8</v>
      </c>
      <c r="H1082" s="608">
        <f t="shared" si="46"/>
        <v>0</v>
      </c>
      <c r="I1082" s="177">
        <v>43107</v>
      </c>
      <c r="J1082" s="606" t="s">
        <v>1799</v>
      </c>
      <c r="K1082" s="557">
        <v>936</v>
      </c>
      <c r="L1082" s="605">
        <v>43051</v>
      </c>
      <c r="M1082" s="604">
        <v>0</v>
      </c>
      <c r="N1082" s="603">
        <f t="shared" si="47"/>
        <v>0</v>
      </c>
      <c r="O1082" s="559" t="s">
        <v>587</v>
      </c>
      <c r="P1082" s="559" t="s">
        <v>1988</v>
      </c>
      <c r="Q1082" s="602" t="s">
        <v>1803</v>
      </c>
      <c r="R1082" s="377" t="s">
        <v>908</v>
      </c>
      <c r="S1082" s="559" t="s">
        <v>1989</v>
      </c>
      <c r="T1082" s="602" t="s">
        <v>423</v>
      </c>
      <c r="U1082" s="618"/>
      <c r="V1082" s="153"/>
    </row>
    <row r="1083" spans="1:23" s="135" customFormat="1" ht="15" hidden="1" customHeight="1">
      <c r="A1083" s="163"/>
      <c r="B1083" s="162"/>
      <c r="C1083" s="161"/>
      <c r="D1083" s="601"/>
      <c r="E1083" s="154"/>
      <c r="F1083" s="373"/>
      <c r="G1083" s="372"/>
      <c r="H1083" s="372"/>
      <c r="I1083" s="160"/>
      <c r="J1083" s="159"/>
      <c r="K1083" s="239"/>
      <c r="L1083" s="158"/>
      <c r="M1083" s="157"/>
      <c r="N1083" s="156"/>
      <c r="O1083" s="602"/>
      <c r="P1083" s="154"/>
      <c r="Q1083" s="154"/>
      <c r="R1083" s="244"/>
      <c r="S1083" s="413"/>
      <c r="T1083" s="154"/>
      <c r="U1083" s="67"/>
      <c r="V1083" s="153"/>
    </row>
    <row r="1084" spans="1:23" s="135" customFormat="1" ht="15" hidden="1" customHeight="1" thickBot="1">
      <c r="A1084" s="152"/>
      <c r="B1084" s="151"/>
      <c r="C1084" s="150"/>
      <c r="D1084" s="140"/>
      <c r="E1084" s="142"/>
      <c r="F1084" s="149"/>
      <c r="G1084" s="148"/>
      <c r="H1084" s="148"/>
      <c r="I1084" s="147"/>
      <c r="J1084" s="146"/>
      <c r="K1084" s="321"/>
      <c r="L1084" s="145"/>
      <c r="M1084" s="144"/>
      <c r="N1084" s="143"/>
      <c r="O1084" s="142"/>
      <c r="P1084" s="142"/>
      <c r="Q1084" s="142"/>
      <c r="R1084" s="147"/>
      <c r="S1084" s="142"/>
      <c r="T1084" s="142"/>
      <c r="U1084" s="141"/>
      <c r="V1084" s="140"/>
    </row>
    <row r="1085" spans="1:23" s="135" customFormat="1" ht="15" hidden="1" customHeight="1" thickBot="1">
      <c r="A1085" s="269"/>
      <c r="B1085" s="269"/>
      <c r="C1085" s="269"/>
      <c r="D1085" s="269"/>
      <c r="E1085" s="292">
        <f>SUBTOTAL(103,E2:E1084)</f>
        <v>25</v>
      </c>
      <c r="F1085" s="405"/>
      <c r="G1085" s="408"/>
      <c r="H1085" s="408"/>
      <c r="I1085" s="293"/>
      <c r="J1085" s="294"/>
      <c r="K1085" s="322"/>
      <c r="L1085" s="295"/>
      <c r="M1085" s="296"/>
      <c r="N1085" s="297">
        <f>SUM(N2:N70)</f>
        <v>901345</v>
      </c>
      <c r="O1085" s="680"/>
      <c r="P1085" s="298"/>
      <c r="Q1085" s="299"/>
      <c r="R1085" s="293"/>
      <c r="S1085" s="300"/>
      <c r="T1085" s="300"/>
      <c r="U1085" s="301"/>
      <c r="V1085" s="301"/>
    </row>
    <row r="1086" spans="1:23" s="135" customFormat="1" ht="15" hidden="1" customHeight="1">
      <c r="A1086" s="132"/>
      <c r="B1086" s="132"/>
      <c r="C1086" s="131"/>
      <c r="D1086" s="265"/>
      <c r="E1086" s="126"/>
      <c r="F1086" s="406"/>
      <c r="G1086" s="409"/>
      <c r="H1086" s="409"/>
      <c r="I1086" s="130"/>
      <c r="J1086" s="129"/>
      <c r="K1086" s="323"/>
      <c r="L1086" s="128"/>
      <c r="M1086" s="127"/>
      <c r="N1086" s="124"/>
      <c r="O1086" s="681"/>
      <c r="P1086" s="138"/>
      <c r="Q1086" s="138"/>
      <c r="R1086" s="130"/>
      <c r="S1086" s="139"/>
      <c r="T1086" s="139"/>
      <c r="U1086" s="138"/>
      <c r="V1086" s="125"/>
    </row>
    <row r="1087" spans="1:23" ht="15" hidden="1" customHeight="1">
      <c r="A1087" s="124"/>
      <c r="B1087" s="124"/>
      <c r="C1087" s="133"/>
      <c r="G1087" s="1077"/>
      <c r="H1087" s="1077"/>
      <c r="I1087" s="1077"/>
      <c r="J1087" s="1077"/>
      <c r="K1087" s="324"/>
      <c r="L1087" s="302"/>
      <c r="M1087" s="713" t="s">
        <v>1982</v>
      </c>
      <c r="N1087" s="137">
        <f>N1085</f>
        <v>901345</v>
      </c>
      <c r="O1087" s="682">
        <f>O1085</f>
        <v>0</v>
      </c>
      <c r="R1087" s="125"/>
      <c r="U1087" s="124"/>
      <c r="V1087" s="124"/>
      <c r="W1087" s="135"/>
    </row>
    <row r="1088" spans="1:23" ht="15" hidden="1" customHeight="1">
      <c r="D1088" s="267"/>
      <c r="G1088" s="1065"/>
      <c r="H1088" s="1065"/>
      <c r="I1088" s="1065"/>
      <c r="J1088" s="1065"/>
      <c r="K1088" s="325"/>
      <c r="L1088" s="136"/>
      <c r="M1088" s="714"/>
      <c r="N1088" s="135"/>
      <c r="O1088" s="365"/>
      <c r="P1088" s="132"/>
      <c r="Q1088" s="132"/>
      <c r="R1088" s="231"/>
      <c r="S1088" s="411"/>
      <c r="T1088" s="135"/>
      <c r="U1088" s="132"/>
      <c r="V1088" s="132"/>
      <c r="W1088" s="135"/>
    </row>
    <row r="1089" spans="1:22" ht="15" hidden="1" customHeight="1">
      <c r="A1089" s="286" t="s">
        <v>342</v>
      </c>
      <c r="B1089" s="124"/>
      <c r="C1089" s="133"/>
      <c r="G1089" s="1066"/>
      <c r="H1089" s="1066"/>
      <c r="I1089" s="1066"/>
      <c r="J1089" s="1066"/>
      <c r="K1089" s="324"/>
      <c r="L1089" s="302"/>
      <c r="M1089" s="713" t="s">
        <v>1983</v>
      </c>
      <c r="N1089" s="134">
        <f>N1087*3.75</f>
        <v>3380043.75</v>
      </c>
      <c r="O1089" s="683">
        <f>O1087*3.97</f>
        <v>0</v>
      </c>
      <c r="R1089" s="125"/>
      <c r="U1089" s="124"/>
      <c r="V1089" s="124"/>
    </row>
    <row r="1090" spans="1:22" ht="15" hidden="1" customHeight="1"/>
    <row r="1091" spans="1:22" hidden="1"/>
    <row r="1092" spans="1:22" hidden="1"/>
    <row r="1093" spans="1:22" hidden="1"/>
    <row r="1094" spans="1:22" hidden="1"/>
    <row r="1095" spans="1:22" hidden="1"/>
    <row r="1096" spans="1:22" hidden="1"/>
    <row r="1097" spans="1:22" hidden="1"/>
    <row r="1098" spans="1:22" ht="38.25" hidden="1" customHeight="1">
      <c r="A1098" s="124"/>
      <c r="B1098" s="124"/>
      <c r="C1098" s="133"/>
      <c r="D1098" s="268"/>
      <c r="E1098" s="124"/>
      <c r="F1098" s="268"/>
      <c r="G1098" s="406"/>
      <c r="H1098" s="406"/>
      <c r="I1098" s="125"/>
      <c r="J1098" s="124"/>
      <c r="R1098" s="125"/>
      <c r="U1098" s="124"/>
      <c r="V1098" s="125" t="s">
        <v>341</v>
      </c>
    </row>
  </sheetData>
  <autoFilter ref="A1:AAH1098">
    <filterColumn colId="9">
      <filters>
        <filter val="SAUDI MASS"/>
        <filter val="SAUDI MEDIA CO"/>
        <filter val="Saudi media sys"/>
        <filter val="Saudi Media Systems (SMS)"/>
        <filter val="Saudi Media Sysytems"/>
        <filter val="Saudi Media Sysytems (SMS)"/>
      </filters>
    </filterColumn>
  </autoFilter>
  <sortState ref="A1:W1093">
    <sortCondition ref="B1213"/>
  </sortState>
  <dataConsolidate/>
  <mergeCells count="7">
    <mergeCell ref="G1088:J1088"/>
    <mergeCell ref="G1089:J1089"/>
    <mergeCell ref="C1038:C1052"/>
    <mergeCell ref="B1038:B1052"/>
    <mergeCell ref="Q1070:Q1073"/>
    <mergeCell ref="P1070:P1073"/>
    <mergeCell ref="G1087:J1087"/>
  </mergeCells>
  <conditionalFormatting sqref="E631">
    <cfRule type="duplicateValues" dxfId="14" priority="232"/>
  </conditionalFormatting>
  <conditionalFormatting sqref="D2">
    <cfRule type="duplicateValues" dxfId="13" priority="51"/>
  </conditionalFormatting>
  <conditionalFormatting sqref="D2">
    <cfRule type="duplicateValues" dxfId="12" priority="50"/>
  </conditionalFormatting>
  <conditionalFormatting sqref="D2">
    <cfRule type="duplicateValues" priority="52"/>
  </conditionalFormatting>
  <conditionalFormatting sqref="D9">
    <cfRule type="duplicateValues" dxfId="11" priority="48"/>
  </conditionalFormatting>
  <conditionalFormatting sqref="D9">
    <cfRule type="duplicateValues" dxfId="10" priority="47"/>
  </conditionalFormatting>
  <conditionalFormatting sqref="D9">
    <cfRule type="duplicateValues" priority="49"/>
  </conditionalFormatting>
  <conditionalFormatting sqref="D26">
    <cfRule type="duplicateValues" dxfId="9" priority="45"/>
  </conditionalFormatting>
  <conditionalFormatting sqref="D26">
    <cfRule type="duplicateValues" dxfId="8" priority="44"/>
  </conditionalFormatting>
  <conditionalFormatting sqref="D26">
    <cfRule type="duplicateValues" priority="46"/>
  </conditionalFormatting>
  <conditionalFormatting sqref="D28">
    <cfRule type="duplicateValues" priority="43"/>
  </conditionalFormatting>
  <conditionalFormatting sqref="D40">
    <cfRule type="duplicateValues" priority="42"/>
  </conditionalFormatting>
  <conditionalFormatting sqref="D42">
    <cfRule type="duplicateValues" dxfId="7" priority="40"/>
  </conditionalFormatting>
  <conditionalFormatting sqref="D42">
    <cfRule type="duplicateValues" dxfId="6" priority="39"/>
  </conditionalFormatting>
  <conditionalFormatting sqref="D42">
    <cfRule type="duplicateValues" priority="41"/>
  </conditionalFormatting>
  <conditionalFormatting sqref="D43">
    <cfRule type="duplicateValues" dxfId="5" priority="37"/>
  </conditionalFormatting>
  <conditionalFormatting sqref="D43">
    <cfRule type="duplicateValues" dxfId="4" priority="36"/>
  </conditionalFormatting>
  <conditionalFormatting sqref="D43">
    <cfRule type="duplicateValues" priority="38"/>
  </conditionalFormatting>
  <conditionalFormatting sqref="D49">
    <cfRule type="duplicateValues" priority="35"/>
  </conditionalFormatting>
  <conditionalFormatting sqref="D52">
    <cfRule type="duplicateValues" priority="34"/>
  </conditionalFormatting>
  <conditionalFormatting sqref="D35">
    <cfRule type="duplicateValues" priority="33"/>
  </conditionalFormatting>
  <conditionalFormatting sqref="D36:D37">
    <cfRule type="duplicateValues" priority="32"/>
  </conditionalFormatting>
  <conditionalFormatting sqref="D345">
    <cfRule type="duplicateValues" dxfId="3" priority="30"/>
  </conditionalFormatting>
  <conditionalFormatting sqref="D345">
    <cfRule type="duplicateValues" dxfId="2" priority="29"/>
  </conditionalFormatting>
  <conditionalFormatting sqref="D345">
    <cfRule type="duplicateValues" priority="31"/>
  </conditionalFormatting>
  <conditionalFormatting sqref="D450">
    <cfRule type="duplicateValues" priority="28"/>
  </conditionalFormatting>
  <conditionalFormatting sqref="D451">
    <cfRule type="duplicateValues" priority="27"/>
  </conditionalFormatting>
  <conditionalFormatting sqref="D694">
    <cfRule type="duplicateValues" priority="26"/>
  </conditionalFormatting>
  <conditionalFormatting sqref="D692">
    <cfRule type="duplicateValues" dxfId="1" priority="24"/>
  </conditionalFormatting>
  <conditionalFormatting sqref="D692">
    <cfRule type="duplicateValues" dxfId="0" priority="23"/>
  </conditionalFormatting>
  <conditionalFormatting sqref="D692">
    <cfRule type="duplicateValues" priority="25"/>
  </conditionalFormatting>
  <conditionalFormatting sqref="D698">
    <cfRule type="duplicateValues" priority="22"/>
  </conditionalFormatting>
  <conditionalFormatting sqref="D675">
    <cfRule type="duplicateValues" priority="21"/>
  </conditionalFormatting>
  <conditionalFormatting sqref="D676">
    <cfRule type="duplicateValues" priority="20"/>
  </conditionalFormatting>
  <conditionalFormatting sqref="D680">
    <cfRule type="duplicateValues" priority="19"/>
  </conditionalFormatting>
  <conditionalFormatting sqref="D684">
    <cfRule type="duplicateValues" priority="18"/>
  </conditionalFormatting>
  <conditionalFormatting sqref="D688">
    <cfRule type="duplicateValues" priority="17"/>
  </conditionalFormatting>
  <conditionalFormatting sqref="D736">
    <cfRule type="duplicateValues" priority="16"/>
  </conditionalFormatting>
  <conditionalFormatting sqref="D737">
    <cfRule type="duplicateValues" priority="15"/>
  </conditionalFormatting>
  <conditionalFormatting sqref="D738">
    <cfRule type="duplicateValues" priority="14"/>
  </conditionalFormatting>
  <conditionalFormatting sqref="D739">
    <cfRule type="duplicateValues" priority="13"/>
  </conditionalFormatting>
  <conditionalFormatting sqref="D740">
    <cfRule type="duplicateValues" priority="12"/>
  </conditionalFormatting>
  <conditionalFormatting sqref="D741">
    <cfRule type="duplicateValues" priority="11"/>
  </conditionalFormatting>
  <conditionalFormatting sqref="D742">
    <cfRule type="duplicateValues" priority="10"/>
  </conditionalFormatting>
  <conditionalFormatting sqref="D743">
    <cfRule type="duplicateValues" priority="9"/>
  </conditionalFormatting>
  <conditionalFormatting sqref="D744">
    <cfRule type="duplicateValues" priority="8"/>
  </conditionalFormatting>
  <conditionalFormatting sqref="D745">
    <cfRule type="duplicateValues" priority="7"/>
  </conditionalFormatting>
  <conditionalFormatting sqref="D746">
    <cfRule type="duplicateValues" priority="6"/>
  </conditionalFormatting>
  <conditionalFormatting sqref="D747">
    <cfRule type="duplicateValues" priority="5"/>
  </conditionalFormatting>
  <conditionalFormatting sqref="D748">
    <cfRule type="duplicateValues" priority="4"/>
  </conditionalFormatting>
  <conditionalFormatting sqref="D749">
    <cfRule type="duplicateValues" priority="3"/>
  </conditionalFormatting>
  <conditionalFormatting sqref="D732">
    <cfRule type="duplicateValues" priority="2"/>
  </conditionalFormatting>
  <conditionalFormatting sqref="D733">
    <cfRule type="duplicateValues" priority="1"/>
  </conditionalFormatting>
  <pageMargins left="0.7" right="0.7" top="0.75" bottom="0.75" header="0.3" footer="0.3"/>
  <pageSetup paperSize="9" orientation="landscape" r:id="rId1"/>
  <colBreaks count="1" manualBreakCount="1">
    <brk id="22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W183"/>
  <sheetViews>
    <sheetView workbookViewId="0">
      <selection activeCell="M19" sqref="M19"/>
    </sheetView>
  </sheetViews>
  <sheetFormatPr defaultColWidth="9.109375" defaultRowHeight="13.8"/>
  <cols>
    <col min="1" max="1" width="7.109375" style="489" customWidth="1"/>
    <col min="2" max="2" width="20" style="489" bestFit="1" customWidth="1"/>
    <col min="3" max="3" width="12.6640625" style="489" bestFit="1" customWidth="1"/>
    <col min="4" max="4" width="8.33203125" style="489" customWidth="1"/>
    <col min="5" max="5" width="9.44140625" style="489" bestFit="1" customWidth="1"/>
    <col min="6" max="6" width="30.109375" style="489" customWidth="1"/>
    <col min="7" max="7" width="17.6640625" style="489" customWidth="1"/>
    <col min="8" max="8" width="9.109375" style="489"/>
    <col min="9" max="9" width="13.6640625" style="489" customWidth="1"/>
    <col min="10" max="10" width="9.109375" style="489"/>
    <col min="11" max="12" width="38.6640625" style="489" customWidth="1"/>
    <col min="13" max="16384" width="9.109375" style="489"/>
  </cols>
  <sheetData>
    <row r="1" spans="1:699" s="231" customFormat="1" ht="25.5" customHeight="1">
      <c r="A1" s="246" t="s">
        <v>367</v>
      </c>
      <c r="B1" s="445" t="s">
        <v>364</v>
      </c>
      <c r="C1" s="446" t="s">
        <v>2</v>
      </c>
      <c r="D1" s="447" t="s">
        <v>922</v>
      </c>
      <c r="E1" s="448" t="s">
        <v>360</v>
      </c>
      <c r="F1" s="246" t="s">
        <v>359</v>
      </c>
      <c r="G1" s="246" t="s">
        <v>352</v>
      </c>
      <c r="H1" s="449" t="s">
        <v>923</v>
      </c>
      <c r="I1" s="444" t="s">
        <v>924</v>
      </c>
      <c r="J1" s="246" t="s">
        <v>925</v>
      </c>
      <c r="K1" s="246" t="s">
        <v>348</v>
      </c>
      <c r="L1" s="246" t="s">
        <v>927</v>
      </c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  <c r="IV1" s="232"/>
      <c r="IW1" s="232"/>
      <c r="IX1" s="232"/>
      <c r="IY1" s="232"/>
      <c r="IZ1" s="232"/>
      <c r="JA1" s="232"/>
      <c r="JB1" s="232"/>
      <c r="JC1" s="232"/>
      <c r="JD1" s="232"/>
      <c r="JE1" s="232"/>
      <c r="JF1" s="232"/>
      <c r="JG1" s="232"/>
      <c r="JH1" s="232"/>
      <c r="JI1" s="232"/>
      <c r="JJ1" s="232"/>
      <c r="JK1" s="232"/>
      <c r="JL1" s="232"/>
      <c r="JM1" s="232"/>
      <c r="JN1" s="232"/>
      <c r="JO1" s="232"/>
      <c r="JP1" s="232"/>
      <c r="JQ1" s="232"/>
      <c r="JR1" s="232"/>
      <c r="JS1" s="232"/>
      <c r="JT1" s="232"/>
      <c r="JU1" s="232"/>
      <c r="JV1" s="232"/>
      <c r="JW1" s="232"/>
      <c r="JX1" s="232"/>
      <c r="JY1" s="232"/>
      <c r="JZ1" s="232"/>
      <c r="KA1" s="232"/>
      <c r="KB1" s="232"/>
      <c r="KC1" s="232"/>
      <c r="KD1" s="232"/>
      <c r="KE1" s="232"/>
      <c r="KF1" s="232"/>
      <c r="KG1" s="232"/>
      <c r="KH1" s="232"/>
      <c r="KI1" s="232"/>
      <c r="KJ1" s="232"/>
      <c r="KK1" s="232"/>
      <c r="KL1" s="232"/>
      <c r="KM1" s="232"/>
      <c r="KN1" s="232"/>
      <c r="KO1" s="232"/>
      <c r="KP1" s="232"/>
      <c r="KQ1" s="232"/>
      <c r="KR1" s="232"/>
      <c r="KS1" s="232"/>
      <c r="KT1" s="232"/>
      <c r="KU1" s="232"/>
      <c r="KV1" s="232"/>
      <c r="KW1" s="232"/>
      <c r="KX1" s="232"/>
      <c r="KY1" s="232"/>
      <c r="KZ1" s="232"/>
      <c r="LA1" s="232"/>
      <c r="LB1" s="232"/>
      <c r="LC1" s="232"/>
      <c r="LD1" s="232"/>
      <c r="LE1" s="232"/>
      <c r="LF1" s="232"/>
      <c r="LG1" s="232"/>
      <c r="LH1" s="232"/>
      <c r="LI1" s="232"/>
      <c r="LJ1" s="232"/>
      <c r="LK1" s="232"/>
      <c r="LL1" s="232"/>
      <c r="LM1" s="232"/>
      <c r="LN1" s="232"/>
      <c r="LO1" s="232"/>
      <c r="LP1" s="232"/>
      <c r="LQ1" s="232"/>
      <c r="LR1" s="232"/>
      <c r="LS1" s="232"/>
      <c r="LT1" s="232"/>
      <c r="LU1" s="232"/>
      <c r="LV1" s="232"/>
      <c r="LW1" s="232"/>
      <c r="LX1" s="232"/>
      <c r="LY1" s="232"/>
      <c r="LZ1" s="232"/>
      <c r="MA1" s="232"/>
      <c r="MB1" s="232"/>
      <c r="MC1" s="232"/>
      <c r="MD1" s="232"/>
      <c r="ME1" s="232"/>
      <c r="MF1" s="232"/>
      <c r="MG1" s="232"/>
      <c r="MH1" s="232"/>
      <c r="MI1" s="232"/>
      <c r="MJ1" s="232"/>
      <c r="MK1" s="232"/>
      <c r="ML1" s="232"/>
      <c r="MM1" s="232"/>
      <c r="MN1" s="232"/>
      <c r="MO1" s="232"/>
      <c r="MP1" s="232"/>
      <c r="MQ1" s="232"/>
      <c r="MR1" s="232"/>
      <c r="MS1" s="232"/>
      <c r="MT1" s="232"/>
      <c r="MU1" s="232"/>
      <c r="MV1" s="232"/>
      <c r="MW1" s="232"/>
      <c r="MX1" s="232"/>
      <c r="MY1" s="232"/>
      <c r="MZ1" s="232"/>
      <c r="NA1" s="232"/>
      <c r="NB1" s="232"/>
      <c r="NC1" s="232"/>
      <c r="ND1" s="232"/>
      <c r="NE1" s="232"/>
      <c r="NF1" s="232"/>
      <c r="NG1" s="232"/>
      <c r="NH1" s="232"/>
      <c r="NI1" s="232"/>
      <c r="NJ1" s="232"/>
      <c r="NK1" s="232"/>
      <c r="NL1" s="232"/>
      <c r="NM1" s="232"/>
      <c r="NN1" s="232"/>
      <c r="NO1" s="232"/>
      <c r="NP1" s="232"/>
      <c r="NQ1" s="232"/>
      <c r="NR1" s="232"/>
      <c r="NS1" s="232"/>
      <c r="NT1" s="232"/>
      <c r="NU1" s="232"/>
      <c r="NV1" s="232"/>
      <c r="NW1" s="232"/>
      <c r="NX1" s="232"/>
      <c r="NY1" s="232"/>
      <c r="NZ1" s="232"/>
      <c r="OA1" s="232"/>
      <c r="OB1" s="232"/>
      <c r="OC1" s="232"/>
      <c r="OD1" s="232"/>
      <c r="OE1" s="232"/>
      <c r="OF1" s="232"/>
      <c r="OG1" s="232"/>
      <c r="OH1" s="232"/>
      <c r="OI1" s="232"/>
      <c r="OJ1" s="232"/>
      <c r="OK1" s="232"/>
      <c r="OL1" s="232"/>
      <c r="OM1" s="232"/>
      <c r="ON1" s="232"/>
      <c r="OO1" s="232"/>
      <c r="OP1" s="232"/>
      <c r="OQ1" s="232"/>
      <c r="OR1" s="232"/>
      <c r="OS1" s="232"/>
      <c r="OT1" s="232"/>
      <c r="OU1" s="232"/>
      <c r="OV1" s="232"/>
      <c r="OW1" s="232"/>
      <c r="OX1" s="232"/>
      <c r="OY1" s="232"/>
      <c r="OZ1" s="232"/>
      <c r="PA1" s="232"/>
      <c r="PB1" s="232"/>
      <c r="PC1" s="232"/>
      <c r="PD1" s="232"/>
      <c r="PE1" s="232"/>
      <c r="PF1" s="232"/>
      <c r="PG1" s="232"/>
      <c r="PH1" s="232"/>
      <c r="PI1" s="232"/>
      <c r="PJ1" s="232"/>
      <c r="PK1" s="232"/>
      <c r="PL1" s="232"/>
      <c r="PM1" s="232"/>
      <c r="PN1" s="232"/>
      <c r="PO1" s="232"/>
      <c r="PP1" s="232"/>
      <c r="PQ1" s="232"/>
      <c r="PR1" s="232"/>
      <c r="PS1" s="232"/>
      <c r="PT1" s="232"/>
      <c r="PU1" s="232"/>
      <c r="PV1" s="232"/>
      <c r="PW1" s="232"/>
      <c r="PX1" s="232"/>
      <c r="PY1" s="232"/>
      <c r="PZ1" s="232"/>
      <c r="QA1" s="232"/>
      <c r="QB1" s="232"/>
      <c r="QC1" s="232"/>
      <c r="QD1" s="232"/>
      <c r="QE1" s="232"/>
      <c r="QF1" s="232"/>
      <c r="QG1" s="232"/>
      <c r="QH1" s="232"/>
      <c r="QI1" s="232"/>
      <c r="QJ1" s="232"/>
      <c r="QK1" s="232"/>
      <c r="QL1" s="232"/>
      <c r="QM1" s="232"/>
      <c r="QN1" s="232"/>
      <c r="QO1" s="232"/>
      <c r="QP1" s="232"/>
      <c r="QQ1" s="232"/>
      <c r="QR1" s="232"/>
      <c r="QS1" s="232"/>
      <c r="QT1" s="232"/>
      <c r="QU1" s="232"/>
      <c r="QV1" s="232"/>
      <c r="QW1" s="232"/>
      <c r="QX1" s="232"/>
      <c r="QY1" s="232"/>
      <c r="QZ1" s="232"/>
      <c r="RA1" s="232"/>
      <c r="RB1" s="232"/>
      <c r="RC1" s="232"/>
      <c r="RD1" s="232"/>
      <c r="RE1" s="232"/>
      <c r="RF1" s="232"/>
      <c r="RG1" s="232"/>
      <c r="RH1" s="232"/>
      <c r="RI1" s="232"/>
      <c r="RJ1" s="232"/>
      <c r="RK1" s="232"/>
      <c r="RL1" s="232"/>
      <c r="RM1" s="232"/>
      <c r="RN1" s="232"/>
      <c r="RO1" s="232"/>
      <c r="RP1" s="232"/>
      <c r="RQ1" s="232"/>
      <c r="RR1" s="232"/>
      <c r="RS1" s="232"/>
      <c r="RT1" s="232"/>
      <c r="RU1" s="232"/>
      <c r="RV1" s="232"/>
      <c r="RW1" s="232"/>
      <c r="RX1" s="232"/>
      <c r="RY1" s="232"/>
      <c r="RZ1" s="232"/>
      <c r="SA1" s="232"/>
      <c r="SB1" s="232"/>
      <c r="SC1" s="232"/>
      <c r="SD1" s="232"/>
      <c r="SE1" s="232"/>
      <c r="SF1" s="232"/>
      <c r="SG1" s="232"/>
      <c r="SH1" s="232"/>
      <c r="SI1" s="232"/>
      <c r="SJ1" s="232"/>
      <c r="SK1" s="232"/>
      <c r="SL1" s="232"/>
      <c r="SM1" s="232"/>
      <c r="SN1" s="232"/>
      <c r="SO1" s="232"/>
      <c r="SP1" s="232"/>
      <c r="SQ1" s="232"/>
      <c r="SR1" s="232"/>
      <c r="SS1" s="232"/>
      <c r="ST1" s="232"/>
      <c r="SU1" s="232"/>
      <c r="SV1" s="232"/>
      <c r="SW1" s="232"/>
      <c r="SX1" s="232"/>
      <c r="SY1" s="232"/>
      <c r="SZ1" s="232"/>
      <c r="TA1" s="232"/>
      <c r="TB1" s="232"/>
      <c r="TC1" s="232"/>
      <c r="TD1" s="232"/>
      <c r="TE1" s="232"/>
      <c r="TF1" s="232"/>
      <c r="TG1" s="232"/>
      <c r="TH1" s="232"/>
      <c r="TI1" s="232"/>
      <c r="TJ1" s="232"/>
      <c r="TK1" s="232"/>
      <c r="TL1" s="232"/>
      <c r="TM1" s="232"/>
      <c r="TN1" s="232"/>
      <c r="TO1" s="232"/>
      <c r="TP1" s="232"/>
      <c r="TQ1" s="232"/>
      <c r="TR1" s="232"/>
      <c r="TS1" s="232"/>
      <c r="TT1" s="232"/>
      <c r="TU1" s="232"/>
      <c r="TV1" s="232"/>
      <c r="TW1" s="232"/>
      <c r="TX1" s="232"/>
      <c r="TY1" s="232"/>
      <c r="TZ1" s="232"/>
      <c r="UA1" s="232"/>
      <c r="UB1" s="232"/>
      <c r="UC1" s="232"/>
      <c r="UD1" s="232"/>
      <c r="UE1" s="232"/>
      <c r="UF1" s="232"/>
      <c r="UG1" s="232"/>
      <c r="UH1" s="232"/>
      <c r="UI1" s="232"/>
      <c r="UJ1" s="232"/>
      <c r="UK1" s="232"/>
      <c r="UL1" s="232"/>
      <c r="UM1" s="232"/>
      <c r="UN1" s="232"/>
      <c r="UO1" s="232"/>
      <c r="UP1" s="232"/>
      <c r="UQ1" s="232"/>
      <c r="UR1" s="232"/>
      <c r="US1" s="232"/>
      <c r="UT1" s="232"/>
      <c r="UU1" s="232"/>
      <c r="UV1" s="232"/>
      <c r="UW1" s="232"/>
      <c r="UX1" s="232"/>
      <c r="UY1" s="232"/>
      <c r="UZ1" s="232"/>
      <c r="VA1" s="232"/>
      <c r="VB1" s="232"/>
      <c r="VC1" s="232"/>
      <c r="VD1" s="232"/>
      <c r="VE1" s="232"/>
      <c r="VF1" s="232"/>
      <c r="VG1" s="232"/>
      <c r="VH1" s="232"/>
      <c r="VI1" s="232"/>
      <c r="VJ1" s="232"/>
      <c r="VK1" s="232"/>
      <c r="VL1" s="232"/>
      <c r="VM1" s="232"/>
      <c r="VN1" s="232"/>
      <c r="VO1" s="232"/>
      <c r="VP1" s="232"/>
      <c r="VQ1" s="232"/>
      <c r="VR1" s="232"/>
      <c r="VS1" s="232"/>
      <c r="VT1" s="232"/>
      <c r="VU1" s="232"/>
      <c r="VV1" s="232"/>
      <c r="VW1" s="232"/>
      <c r="VX1" s="232"/>
      <c r="VY1" s="232"/>
      <c r="VZ1" s="232"/>
      <c r="WA1" s="232"/>
      <c r="WB1" s="232"/>
      <c r="WC1" s="232"/>
      <c r="WD1" s="232"/>
      <c r="WE1" s="232"/>
      <c r="WF1" s="232"/>
      <c r="WG1" s="232"/>
      <c r="WH1" s="232"/>
      <c r="WI1" s="232"/>
      <c r="WJ1" s="232"/>
      <c r="WK1" s="232"/>
      <c r="WL1" s="232"/>
      <c r="WM1" s="232"/>
      <c r="WN1" s="232"/>
      <c r="WO1" s="232"/>
      <c r="WP1" s="232"/>
      <c r="WQ1" s="232"/>
      <c r="WR1" s="232"/>
      <c r="WS1" s="232"/>
      <c r="WT1" s="232"/>
      <c r="WU1" s="232"/>
      <c r="WV1" s="232"/>
      <c r="WW1" s="232"/>
      <c r="WX1" s="232"/>
      <c r="WY1" s="232"/>
      <c r="WZ1" s="232"/>
      <c r="XA1" s="232"/>
      <c r="XB1" s="232"/>
      <c r="XC1" s="232"/>
      <c r="XD1" s="232"/>
      <c r="XE1" s="232"/>
      <c r="XF1" s="232"/>
      <c r="XG1" s="232"/>
      <c r="XH1" s="232"/>
      <c r="XI1" s="232"/>
      <c r="XJ1" s="232"/>
      <c r="XK1" s="232"/>
      <c r="XL1" s="232"/>
      <c r="XM1" s="232"/>
      <c r="XN1" s="232"/>
      <c r="XO1" s="232"/>
      <c r="XP1" s="232"/>
      <c r="XQ1" s="232"/>
      <c r="XR1" s="232"/>
      <c r="XS1" s="232"/>
      <c r="XT1" s="232"/>
      <c r="XU1" s="232"/>
      <c r="XV1" s="232"/>
      <c r="XW1" s="232"/>
      <c r="XX1" s="232"/>
      <c r="XY1" s="232"/>
      <c r="XZ1" s="232"/>
      <c r="YA1" s="232"/>
      <c r="YB1" s="232"/>
      <c r="YC1" s="232"/>
      <c r="YD1" s="232"/>
      <c r="YE1" s="232"/>
      <c r="YF1" s="232"/>
      <c r="YG1" s="232"/>
      <c r="YH1" s="232"/>
      <c r="YI1" s="232"/>
      <c r="YJ1" s="232"/>
      <c r="YK1" s="232"/>
      <c r="YL1" s="232"/>
      <c r="YM1" s="232"/>
      <c r="YN1" s="232"/>
      <c r="YO1" s="232"/>
      <c r="YP1" s="232"/>
      <c r="YQ1" s="232"/>
      <c r="YR1" s="232"/>
      <c r="YS1" s="232"/>
      <c r="YT1" s="232"/>
      <c r="YU1" s="232"/>
      <c r="YV1" s="232"/>
      <c r="YW1" s="232"/>
      <c r="YX1" s="232"/>
      <c r="YY1" s="232"/>
      <c r="YZ1" s="232"/>
      <c r="ZA1" s="232"/>
      <c r="ZB1" s="232"/>
      <c r="ZC1" s="232"/>
      <c r="ZD1" s="232"/>
      <c r="ZE1" s="232"/>
      <c r="ZF1" s="232"/>
      <c r="ZG1" s="232"/>
      <c r="ZH1" s="232"/>
      <c r="ZI1" s="232"/>
      <c r="ZJ1" s="232"/>
      <c r="ZK1" s="232"/>
      <c r="ZL1" s="232"/>
      <c r="ZM1" s="232"/>
      <c r="ZN1" s="232"/>
      <c r="ZO1" s="232"/>
      <c r="ZP1" s="232"/>
      <c r="ZQ1" s="232"/>
      <c r="ZR1" s="232"/>
      <c r="ZS1" s="232"/>
      <c r="ZT1" s="232"/>
      <c r="ZU1" s="232"/>
      <c r="ZV1" s="232"/>
      <c r="ZW1" s="232"/>
    </row>
    <row r="2" spans="1:699" s="411" customFormat="1" ht="15" customHeight="1">
      <c r="A2" s="471">
        <v>1</v>
      </c>
      <c r="B2" s="472" t="s">
        <v>94</v>
      </c>
      <c r="C2" s="473" t="s">
        <v>95</v>
      </c>
      <c r="D2" s="474">
        <v>1</v>
      </c>
      <c r="E2" s="475">
        <v>42816</v>
      </c>
      <c r="F2" s="476" t="s">
        <v>787</v>
      </c>
      <c r="G2" s="450"/>
      <c r="H2" s="451" t="s">
        <v>926</v>
      </c>
      <c r="I2" s="452">
        <v>42835</v>
      </c>
      <c r="J2" s="450"/>
      <c r="K2" s="450" t="s">
        <v>921</v>
      </c>
      <c r="L2" s="477" t="s">
        <v>920</v>
      </c>
    </row>
    <row r="3" spans="1:699" s="365" customFormat="1" ht="15" customHeight="1">
      <c r="A3" s="478">
        <v>2</v>
      </c>
      <c r="B3" s="354" t="s">
        <v>69</v>
      </c>
      <c r="C3" s="479" t="s">
        <v>70</v>
      </c>
      <c r="D3" s="357">
        <v>2</v>
      </c>
      <c r="E3" s="480">
        <v>42834</v>
      </c>
      <c r="F3" s="481" t="s">
        <v>919</v>
      </c>
      <c r="G3" s="436"/>
      <c r="H3" s="310" t="s">
        <v>926</v>
      </c>
      <c r="I3" s="453">
        <v>42835</v>
      </c>
      <c r="J3" s="436"/>
      <c r="K3" s="436" t="s">
        <v>929</v>
      </c>
      <c r="L3" s="482" t="s">
        <v>920</v>
      </c>
    </row>
    <row r="4" spans="1:699">
      <c r="A4" s="484">
        <v>3</v>
      </c>
      <c r="B4" s="6" t="s">
        <v>69</v>
      </c>
      <c r="C4" s="379" t="s">
        <v>70</v>
      </c>
      <c r="D4" s="485">
        <v>1</v>
      </c>
      <c r="E4" s="486">
        <v>42759</v>
      </c>
      <c r="F4" s="483" t="s">
        <v>579</v>
      </c>
      <c r="G4" s="487"/>
      <c r="H4" s="310" t="s">
        <v>926</v>
      </c>
      <c r="I4" s="453">
        <v>42765</v>
      </c>
      <c r="J4" s="487"/>
      <c r="K4" s="487" t="s">
        <v>930</v>
      </c>
      <c r="L4" s="488"/>
    </row>
    <row r="5" spans="1:699">
      <c r="A5" s="484">
        <v>4</v>
      </c>
      <c r="B5" s="6" t="s">
        <v>50</v>
      </c>
      <c r="C5" s="354" t="s">
        <v>91</v>
      </c>
      <c r="D5" s="485">
        <v>1</v>
      </c>
      <c r="E5" s="486">
        <v>42759</v>
      </c>
      <c r="F5" s="483" t="s">
        <v>579</v>
      </c>
      <c r="G5" s="487"/>
      <c r="H5" s="310" t="s">
        <v>926</v>
      </c>
      <c r="I5" s="453">
        <v>42765</v>
      </c>
      <c r="J5" s="487"/>
      <c r="K5" s="487" t="s">
        <v>930</v>
      </c>
      <c r="L5" s="488"/>
    </row>
    <row r="6" spans="1:699">
      <c r="A6" s="484">
        <v>5</v>
      </c>
      <c r="B6" s="350" t="s">
        <v>38</v>
      </c>
      <c r="C6" s="613" t="s">
        <v>39</v>
      </c>
      <c r="D6" s="485">
        <v>1</v>
      </c>
      <c r="E6" s="490">
        <v>43030</v>
      </c>
      <c r="F6" s="487" t="s">
        <v>1693</v>
      </c>
      <c r="G6" s="487"/>
      <c r="H6" s="487" t="s">
        <v>926</v>
      </c>
      <c r="I6" s="486" t="s">
        <v>1676</v>
      </c>
      <c r="J6" s="487"/>
      <c r="K6" s="487" t="s">
        <v>1694</v>
      </c>
      <c r="L6" s="488" t="s">
        <v>1695</v>
      </c>
    </row>
    <row r="7" spans="1:699">
      <c r="A7" s="484">
        <v>6</v>
      </c>
      <c r="B7" s="487"/>
      <c r="C7" s="487"/>
      <c r="D7" s="487"/>
      <c r="E7" s="490"/>
      <c r="F7" s="487"/>
      <c r="G7" s="487"/>
      <c r="H7" s="487"/>
      <c r="I7" s="490"/>
      <c r="J7" s="487"/>
      <c r="K7" s="487"/>
      <c r="L7" s="488"/>
    </row>
    <row r="8" spans="1:699">
      <c r="A8" s="484">
        <v>7</v>
      </c>
      <c r="B8" s="487"/>
      <c r="C8" s="487"/>
      <c r="D8" s="487"/>
      <c r="E8" s="490"/>
      <c r="F8" s="487"/>
      <c r="G8" s="487"/>
      <c r="H8" s="487"/>
      <c r="I8" s="490"/>
      <c r="J8" s="487"/>
      <c r="K8" s="487"/>
      <c r="L8" s="488"/>
    </row>
    <row r="9" spans="1:699">
      <c r="A9" s="484">
        <v>8</v>
      </c>
      <c r="B9" s="487"/>
      <c r="C9" s="487"/>
      <c r="D9" s="487"/>
      <c r="E9" s="490"/>
      <c r="F9" s="487"/>
      <c r="G9" s="487"/>
      <c r="H9" s="487"/>
      <c r="I9" s="490"/>
      <c r="J9" s="487"/>
      <c r="K9" s="487"/>
      <c r="L9" s="488"/>
    </row>
    <row r="10" spans="1:699">
      <c r="A10" s="484">
        <v>9</v>
      </c>
      <c r="B10" s="487"/>
      <c r="C10" s="487"/>
      <c r="D10" s="487"/>
      <c r="E10" s="490"/>
      <c r="F10" s="487"/>
      <c r="G10" s="487"/>
      <c r="H10" s="487"/>
      <c r="I10" s="490"/>
      <c r="J10" s="487"/>
      <c r="K10" s="487"/>
      <c r="L10" s="488"/>
    </row>
    <row r="11" spans="1:699">
      <c r="A11" s="484">
        <v>10</v>
      </c>
      <c r="B11" s="487"/>
      <c r="C11" s="487"/>
      <c r="D11" s="487"/>
      <c r="E11" s="490"/>
      <c r="F11" s="487"/>
      <c r="G11" s="487"/>
      <c r="H11" s="487"/>
      <c r="I11" s="490"/>
      <c r="J11" s="487"/>
      <c r="K11" s="487"/>
      <c r="L11" s="488"/>
    </row>
    <row r="12" spans="1:699">
      <c r="A12" s="484">
        <v>11</v>
      </c>
      <c r="B12" s="487"/>
      <c r="C12" s="487"/>
      <c r="D12" s="487"/>
      <c r="E12" s="490"/>
      <c r="F12" s="487"/>
      <c r="G12" s="487"/>
      <c r="H12" s="487"/>
      <c r="I12" s="490"/>
      <c r="J12" s="487"/>
      <c r="K12" s="487"/>
      <c r="L12" s="488"/>
    </row>
    <row r="13" spans="1:699">
      <c r="A13" s="484">
        <v>12</v>
      </c>
      <c r="B13" s="487"/>
      <c r="C13" s="487"/>
      <c r="D13" s="487"/>
      <c r="E13" s="490"/>
      <c r="F13" s="487"/>
      <c r="G13" s="487"/>
      <c r="H13" s="487"/>
      <c r="I13" s="490"/>
      <c r="J13" s="487"/>
      <c r="K13" s="487"/>
      <c r="L13" s="488"/>
    </row>
    <row r="14" spans="1:699">
      <c r="A14" s="484">
        <v>13</v>
      </c>
      <c r="B14" s="487"/>
      <c r="C14" s="487"/>
      <c r="D14" s="487"/>
      <c r="E14" s="490"/>
      <c r="F14" s="487"/>
      <c r="G14" s="487"/>
      <c r="H14" s="487"/>
      <c r="I14" s="490"/>
      <c r="J14" s="487"/>
      <c r="K14" s="487"/>
      <c r="L14" s="488"/>
    </row>
    <row r="15" spans="1:699">
      <c r="A15" s="484">
        <v>14</v>
      </c>
      <c r="B15" s="487"/>
      <c r="C15" s="487"/>
      <c r="D15" s="487"/>
      <c r="E15" s="490"/>
      <c r="F15" s="487"/>
      <c r="G15" s="487"/>
      <c r="H15" s="487"/>
      <c r="I15" s="490"/>
      <c r="J15" s="487"/>
      <c r="K15" s="487"/>
      <c r="L15" s="488"/>
    </row>
    <row r="16" spans="1:699">
      <c r="A16" s="484">
        <v>15</v>
      </c>
      <c r="B16" s="487"/>
      <c r="C16" s="487"/>
      <c r="D16" s="487"/>
      <c r="E16" s="490"/>
      <c r="F16" s="487"/>
      <c r="G16" s="487"/>
      <c r="H16" s="487"/>
      <c r="I16" s="490"/>
      <c r="J16" s="487"/>
      <c r="K16" s="487"/>
      <c r="L16" s="488"/>
    </row>
    <row r="17" spans="1:12">
      <c r="A17" s="484">
        <v>16</v>
      </c>
      <c r="B17" s="487"/>
      <c r="C17" s="487"/>
      <c r="D17" s="487"/>
      <c r="E17" s="490"/>
      <c r="F17" s="487"/>
      <c r="G17" s="487"/>
      <c r="H17" s="487"/>
      <c r="I17" s="490"/>
      <c r="J17" s="487"/>
      <c r="K17" s="487"/>
      <c r="L17" s="488"/>
    </row>
    <row r="18" spans="1:12">
      <c r="A18" s="484">
        <v>17</v>
      </c>
      <c r="B18" s="487"/>
      <c r="C18" s="487"/>
      <c r="D18" s="487"/>
      <c r="E18" s="490"/>
      <c r="F18" s="487"/>
      <c r="G18" s="487"/>
      <c r="H18" s="487"/>
      <c r="I18" s="490"/>
      <c r="J18" s="487"/>
      <c r="K18" s="487"/>
      <c r="L18" s="488"/>
    </row>
    <row r="19" spans="1:12">
      <c r="A19" s="484">
        <v>18</v>
      </c>
      <c r="B19" s="487"/>
      <c r="C19" s="487"/>
      <c r="D19" s="487"/>
      <c r="E19" s="490"/>
      <c r="F19" s="487"/>
      <c r="G19" s="487"/>
      <c r="H19" s="487"/>
      <c r="I19" s="490"/>
      <c r="J19" s="487"/>
      <c r="K19" s="487"/>
      <c r="L19" s="488"/>
    </row>
    <row r="20" spans="1:12">
      <c r="A20" s="484">
        <v>19</v>
      </c>
      <c r="B20" s="487"/>
      <c r="C20" s="487"/>
      <c r="D20" s="487"/>
      <c r="E20" s="490"/>
      <c r="F20" s="487"/>
      <c r="G20" s="487"/>
      <c r="H20" s="487"/>
      <c r="I20" s="490"/>
      <c r="J20" s="487"/>
      <c r="K20" s="487"/>
      <c r="L20" s="488"/>
    </row>
    <row r="21" spans="1:12">
      <c r="A21" s="484">
        <v>20</v>
      </c>
      <c r="B21" s="487"/>
      <c r="C21" s="487"/>
      <c r="D21" s="487"/>
      <c r="E21" s="490"/>
      <c r="F21" s="487"/>
      <c r="G21" s="487"/>
      <c r="H21" s="487"/>
      <c r="I21" s="490"/>
      <c r="J21" s="487"/>
      <c r="K21" s="487"/>
      <c r="L21" s="488"/>
    </row>
    <row r="22" spans="1:12">
      <c r="A22" s="484">
        <v>21</v>
      </c>
      <c r="B22" s="487"/>
      <c r="C22" s="487"/>
      <c r="D22" s="487"/>
      <c r="E22" s="490"/>
      <c r="F22" s="487"/>
      <c r="G22" s="487"/>
      <c r="H22" s="487"/>
      <c r="I22" s="490"/>
      <c r="J22" s="487"/>
      <c r="K22" s="487"/>
      <c r="L22" s="488"/>
    </row>
    <row r="23" spans="1:12">
      <c r="A23" s="484">
        <v>22</v>
      </c>
      <c r="B23" s="487"/>
      <c r="C23" s="487"/>
      <c r="D23" s="487"/>
      <c r="E23" s="490"/>
      <c r="F23" s="487"/>
      <c r="G23" s="487"/>
      <c r="H23" s="487"/>
      <c r="I23" s="490"/>
      <c r="J23" s="487"/>
      <c r="K23" s="487"/>
      <c r="L23" s="488"/>
    </row>
    <row r="24" spans="1:12">
      <c r="A24" s="484">
        <v>23</v>
      </c>
      <c r="B24" s="487"/>
      <c r="C24" s="487"/>
      <c r="D24" s="487"/>
      <c r="E24" s="487"/>
      <c r="F24" s="487"/>
      <c r="G24" s="487"/>
      <c r="H24" s="487"/>
      <c r="I24" s="490"/>
      <c r="J24" s="487"/>
      <c r="K24" s="487"/>
      <c r="L24" s="488"/>
    </row>
    <row r="25" spans="1:12">
      <c r="A25" s="484">
        <v>24</v>
      </c>
      <c r="B25" s="487"/>
      <c r="C25" s="487"/>
      <c r="D25" s="487"/>
      <c r="E25" s="487"/>
      <c r="F25" s="487"/>
      <c r="G25" s="487"/>
      <c r="H25" s="487"/>
      <c r="I25" s="490"/>
      <c r="J25" s="487"/>
      <c r="K25" s="487"/>
      <c r="L25" s="488"/>
    </row>
    <row r="26" spans="1:12">
      <c r="A26" s="484">
        <v>25</v>
      </c>
      <c r="B26" s="487"/>
      <c r="C26" s="487"/>
      <c r="D26" s="487"/>
      <c r="E26" s="487"/>
      <c r="F26" s="487"/>
      <c r="G26" s="487"/>
      <c r="H26" s="487"/>
      <c r="I26" s="490"/>
      <c r="J26" s="487"/>
      <c r="K26" s="487"/>
      <c r="L26" s="488"/>
    </row>
    <row r="27" spans="1:12">
      <c r="A27" s="484">
        <v>26</v>
      </c>
      <c r="B27" s="487"/>
      <c r="C27" s="487"/>
      <c r="D27" s="487"/>
      <c r="E27" s="487"/>
      <c r="F27" s="487"/>
      <c r="G27" s="487"/>
      <c r="H27" s="487"/>
      <c r="I27" s="490"/>
      <c r="J27" s="487"/>
      <c r="K27" s="487"/>
      <c r="L27" s="488"/>
    </row>
    <row r="28" spans="1:12">
      <c r="A28" s="484">
        <v>27</v>
      </c>
      <c r="B28" s="487"/>
      <c r="C28" s="487"/>
      <c r="D28" s="487"/>
      <c r="E28" s="487"/>
      <c r="F28" s="487"/>
      <c r="G28" s="487"/>
      <c r="H28" s="487"/>
      <c r="I28" s="490"/>
      <c r="J28" s="487"/>
      <c r="K28" s="487"/>
      <c r="L28" s="488"/>
    </row>
    <row r="29" spans="1:12">
      <c r="A29" s="484">
        <v>28</v>
      </c>
      <c r="B29" s="487"/>
      <c r="C29" s="487"/>
      <c r="D29" s="487"/>
      <c r="E29" s="487"/>
      <c r="F29" s="487"/>
      <c r="G29" s="487"/>
      <c r="H29" s="487"/>
      <c r="I29" s="490"/>
      <c r="J29" s="487"/>
      <c r="K29" s="487"/>
      <c r="L29" s="488"/>
    </row>
    <row r="30" spans="1:12">
      <c r="A30" s="484">
        <v>29</v>
      </c>
      <c r="B30" s="487"/>
      <c r="C30" s="487"/>
      <c r="D30" s="487"/>
      <c r="E30" s="487"/>
      <c r="F30" s="487"/>
      <c r="G30" s="487"/>
      <c r="H30" s="487"/>
      <c r="I30" s="490"/>
      <c r="J30" s="487"/>
      <c r="K30" s="487"/>
      <c r="L30" s="488"/>
    </row>
    <row r="31" spans="1:12">
      <c r="A31" s="484">
        <v>30</v>
      </c>
      <c r="B31" s="487"/>
      <c r="C31" s="487"/>
      <c r="D31" s="487"/>
      <c r="E31" s="487"/>
      <c r="F31" s="487"/>
      <c r="G31" s="487"/>
      <c r="H31" s="487"/>
      <c r="I31" s="490"/>
      <c r="J31" s="487"/>
      <c r="K31" s="487"/>
      <c r="L31" s="488"/>
    </row>
    <row r="32" spans="1:12">
      <c r="A32" s="484">
        <v>31</v>
      </c>
      <c r="B32" s="487"/>
      <c r="C32" s="487"/>
      <c r="D32" s="487"/>
      <c r="E32" s="487"/>
      <c r="F32" s="487"/>
      <c r="G32" s="487"/>
      <c r="H32" s="487"/>
      <c r="I32" s="490"/>
      <c r="J32" s="487"/>
      <c r="K32" s="487"/>
      <c r="L32" s="488"/>
    </row>
    <row r="33" spans="1:12">
      <c r="A33" s="491"/>
      <c r="B33" s="487"/>
      <c r="C33" s="487"/>
      <c r="D33" s="487"/>
      <c r="E33" s="487"/>
      <c r="F33" s="487"/>
      <c r="G33" s="487"/>
      <c r="H33" s="487"/>
      <c r="I33" s="490"/>
      <c r="J33" s="487"/>
      <c r="K33" s="487"/>
      <c r="L33" s="488"/>
    </row>
    <row r="34" spans="1:12">
      <c r="A34" s="491"/>
      <c r="B34" s="487"/>
      <c r="C34" s="487"/>
      <c r="D34" s="487"/>
      <c r="E34" s="487"/>
      <c r="F34" s="487"/>
      <c r="G34" s="487"/>
      <c r="H34" s="487"/>
      <c r="I34" s="490"/>
      <c r="J34" s="487"/>
      <c r="K34" s="487"/>
      <c r="L34" s="488"/>
    </row>
    <row r="35" spans="1:12">
      <c r="A35" s="491"/>
      <c r="B35" s="487"/>
      <c r="C35" s="487"/>
      <c r="D35" s="487"/>
      <c r="E35" s="487"/>
      <c r="F35" s="487"/>
      <c r="G35" s="487"/>
      <c r="H35" s="487"/>
      <c r="I35" s="490"/>
      <c r="J35" s="487"/>
      <c r="K35" s="487"/>
      <c r="L35" s="488"/>
    </row>
    <row r="36" spans="1:12">
      <c r="A36" s="491"/>
      <c r="B36" s="487"/>
      <c r="C36" s="487"/>
      <c r="D36" s="487"/>
      <c r="E36" s="487"/>
      <c r="F36" s="487"/>
      <c r="G36" s="487"/>
      <c r="H36" s="487"/>
      <c r="I36" s="490"/>
      <c r="J36" s="487"/>
      <c r="K36" s="487"/>
      <c r="L36" s="488"/>
    </row>
    <row r="37" spans="1:12">
      <c r="A37" s="491"/>
      <c r="B37" s="487"/>
      <c r="C37" s="487"/>
      <c r="D37" s="487"/>
      <c r="E37" s="487"/>
      <c r="F37" s="487"/>
      <c r="G37" s="487"/>
      <c r="H37" s="487"/>
      <c r="I37" s="490"/>
      <c r="J37" s="487"/>
      <c r="K37" s="487"/>
      <c r="L37" s="488"/>
    </row>
    <row r="38" spans="1:12">
      <c r="A38" s="491"/>
      <c r="B38" s="487"/>
      <c r="C38" s="487"/>
      <c r="D38" s="487"/>
      <c r="E38" s="487"/>
      <c r="F38" s="487"/>
      <c r="G38" s="487"/>
      <c r="H38" s="487"/>
      <c r="I38" s="490"/>
      <c r="J38" s="487"/>
      <c r="K38" s="487"/>
      <c r="L38" s="488"/>
    </row>
    <row r="39" spans="1:12">
      <c r="A39" s="491"/>
      <c r="B39" s="487"/>
      <c r="C39" s="487"/>
      <c r="D39" s="487"/>
      <c r="E39" s="487"/>
      <c r="F39" s="487"/>
      <c r="G39" s="487"/>
      <c r="H39" s="487"/>
      <c r="I39" s="490"/>
      <c r="J39" s="487"/>
      <c r="K39" s="487"/>
      <c r="L39" s="488"/>
    </row>
    <row r="40" spans="1:12">
      <c r="A40" s="491"/>
      <c r="B40" s="487"/>
      <c r="C40" s="487"/>
      <c r="D40" s="487"/>
      <c r="E40" s="487"/>
      <c r="F40" s="487"/>
      <c r="G40" s="487"/>
      <c r="H40" s="487"/>
      <c r="I40" s="490"/>
      <c r="J40" s="487"/>
      <c r="K40" s="487"/>
      <c r="L40" s="488"/>
    </row>
    <row r="41" spans="1:12">
      <c r="A41" s="491"/>
      <c r="B41" s="487"/>
      <c r="C41" s="487"/>
      <c r="D41" s="487"/>
      <c r="E41" s="487"/>
      <c r="F41" s="487"/>
      <c r="G41" s="487"/>
      <c r="H41" s="487"/>
      <c r="I41" s="490"/>
      <c r="J41" s="487"/>
      <c r="K41" s="487"/>
      <c r="L41" s="488"/>
    </row>
    <row r="42" spans="1:12">
      <c r="A42" s="491"/>
      <c r="B42" s="487"/>
      <c r="C42" s="487"/>
      <c r="D42" s="487"/>
      <c r="E42" s="487"/>
      <c r="F42" s="487"/>
      <c r="G42" s="487"/>
      <c r="H42" s="487"/>
      <c r="I42" s="490"/>
      <c r="J42" s="487"/>
      <c r="K42" s="487"/>
      <c r="L42" s="488"/>
    </row>
    <row r="43" spans="1:12">
      <c r="A43" s="491"/>
      <c r="B43" s="487"/>
      <c r="C43" s="487"/>
      <c r="D43" s="487"/>
      <c r="E43" s="487"/>
      <c r="F43" s="487"/>
      <c r="G43" s="487"/>
      <c r="H43" s="487"/>
      <c r="I43" s="490"/>
      <c r="J43" s="487"/>
      <c r="K43" s="487"/>
      <c r="L43" s="488"/>
    </row>
    <row r="44" spans="1:12">
      <c r="A44" s="491"/>
      <c r="B44" s="487"/>
      <c r="C44" s="487"/>
      <c r="D44" s="487"/>
      <c r="E44" s="487"/>
      <c r="F44" s="487"/>
      <c r="G44" s="487"/>
      <c r="H44" s="487"/>
      <c r="I44" s="490"/>
      <c r="J44" s="487"/>
      <c r="K44" s="487"/>
      <c r="L44" s="488"/>
    </row>
    <row r="45" spans="1:12">
      <c r="A45" s="491"/>
      <c r="B45" s="487"/>
      <c r="C45" s="487"/>
      <c r="D45" s="487"/>
      <c r="E45" s="487"/>
      <c r="F45" s="487"/>
      <c r="G45" s="487"/>
      <c r="H45" s="487"/>
      <c r="I45" s="490"/>
      <c r="J45" s="487"/>
      <c r="K45" s="487"/>
      <c r="L45" s="488"/>
    </row>
    <row r="46" spans="1:12">
      <c r="A46" s="491"/>
      <c r="B46" s="487"/>
      <c r="C46" s="487"/>
      <c r="D46" s="487"/>
      <c r="E46" s="487"/>
      <c r="F46" s="487"/>
      <c r="G46" s="487"/>
      <c r="H46" s="487"/>
      <c r="I46" s="490"/>
      <c r="J46" s="487"/>
      <c r="K46" s="487"/>
      <c r="L46" s="488"/>
    </row>
    <row r="47" spans="1:12">
      <c r="A47" s="491"/>
      <c r="B47" s="487"/>
      <c r="C47" s="487"/>
      <c r="D47" s="487"/>
      <c r="E47" s="487"/>
      <c r="F47" s="487"/>
      <c r="G47" s="487"/>
      <c r="H47" s="487"/>
      <c r="I47" s="490"/>
      <c r="J47" s="487"/>
      <c r="K47" s="487"/>
      <c r="L47" s="488"/>
    </row>
    <row r="48" spans="1:12">
      <c r="A48" s="491"/>
      <c r="B48" s="487"/>
      <c r="C48" s="487"/>
      <c r="D48" s="487"/>
      <c r="E48" s="487"/>
      <c r="F48" s="487"/>
      <c r="G48" s="487"/>
      <c r="H48" s="487"/>
      <c r="I48" s="490"/>
      <c r="J48" s="487"/>
      <c r="K48" s="487"/>
      <c r="L48" s="488"/>
    </row>
    <row r="49" spans="1:12">
      <c r="A49" s="491"/>
      <c r="B49" s="487"/>
      <c r="C49" s="487"/>
      <c r="D49" s="487"/>
      <c r="E49" s="487"/>
      <c r="F49" s="487"/>
      <c r="G49" s="487"/>
      <c r="H49" s="487"/>
      <c r="I49" s="490"/>
      <c r="J49" s="487"/>
      <c r="K49" s="487"/>
      <c r="L49" s="488"/>
    </row>
    <row r="50" spans="1:12">
      <c r="A50" s="491"/>
      <c r="B50" s="487"/>
      <c r="C50" s="487"/>
      <c r="D50" s="487"/>
      <c r="E50" s="487"/>
      <c r="F50" s="487"/>
      <c r="G50" s="487"/>
      <c r="H50" s="487"/>
      <c r="I50" s="490"/>
      <c r="J50" s="487"/>
      <c r="K50" s="487"/>
      <c r="L50" s="488"/>
    </row>
    <row r="51" spans="1:12">
      <c r="A51" s="491"/>
      <c r="B51" s="487"/>
      <c r="C51" s="487"/>
      <c r="D51" s="487"/>
      <c r="E51" s="487"/>
      <c r="F51" s="487"/>
      <c r="G51" s="487"/>
      <c r="H51" s="487"/>
      <c r="I51" s="490"/>
      <c r="J51" s="487"/>
      <c r="K51" s="487"/>
      <c r="L51" s="488"/>
    </row>
    <row r="52" spans="1:12">
      <c r="A52" s="491"/>
      <c r="B52" s="487"/>
      <c r="C52" s="487"/>
      <c r="D52" s="487"/>
      <c r="E52" s="487"/>
      <c r="F52" s="487"/>
      <c r="G52" s="487"/>
      <c r="H52" s="487"/>
      <c r="I52" s="490"/>
      <c r="J52" s="487"/>
      <c r="K52" s="487"/>
      <c r="L52" s="488"/>
    </row>
    <row r="53" spans="1:12">
      <c r="A53" s="491"/>
      <c r="B53" s="487"/>
      <c r="C53" s="487"/>
      <c r="D53" s="487"/>
      <c r="E53" s="487"/>
      <c r="F53" s="487"/>
      <c r="G53" s="487"/>
      <c r="H53" s="487"/>
      <c r="I53" s="490"/>
      <c r="J53" s="487"/>
      <c r="K53" s="487"/>
      <c r="L53" s="488"/>
    </row>
    <row r="54" spans="1:12">
      <c r="A54" s="491"/>
      <c r="B54" s="487"/>
      <c r="C54" s="487"/>
      <c r="D54" s="487"/>
      <c r="E54" s="487"/>
      <c r="F54" s="487"/>
      <c r="G54" s="487"/>
      <c r="H54" s="487"/>
      <c r="I54" s="490"/>
      <c r="J54" s="487"/>
      <c r="K54" s="487"/>
      <c r="L54" s="488"/>
    </row>
    <row r="55" spans="1:12">
      <c r="A55" s="491"/>
      <c r="B55" s="487"/>
      <c r="C55" s="487"/>
      <c r="D55" s="487"/>
      <c r="E55" s="487"/>
      <c r="F55" s="487"/>
      <c r="G55" s="487"/>
      <c r="H55" s="487"/>
      <c r="I55" s="490"/>
      <c r="J55" s="487"/>
      <c r="K55" s="487"/>
      <c r="L55" s="488"/>
    </row>
    <row r="56" spans="1:12">
      <c r="A56" s="491"/>
      <c r="B56" s="487"/>
      <c r="C56" s="487"/>
      <c r="D56" s="487"/>
      <c r="E56" s="487"/>
      <c r="F56" s="487"/>
      <c r="G56" s="487"/>
      <c r="H56" s="487"/>
      <c r="I56" s="490"/>
      <c r="J56" s="487"/>
      <c r="K56" s="487"/>
      <c r="L56" s="488"/>
    </row>
    <row r="57" spans="1:12">
      <c r="A57" s="491"/>
      <c r="B57" s="487"/>
      <c r="C57" s="487"/>
      <c r="D57" s="487"/>
      <c r="E57" s="487"/>
      <c r="F57" s="487"/>
      <c r="G57" s="487"/>
      <c r="H57" s="487"/>
      <c r="I57" s="490"/>
      <c r="J57" s="487"/>
      <c r="K57" s="487"/>
      <c r="L57" s="488"/>
    </row>
    <row r="58" spans="1:12">
      <c r="A58" s="491"/>
      <c r="B58" s="487"/>
      <c r="C58" s="487"/>
      <c r="D58" s="487"/>
      <c r="E58" s="487"/>
      <c r="F58" s="487"/>
      <c r="G58" s="487"/>
      <c r="H58" s="487"/>
      <c r="I58" s="490"/>
      <c r="J58" s="487"/>
      <c r="K58" s="487"/>
      <c r="L58" s="488"/>
    </row>
    <row r="59" spans="1:12">
      <c r="A59" s="491"/>
      <c r="B59" s="487"/>
      <c r="C59" s="487"/>
      <c r="D59" s="487"/>
      <c r="E59" s="487"/>
      <c r="F59" s="487"/>
      <c r="G59" s="487"/>
      <c r="H59" s="487"/>
      <c r="I59" s="490"/>
      <c r="J59" s="487"/>
      <c r="K59" s="487"/>
      <c r="L59" s="488"/>
    </row>
    <row r="60" spans="1:12">
      <c r="A60" s="491"/>
      <c r="B60" s="487"/>
      <c r="C60" s="487"/>
      <c r="D60" s="487"/>
      <c r="E60" s="487"/>
      <c r="F60" s="487"/>
      <c r="G60" s="487"/>
      <c r="H60" s="487"/>
      <c r="I60" s="490"/>
      <c r="J60" s="487"/>
      <c r="K60" s="487"/>
      <c r="L60" s="488"/>
    </row>
    <row r="61" spans="1:12">
      <c r="A61" s="491"/>
      <c r="B61" s="487"/>
      <c r="C61" s="487"/>
      <c r="D61" s="487"/>
      <c r="E61" s="487"/>
      <c r="F61" s="487"/>
      <c r="G61" s="487"/>
      <c r="H61" s="487"/>
      <c r="I61" s="490"/>
      <c r="J61" s="487"/>
      <c r="K61" s="487"/>
      <c r="L61" s="488"/>
    </row>
    <row r="62" spans="1:12">
      <c r="A62" s="491"/>
      <c r="B62" s="487"/>
      <c r="C62" s="487"/>
      <c r="D62" s="487"/>
      <c r="E62" s="487"/>
      <c r="F62" s="487"/>
      <c r="G62" s="487"/>
      <c r="H62" s="487"/>
      <c r="I62" s="490"/>
      <c r="J62" s="487"/>
      <c r="K62" s="487"/>
      <c r="L62" s="488"/>
    </row>
    <row r="63" spans="1:12">
      <c r="A63" s="491"/>
      <c r="B63" s="487"/>
      <c r="C63" s="487"/>
      <c r="D63" s="487"/>
      <c r="E63" s="487"/>
      <c r="F63" s="487"/>
      <c r="G63" s="487"/>
      <c r="H63" s="487"/>
      <c r="I63" s="490"/>
      <c r="J63" s="487"/>
      <c r="K63" s="487"/>
      <c r="L63" s="488"/>
    </row>
    <row r="64" spans="1:12">
      <c r="A64" s="491"/>
      <c r="B64" s="487"/>
      <c r="C64" s="487"/>
      <c r="D64" s="487"/>
      <c r="E64" s="487"/>
      <c r="F64" s="487"/>
      <c r="G64" s="487"/>
      <c r="H64" s="487"/>
      <c r="I64" s="490"/>
      <c r="J64" s="487"/>
      <c r="K64" s="487"/>
      <c r="L64" s="488"/>
    </row>
    <row r="65" spans="1:12">
      <c r="A65" s="491"/>
      <c r="B65" s="487"/>
      <c r="C65" s="487"/>
      <c r="D65" s="487"/>
      <c r="E65" s="487"/>
      <c r="F65" s="487"/>
      <c r="G65" s="487"/>
      <c r="H65" s="487"/>
      <c r="I65" s="490"/>
      <c r="J65" s="487"/>
      <c r="K65" s="487"/>
      <c r="L65" s="488"/>
    </row>
    <row r="66" spans="1:12">
      <c r="A66" s="491"/>
      <c r="B66" s="487"/>
      <c r="C66" s="487"/>
      <c r="D66" s="487"/>
      <c r="E66" s="487"/>
      <c r="F66" s="487"/>
      <c r="G66" s="487"/>
      <c r="H66" s="487"/>
      <c r="I66" s="490"/>
      <c r="J66" s="487"/>
      <c r="K66" s="487"/>
      <c r="L66" s="488"/>
    </row>
    <row r="67" spans="1:12">
      <c r="A67" s="491"/>
      <c r="B67" s="487"/>
      <c r="C67" s="487"/>
      <c r="D67" s="487"/>
      <c r="E67" s="487"/>
      <c r="F67" s="487"/>
      <c r="G67" s="487"/>
      <c r="H67" s="487"/>
      <c r="I67" s="490"/>
      <c r="J67" s="487"/>
      <c r="K67" s="487"/>
      <c r="L67" s="488"/>
    </row>
    <row r="68" spans="1:12">
      <c r="A68" s="491"/>
      <c r="B68" s="487"/>
      <c r="C68" s="487"/>
      <c r="D68" s="487"/>
      <c r="E68" s="487"/>
      <c r="F68" s="487"/>
      <c r="G68" s="487"/>
      <c r="H68" s="487"/>
      <c r="I68" s="490"/>
      <c r="J68" s="487"/>
      <c r="K68" s="487"/>
      <c r="L68" s="488"/>
    </row>
    <row r="69" spans="1:12">
      <c r="A69" s="491"/>
      <c r="B69" s="487"/>
      <c r="C69" s="487"/>
      <c r="D69" s="487"/>
      <c r="E69" s="487"/>
      <c r="F69" s="487"/>
      <c r="G69" s="487"/>
      <c r="H69" s="487"/>
      <c r="I69" s="490"/>
      <c r="J69" s="487"/>
      <c r="K69" s="487"/>
      <c r="L69" s="488"/>
    </row>
    <row r="70" spans="1:12">
      <c r="A70" s="491"/>
      <c r="B70" s="487"/>
      <c r="C70" s="487"/>
      <c r="D70" s="487"/>
      <c r="E70" s="487"/>
      <c r="F70" s="487"/>
      <c r="G70" s="487"/>
      <c r="H70" s="487"/>
      <c r="I70" s="490"/>
      <c r="J70" s="487"/>
      <c r="K70" s="487"/>
      <c r="L70" s="488"/>
    </row>
    <row r="71" spans="1:12">
      <c r="A71" s="491"/>
      <c r="B71" s="487"/>
      <c r="C71" s="487"/>
      <c r="D71" s="487"/>
      <c r="E71" s="487"/>
      <c r="F71" s="487"/>
      <c r="G71" s="487"/>
      <c r="H71" s="487"/>
      <c r="I71" s="490"/>
      <c r="J71" s="487"/>
      <c r="K71" s="487"/>
      <c r="L71" s="488"/>
    </row>
    <row r="72" spans="1:12">
      <c r="A72" s="491"/>
      <c r="B72" s="487"/>
      <c r="C72" s="487"/>
      <c r="D72" s="487"/>
      <c r="E72" s="487"/>
      <c r="F72" s="487"/>
      <c r="G72" s="487"/>
      <c r="H72" s="487"/>
      <c r="I72" s="490"/>
      <c r="J72" s="487"/>
      <c r="K72" s="487"/>
      <c r="L72" s="488"/>
    </row>
    <row r="73" spans="1:12">
      <c r="A73" s="491"/>
      <c r="B73" s="487"/>
      <c r="C73" s="487"/>
      <c r="D73" s="487"/>
      <c r="E73" s="487"/>
      <c r="F73" s="487"/>
      <c r="G73" s="487"/>
      <c r="H73" s="487"/>
      <c r="I73" s="490"/>
      <c r="J73" s="487"/>
      <c r="K73" s="487"/>
      <c r="L73" s="488"/>
    </row>
    <row r="74" spans="1:12">
      <c r="A74" s="491"/>
      <c r="B74" s="487"/>
      <c r="C74" s="487"/>
      <c r="D74" s="487"/>
      <c r="E74" s="487"/>
      <c r="F74" s="487"/>
      <c r="G74" s="487"/>
      <c r="H74" s="487"/>
      <c r="I74" s="490"/>
      <c r="J74" s="487"/>
      <c r="K74" s="487"/>
      <c r="L74" s="488"/>
    </row>
    <row r="75" spans="1:12">
      <c r="A75" s="491"/>
      <c r="B75" s="487"/>
      <c r="C75" s="487"/>
      <c r="D75" s="487"/>
      <c r="E75" s="487"/>
      <c r="F75" s="487"/>
      <c r="G75" s="487"/>
      <c r="H75" s="487"/>
      <c r="I75" s="490"/>
      <c r="J75" s="487"/>
      <c r="K75" s="487"/>
      <c r="L75" s="488"/>
    </row>
    <row r="76" spans="1:12">
      <c r="A76" s="491"/>
      <c r="B76" s="487"/>
      <c r="C76" s="487"/>
      <c r="D76" s="487"/>
      <c r="E76" s="487"/>
      <c r="F76" s="487"/>
      <c r="G76" s="487"/>
      <c r="H76" s="487"/>
      <c r="I76" s="490"/>
      <c r="J76" s="487"/>
      <c r="K76" s="487"/>
      <c r="L76" s="488"/>
    </row>
    <row r="77" spans="1:12">
      <c r="A77" s="491"/>
      <c r="B77" s="487"/>
      <c r="C77" s="487"/>
      <c r="D77" s="487"/>
      <c r="E77" s="487"/>
      <c r="F77" s="487"/>
      <c r="G77" s="487"/>
      <c r="H77" s="487"/>
      <c r="I77" s="490"/>
      <c r="J77" s="487"/>
      <c r="K77" s="487"/>
      <c r="L77" s="488"/>
    </row>
    <row r="78" spans="1:12">
      <c r="A78" s="491"/>
      <c r="B78" s="487"/>
      <c r="C78" s="487"/>
      <c r="D78" s="487"/>
      <c r="E78" s="487"/>
      <c r="F78" s="487"/>
      <c r="G78" s="487"/>
      <c r="H78" s="487"/>
      <c r="I78" s="490"/>
      <c r="J78" s="487"/>
      <c r="K78" s="487"/>
      <c r="L78" s="488"/>
    </row>
    <row r="79" spans="1:12">
      <c r="A79" s="491"/>
      <c r="B79" s="487"/>
      <c r="C79" s="487"/>
      <c r="D79" s="487"/>
      <c r="E79" s="487"/>
      <c r="F79" s="487"/>
      <c r="G79" s="487"/>
      <c r="H79" s="487"/>
      <c r="I79" s="490"/>
      <c r="J79" s="487"/>
      <c r="K79" s="487"/>
      <c r="L79" s="488"/>
    </row>
    <row r="80" spans="1:12">
      <c r="A80" s="491"/>
      <c r="B80" s="487"/>
      <c r="C80" s="487"/>
      <c r="D80" s="487"/>
      <c r="E80" s="487"/>
      <c r="F80" s="487"/>
      <c r="G80" s="487"/>
      <c r="H80" s="487"/>
      <c r="I80" s="490"/>
      <c r="J80" s="487"/>
      <c r="K80" s="487"/>
      <c r="L80" s="488"/>
    </row>
    <row r="81" spans="1:12">
      <c r="A81" s="491"/>
      <c r="B81" s="487"/>
      <c r="C81" s="487"/>
      <c r="D81" s="487"/>
      <c r="E81" s="487"/>
      <c r="F81" s="487"/>
      <c r="G81" s="487"/>
      <c r="H81" s="487"/>
      <c r="I81" s="490"/>
      <c r="J81" s="487"/>
      <c r="K81" s="487"/>
      <c r="L81" s="488"/>
    </row>
    <row r="82" spans="1:12">
      <c r="A82" s="491"/>
      <c r="B82" s="487"/>
      <c r="C82" s="487"/>
      <c r="D82" s="487"/>
      <c r="E82" s="487"/>
      <c r="F82" s="487"/>
      <c r="G82" s="487"/>
      <c r="H82" s="487"/>
      <c r="I82" s="490"/>
      <c r="J82" s="487"/>
      <c r="K82" s="487"/>
      <c r="L82" s="488"/>
    </row>
    <row r="83" spans="1:12">
      <c r="A83" s="491"/>
      <c r="B83" s="487"/>
      <c r="C83" s="487"/>
      <c r="D83" s="487"/>
      <c r="E83" s="487"/>
      <c r="F83" s="487"/>
      <c r="G83" s="487"/>
      <c r="H83" s="487"/>
      <c r="I83" s="490"/>
      <c r="J83" s="487"/>
      <c r="K83" s="487"/>
      <c r="L83" s="488"/>
    </row>
    <row r="84" spans="1:12">
      <c r="A84" s="491"/>
      <c r="B84" s="487"/>
      <c r="C84" s="487"/>
      <c r="D84" s="487"/>
      <c r="E84" s="487"/>
      <c r="F84" s="487"/>
      <c r="G84" s="487"/>
      <c r="H84" s="487"/>
      <c r="I84" s="490"/>
      <c r="J84" s="487"/>
      <c r="K84" s="487"/>
      <c r="L84" s="488"/>
    </row>
    <row r="85" spans="1:12">
      <c r="A85" s="491"/>
      <c r="B85" s="487"/>
      <c r="C85" s="487"/>
      <c r="D85" s="487"/>
      <c r="E85" s="487"/>
      <c r="F85" s="487"/>
      <c r="G85" s="487"/>
      <c r="H85" s="487"/>
      <c r="I85" s="490"/>
      <c r="J85" s="487"/>
      <c r="K85" s="487"/>
      <c r="L85" s="488"/>
    </row>
    <row r="86" spans="1:12">
      <c r="A86" s="491"/>
      <c r="B86" s="487"/>
      <c r="C86" s="487"/>
      <c r="D86" s="487"/>
      <c r="E86" s="487"/>
      <c r="F86" s="487"/>
      <c r="G86" s="487"/>
      <c r="H86" s="487"/>
      <c r="I86" s="490"/>
      <c r="J86" s="487"/>
      <c r="K86" s="487"/>
      <c r="L86" s="488"/>
    </row>
    <row r="87" spans="1:12">
      <c r="A87" s="491"/>
      <c r="B87" s="487"/>
      <c r="C87" s="487"/>
      <c r="D87" s="487"/>
      <c r="E87" s="487"/>
      <c r="F87" s="487"/>
      <c r="G87" s="487"/>
      <c r="H87" s="487"/>
      <c r="I87" s="490"/>
      <c r="J87" s="487"/>
      <c r="K87" s="487"/>
      <c r="L87" s="488"/>
    </row>
    <row r="88" spans="1:12">
      <c r="A88" s="491"/>
      <c r="B88" s="487"/>
      <c r="C88" s="487"/>
      <c r="D88" s="487"/>
      <c r="E88" s="487"/>
      <c r="F88" s="487"/>
      <c r="G88" s="487"/>
      <c r="H88" s="487"/>
      <c r="I88" s="490"/>
      <c r="J88" s="487"/>
      <c r="K88" s="487"/>
      <c r="L88" s="488"/>
    </row>
    <row r="89" spans="1:12">
      <c r="A89" s="491"/>
      <c r="B89" s="487"/>
      <c r="C89" s="487"/>
      <c r="D89" s="487"/>
      <c r="E89" s="487"/>
      <c r="F89" s="487"/>
      <c r="G89" s="487"/>
      <c r="H89" s="487"/>
      <c r="I89" s="490"/>
      <c r="J89" s="487"/>
      <c r="K89" s="487"/>
      <c r="L89" s="488"/>
    </row>
    <row r="90" spans="1:12">
      <c r="A90" s="491"/>
      <c r="B90" s="487"/>
      <c r="C90" s="487"/>
      <c r="D90" s="487"/>
      <c r="E90" s="487"/>
      <c r="F90" s="487"/>
      <c r="G90" s="487"/>
      <c r="H90" s="487"/>
      <c r="I90" s="490"/>
      <c r="J90" s="487"/>
      <c r="K90" s="487"/>
      <c r="L90" s="488"/>
    </row>
    <row r="91" spans="1:12">
      <c r="A91" s="491"/>
      <c r="B91" s="487"/>
      <c r="C91" s="487"/>
      <c r="D91" s="487"/>
      <c r="E91" s="487"/>
      <c r="F91" s="487"/>
      <c r="G91" s="487"/>
      <c r="H91" s="487"/>
      <c r="I91" s="490"/>
      <c r="J91" s="487"/>
      <c r="K91" s="487"/>
      <c r="L91" s="488"/>
    </row>
    <row r="92" spans="1:12">
      <c r="A92" s="491"/>
      <c r="B92" s="487"/>
      <c r="C92" s="487"/>
      <c r="D92" s="487"/>
      <c r="E92" s="487"/>
      <c r="F92" s="487"/>
      <c r="G92" s="487"/>
      <c r="H92" s="487"/>
      <c r="I92" s="490"/>
      <c r="J92" s="487"/>
      <c r="K92" s="487"/>
      <c r="L92" s="488"/>
    </row>
    <row r="93" spans="1:12">
      <c r="A93" s="491"/>
      <c r="B93" s="487"/>
      <c r="C93" s="487"/>
      <c r="D93" s="487"/>
      <c r="E93" s="487"/>
      <c r="F93" s="487"/>
      <c r="G93" s="487"/>
      <c r="H93" s="487"/>
      <c r="I93" s="490"/>
      <c r="J93" s="487"/>
      <c r="K93" s="487"/>
      <c r="L93" s="488"/>
    </row>
    <row r="94" spans="1:12">
      <c r="A94" s="491"/>
      <c r="B94" s="487"/>
      <c r="C94" s="487"/>
      <c r="D94" s="487"/>
      <c r="E94" s="487"/>
      <c r="F94" s="487"/>
      <c r="G94" s="487"/>
      <c r="H94" s="487"/>
      <c r="I94" s="490"/>
      <c r="J94" s="487"/>
      <c r="K94" s="487"/>
      <c r="L94" s="488"/>
    </row>
    <row r="95" spans="1:12">
      <c r="A95" s="491"/>
      <c r="B95" s="487"/>
      <c r="C95" s="487"/>
      <c r="D95" s="487"/>
      <c r="E95" s="487"/>
      <c r="F95" s="487"/>
      <c r="G95" s="487"/>
      <c r="H95" s="487"/>
      <c r="I95" s="490"/>
      <c r="J95" s="487"/>
      <c r="K95" s="487"/>
      <c r="L95" s="488"/>
    </row>
    <row r="96" spans="1:12">
      <c r="A96" s="491"/>
      <c r="B96" s="487"/>
      <c r="C96" s="487"/>
      <c r="D96" s="487"/>
      <c r="E96" s="487"/>
      <c r="F96" s="487"/>
      <c r="G96" s="487"/>
      <c r="H96" s="487"/>
      <c r="I96" s="490"/>
      <c r="J96" s="487"/>
      <c r="K96" s="487"/>
      <c r="L96" s="488"/>
    </row>
    <row r="97" spans="1:12">
      <c r="A97" s="491"/>
      <c r="B97" s="487"/>
      <c r="C97" s="487"/>
      <c r="D97" s="487"/>
      <c r="E97" s="487"/>
      <c r="F97" s="487"/>
      <c r="G97" s="487"/>
      <c r="H97" s="487"/>
      <c r="I97" s="490"/>
      <c r="J97" s="487"/>
      <c r="K97" s="487"/>
      <c r="L97" s="488"/>
    </row>
    <row r="98" spans="1:12">
      <c r="A98" s="491"/>
      <c r="B98" s="487"/>
      <c r="C98" s="487"/>
      <c r="D98" s="487"/>
      <c r="E98" s="487"/>
      <c r="F98" s="487"/>
      <c r="G98" s="487"/>
      <c r="H98" s="487"/>
      <c r="I98" s="490"/>
      <c r="J98" s="487"/>
      <c r="K98" s="487"/>
      <c r="L98" s="488"/>
    </row>
    <row r="99" spans="1:12">
      <c r="A99" s="491"/>
      <c r="B99" s="487"/>
      <c r="C99" s="487"/>
      <c r="D99" s="487"/>
      <c r="E99" s="487"/>
      <c r="F99" s="487"/>
      <c r="G99" s="487"/>
      <c r="H99" s="487"/>
      <c r="I99" s="490"/>
      <c r="J99" s="487"/>
      <c r="K99" s="487"/>
      <c r="L99" s="488"/>
    </row>
    <row r="100" spans="1:12">
      <c r="A100" s="491"/>
      <c r="B100" s="487"/>
      <c r="C100" s="487"/>
      <c r="D100" s="487"/>
      <c r="E100" s="487"/>
      <c r="F100" s="487"/>
      <c r="G100" s="487"/>
      <c r="H100" s="487"/>
      <c r="I100" s="490"/>
      <c r="J100" s="487"/>
      <c r="K100" s="487"/>
      <c r="L100" s="488"/>
    </row>
    <row r="101" spans="1:12">
      <c r="A101" s="491"/>
      <c r="B101" s="487"/>
      <c r="C101" s="487"/>
      <c r="D101" s="487"/>
      <c r="E101" s="487"/>
      <c r="F101" s="487"/>
      <c r="G101" s="487"/>
      <c r="H101" s="487"/>
      <c r="I101" s="490"/>
      <c r="J101" s="487"/>
      <c r="K101" s="487"/>
      <c r="L101" s="488"/>
    </row>
    <row r="102" spans="1:12">
      <c r="A102" s="491"/>
      <c r="B102" s="487"/>
      <c r="C102" s="487"/>
      <c r="D102" s="487"/>
      <c r="E102" s="487"/>
      <c r="F102" s="487"/>
      <c r="G102" s="487"/>
      <c r="H102" s="487"/>
      <c r="I102" s="490"/>
      <c r="J102" s="487"/>
      <c r="K102" s="487"/>
      <c r="L102" s="488"/>
    </row>
    <row r="103" spans="1:12">
      <c r="A103" s="491"/>
      <c r="B103" s="487"/>
      <c r="C103" s="487"/>
      <c r="D103" s="487"/>
      <c r="E103" s="487"/>
      <c r="F103" s="487"/>
      <c r="G103" s="487"/>
      <c r="H103" s="487"/>
      <c r="I103" s="490"/>
      <c r="J103" s="487"/>
      <c r="K103" s="487"/>
      <c r="L103" s="488"/>
    </row>
    <row r="104" spans="1:12">
      <c r="A104" s="491"/>
      <c r="B104" s="487"/>
      <c r="C104" s="487"/>
      <c r="D104" s="487"/>
      <c r="E104" s="487"/>
      <c r="F104" s="487"/>
      <c r="G104" s="487"/>
      <c r="H104" s="487"/>
      <c r="I104" s="490"/>
      <c r="J104" s="487"/>
      <c r="K104" s="487"/>
      <c r="L104" s="488"/>
    </row>
    <row r="105" spans="1:12">
      <c r="A105" s="491"/>
      <c r="B105" s="487"/>
      <c r="C105" s="487"/>
      <c r="D105" s="487"/>
      <c r="E105" s="487"/>
      <c r="F105" s="487"/>
      <c r="G105" s="487"/>
      <c r="H105" s="487"/>
      <c r="I105" s="490"/>
      <c r="J105" s="487"/>
      <c r="K105" s="487"/>
      <c r="L105" s="488"/>
    </row>
    <row r="106" spans="1:12">
      <c r="A106" s="491"/>
      <c r="B106" s="487"/>
      <c r="C106" s="487"/>
      <c r="D106" s="487"/>
      <c r="E106" s="487"/>
      <c r="F106" s="487"/>
      <c r="G106" s="487"/>
      <c r="H106" s="487"/>
      <c r="I106" s="490"/>
      <c r="J106" s="487"/>
      <c r="K106" s="487"/>
      <c r="L106" s="488"/>
    </row>
    <row r="107" spans="1:12">
      <c r="A107" s="491"/>
      <c r="B107" s="487"/>
      <c r="C107" s="487"/>
      <c r="D107" s="487"/>
      <c r="E107" s="487"/>
      <c r="F107" s="487"/>
      <c r="G107" s="487"/>
      <c r="H107" s="487"/>
      <c r="I107" s="490"/>
      <c r="J107" s="487"/>
      <c r="K107" s="487"/>
      <c r="L107" s="488"/>
    </row>
    <row r="108" spans="1:12">
      <c r="A108" s="491"/>
      <c r="B108" s="487"/>
      <c r="C108" s="487"/>
      <c r="D108" s="487"/>
      <c r="E108" s="487"/>
      <c r="F108" s="487"/>
      <c r="G108" s="487"/>
      <c r="H108" s="487"/>
      <c r="I108" s="490"/>
      <c r="J108" s="487"/>
      <c r="K108" s="487"/>
      <c r="L108" s="488"/>
    </row>
    <row r="109" spans="1:12">
      <c r="A109" s="491"/>
      <c r="B109" s="487"/>
      <c r="C109" s="487"/>
      <c r="D109" s="487"/>
      <c r="E109" s="487"/>
      <c r="F109" s="487"/>
      <c r="G109" s="487"/>
      <c r="H109" s="487"/>
      <c r="I109" s="490"/>
      <c r="J109" s="487"/>
      <c r="K109" s="487"/>
      <c r="L109" s="488"/>
    </row>
    <row r="110" spans="1:12">
      <c r="A110" s="491"/>
      <c r="B110" s="487"/>
      <c r="C110" s="487"/>
      <c r="D110" s="487"/>
      <c r="E110" s="487"/>
      <c r="F110" s="487"/>
      <c r="G110" s="487"/>
      <c r="H110" s="487"/>
      <c r="I110" s="490"/>
      <c r="J110" s="487"/>
      <c r="K110" s="487"/>
      <c r="L110" s="488"/>
    </row>
    <row r="111" spans="1:12">
      <c r="A111" s="491"/>
      <c r="B111" s="487"/>
      <c r="C111" s="487"/>
      <c r="D111" s="487"/>
      <c r="E111" s="487"/>
      <c r="F111" s="487"/>
      <c r="G111" s="487"/>
      <c r="H111" s="487"/>
      <c r="I111" s="490"/>
      <c r="J111" s="487"/>
      <c r="K111" s="487"/>
      <c r="L111" s="488"/>
    </row>
    <row r="112" spans="1:12">
      <c r="A112" s="491"/>
      <c r="B112" s="487"/>
      <c r="C112" s="487"/>
      <c r="D112" s="487"/>
      <c r="E112" s="487"/>
      <c r="F112" s="487"/>
      <c r="G112" s="487"/>
      <c r="H112" s="487"/>
      <c r="I112" s="490"/>
      <c r="J112" s="487"/>
      <c r="K112" s="487"/>
      <c r="L112" s="488"/>
    </row>
    <row r="113" spans="1:12">
      <c r="A113" s="491"/>
      <c r="B113" s="487"/>
      <c r="C113" s="487"/>
      <c r="D113" s="487"/>
      <c r="E113" s="487"/>
      <c r="F113" s="487"/>
      <c r="G113" s="487"/>
      <c r="H113" s="487"/>
      <c r="I113" s="490"/>
      <c r="J113" s="487"/>
      <c r="K113" s="487"/>
      <c r="L113" s="488"/>
    </row>
    <row r="114" spans="1:12">
      <c r="A114" s="491"/>
      <c r="B114" s="487"/>
      <c r="C114" s="487"/>
      <c r="D114" s="487"/>
      <c r="E114" s="487"/>
      <c r="F114" s="487"/>
      <c r="G114" s="487"/>
      <c r="H114" s="487"/>
      <c r="I114" s="490"/>
      <c r="J114" s="487"/>
      <c r="K114" s="487"/>
      <c r="L114" s="488"/>
    </row>
    <row r="115" spans="1:12">
      <c r="A115" s="491"/>
      <c r="B115" s="487"/>
      <c r="C115" s="487"/>
      <c r="D115" s="487"/>
      <c r="E115" s="487"/>
      <c r="F115" s="487"/>
      <c r="G115" s="487"/>
      <c r="H115" s="487"/>
      <c r="I115" s="490"/>
      <c r="J115" s="487"/>
      <c r="K115" s="487"/>
      <c r="L115" s="488"/>
    </row>
    <row r="116" spans="1:12">
      <c r="A116" s="491"/>
      <c r="B116" s="487"/>
      <c r="C116" s="487"/>
      <c r="D116" s="487"/>
      <c r="E116" s="487"/>
      <c r="F116" s="487"/>
      <c r="G116" s="487"/>
      <c r="H116" s="487"/>
      <c r="I116" s="490"/>
      <c r="J116" s="487"/>
      <c r="K116" s="487"/>
      <c r="L116" s="488"/>
    </row>
    <row r="117" spans="1:12">
      <c r="A117" s="491"/>
      <c r="B117" s="487"/>
      <c r="C117" s="487"/>
      <c r="D117" s="487"/>
      <c r="E117" s="487"/>
      <c r="F117" s="487"/>
      <c r="G117" s="487"/>
      <c r="H117" s="487"/>
      <c r="I117" s="490"/>
      <c r="J117" s="487"/>
      <c r="K117" s="487"/>
      <c r="L117" s="488"/>
    </row>
    <row r="118" spans="1:12">
      <c r="A118" s="491"/>
      <c r="B118" s="487"/>
      <c r="C118" s="487"/>
      <c r="D118" s="487"/>
      <c r="E118" s="487"/>
      <c r="F118" s="487"/>
      <c r="G118" s="487"/>
      <c r="H118" s="487"/>
      <c r="I118" s="490"/>
      <c r="J118" s="487"/>
      <c r="K118" s="487"/>
      <c r="L118" s="488"/>
    </row>
    <row r="119" spans="1:12">
      <c r="A119" s="491"/>
      <c r="B119" s="487"/>
      <c r="C119" s="487"/>
      <c r="D119" s="487"/>
      <c r="E119" s="487"/>
      <c r="F119" s="487"/>
      <c r="G119" s="487"/>
      <c r="H119" s="487"/>
      <c r="I119" s="490"/>
      <c r="J119" s="487"/>
      <c r="K119" s="487"/>
      <c r="L119" s="488"/>
    </row>
    <row r="120" spans="1:12">
      <c r="A120" s="491"/>
      <c r="B120" s="487"/>
      <c r="C120" s="487"/>
      <c r="D120" s="487"/>
      <c r="E120" s="487"/>
      <c r="F120" s="487"/>
      <c r="G120" s="487"/>
      <c r="H120" s="487"/>
      <c r="I120" s="490"/>
      <c r="J120" s="487"/>
      <c r="K120" s="487"/>
      <c r="L120" s="488"/>
    </row>
    <row r="121" spans="1:12">
      <c r="A121" s="491"/>
      <c r="B121" s="487"/>
      <c r="C121" s="487"/>
      <c r="D121" s="487"/>
      <c r="E121" s="487"/>
      <c r="F121" s="487"/>
      <c r="G121" s="487"/>
      <c r="H121" s="487"/>
      <c r="I121" s="490"/>
      <c r="J121" s="487"/>
      <c r="K121" s="487"/>
      <c r="L121" s="488"/>
    </row>
    <row r="122" spans="1:12">
      <c r="A122" s="491"/>
      <c r="B122" s="487"/>
      <c r="C122" s="487"/>
      <c r="D122" s="487"/>
      <c r="E122" s="487"/>
      <c r="F122" s="487"/>
      <c r="G122" s="487"/>
      <c r="H122" s="487"/>
      <c r="I122" s="490"/>
      <c r="J122" s="487"/>
      <c r="K122" s="487"/>
      <c r="L122" s="488"/>
    </row>
    <row r="123" spans="1:12">
      <c r="A123" s="491"/>
      <c r="B123" s="487"/>
      <c r="C123" s="487"/>
      <c r="D123" s="487"/>
      <c r="E123" s="487"/>
      <c r="F123" s="487"/>
      <c r="G123" s="487"/>
      <c r="H123" s="487"/>
      <c r="I123" s="490"/>
      <c r="J123" s="487"/>
      <c r="K123" s="487"/>
      <c r="L123" s="488"/>
    </row>
    <row r="124" spans="1:12">
      <c r="A124" s="491"/>
      <c r="B124" s="487"/>
      <c r="C124" s="487"/>
      <c r="D124" s="487"/>
      <c r="E124" s="487"/>
      <c r="F124" s="487"/>
      <c r="G124" s="487"/>
      <c r="H124" s="487"/>
      <c r="I124" s="490"/>
      <c r="J124" s="487"/>
      <c r="K124" s="487"/>
      <c r="L124" s="488"/>
    </row>
    <row r="125" spans="1:12">
      <c r="A125" s="491"/>
      <c r="B125" s="487"/>
      <c r="C125" s="487"/>
      <c r="D125" s="487"/>
      <c r="E125" s="487"/>
      <c r="F125" s="487"/>
      <c r="G125" s="487"/>
      <c r="H125" s="487"/>
      <c r="I125" s="490"/>
      <c r="J125" s="487"/>
      <c r="K125" s="487"/>
      <c r="L125" s="488"/>
    </row>
    <row r="126" spans="1:12">
      <c r="A126" s="491"/>
      <c r="B126" s="487"/>
      <c r="C126" s="487"/>
      <c r="D126" s="487"/>
      <c r="E126" s="487"/>
      <c r="F126" s="487"/>
      <c r="G126" s="487"/>
      <c r="H126" s="487"/>
      <c r="I126" s="490"/>
      <c r="J126" s="487"/>
      <c r="K126" s="487"/>
      <c r="L126" s="488"/>
    </row>
    <row r="127" spans="1:12">
      <c r="A127" s="491"/>
      <c r="B127" s="487"/>
      <c r="C127" s="487"/>
      <c r="D127" s="487"/>
      <c r="E127" s="487"/>
      <c r="F127" s="487"/>
      <c r="G127" s="487"/>
      <c r="H127" s="487"/>
      <c r="I127" s="490"/>
      <c r="J127" s="487"/>
      <c r="K127" s="487"/>
      <c r="L127" s="488"/>
    </row>
    <row r="128" spans="1:12">
      <c r="A128" s="491"/>
      <c r="B128" s="487"/>
      <c r="C128" s="487"/>
      <c r="D128" s="487"/>
      <c r="E128" s="487"/>
      <c r="F128" s="487"/>
      <c r="G128" s="487"/>
      <c r="H128" s="487"/>
      <c r="I128" s="490"/>
      <c r="J128" s="487"/>
      <c r="K128" s="487"/>
      <c r="L128" s="488"/>
    </row>
    <row r="129" spans="1:12">
      <c r="A129" s="491"/>
      <c r="B129" s="487"/>
      <c r="C129" s="487"/>
      <c r="D129" s="487"/>
      <c r="E129" s="487"/>
      <c r="F129" s="487"/>
      <c r="G129" s="487"/>
      <c r="H129" s="487"/>
      <c r="I129" s="490"/>
      <c r="J129" s="487"/>
      <c r="K129" s="487"/>
      <c r="L129" s="488"/>
    </row>
    <row r="130" spans="1:12">
      <c r="A130" s="491"/>
      <c r="B130" s="487"/>
      <c r="C130" s="487"/>
      <c r="D130" s="487"/>
      <c r="E130" s="487"/>
      <c r="F130" s="487"/>
      <c r="G130" s="487"/>
      <c r="H130" s="487"/>
      <c r="I130" s="490"/>
      <c r="J130" s="487"/>
      <c r="K130" s="487"/>
      <c r="L130" s="488"/>
    </row>
    <row r="131" spans="1:12">
      <c r="A131" s="491"/>
      <c r="B131" s="487"/>
      <c r="C131" s="487"/>
      <c r="D131" s="487"/>
      <c r="E131" s="487"/>
      <c r="F131" s="487"/>
      <c r="G131" s="487"/>
      <c r="H131" s="487"/>
      <c r="I131" s="490"/>
      <c r="J131" s="487"/>
      <c r="K131" s="487"/>
      <c r="L131" s="488"/>
    </row>
    <row r="132" spans="1:12">
      <c r="A132" s="491"/>
      <c r="B132" s="487"/>
      <c r="C132" s="487"/>
      <c r="D132" s="487"/>
      <c r="E132" s="487"/>
      <c r="F132" s="487"/>
      <c r="G132" s="487"/>
      <c r="H132" s="487"/>
      <c r="I132" s="490"/>
      <c r="J132" s="487"/>
      <c r="K132" s="487"/>
      <c r="L132" s="488"/>
    </row>
    <row r="133" spans="1:12">
      <c r="A133" s="491"/>
      <c r="B133" s="487"/>
      <c r="C133" s="487"/>
      <c r="D133" s="487"/>
      <c r="E133" s="487"/>
      <c r="F133" s="487"/>
      <c r="G133" s="487"/>
      <c r="H133" s="487"/>
      <c r="I133" s="490"/>
      <c r="J133" s="487"/>
      <c r="K133" s="487"/>
      <c r="L133" s="488"/>
    </row>
    <row r="134" spans="1:12">
      <c r="A134" s="491"/>
      <c r="B134" s="487"/>
      <c r="C134" s="487"/>
      <c r="D134" s="487"/>
      <c r="E134" s="487"/>
      <c r="F134" s="487"/>
      <c r="G134" s="487"/>
      <c r="H134" s="487"/>
      <c r="I134" s="490"/>
      <c r="J134" s="487"/>
      <c r="K134" s="487"/>
      <c r="L134" s="488"/>
    </row>
    <row r="135" spans="1:12">
      <c r="A135" s="491"/>
      <c r="B135" s="487"/>
      <c r="C135" s="487"/>
      <c r="D135" s="487"/>
      <c r="E135" s="487"/>
      <c r="F135" s="487"/>
      <c r="G135" s="487"/>
      <c r="H135" s="487"/>
      <c r="I135" s="490"/>
      <c r="J135" s="487"/>
      <c r="K135" s="487"/>
      <c r="L135" s="488"/>
    </row>
    <row r="136" spans="1:12">
      <c r="A136" s="491"/>
      <c r="B136" s="487"/>
      <c r="C136" s="487"/>
      <c r="D136" s="487"/>
      <c r="E136" s="487"/>
      <c r="F136" s="487"/>
      <c r="G136" s="487"/>
      <c r="H136" s="487"/>
      <c r="I136" s="490"/>
      <c r="J136" s="487"/>
      <c r="K136" s="487"/>
      <c r="L136" s="488"/>
    </row>
    <row r="137" spans="1:12">
      <c r="A137" s="491"/>
      <c r="B137" s="487"/>
      <c r="C137" s="487"/>
      <c r="D137" s="487"/>
      <c r="E137" s="487"/>
      <c r="F137" s="487"/>
      <c r="G137" s="487"/>
      <c r="H137" s="487"/>
      <c r="I137" s="490"/>
      <c r="J137" s="487"/>
      <c r="K137" s="487"/>
      <c r="L137" s="488"/>
    </row>
    <row r="138" spans="1:12">
      <c r="A138" s="491"/>
      <c r="B138" s="487"/>
      <c r="C138" s="487"/>
      <c r="D138" s="487"/>
      <c r="E138" s="487"/>
      <c r="F138" s="487"/>
      <c r="G138" s="487"/>
      <c r="H138" s="487"/>
      <c r="I138" s="490"/>
      <c r="J138" s="487"/>
      <c r="K138" s="487"/>
      <c r="L138" s="488"/>
    </row>
    <row r="139" spans="1:12">
      <c r="A139" s="491"/>
      <c r="B139" s="487"/>
      <c r="C139" s="487"/>
      <c r="D139" s="487"/>
      <c r="E139" s="487"/>
      <c r="F139" s="487"/>
      <c r="G139" s="487"/>
      <c r="H139" s="487"/>
      <c r="I139" s="490"/>
      <c r="J139" s="487"/>
      <c r="K139" s="487"/>
      <c r="L139" s="488"/>
    </row>
    <row r="140" spans="1:12">
      <c r="A140" s="491"/>
      <c r="B140" s="487"/>
      <c r="C140" s="487"/>
      <c r="D140" s="487"/>
      <c r="E140" s="487"/>
      <c r="F140" s="487"/>
      <c r="G140" s="487"/>
      <c r="H140" s="487"/>
      <c r="I140" s="490"/>
      <c r="J140" s="487"/>
      <c r="K140" s="487"/>
      <c r="L140" s="488"/>
    </row>
    <row r="141" spans="1:12">
      <c r="A141" s="491"/>
      <c r="B141" s="487"/>
      <c r="C141" s="487"/>
      <c r="D141" s="487"/>
      <c r="E141" s="487"/>
      <c r="F141" s="487"/>
      <c r="G141" s="487"/>
      <c r="H141" s="487"/>
      <c r="I141" s="490"/>
      <c r="J141" s="487"/>
      <c r="K141" s="487"/>
      <c r="L141" s="488"/>
    </row>
    <row r="142" spans="1:12">
      <c r="A142" s="491"/>
      <c r="B142" s="487"/>
      <c r="C142" s="487"/>
      <c r="D142" s="487"/>
      <c r="E142" s="487"/>
      <c r="F142" s="487"/>
      <c r="G142" s="487"/>
      <c r="H142" s="487"/>
      <c r="I142" s="490"/>
      <c r="J142" s="487"/>
      <c r="K142" s="487"/>
      <c r="L142" s="488"/>
    </row>
    <row r="143" spans="1:12">
      <c r="A143" s="491"/>
      <c r="B143" s="487"/>
      <c r="C143" s="487"/>
      <c r="D143" s="487"/>
      <c r="E143" s="487"/>
      <c r="F143" s="487"/>
      <c r="G143" s="487"/>
      <c r="H143" s="487"/>
      <c r="I143" s="490"/>
      <c r="J143" s="487"/>
      <c r="K143" s="487"/>
      <c r="L143" s="488"/>
    </row>
    <row r="144" spans="1:12">
      <c r="A144" s="491"/>
      <c r="B144" s="487"/>
      <c r="C144" s="487"/>
      <c r="D144" s="487"/>
      <c r="E144" s="487"/>
      <c r="F144" s="487"/>
      <c r="G144" s="487"/>
      <c r="H144" s="487"/>
      <c r="I144" s="490"/>
      <c r="J144" s="487"/>
      <c r="K144" s="487"/>
      <c r="L144" s="488"/>
    </row>
    <row r="145" spans="1:12">
      <c r="A145" s="491"/>
      <c r="B145" s="487"/>
      <c r="C145" s="487"/>
      <c r="D145" s="487"/>
      <c r="E145" s="487"/>
      <c r="F145" s="487"/>
      <c r="G145" s="487"/>
      <c r="H145" s="487"/>
      <c r="I145" s="490"/>
      <c r="J145" s="487"/>
      <c r="K145" s="487"/>
      <c r="L145" s="488"/>
    </row>
    <row r="146" spans="1:12">
      <c r="A146" s="491"/>
      <c r="B146" s="487"/>
      <c r="C146" s="487"/>
      <c r="D146" s="487"/>
      <c r="E146" s="487"/>
      <c r="F146" s="487"/>
      <c r="G146" s="487"/>
      <c r="H146" s="487"/>
      <c r="I146" s="490"/>
      <c r="J146" s="487"/>
      <c r="K146" s="487"/>
      <c r="L146" s="488"/>
    </row>
    <row r="147" spans="1:12">
      <c r="A147" s="491"/>
      <c r="B147" s="487"/>
      <c r="C147" s="487"/>
      <c r="D147" s="487"/>
      <c r="E147" s="487"/>
      <c r="F147" s="487"/>
      <c r="G147" s="487"/>
      <c r="H147" s="487"/>
      <c r="I147" s="490"/>
      <c r="J147" s="487"/>
      <c r="K147" s="487"/>
      <c r="L147" s="488"/>
    </row>
    <row r="148" spans="1:12">
      <c r="A148" s="491"/>
      <c r="B148" s="487"/>
      <c r="C148" s="487"/>
      <c r="D148" s="487"/>
      <c r="E148" s="487"/>
      <c r="F148" s="487"/>
      <c r="G148" s="487"/>
      <c r="H148" s="487"/>
      <c r="I148" s="490"/>
      <c r="J148" s="487"/>
      <c r="K148" s="487"/>
      <c r="L148" s="488"/>
    </row>
    <row r="149" spans="1:12">
      <c r="A149" s="491"/>
      <c r="B149" s="487"/>
      <c r="C149" s="487"/>
      <c r="D149" s="487"/>
      <c r="E149" s="487"/>
      <c r="F149" s="487"/>
      <c r="G149" s="487"/>
      <c r="H149" s="487"/>
      <c r="I149" s="490"/>
      <c r="J149" s="487"/>
      <c r="K149" s="487"/>
      <c r="L149" s="488"/>
    </row>
    <row r="150" spans="1:12">
      <c r="A150" s="491"/>
      <c r="B150" s="487"/>
      <c r="C150" s="487"/>
      <c r="D150" s="487"/>
      <c r="E150" s="487"/>
      <c r="F150" s="487"/>
      <c r="G150" s="487"/>
      <c r="H150" s="487"/>
      <c r="I150" s="490"/>
      <c r="J150" s="487"/>
      <c r="K150" s="487"/>
      <c r="L150" s="488"/>
    </row>
    <row r="151" spans="1:12">
      <c r="A151" s="491"/>
      <c r="B151" s="487"/>
      <c r="C151" s="487"/>
      <c r="D151" s="487"/>
      <c r="E151" s="487"/>
      <c r="F151" s="487"/>
      <c r="G151" s="487"/>
      <c r="H151" s="487"/>
      <c r="I151" s="490"/>
      <c r="J151" s="487"/>
      <c r="K151" s="487"/>
      <c r="L151" s="488"/>
    </row>
    <row r="152" spans="1:12">
      <c r="A152" s="491"/>
      <c r="B152" s="487"/>
      <c r="C152" s="487"/>
      <c r="D152" s="487"/>
      <c r="E152" s="487"/>
      <c r="F152" s="487"/>
      <c r="G152" s="487"/>
      <c r="H152" s="487"/>
      <c r="I152" s="490"/>
      <c r="J152" s="487"/>
      <c r="K152" s="487"/>
      <c r="L152" s="488"/>
    </row>
    <row r="153" spans="1:12">
      <c r="A153" s="491"/>
      <c r="B153" s="487"/>
      <c r="C153" s="487"/>
      <c r="D153" s="487"/>
      <c r="E153" s="487"/>
      <c r="F153" s="487"/>
      <c r="G153" s="487"/>
      <c r="H153" s="487"/>
      <c r="I153" s="490"/>
      <c r="J153" s="487"/>
      <c r="K153" s="487"/>
      <c r="L153" s="488"/>
    </row>
    <row r="154" spans="1:12">
      <c r="A154" s="491"/>
      <c r="B154" s="487"/>
      <c r="C154" s="487"/>
      <c r="D154" s="487"/>
      <c r="E154" s="487"/>
      <c r="F154" s="487"/>
      <c r="G154" s="487"/>
      <c r="H154" s="487"/>
      <c r="I154" s="490"/>
      <c r="J154" s="487"/>
      <c r="K154" s="487"/>
      <c r="L154" s="488"/>
    </row>
    <row r="155" spans="1:12">
      <c r="A155" s="491"/>
      <c r="B155" s="487"/>
      <c r="C155" s="487"/>
      <c r="D155" s="487"/>
      <c r="E155" s="487"/>
      <c r="F155" s="487"/>
      <c r="G155" s="487"/>
      <c r="H155" s="487"/>
      <c r="I155" s="490"/>
      <c r="J155" s="487"/>
      <c r="K155" s="487"/>
      <c r="L155" s="488"/>
    </row>
    <row r="156" spans="1:12">
      <c r="A156" s="491"/>
      <c r="B156" s="487"/>
      <c r="C156" s="487"/>
      <c r="D156" s="487"/>
      <c r="E156" s="487"/>
      <c r="F156" s="487"/>
      <c r="G156" s="487"/>
      <c r="H156" s="487"/>
      <c r="I156" s="490"/>
      <c r="J156" s="487"/>
      <c r="K156" s="487"/>
      <c r="L156" s="488"/>
    </row>
    <row r="157" spans="1:12">
      <c r="A157" s="491"/>
      <c r="B157" s="487"/>
      <c r="C157" s="487"/>
      <c r="D157" s="487"/>
      <c r="E157" s="487"/>
      <c r="F157" s="487"/>
      <c r="G157" s="487"/>
      <c r="H157" s="487"/>
      <c r="I157" s="490"/>
      <c r="J157" s="487"/>
      <c r="K157" s="487"/>
      <c r="L157" s="488"/>
    </row>
    <row r="158" spans="1:12">
      <c r="A158" s="491"/>
      <c r="B158" s="487"/>
      <c r="C158" s="487"/>
      <c r="D158" s="487"/>
      <c r="E158" s="487"/>
      <c r="F158" s="487"/>
      <c r="G158" s="487"/>
      <c r="H158" s="487"/>
      <c r="I158" s="490"/>
      <c r="J158" s="487"/>
      <c r="K158" s="487"/>
      <c r="L158" s="488"/>
    </row>
    <row r="159" spans="1:12">
      <c r="A159" s="491"/>
      <c r="B159" s="487"/>
      <c r="C159" s="487"/>
      <c r="D159" s="487"/>
      <c r="E159" s="487"/>
      <c r="F159" s="487"/>
      <c r="G159" s="487"/>
      <c r="H159" s="487"/>
      <c r="I159" s="490"/>
      <c r="J159" s="487"/>
      <c r="K159" s="487"/>
      <c r="L159" s="488"/>
    </row>
    <row r="160" spans="1:12">
      <c r="A160" s="491"/>
      <c r="B160" s="487"/>
      <c r="C160" s="487"/>
      <c r="D160" s="487"/>
      <c r="E160" s="487"/>
      <c r="F160" s="487"/>
      <c r="G160" s="487"/>
      <c r="H160" s="487"/>
      <c r="I160" s="490"/>
      <c r="J160" s="487"/>
      <c r="K160" s="487"/>
      <c r="L160" s="488"/>
    </row>
    <row r="161" spans="1:12">
      <c r="A161" s="491"/>
      <c r="B161" s="487"/>
      <c r="C161" s="487"/>
      <c r="D161" s="487"/>
      <c r="E161" s="487"/>
      <c r="F161" s="487"/>
      <c r="G161" s="487"/>
      <c r="H161" s="487"/>
      <c r="I161" s="490"/>
      <c r="J161" s="487"/>
      <c r="K161" s="487"/>
      <c r="L161" s="488"/>
    </row>
    <row r="162" spans="1:12">
      <c r="A162" s="491"/>
      <c r="B162" s="487"/>
      <c r="C162" s="487"/>
      <c r="D162" s="487"/>
      <c r="E162" s="487"/>
      <c r="F162" s="487"/>
      <c r="G162" s="487"/>
      <c r="H162" s="487"/>
      <c r="I162" s="490"/>
      <c r="J162" s="487"/>
      <c r="K162" s="487"/>
      <c r="L162" s="488"/>
    </row>
    <row r="163" spans="1:12">
      <c r="A163" s="491"/>
      <c r="B163" s="487"/>
      <c r="C163" s="487"/>
      <c r="D163" s="487"/>
      <c r="E163" s="487"/>
      <c r="F163" s="487"/>
      <c r="G163" s="487"/>
      <c r="H163" s="487"/>
      <c r="I163" s="490"/>
      <c r="J163" s="487"/>
      <c r="K163" s="487"/>
      <c r="L163" s="488"/>
    </row>
    <row r="164" spans="1:12">
      <c r="A164" s="491"/>
      <c r="B164" s="487"/>
      <c r="C164" s="487"/>
      <c r="D164" s="487"/>
      <c r="E164" s="487"/>
      <c r="F164" s="487"/>
      <c r="G164" s="487"/>
      <c r="H164" s="487"/>
      <c r="I164" s="490"/>
      <c r="J164" s="487"/>
      <c r="K164" s="487"/>
      <c r="L164" s="488"/>
    </row>
    <row r="165" spans="1:12">
      <c r="A165" s="491"/>
      <c r="B165" s="487"/>
      <c r="C165" s="487"/>
      <c r="D165" s="487"/>
      <c r="E165" s="487"/>
      <c r="F165" s="487"/>
      <c r="G165" s="487"/>
      <c r="H165" s="487"/>
      <c r="I165" s="490"/>
      <c r="J165" s="487"/>
      <c r="K165" s="487"/>
      <c r="L165" s="488"/>
    </row>
    <row r="166" spans="1:12">
      <c r="A166" s="491"/>
      <c r="B166" s="487"/>
      <c r="C166" s="487"/>
      <c r="D166" s="487"/>
      <c r="E166" s="487"/>
      <c r="F166" s="487"/>
      <c r="G166" s="487"/>
      <c r="H166" s="487"/>
      <c r="I166" s="490"/>
      <c r="J166" s="487"/>
      <c r="K166" s="487"/>
      <c r="L166" s="488"/>
    </row>
    <row r="167" spans="1:12">
      <c r="A167" s="491"/>
      <c r="B167" s="487"/>
      <c r="C167" s="487"/>
      <c r="D167" s="487"/>
      <c r="E167" s="487"/>
      <c r="F167" s="487"/>
      <c r="G167" s="487"/>
      <c r="H167" s="487"/>
      <c r="I167" s="490"/>
      <c r="J167" s="487"/>
      <c r="K167" s="487"/>
      <c r="L167" s="488"/>
    </row>
    <row r="168" spans="1:12">
      <c r="A168" s="491"/>
      <c r="B168" s="487"/>
      <c r="C168" s="487"/>
      <c r="D168" s="487"/>
      <c r="E168" s="487"/>
      <c r="F168" s="487"/>
      <c r="G168" s="487"/>
      <c r="H168" s="487"/>
      <c r="I168" s="490"/>
      <c r="J168" s="487"/>
      <c r="K168" s="487"/>
      <c r="L168" s="488"/>
    </row>
    <row r="169" spans="1:12">
      <c r="A169" s="491"/>
      <c r="B169" s="487"/>
      <c r="C169" s="487"/>
      <c r="D169" s="487"/>
      <c r="E169" s="487"/>
      <c r="F169" s="487"/>
      <c r="G169" s="487"/>
      <c r="H169" s="487"/>
      <c r="I169" s="490"/>
      <c r="J169" s="487"/>
      <c r="K169" s="487"/>
      <c r="L169" s="488"/>
    </row>
    <row r="170" spans="1:12">
      <c r="A170" s="491"/>
      <c r="B170" s="487"/>
      <c r="C170" s="487"/>
      <c r="D170" s="487"/>
      <c r="E170" s="487"/>
      <c r="F170" s="487"/>
      <c r="G170" s="487"/>
      <c r="H170" s="487"/>
      <c r="I170" s="490"/>
      <c r="J170" s="487"/>
      <c r="K170" s="487"/>
      <c r="L170" s="488"/>
    </row>
    <row r="171" spans="1:12">
      <c r="A171" s="491"/>
      <c r="B171" s="487"/>
      <c r="C171" s="487"/>
      <c r="D171" s="487"/>
      <c r="E171" s="487"/>
      <c r="F171" s="487"/>
      <c r="G171" s="487"/>
      <c r="H171" s="487"/>
      <c r="I171" s="490"/>
      <c r="J171" s="487"/>
      <c r="K171" s="487"/>
      <c r="L171" s="488"/>
    </row>
    <row r="172" spans="1:12">
      <c r="A172" s="491"/>
      <c r="B172" s="487"/>
      <c r="C172" s="487"/>
      <c r="D172" s="487"/>
      <c r="E172" s="487"/>
      <c r="F172" s="487"/>
      <c r="G172" s="487"/>
      <c r="H172" s="487"/>
      <c r="I172" s="490"/>
      <c r="J172" s="487"/>
      <c r="K172" s="487"/>
      <c r="L172" s="488"/>
    </row>
    <row r="173" spans="1:12">
      <c r="A173" s="491"/>
      <c r="B173" s="487"/>
      <c r="C173" s="487"/>
      <c r="D173" s="487"/>
      <c r="E173" s="487"/>
      <c r="F173" s="487"/>
      <c r="G173" s="487"/>
      <c r="H173" s="487"/>
      <c r="I173" s="490"/>
      <c r="J173" s="487"/>
      <c r="K173" s="487"/>
      <c r="L173" s="488"/>
    </row>
    <row r="174" spans="1:12">
      <c r="A174" s="491"/>
      <c r="B174" s="487"/>
      <c r="C174" s="487"/>
      <c r="D174" s="487"/>
      <c r="E174" s="487"/>
      <c r="F174" s="487"/>
      <c r="G174" s="487"/>
      <c r="H174" s="487"/>
      <c r="I174" s="490"/>
      <c r="J174" s="487"/>
      <c r="K174" s="487"/>
      <c r="L174" s="488"/>
    </row>
    <row r="175" spans="1:12">
      <c r="A175" s="491"/>
      <c r="B175" s="487"/>
      <c r="C175" s="487"/>
      <c r="D175" s="487"/>
      <c r="E175" s="487"/>
      <c r="F175" s="487"/>
      <c r="G175" s="487"/>
      <c r="H175" s="487"/>
      <c r="I175" s="490"/>
      <c r="J175" s="487"/>
      <c r="K175" s="487"/>
      <c r="L175" s="488"/>
    </row>
    <row r="176" spans="1:12">
      <c r="A176" s="491"/>
      <c r="B176" s="487"/>
      <c r="C176" s="487"/>
      <c r="D176" s="487"/>
      <c r="E176" s="487"/>
      <c r="F176" s="487"/>
      <c r="G176" s="487"/>
      <c r="H176" s="487"/>
      <c r="I176" s="490"/>
      <c r="J176" s="487"/>
      <c r="K176" s="487"/>
      <c r="L176" s="488"/>
    </row>
    <row r="177" spans="1:12">
      <c r="A177" s="491"/>
      <c r="B177" s="487"/>
      <c r="C177" s="487"/>
      <c r="D177" s="487"/>
      <c r="E177" s="487"/>
      <c r="F177" s="487"/>
      <c r="G177" s="487"/>
      <c r="H177" s="487"/>
      <c r="I177" s="490"/>
      <c r="J177" s="487"/>
      <c r="K177" s="487"/>
      <c r="L177" s="488"/>
    </row>
    <row r="178" spans="1:12">
      <c r="A178" s="491"/>
      <c r="B178" s="487"/>
      <c r="C178" s="487"/>
      <c r="D178" s="487"/>
      <c r="E178" s="487"/>
      <c r="F178" s="487"/>
      <c r="G178" s="487"/>
      <c r="H178" s="487"/>
      <c r="I178" s="490"/>
      <c r="J178" s="487"/>
      <c r="K178" s="487"/>
      <c r="L178" s="488"/>
    </row>
    <row r="179" spans="1:12">
      <c r="A179" s="491"/>
      <c r="B179" s="487"/>
      <c r="C179" s="487"/>
      <c r="D179" s="487"/>
      <c r="E179" s="487"/>
      <c r="F179" s="487"/>
      <c r="G179" s="487"/>
      <c r="H179" s="487"/>
      <c r="I179" s="490"/>
      <c r="J179" s="487"/>
      <c r="K179" s="487"/>
      <c r="L179" s="488"/>
    </row>
    <row r="180" spans="1:12">
      <c r="A180" s="491"/>
      <c r="B180" s="487"/>
      <c r="C180" s="487"/>
      <c r="D180" s="487"/>
      <c r="E180" s="487"/>
      <c r="F180" s="487"/>
      <c r="G180" s="487"/>
      <c r="H180" s="487"/>
      <c r="I180" s="490"/>
      <c r="J180" s="487"/>
      <c r="K180" s="487"/>
      <c r="L180" s="488"/>
    </row>
    <row r="181" spans="1:12">
      <c r="A181" s="491"/>
      <c r="B181" s="487"/>
      <c r="C181" s="487"/>
      <c r="D181" s="487"/>
      <c r="E181" s="487"/>
      <c r="F181" s="487"/>
      <c r="G181" s="487"/>
      <c r="H181" s="487"/>
      <c r="I181" s="490"/>
      <c r="J181" s="487"/>
      <c r="K181" s="487"/>
      <c r="L181" s="488"/>
    </row>
    <row r="182" spans="1:12">
      <c r="A182" s="491"/>
      <c r="B182" s="487"/>
      <c r="C182" s="487"/>
      <c r="D182" s="487"/>
      <c r="E182" s="487"/>
      <c r="F182" s="487"/>
      <c r="G182" s="487"/>
      <c r="H182" s="487"/>
      <c r="I182" s="487"/>
      <c r="J182" s="487"/>
      <c r="K182" s="487"/>
      <c r="L182" s="488"/>
    </row>
    <row r="183" spans="1:12">
      <c r="A183" s="492"/>
      <c r="B183" s="493"/>
      <c r="C183" s="493"/>
      <c r="D183" s="493"/>
      <c r="E183" s="493"/>
      <c r="F183" s="493"/>
      <c r="G183" s="493"/>
      <c r="H183" s="493"/>
      <c r="I183" s="493"/>
      <c r="J183" s="493"/>
      <c r="K183" s="493"/>
      <c r="L183" s="49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5:T64"/>
  <sheetViews>
    <sheetView tabSelected="1" zoomScale="115" zoomScaleNormal="115" workbookViewId="0">
      <pane ySplit="6" topLeftCell="A7" activePane="bottomLeft" state="frozen"/>
      <selection activeCell="B1" sqref="B1"/>
      <selection pane="bottomLeft" activeCell="B40" sqref="B40:D41"/>
    </sheetView>
  </sheetViews>
  <sheetFormatPr defaultRowHeight="14.4"/>
  <cols>
    <col min="1" max="1" width="8.88671875" style="737"/>
    <col min="2" max="2" width="12.5546875" style="737" customWidth="1"/>
    <col min="3" max="3" width="6.33203125" style="737" customWidth="1"/>
    <col min="4" max="4" width="7.109375" style="737" customWidth="1"/>
    <col min="5" max="5" width="11" style="737" customWidth="1"/>
    <col min="6" max="16384" width="8.88671875" style="737"/>
  </cols>
  <sheetData>
    <row r="5" spans="1:20" ht="16.8" customHeight="1"/>
    <row r="6" spans="1:20" s="738" customFormat="1" ht="3" customHeight="1"/>
    <row r="7" spans="1:20" ht="15" thickBot="1"/>
    <row r="8" spans="1:20" ht="18" customHeight="1">
      <c r="B8" s="1087" t="s">
        <v>2011</v>
      </c>
      <c r="C8" s="1087"/>
      <c r="N8" s="1078" t="str">
        <f ca="1" xml:space="preserve"> " Total Stock Report Of " &amp;'Working sheet'!C11</f>
        <v xml:space="preserve"> Total Stock Report Of 2018</v>
      </c>
      <c r="O8" s="1079"/>
      <c r="P8" s="1079"/>
      <c r="Q8" s="1079"/>
      <c r="R8" s="1079"/>
      <c r="S8" s="1079"/>
      <c r="T8" s="1080"/>
    </row>
    <row r="9" spans="1:20" ht="18.600000000000001" customHeight="1" thickBot="1">
      <c r="F9" s="1063"/>
      <c r="H9" s="1091" t="s">
        <v>2010</v>
      </c>
      <c r="I9" s="1091"/>
      <c r="N9" s="1081" t="s">
        <v>2154</v>
      </c>
      <c r="O9" s="1082"/>
      <c r="P9" s="1082" t="s">
        <v>2155</v>
      </c>
      <c r="Q9" s="1082"/>
      <c r="R9" s="1082" t="s">
        <v>23</v>
      </c>
      <c r="S9" s="1082"/>
      <c r="T9" s="1093"/>
    </row>
    <row r="10" spans="1:20" ht="14.4" customHeight="1" thickBot="1">
      <c r="A10" s="1092" t="str">
        <f xml:space="preserve">  " Stock Report Of  " &amp;$G$10</f>
        <v xml:space="preserve"> Stock Report Of  NP5-12</v>
      </c>
      <c r="B10" s="1092"/>
      <c r="C10" s="1092"/>
      <c r="D10" s="1092"/>
      <c r="E10" s="1092"/>
      <c r="F10" s="1062"/>
      <c r="G10" s="1088" t="s">
        <v>939</v>
      </c>
      <c r="H10" s="1089"/>
      <c r="I10" s="1089"/>
      <c r="J10" s="1090"/>
      <c r="N10" s="1094">
        <f ca="1">IF('Working sheet'!$C$11=2017,'Stock-2017'!$AC$461,IF('Working sheet'!$C$11=2018,'Stock - 2018'!$AC$110,IF('Working sheet'!$C$11=2019,'Stock - 2019'!$AC$131)))</f>
        <v>17452</v>
      </c>
      <c r="O10" s="1095"/>
      <c r="P10" s="1095">
        <f ca="1">IF('Working sheet'!$C$11=2017,'Stock-2017'!AD461,IF('Working sheet'!$C$11=2018,'Stock - 2018'!AD110,IF('Working sheet'!$C$11=2019,'Stock - 2019'!AD131)))</f>
        <v>8117</v>
      </c>
      <c r="Q10" s="1095"/>
      <c r="R10" s="1096">
        <f ca="1">IF('Working sheet'!$C$11=2017,'Stock-2017'!AE461,IF('Working sheet'!$C$11=2018,'Stock - 2018'!AE110,IF('Working sheet'!$C$11=2019,'Stock - 2019'!AE131)))</f>
        <v>9335</v>
      </c>
      <c r="S10" s="1096"/>
      <c r="T10" s="1097"/>
    </row>
    <row r="11" spans="1:20" ht="14.4" customHeight="1">
      <c r="A11" s="1092"/>
      <c r="B11" s="1092"/>
      <c r="C11" s="1092"/>
      <c r="D11" s="1092"/>
      <c r="E11" s="1092"/>
      <c r="F11" s="1062"/>
    </row>
    <row r="12" spans="1:20" ht="15.6">
      <c r="B12" s="1085" t="s">
        <v>2152</v>
      </c>
      <c r="C12" s="1085"/>
      <c r="D12" s="1085"/>
    </row>
    <row r="13" spans="1:20">
      <c r="B13" s="1086">
        <f ca="1">IF('Working sheet'!$C$11=2017,SUMIF('Stock-2017'!B:B,Dashboard!G10,'Stock-2017'!AE:AE),IF('Working sheet'!$C$11=2018,SUMIF('Stock - 2018'!B:B,Dashboard!G10,'Stock - 2018'!AE:AE),IF('Working sheet'!$C$11=2019,SUMIF('Stock - 2019'!B:B,Dashboard!G10,'Stock - 2019'!AE:AE))))</f>
        <v>6024</v>
      </c>
      <c r="C13" s="1086"/>
      <c r="D13" s="1086"/>
    </row>
    <row r="14" spans="1:20" ht="14.4" customHeight="1">
      <c r="B14" s="1086"/>
      <c r="C14" s="1086"/>
      <c r="D14" s="1086"/>
    </row>
    <row r="15" spans="1:20" ht="14.4" customHeight="1"/>
    <row r="16" spans="1:20" ht="15.6">
      <c r="B16" s="1085" t="s">
        <v>21</v>
      </c>
      <c r="C16" s="1085"/>
      <c r="D16" s="1085"/>
    </row>
    <row r="17" spans="2:4">
      <c r="B17" s="1086">
        <f ca="1">IF('Working sheet'!$C$11=2017,SUMIF('Stock-2017'!B:B,Dashboard!G10,'Stock-2017'!AC:AC),IF('Working sheet'!$C$11=2018,SUMIF('Stock - 2018'!B:B,Dashboard!G10,'Stock - 2018'!AC:AC),IF('Working sheet'!$C$11=2019,SUMIF('Stock - 2019'!B:B,Dashboard!G10,'Stock - 2019'!AC:AC))))</f>
        <v>7412</v>
      </c>
      <c r="C17" s="1086"/>
      <c r="D17" s="1086"/>
    </row>
    <row r="18" spans="2:4">
      <c r="B18" s="1086"/>
      <c r="C18" s="1086"/>
      <c r="D18" s="1086"/>
    </row>
    <row r="20" spans="2:4" ht="15.6">
      <c r="B20" s="1085" t="s">
        <v>2153</v>
      </c>
      <c r="C20" s="1085"/>
      <c r="D20" s="1085"/>
    </row>
    <row r="21" spans="2:4">
      <c r="B21" s="1086">
        <f ca="1">IF('Working sheet'!$C$11=2017,SUMIF('Stock-2017'!B:B,Dashboard!G10,'Stock-2017'!AD:AD),IF('Working sheet'!$C$11=2018,SUMIF('Stock - 2018'!B:B,Dashboard!G10,'Stock - 2018'!AD:AD),IF('Working sheet'!$C$11=2019,SUMIF('Stock - 2019'!B:B,Dashboard!G10,'Stock - 2019'!AD:AD))))</f>
        <v>1388</v>
      </c>
      <c r="C21" s="1086"/>
      <c r="D21" s="1086"/>
    </row>
    <row r="22" spans="2:4">
      <c r="B22" s="1086"/>
      <c r="C22" s="1086"/>
      <c r="D22" s="1086"/>
    </row>
    <row r="30" spans="2:4" s="1061" customFormat="1" ht="3.6" customHeight="1"/>
    <row r="33" spans="2:16" ht="25.2">
      <c r="B33" s="1087" t="s">
        <v>2011</v>
      </c>
      <c r="C33" s="1087"/>
      <c r="F33" s="1084" t="str">
        <f ca="1">" Monthly Stock Report Of " &amp;'Working sheet'!C11 &amp;" (Product base)"</f>
        <v xml:space="preserve"> Monthly Stock Report Of 2018 (Product base)</v>
      </c>
      <c r="G33" s="1084"/>
      <c r="H33" s="1084"/>
      <c r="I33" s="1084"/>
      <c r="J33" s="1084"/>
      <c r="K33" s="1084"/>
      <c r="L33" s="1084"/>
      <c r="M33" s="1084"/>
    </row>
    <row r="35" spans="2:16" ht="21">
      <c r="B35" s="1087" t="s">
        <v>2156</v>
      </c>
      <c r="C35" s="1087"/>
    </row>
    <row r="36" spans="2:16" ht="20.399999999999999" thickBot="1">
      <c r="I36" s="1091" t="s">
        <v>2010</v>
      </c>
      <c r="J36" s="1091"/>
    </row>
    <row r="37" spans="2:16" ht="15" thickBot="1">
      <c r="H37" s="1088" t="s">
        <v>30</v>
      </c>
      <c r="I37" s="1089"/>
      <c r="J37" s="1089"/>
      <c r="K37" s="1090"/>
    </row>
    <row r="39" spans="2:16" ht="15.6">
      <c r="B39" s="1085" t="s">
        <v>2173</v>
      </c>
      <c r="C39" s="1085"/>
      <c r="D39" s="1085"/>
      <c r="F39" s="1085" t="s">
        <v>2172</v>
      </c>
      <c r="G39" s="1085"/>
      <c r="H39" s="1085"/>
      <c r="J39" s="1085" t="s">
        <v>2174</v>
      </c>
      <c r="K39" s="1085"/>
      <c r="L39" s="1085"/>
      <c r="N39" s="1085" t="s">
        <v>2152</v>
      </c>
      <c r="O39" s="1085"/>
      <c r="P39" s="1085"/>
    </row>
    <row r="40" spans="2:16">
      <c r="B40" s="1086">
        <f ca="1">IF('Working sheet'!$C$11=2019,INDEX('Stock - 2019'!$A$1:$AE$131,MATCH(Dashboard!$H$37,'Stock - 2019'!$B$1:$B$123,0),MATCH('Working sheet'!I23,'Stock - 2019'!$A$1:$AE$1,0)),IF('Working sheet'!$C$11=2017,INDEX('Stock-2017'!$A$1:$AE$461,MATCH(Dashboard!$H$37,'Stock-2017'!$B$1:$B$453,0),MATCH('Working sheet'!I23,'Stock-2017'!$A$1:$AE$1,0)),IF('Working sheet'!$C$11=2018,INDEX('Stock - 2018'!$A$1:$AE$110,MATCH(Dashboard!$H$37,'Stock - 2018'!$B$1:$B$105,0),MATCH('Working sheet'!I23,'Stock - 2018'!A1:AE1,0)))))</f>
        <v>39</v>
      </c>
      <c r="C40" s="1086"/>
      <c r="D40" s="1086"/>
      <c r="F40" s="1086">
        <f ca="1">IF('Working sheet'!$C$11=2019,INDEX('Stock - 2019'!$A$1:$AE$131,MATCH(Dashboard!$H$37,'Stock - 2019'!$B$1:$B$123,0),MATCH('Working sheet'!H19,'Stock - 2019'!$A$1:$AE$1,0)),IF('Working sheet'!$C$11=2017,INDEX('Stock-2017'!$A$1:$AE$461,MATCH(Dashboard!$H$37,'Stock-2017'!$B$1:$B$453,0),MATCH('Working sheet'!H19,'Stock-2017'!$A$1:$AE$1,0)),IF('Working sheet'!$C$11=2018,INDEX('Stock - 2018'!$A$1:$AE$110,MATCH(Dashboard!$H$37,'Stock - 2018'!$B$1:$B$105,0),MATCH('Working sheet'!H19,'Stock - 2018'!A1:AE1,0)))))</f>
        <v>0</v>
      </c>
      <c r="G40" s="1086"/>
      <c r="H40" s="1086"/>
      <c r="J40" s="1086">
        <f ca="1">IF('Working sheet'!$C$11=2019,INDEX('Stock - 2019'!$A$1:$AE$131,MATCH(Dashboard!$H$37,'Stock - 2019'!$B$1:$B$123,0),MATCH('Working sheet'!H21,'Stock - 2019'!A1:AE1,0)),IF('Working sheet'!$C$11=2017,INDEX('Stock-2017'!$A$1:$AE$461,MATCH(Dashboard!$H$37,'Stock-2017'!$B$1:$B$453,0),MATCH('Working sheet'!H21,'Stock-2017'!$A$1:$AE$1,0)),IF('Working sheet'!$C$11=2018,INDEX('Stock - 2018'!$A$1:$AE$110,MATCH(Dashboard!$H$37,'Stock - 2018'!$B$1:$B$105,0),MATCH('Working sheet'!H21,'Stock - 2018'!A1:AE1,0)))))</f>
        <v>22</v>
      </c>
      <c r="K40" s="1086"/>
      <c r="L40" s="1086"/>
      <c r="N40" s="1086">
        <f ca="1">IF('Working sheet'!$C$11=2017,SUMIF('Stock-2017'!B:B,$H$37,'Stock-2017'!AE:AE),IF('Working sheet'!$C$11=2018,SUMIF('Stock - 2018'!B:B,$H$37,'Stock - 2018'!AE:AE),IF('Working sheet'!$C$11=2019,SUMIF('Stock - 2019'!B:B,$H$37,'Stock - 2019'!AE:AE))))</f>
        <v>57</v>
      </c>
      <c r="O40" s="1086"/>
      <c r="P40" s="1086"/>
    </row>
    <row r="41" spans="2:16">
      <c r="B41" s="1086"/>
      <c r="C41" s="1086"/>
      <c r="D41" s="1086"/>
      <c r="F41" s="1086"/>
      <c r="G41" s="1086"/>
      <c r="H41" s="1086"/>
      <c r="J41" s="1086"/>
      <c r="K41" s="1086"/>
      <c r="L41" s="1086"/>
      <c r="N41" s="1086"/>
      <c r="O41" s="1086"/>
      <c r="P41" s="1086"/>
    </row>
    <row r="44" spans="2:16" ht="14.4" customHeight="1">
      <c r="G44" s="1083" t="str">
        <f ca="1">"Stock Report Of " &amp;'Working sheet'!$K$19  &amp;" - "&amp;$H$37</f>
        <v>Stock Report Of Dec19 - SURTRK2</v>
      </c>
      <c r="H44" s="1083"/>
      <c r="I44" s="1083"/>
      <c r="J44" s="1083"/>
      <c r="K44" s="1083"/>
    </row>
    <row r="45" spans="2:16" ht="14.4" customHeight="1">
      <c r="G45" s="1083"/>
      <c r="H45" s="1083"/>
      <c r="I45" s="1083"/>
      <c r="J45" s="1083"/>
      <c r="K45" s="1083"/>
    </row>
    <row r="47" spans="2:16" ht="15.6">
      <c r="K47" s="1085" t="s">
        <v>2175</v>
      </c>
      <c r="L47" s="1085"/>
      <c r="M47" s="1085"/>
    </row>
    <row r="48" spans="2:16">
      <c r="K48" s="1086">
        <f ca="1">IF('Working sheet'!$C$11=2019,INDEX('Stock - 2019'!$A$1:$AE$131,MATCH('Working sheet'!$J$23,'Stock - 2019'!$B$1:$B$131,0),MATCH('Working sheet'!H19,'Stock - 2019'!$A$1:$AE$1,0)),IF('Working sheet'!$C$11=2017,INDEX('Stock-2017'!$A$1:$AE$461,MATCH('Working sheet'!$J$23,'Stock-2017'!$B$1:$B$461,0),MATCH('Working sheet'!H19,'Stock-2017'!$A$1:$AE$1,0)),IF('Working sheet'!$C$11=2018,INDEX('Stock - 2018'!$A$1:$AE$110,MATCH('Working sheet'!$J$23,'Stock - 2018'!$B$1:$B$110,0),MATCH('Working sheet'!H19,'Stock - 2018'!A1:AE1,0)))))</f>
        <v>507</v>
      </c>
      <c r="L48" s="1086"/>
      <c r="M48" s="1086"/>
    </row>
    <row r="49" spans="2:13">
      <c r="K49" s="1086"/>
      <c r="L49" s="1086"/>
      <c r="M49" s="1086"/>
    </row>
    <row r="52" spans="2:13" ht="15.6">
      <c r="K52" s="1085" t="s">
        <v>2176</v>
      </c>
      <c r="L52" s="1085"/>
      <c r="M52" s="1085"/>
    </row>
    <row r="53" spans="2:13">
      <c r="K53" s="1086">
        <f ca="1">IF('Working sheet'!$C$11=2019,INDEX('Stock - 2019'!$A$1:$AE$131,MATCH('Working sheet'!$J$23,'Stock - 2019'!$B$1:$B$131,0),MATCH('Working sheet'!H21,'Stock - 2019'!$A$1:$AE$1,0)),IF('Working sheet'!$C$11=2017,INDEX('Stock-2017'!$A$1:$AE$461,MATCH('Working sheet'!$J$23,'Stock-2017'!$B$1:$B$461,0),MATCH('Working sheet'!H21,'Stock-2017'!$A$1:$AE$1,0)),IF('Working sheet'!$C$11=2018,INDEX('Stock - 2018'!$A$1:$AE$110,MATCH('Working sheet'!$J$23,'Stock - 2018'!$B$1:$B$110,0),MATCH('Working sheet'!H21,'Stock - 2018'!A1:AE1,0)))))</f>
        <v>1318</v>
      </c>
      <c r="L53" s="1086"/>
      <c r="M53" s="1086"/>
    </row>
    <row r="54" spans="2:13">
      <c r="K54" s="1086"/>
      <c r="L54" s="1086"/>
      <c r="M54" s="1086"/>
    </row>
    <row r="64" spans="2:13" s="1061" customFormat="1" ht="4.8" customHeight="1">
      <c r="B64"/>
      <c r="C64"/>
    </row>
  </sheetData>
  <mergeCells count="35">
    <mergeCell ref="K47:M47"/>
    <mergeCell ref="K48:M49"/>
    <mergeCell ref="K52:M52"/>
    <mergeCell ref="K53:M54"/>
    <mergeCell ref="P9:Q9"/>
    <mergeCell ref="N40:P41"/>
    <mergeCell ref="J39:L39"/>
    <mergeCell ref="J40:L41"/>
    <mergeCell ref="R9:T9"/>
    <mergeCell ref="N10:O10"/>
    <mergeCell ref="P10:Q10"/>
    <mergeCell ref="R10:T10"/>
    <mergeCell ref="N39:P39"/>
    <mergeCell ref="H9:I9"/>
    <mergeCell ref="B8:C8"/>
    <mergeCell ref="G10:J10"/>
    <mergeCell ref="B12:D12"/>
    <mergeCell ref="B13:D14"/>
    <mergeCell ref="A10:E11"/>
    <mergeCell ref="N8:T8"/>
    <mergeCell ref="N9:O9"/>
    <mergeCell ref="G44:K45"/>
    <mergeCell ref="F33:M33"/>
    <mergeCell ref="B39:D39"/>
    <mergeCell ref="B40:D41"/>
    <mergeCell ref="F39:H39"/>
    <mergeCell ref="F40:H41"/>
    <mergeCell ref="B33:C33"/>
    <mergeCell ref="H37:K37"/>
    <mergeCell ref="I36:J36"/>
    <mergeCell ref="B35:C35"/>
    <mergeCell ref="B16:D16"/>
    <mergeCell ref="B17:D18"/>
    <mergeCell ref="B21:D22"/>
    <mergeCell ref="B20:D20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3" name="Drop Down 2">
              <controlPr defaultSize="0" autoLine="0" autoPict="0">
                <anchor moveWithCells="1">
                  <from>
                    <xdr:col>2</xdr:col>
                    <xdr:colOff>175260</xdr:colOff>
                    <xdr:row>7</xdr:row>
                    <xdr:rowOff>15240</xdr:rowOff>
                  </from>
                  <to>
                    <xdr:col>4</xdr:col>
                    <xdr:colOff>99060</xdr:colOff>
                    <xdr:row>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4" name="Drop Down 5">
              <controlPr defaultSize="0" autoLine="0" autoPict="0">
                <anchor moveWithCells="1">
                  <from>
                    <xdr:col>2</xdr:col>
                    <xdr:colOff>213360</xdr:colOff>
                    <xdr:row>32</xdr:row>
                    <xdr:rowOff>45720</xdr:rowOff>
                  </from>
                  <to>
                    <xdr:col>4</xdr:col>
                    <xdr:colOff>137160</xdr:colOff>
                    <xdr:row>32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5" name="Drop Down 8">
              <controlPr defaultSize="0" autoLine="0" autoPict="0">
                <anchor moveWithCells="1">
                  <from>
                    <xdr:col>2</xdr:col>
                    <xdr:colOff>289560</xdr:colOff>
                    <xdr:row>34</xdr:row>
                    <xdr:rowOff>45720</xdr:rowOff>
                  </from>
                  <to>
                    <xdr:col>4</xdr:col>
                    <xdr:colOff>281940</xdr:colOff>
                    <xdr:row>34</xdr:row>
                    <xdr:rowOff>198120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INDIRECT('Working sheet'!$C$13)</xm:f>
          </x14:formula1>
          <xm:sqref>G10:J10 H37:K37</xm:sqref>
        </x14:dataValidation>
        <x14:dataValidation type="list" allowBlank="1" showInputMessage="1" showErrorMessage="1">
          <x14:formula1>
            <xm:f>'Working sheet'!$C$5:$C$9</xm:f>
          </x14:formula1>
          <xm:sqref>D8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5"/>
  <sheetViews>
    <sheetView workbookViewId="0">
      <selection activeCell="H22" sqref="H22"/>
    </sheetView>
  </sheetViews>
  <sheetFormatPr defaultRowHeight="14.4"/>
  <cols>
    <col min="4" max="4" width="14.5546875" customWidth="1"/>
  </cols>
  <sheetData>
    <row r="5" spans="3:12">
      <c r="C5" t="s">
        <v>2012</v>
      </c>
      <c r="H5" t="s">
        <v>2160</v>
      </c>
    </row>
    <row r="6" spans="3:12">
      <c r="C6" t="s">
        <v>2014</v>
      </c>
      <c r="H6" t="s">
        <v>2161</v>
      </c>
    </row>
    <row r="7" spans="3:12">
      <c r="C7">
        <v>2017</v>
      </c>
      <c r="H7" t="s">
        <v>2162</v>
      </c>
    </row>
    <row r="8" spans="3:12">
      <c r="C8">
        <v>2018</v>
      </c>
      <c r="H8" t="s">
        <v>2163</v>
      </c>
      <c r="L8" s="915">
        <f ca="1">IF('Working sheet'!$C$11=2018,INDEX('Stock - 2018'!$A$1:$AE$110,MATCH(Dashboard!$H$37,'Stock - 2018'!$B$1:$B$105,0),MATCH('Working sheet'!H19,'Stock - 2018'!A1:AE1,0)))</f>
        <v>0</v>
      </c>
    </row>
    <row r="9" spans="3:12">
      <c r="C9">
        <v>2019</v>
      </c>
      <c r="H9" t="s">
        <v>2164</v>
      </c>
    </row>
    <row r="10" spans="3:12">
      <c r="C10">
        <v>3</v>
      </c>
      <c r="H10" t="s">
        <v>2159</v>
      </c>
    </row>
    <row r="11" spans="3:12">
      <c r="C11">
        <f ca="1">OFFSET(C5,$C$10,0)</f>
        <v>2018</v>
      </c>
      <c r="D11" t="str">
        <f ca="1">RIGHT(C11,2)</f>
        <v>18</v>
      </c>
      <c r="H11" t="s">
        <v>2165</v>
      </c>
    </row>
    <row r="12" spans="3:12">
      <c r="H12" t="s">
        <v>2166</v>
      </c>
    </row>
    <row r="13" spans="3:12">
      <c r="C13" s="1098" t="str">
        <f ca="1">IF(C11=2017,"'Stock-2017'!B2:B1048576",IF(C11=2018,"'Stock - 2018'!B2:B105",IF('Working sheet'!C11=2019,"'Stock - 2019'!B2:B123","-")))</f>
        <v>'Stock - 2018'!B2:B105</v>
      </c>
      <c r="D13" s="1098"/>
      <c r="H13" t="s">
        <v>2167</v>
      </c>
    </row>
    <row r="14" spans="3:12">
      <c r="H14" t="s">
        <v>2171</v>
      </c>
    </row>
    <row r="15" spans="3:12">
      <c r="H15" t="s">
        <v>2168</v>
      </c>
    </row>
    <row r="16" spans="3:12">
      <c r="H16" t="s">
        <v>2169</v>
      </c>
    </row>
    <row r="17" spans="4:11">
      <c r="F17" s="915">
        <f ca="1">IF($C$11=2017,SUMIF('Stock-2017'!B:B,Dashboard!G10,'Stock-2017'!AE:AE),IF($C$11=2018,SUMIF('Stock - 2018'!B:B,Dashboard!G10,'Stock - 2018'!AE:AE),IF('Working sheet'!$C$11=2019,SUMIF('Stock - 2019'!B:B,Dashboard!G10,'Stock - 2019'!AE:AE))))</f>
        <v>6024</v>
      </c>
      <c r="H17" t="s">
        <v>2170</v>
      </c>
    </row>
    <row r="18" spans="4:11">
      <c r="H18">
        <v>12</v>
      </c>
    </row>
    <row r="19" spans="4:11">
      <c r="H19" s="1098" t="str">
        <f ca="1">"Purchase " &amp;OFFSET(H5,H18,0) &amp;$D$11</f>
        <v>Purchase Dec18</v>
      </c>
      <c r="I19" s="1098"/>
      <c r="K19" t="str">
        <f ca="1">OFFSET(H5,H18,0) &amp;"19"</f>
        <v>Dec19</v>
      </c>
    </row>
    <row r="20" spans="4:11">
      <c r="D20" s="915">
        <f ca="1">IF($C$11=2017,SUMIF('Stock-2017'!B:B,Dashboard!G10,'Stock-2017'!AE:AE),IF($C$11=2018,SUMIF('Stock - 2018'!B:B,Dashboard!G10,'Stock - 2018'!AE:AE),IF('Working sheet'!$C$11=2019,SUMIF('Stock - 2019'!B:B,Dashboard!G10,'Stock - 2019'!AE:AE),"-")))</f>
        <v>6024</v>
      </c>
    </row>
    <row r="21" spans="4:11">
      <c r="H21" s="1098" t="str">
        <f ca="1">"Sale " &amp;OFFSET(H5,$H$18,0) &amp;$D$11</f>
        <v>Sale Dec18</v>
      </c>
      <c r="I21" s="1098"/>
    </row>
    <row r="23" spans="4:11">
      <c r="D23" t="s">
        <v>2097</v>
      </c>
      <c r="I23" t="s">
        <v>278</v>
      </c>
      <c r="J23" t="s">
        <v>2177</v>
      </c>
    </row>
    <row r="25" spans="4:11">
      <c r="H25" s="1098" t="str">
        <f ca="1">H19</f>
        <v>Purchase Dec18</v>
      </c>
      <c r="I25" s="1098"/>
    </row>
  </sheetData>
  <mergeCells count="4">
    <mergeCell ref="C13:D13"/>
    <mergeCell ref="H19:I19"/>
    <mergeCell ref="H21:I21"/>
    <mergeCell ref="H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Inventory</vt:lpstr>
      <vt:lpstr>Stock-2017</vt:lpstr>
      <vt:lpstr>Stock - 2018</vt:lpstr>
      <vt:lpstr>Stock - 2019</vt:lpstr>
      <vt:lpstr>All Deliveries</vt:lpstr>
      <vt:lpstr>Loan-Order</vt:lpstr>
      <vt:lpstr>Dashboard</vt:lpstr>
      <vt:lpstr>Working sheet</vt:lpstr>
      <vt:lpstr>Inventory!Print_Area</vt:lpstr>
      <vt:lpstr>'Stock-2017'!Print_Area</vt:lpstr>
      <vt:lpstr>Inventory!Print_Titles</vt:lpstr>
      <vt:lpstr>'Stock-2017'!Print_Titles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Adham</dc:creator>
  <cp:lastModifiedBy>Adamsha</cp:lastModifiedBy>
  <cp:lastPrinted>2017-08-21T08:30:11Z</cp:lastPrinted>
  <dcterms:created xsi:type="dcterms:W3CDTF">2016-08-03T07:20:57Z</dcterms:created>
  <dcterms:modified xsi:type="dcterms:W3CDTF">2022-04-25T07:55:52Z</dcterms:modified>
</cp:coreProperties>
</file>