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vid\OneDrive\Dokumenti\Valuation\McDonalds 10K Filings\"/>
    </mc:Choice>
  </mc:AlternateContent>
  <xr:revisionPtr revIDLastSave="0" documentId="13_ncr:1_{83BF94ED-FE21-43C8-81E7-B319158B0E66}" xr6:coauthVersionLast="47" xr6:coauthVersionMax="47" xr10:uidLastSave="{00000000-0000-0000-0000-000000000000}"/>
  <bookViews>
    <workbookView xWindow="-120" yWindow="-120" windowWidth="29040" windowHeight="15840" tabRatio="927" activeTab="11" xr2:uid="{00000000-000D-0000-FFFF-FFFF00000000}"/>
  </bookViews>
  <sheets>
    <sheet name="Index" sheetId="20" r:id="rId1"/>
    <sheet name="Income Statement" sheetId="31" r:id="rId2"/>
    <sheet name="Balance Sheet" sheetId="32" r:id="rId3"/>
    <sheet name="Cash Flows" sheetId="33" r:id="rId4"/>
    <sheet name="Revenue Built-up" sheetId="34" r:id="rId5"/>
    <sheet name="Cost Sheet" sheetId="35" r:id="rId6"/>
    <sheet name="Working Capital" sheetId="45" r:id="rId7"/>
    <sheet name="Dep Capex" sheetId="37" r:id="rId8"/>
    <sheet name="Amortization" sheetId="46" r:id="rId9"/>
    <sheet name="Other Assets and Liabilities" sheetId="43" r:id="rId10"/>
    <sheet name="Shareholder's Equity" sheetId="39" r:id="rId11"/>
    <sheet name="Debt" sheetId="40" r:id="rId12"/>
    <sheet name="DCF Valuations" sheetId="27" state="hidden" r:id="rId13"/>
    <sheet name="Relative Valuation" sheetId="42" state="hidden" r:id="rId14"/>
  </sheets>
  <externalReferences>
    <externalReference r:id="rId15"/>
  </externalReferences>
  <definedNames>
    <definedName name="CIQWBGuid" hidden="1">"4c07ec0d-a4bd-43e1-8f7d-edc964c69827"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41647.7127314815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COMPSE5" hidden="1">#REF!</definedName>
    <definedName name="wacc">'[1]DCF Valuation'!#REF!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1" i="33" l="1"/>
  <c r="K31" i="33"/>
  <c r="J31" i="33"/>
  <c r="I31" i="33"/>
  <c r="L30" i="33"/>
  <c r="K30" i="33"/>
  <c r="J30" i="33"/>
  <c r="I30" i="33"/>
  <c r="H31" i="33"/>
  <c r="H30" i="33"/>
  <c r="L34" i="32"/>
  <c r="K34" i="32"/>
  <c r="J34" i="32"/>
  <c r="I34" i="32"/>
  <c r="H34" i="32"/>
  <c r="L31" i="32"/>
  <c r="K31" i="32"/>
  <c r="J31" i="32"/>
  <c r="I31" i="32"/>
  <c r="H31" i="32"/>
  <c r="G37" i="40"/>
  <c r="G38" i="40" s="1"/>
  <c r="F37" i="40"/>
  <c r="F38" i="40" s="1"/>
  <c r="E37" i="40"/>
  <c r="E38" i="40" s="1"/>
  <c r="D37" i="40"/>
  <c r="D38" i="40" s="1"/>
  <c r="G32" i="40"/>
  <c r="F32" i="40"/>
  <c r="E32" i="40"/>
  <c r="D32" i="40"/>
  <c r="G24" i="40"/>
  <c r="F24" i="40"/>
  <c r="E24" i="40"/>
  <c r="D24" i="40"/>
  <c r="C24" i="40"/>
  <c r="F29" i="40"/>
  <c r="E29" i="40"/>
  <c r="D29" i="40"/>
  <c r="E31" i="40" s="1"/>
  <c r="E33" i="40" s="1"/>
  <c r="C29" i="40"/>
  <c r="H16" i="40"/>
  <c r="L12" i="40"/>
  <c r="K12" i="40"/>
  <c r="J12" i="40"/>
  <c r="I12" i="40"/>
  <c r="L11" i="40"/>
  <c r="K11" i="40"/>
  <c r="J11" i="40"/>
  <c r="I11" i="40"/>
  <c r="H12" i="40"/>
  <c r="H11" i="40"/>
  <c r="G29" i="40"/>
  <c r="H26" i="40" s="1"/>
  <c r="H29" i="40" s="1"/>
  <c r="L7" i="40"/>
  <c r="K7" i="40"/>
  <c r="J7" i="40"/>
  <c r="I7" i="40"/>
  <c r="L6" i="40"/>
  <c r="K6" i="40"/>
  <c r="J6" i="40"/>
  <c r="I6" i="40"/>
  <c r="H8" i="40"/>
  <c r="H7" i="40"/>
  <c r="H6" i="40"/>
  <c r="H40" i="33"/>
  <c r="L25" i="33"/>
  <c r="L26" i="33" s="1"/>
  <c r="K25" i="33"/>
  <c r="K26" i="33" s="1"/>
  <c r="J25" i="33"/>
  <c r="J26" i="33" s="1"/>
  <c r="I25" i="33"/>
  <c r="H25" i="33"/>
  <c r="I26" i="33"/>
  <c r="H26" i="33"/>
  <c r="L20" i="33"/>
  <c r="K20" i="33"/>
  <c r="J20" i="33"/>
  <c r="I20" i="33"/>
  <c r="H20" i="33"/>
  <c r="L9" i="33"/>
  <c r="K9" i="33"/>
  <c r="J9" i="33"/>
  <c r="I9" i="33"/>
  <c r="H9" i="33"/>
  <c r="L34" i="33"/>
  <c r="K34" i="33"/>
  <c r="J34" i="33"/>
  <c r="I34" i="33"/>
  <c r="H34" i="33"/>
  <c r="L32" i="33"/>
  <c r="K32" i="33"/>
  <c r="J32" i="33"/>
  <c r="I32" i="33"/>
  <c r="H32" i="33"/>
  <c r="L9" i="39"/>
  <c r="K9" i="39"/>
  <c r="J9" i="39"/>
  <c r="I9" i="39"/>
  <c r="H9" i="39"/>
  <c r="L8" i="39"/>
  <c r="K8" i="39"/>
  <c r="J8" i="39"/>
  <c r="I8" i="39"/>
  <c r="H8" i="39"/>
  <c r="G29" i="39"/>
  <c r="G28" i="39"/>
  <c r="L24" i="39"/>
  <c r="K24" i="39"/>
  <c r="J24" i="39"/>
  <c r="I24" i="39"/>
  <c r="H24" i="39"/>
  <c r="G7" i="39"/>
  <c r="F7" i="39"/>
  <c r="E7" i="39"/>
  <c r="D7" i="39"/>
  <c r="C7" i="39"/>
  <c r="G31" i="39"/>
  <c r="F31" i="39"/>
  <c r="E31" i="39"/>
  <c r="D31" i="39"/>
  <c r="C31" i="39"/>
  <c r="G34" i="39"/>
  <c r="F34" i="39"/>
  <c r="E34" i="39"/>
  <c r="D34" i="39"/>
  <c r="C34" i="39"/>
  <c r="G33" i="39"/>
  <c r="F33" i="39"/>
  <c r="E33" i="39"/>
  <c r="D33" i="39"/>
  <c r="C33" i="39"/>
  <c r="G32" i="39"/>
  <c r="F32" i="39"/>
  <c r="E32" i="39"/>
  <c r="D32" i="39"/>
  <c r="C32" i="39"/>
  <c r="L20" i="39"/>
  <c r="K20" i="39"/>
  <c r="K22" i="39" s="1"/>
  <c r="J20" i="39"/>
  <c r="J22" i="39" s="1"/>
  <c r="I20" i="39"/>
  <c r="I22" i="39" s="1"/>
  <c r="H20" i="39"/>
  <c r="L22" i="39"/>
  <c r="H22" i="39"/>
  <c r="G17" i="39"/>
  <c r="F17" i="39"/>
  <c r="E17" i="39"/>
  <c r="D17" i="39"/>
  <c r="G16" i="39"/>
  <c r="F16" i="39"/>
  <c r="E16" i="39"/>
  <c r="D16" i="39"/>
  <c r="C16" i="39"/>
  <c r="G15" i="39"/>
  <c r="F15" i="39"/>
  <c r="E15" i="39"/>
  <c r="D15" i="39"/>
  <c r="C15" i="39"/>
  <c r="G16" i="43"/>
  <c r="H16" i="43" s="1"/>
  <c r="F16" i="43"/>
  <c r="E16" i="43"/>
  <c r="D16" i="43"/>
  <c r="G15" i="43"/>
  <c r="H15" i="43" s="1"/>
  <c r="F15" i="43"/>
  <c r="E15" i="43"/>
  <c r="D15" i="43"/>
  <c r="G14" i="43"/>
  <c r="H14" i="43" s="1"/>
  <c r="F14" i="43"/>
  <c r="E14" i="43"/>
  <c r="D14" i="43"/>
  <c r="G13" i="43"/>
  <c r="H13" i="43" s="1"/>
  <c r="F13" i="43"/>
  <c r="E13" i="43"/>
  <c r="D13" i="43"/>
  <c r="C16" i="43"/>
  <c r="C15" i="43"/>
  <c r="C14" i="43"/>
  <c r="C13" i="43"/>
  <c r="G12" i="43"/>
  <c r="H12" i="43" s="1"/>
  <c r="F12" i="43"/>
  <c r="E12" i="43"/>
  <c r="D12" i="43"/>
  <c r="C12" i="43"/>
  <c r="G9" i="43"/>
  <c r="H9" i="43" s="1"/>
  <c r="H16" i="32" s="1"/>
  <c r="F9" i="43"/>
  <c r="E9" i="43"/>
  <c r="D9" i="43"/>
  <c r="C9" i="43"/>
  <c r="G6" i="43"/>
  <c r="H6" i="43" s="1"/>
  <c r="F6" i="43"/>
  <c r="E6" i="43"/>
  <c r="D6" i="43"/>
  <c r="C6" i="43"/>
  <c r="G5" i="43"/>
  <c r="H5" i="43" s="1"/>
  <c r="F5" i="43"/>
  <c r="E5" i="43"/>
  <c r="D5" i="43"/>
  <c r="C5" i="43"/>
  <c r="G4" i="43"/>
  <c r="G7" i="43" s="1"/>
  <c r="F4" i="43"/>
  <c r="E4" i="43"/>
  <c r="E7" i="43" s="1"/>
  <c r="D4" i="43"/>
  <c r="C4" i="43"/>
  <c r="L17" i="31"/>
  <c r="K17" i="31"/>
  <c r="J17" i="31"/>
  <c r="I17" i="31"/>
  <c r="H17" i="31"/>
  <c r="H20" i="31" s="1"/>
  <c r="H21" i="31" s="1"/>
  <c r="L96" i="37"/>
  <c r="K96" i="37"/>
  <c r="J96" i="37"/>
  <c r="I96" i="37"/>
  <c r="H96" i="37"/>
  <c r="F97" i="37"/>
  <c r="E97" i="37"/>
  <c r="D97" i="37"/>
  <c r="G97" i="37"/>
  <c r="G96" i="37"/>
  <c r="F96" i="37"/>
  <c r="E96" i="37"/>
  <c r="D96" i="37"/>
  <c r="C96" i="37"/>
  <c r="L94" i="37"/>
  <c r="K94" i="37"/>
  <c r="J94" i="37"/>
  <c r="I94" i="37"/>
  <c r="H94" i="37"/>
  <c r="G94" i="37"/>
  <c r="F94" i="37"/>
  <c r="E94" i="37"/>
  <c r="D94" i="37"/>
  <c r="C94" i="37"/>
  <c r="L7" i="33"/>
  <c r="K7" i="33"/>
  <c r="J7" i="33"/>
  <c r="I7" i="33"/>
  <c r="H7" i="33"/>
  <c r="L13" i="46"/>
  <c r="K13" i="46"/>
  <c r="J13" i="46"/>
  <c r="I13" i="46"/>
  <c r="H13" i="46"/>
  <c r="L32" i="46"/>
  <c r="K32" i="46"/>
  <c r="J32" i="46"/>
  <c r="I32" i="46"/>
  <c r="H32" i="46"/>
  <c r="L30" i="46"/>
  <c r="K29" i="46"/>
  <c r="J28" i="46"/>
  <c r="I27" i="46"/>
  <c r="H26" i="46"/>
  <c r="L29" i="46"/>
  <c r="L28" i="46"/>
  <c r="K28" i="46"/>
  <c r="L27" i="46"/>
  <c r="K27" i="46"/>
  <c r="J27" i="46"/>
  <c r="L26" i="46"/>
  <c r="K26" i="46"/>
  <c r="J26" i="46"/>
  <c r="I26" i="46"/>
  <c r="D30" i="46"/>
  <c r="D29" i="46"/>
  <c r="D28" i="46"/>
  <c r="D27" i="46"/>
  <c r="D26" i="46"/>
  <c r="C26" i="46" a="1"/>
  <c r="C26" i="46" s="1"/>
  <c r="L23" i="46"/>
  <c r="K23" i="46"/>
  <c r="J23" i="46"/>
  <c r="I23" i="46"/>
  <c r="H23" i="46"/>
  <c r="C22" i="46"/>
  <c r="H15" i="46"/>
  <c r="I11" i="46" s="1"/>
  <c r="H11" i="46"/>
  <c r="J12" i="46"/>
  <c r="K12" i="46" s="1"/>
  <c r="L12" i="46" s="1"/>
  <c r="I12" i="46"/>
  <c r="G12" i="46"/>
  <c r="E12" i="46"/>
  <c r="D12" i="46"/>
  <c r="F12" i="46"/>
  <c r="G13" i="46"/>
  <c r="F13" i="46"/>
  <c r="E13" i="46"/>
  <c r="D13" i="46"/>
  <c r="C13" i="46"/>
  <c r="G11" i="46"/>
  <c r="F11" i="46"/>
  <c r="E11" i="46"/>
  <c r="D11" i="46"/>
  <c r="C8" i="46"/>
  <c r="D8" i="46"/>
  <c r="F8" i="46"/>
  <c r="E8" i="46"/>
  <c r="G8" i="46"/>
  <c r="G6" i="46"/>
  <c r="F6" i="46"/>
  <c r="E6" i="46"/>
  <c r="D6" i="46"/>
  <c r="C6" i="46"/>
  <c r="L19" i="32"/>
  <c r="K19" i="32"/>
  <c r="J19" i="32"/>
  <c r="I19" i="32"/>
  <c r="L18" i="32"/>
  <c r="K18" i="32"/>
  <c r="J18" i="32"/>
  <c r="J20" i="32" s="1"/>
  <c r="I18" i="32"/>
  <c r="I20" i="32" s="1"/>
  <c r="H19" i="32"/>
  <c r="H18" i="32"/>
  <c r="J23" i="37"/>
  <c r="K23" i="37" s="1"/>
  <c r="L23" i="37" s="1"/>
  <c r="I23" i="37"/>
  <c r="I22" i="37"/>
  <c r="I24" i="37" s="1"/>
  <c r="H24" i="37"/>
  <c r="H23" i="37"/>
  <c r="H22" i="37"/>
  <c r="L13" i="37"/>
  <c r="K13" i="37"/>
  <c r="J13" i="37"/>
  <c r="I13" i="37"/>
  <c r="H13" i="37"/>
  <c r="L88" i="37"/>
  <c r="L87" i="37"/>
  <c r="K87" i="37"/>
  <c r="L86" i="37"/>
  <c r="K86" i="37"/>
  <c r="J86" i="37"/>
  <c r="L85" i="37"/>
  <c r="K85" i="37"/>
  <c r="J85" i="37"/>
  <c r="I85" i="37"/>
  <c r="I90" i="37" s="1"/>
  <c r="L84" i="37"/>
  <c r="L90" i="37" s="1"/>
  <c r="K84" i="37"/>
  <c r="J84" i="37"/>
  <c r="I84" i="37"/>
  <c r="H84" i="37"/>
  <c r="L74" i="37"/>
  <c r="L73" i="37"/>
  <c r="K73" i="37"/>
  <c r="L72" i="37"/>
  <c r="K72" i="37"/>
  <c r="J72" i="37"/>
  <c r="L71" i="37"/>
  <c r="K71" i="37"/>
  <c r="J71" i="37"/>
  <c r="I71" i="37"/>
  <c r="L70" i="37"/>
  <c r="L76" i="37" s="1"/>
  <c r="K70" i="37"/>
  <c r="J70" i="37"/>
  <c r="I70" i="37"/>
  <c r="H70" i="37"/>
  <c r="H56" i="37"/>
  <c r="I56" i="37"/>
  <c r="J56" i="37"/>
  <c r="K56" i="37"/>
  <c r="K62" i="37" s="1"/>
  <c r="L56" i="37"/>
  <c r="I57" i="37"/>
  <c r="J57" i="37"/>
  <c r="K57" i="37"/>
  <c r="L57" i="37"/>
  <c r="J58" i="37"/>
  <c r="J62" i="37" s="1"/>
  <c r="K58" i="37"/>
  <c r="L58" i="37"/>
  <c r="K59" i="37"/>
  <c r="L59" i="37"/>
  <c r="L60" i="37"/>
  <c r="I62" i="37"/>
  <c r="L62" i="37"/>
  <c r="H62" i="37"/>
  <c r="K90" i="37"/>
  <c r="J90" i="37"/>
  <c r="H90" i="37"/>
  <c r="D88" i="37"/>
  <c r="D87" i="37"/>
  <c r="D86" i="37"/>
  <c r="D85" i="37"/>
  <c r="D84" i="37"/>
  <c r="C84" i="37" a="1"/>
  <c r="C84" i="37" s="1"/>
  <c r="L81" i="37"/>
  <c r="K81" i="37"/>
  <c r="J81" i="37"/>
  <c r="I81" i="37"/>
  <c r="H81" i="37"/>
  <c r="C80" i="37"/>
  <c r="C79" i="37"/>
  <c r="K76" i="37"/>
  <c r="J76" i="37"/>
  <c r="I76" i="37"/>
  <c r="H76" i="37"/>
  <c r="D74" i="37"/>
  <c r="D73" i="37"/>
  <c r="D72" i="37"/>
  <c r="D71" i="37"/>
  <c r="D70" i="37"/>
  <c r="C70" i="37" a="1"/>
  <c r="C70" i="37" s="1"/>
  <c r="L67" i="37"/>
  <c r="K67" i="37"/>
  <c r="J67" i="37"/>
  <c r="I67" i="37"/>
  <c r="H67" i="37"/>
  <c r="C66" i="37"/>
  <c r="C65" i="37"/>
  <c r="D60" i="37"/>
  <c r="D59" i="37"/>
  <c r="D58" i="37"/>
  <c r="D57" i="37"/>
  <c r="D56" i="37"/>
  <c r="C56" i="37" a="1"/>
  <c r="C56" i="37" s="1"/>
  <c r="L53" i="37"/>
  <c r="K53" i="37"/>
  <c r="J53" i="37"/>
  <c r="I53" i="37"/>
  <c r="H53" i="37"/>
  <c r="C52" i="37"/>
  <c r="C51" i="37"/>
  <c r="L48" i="37"/>
  <c r="K48" i="37"/>
  <c r="J48" i="37"/>
  <c r="I48" i="37"/>
  <c r="H48" i="37"/>
  <c r="L46" i="37"/>
  <c r="K45" i="37"/>
  <c r="J44" i="37"/>
  <c r="I43" i="37"/>
  <c r="H42" i="37"/>
  <c r="L45" i="37"/>
  <c r="L44" i="37"/>
  <c r="K44" i="37"/>
  <c r="L43" i="37"/>
  <c r="K43" i="37"/>
  <c r="J43" i="37"/>
  <c r="L42" i="37"/>
  <c r="K42" i="37"/>
  <c r="J42" i="37"/>
  <c r="I42" i="37"/>
  <c r="D46" i="37"/>
  <c r="D45" i="37"/>
  <c r="D44" i="37"/>
  <c r="D43" i="37"/>
  <c r="D42" i="37"/>
  <c r="C42" i="37" a="1"/>
  <c r="C42" i="37" s="1"/>
  <c r="L39" i="37"/>
  <c r="K39" i="37"/>
  <c r="J39" i="37"/>
  <c r="I39" i="37"/>
  <c r="H39" i="37"/>
  <c r="C38" i="37"/>
  <c r="C37" i="37"/>
  <c r="L32" i="37"/>
  <c r="K32" i="37"/>
  <c r="J32" i="37"/>
  <c r="L31" i="37"/>
  <c r="K31" i="37"/>
  <c r="J31" i="37"/>
  <c r="L30" i="37"/>
  <c r="K30" i="37"/>
  <c r="J30" i="37"/>
  <c r="L29" i="37"/>
  <c r="K29" i="37"/>
  <c r="J29" i="37"/>
  <c r="L28" i="37"/>
  <c r="K28" i="37"/>
  <c r="J28" i="37"/>
  <c r="I32" i="37"/>
  <c r="I31" i="37"/>
  <c r="I30" i="37"/>
  <c r="I29" i="37"/>
  <c r="I28" i="37"/>
  <c r="H32" i="37"/>
  <c r="H31" i="37"/>
  <c r="H30" i="37"/>
  <c r="H29" i="37"/>
  <c r="H28" i="37"/>
  <c r="H21" i="37"/>
  <c r="H20" i="37"/>
  <c r="H19" i="37"/>
  <c r="H18" i="37"/>
  <c r="H17" i="37"/>
  <c r="F24" i="37"/>
  <c r="F22" i="37"/>
  <c r="G24" i="37"/>
  <c r="G22" i="37"/>
  <c r="L12" i="37"/>
  <c r="K12" i="37"/>
  <c r="J12" i="37"/>
  <c r="I12" i="37"/>
  <c r="H12" i="37"/>
  <c r="J9" i="37"/>
  <c r="K9" i="37" s="1"/>
  <c r="L9" i="37" s="1"/>
  <c r="I9" i="37"/>
  <c r="C9" i="37"/>
  <c r="D9" i="37"/>
  <c r="F9" i="37"/>
  <c r="E9" i="37"/>
  <c r="G9" i="37"/>
  <c r="E14" i="37"/>
  <c r="D14" i="37"/>
  <c r="C14" i="37"/>
  <c r="L17" i="33"/>
  <c r="K17" i="33"/>
  <c r="J17" i="33"/>
  <c r="I17" i="33"/>
  <c r="L14" i="33"/>
  <c r="K14" i="33"/>
  <c r="J14" i="33"/>
  <c r="I14" i="33"/>
  <c r="L16" i="33"/>
  <c r="K16" i="33"/>
  <c r="J16" i="33"/>
  <c r="I16" i="33"/>
  <c r="L15" i="33"/>
  <c r="K15" i="33"/>
  <c r="J15" i="33"/>
  <c r="L13" i="33"/>
  <c r="K13" i="33"/>
  <c r="J13" i="33"/>
  <c r="I13" i="33"/>
  <c r="H13" i="33"/>
  <c r="L20" i="32"/>
  <c r="K20" i="32"/>
  <c r="L30" i="32"/>
  <c r="K30" i="32"/>
  <c r="J30" i="32"/>
  <c r="I30" i="32"/>
  <c r="H30" i="32"/>
  <c r="L29" i="32"/>
  <c r="K29" i="32"/>
  <c r="J29" i="32"/>
  <c r="I29" i="32"/>
  <c r="H29" i="32"/>
  <c r="L28" i="32"/>
  <c r="K28" i="32"/>
  <c r="J28" i="32"/>
  <c r="I28" i="32"/>
  <c r="H28" i="32"/>
  <c r="L27" i="32"/>
  <c r="K27" i="32"/>
  <c r="J27" i="32"/>
  <c r="I27" i="32"/>
  <c r="H27" i="32"/>
  <c r="L26" i="32"/>
  <c r="K26" i="32"/>
  <c r="J26" i="32"/>
  <c r="I26" i="32"/>
  <c r="H26" i="32"/>
  <c r="L25" i="32"/>
  <c r="L32" i="32" s="1"/>
  <c r="K25" i="32"/>
  <c r="K32" i="32" s="1"/>
  <c r="J25" i="32"/>
  <c r="J32" i="32" s="1"/>
  <c r="I25" i="32"/>
  <c r="I32" i="32" s="1"/>
  <c r="L9" i="32"/>
  <c r="K9" i="32"/>
  <c r="J9" i="32"/>
  <c r="I9" i="32"/>
  <c r="H9" i="32"/>
  <c r="L8" i="32"/>
  <c r="K8" i="32"/>
  <c r="J8" i="32"/>
  <c r="I8" i="32"/>
  <c r="H8" i="32"/>
  <c r="L7" i="32"/>
  <c r="K7" i="32"/>
  <c r="J7" i="32"/>
  <c r="I7" i="32"/>
  <c r="H7" i="32"/>
  <c r="J29" i="45"/>
  <c r="L27" i="45"/>
  <c r="L29" i="45" s="1"/>
  <c r="K27" i="45"/>
  <c r="K29" i="45" s="1"/>
  <c r="J27" i="45"/>
  <c r="I27" i="45"/>
  <c r="I29" i="45" s="1"/>
  <c r="L26" i="45"/>
  <c r="K26" i="45"/>
  <c r="J26" i="45"/>
  <c r="I26" i="45"/>
  <c r="H26" i="45"/>
  <c r="L48" i="45"/>
  <c r="K48" i="45"/>
  <c r="J48" i="45"/>
  <c r="I48" i="45"/>
  <c r="H48" i="45"/>
  <c r="L19" i="45"/>
  <c r="K19" i="45"/>
  <c r="J19" i="45"/>
  <c r="I19" i="45"/>
  <c r="H19" i="45"/>
  <c r="L18" i="45"/>
  <c r="K18" i="45"/>
  <c r="J18" i="45"/>
  <c r="I18" i="45"/>
  <c r="H18" i="45"/>
  <c r="L45" i="45"/>
  <c r="K45" i="45"/>
  <c r="J45" i="45"/>
  <c r="I45" i="45"/>
  <c r="H45" i="45"/>
  <c r="E46" i="45"/>
  <c r="F45" i="45"/>
  <c r="F46" i="45" s="1"/>
  <c r="E45" i="45"/>
  <c r="L21" i="45"/>
  <c r="K21" i="45"/>
  <c r="J21" i="45"/>
  <c r="I21" i="45"/>
  <c r="L32" i="45"/>
  <c r="K32" i="45"/>
  <c r="J32" i="45"/>
  <c r="I32" i="45"/>
  <c r="H32" i="45"/>
  <c r="H21" i="45" s="1"/>
  <c r="L17" i="45"/>
  <c r="K17" i="45"/>
  <c r="J17" i="45"/>
  <c r="I17" i="45"/>
  <c r="H17" i="45"/>
  <c r="L16" i="45"/>
  <c r="K16" i="45"/>
  <c r="J16" i="45"/>
  <c r="I16" i="45"/>
  <c r="H16" i="45"/>
  <c r="L43" i="45"/>
  <c r="K43" i="45"/>
  <c r="J43" i="45"/>
  <c r="I43" i="45"/>
  <c r="H43" i="45"/>
  <c r="L38" i="45"/>
  <c r="K38" i="45"/>
  <c r="J38" i="45"/>
  <c r="I38" i="45"/>
  <c r="H38" i="45"/>
  <c r="L37" i="45"/>
  <c r="K37" i="45"/>
  <c r="J37" i="45"/>
  <c r="I37" i="45"/>
  <c r="H37" i="45"/>
  <c r="L36" i="45"/>
  <c r="K36" i="45"/>
  <c r="J36" i="45"/>
  <c r="I36" i="45"/>
  <c r="H36" i="45"/>
  <c r="L14" i="45"/>
  <c r="K14" i="45"/>
  <c r="J14" i="45"/>
  <c r="I14" i="45"/>
  <c r="H14" i="45"/>
  <c r="G14" i="45"/>
  <c r="F14" i="45"/>
  <c r="E14" i="45"/>
  <c r="D14" i="45"/>
  <c r="C14" i="45"/>
  <c r="L13" i="45"/>
  <c r="K13" i="45"/>
  <c r="J13" i="45"/>
  <c r="I13" i="45"/>
  <c r="H13" i="45"/>
  <c r="L12" i="45"/>
  <c r="K12" i="45"/>
  <c r="J12" i="45"/>
  <c r="I12" i="45"/>
  <c r="H12" i="45"/>
  <c r="L11" i="45"/>
  <c r="K11" i="45"/>
  <c r="J11" i="45"/>
  <c r="I11" i="45"/>
  <c r="H11" i="45"/>
  <c r="L10" i="45"/>
  <c r="K10" i="45"/>
  <c r="J10" i="45"/>
  <c r="I10" i="45"/>
  <c r="H10" i="45"/>
  <c r="L9" i="45"/>
  <c r="K9" i="45"/>
  <c r="J9" i="45"/>
  <c r="I9" i="45"/>
  <c r="H9" i="45"/>
  <c r="G13" i="45"/>
  <c r="F13" i="45"/>
  <c r="E13" i="45"/>
  <c r="D13" i="45"/>
  <c r="G12" i="45"/>
  <c r="F12" i="45"/>
  <c r="E12" i="45"/>
  <c r="D12" i="45"/>
  <c r="G11" i="45"/>
  <c r="F11" i="45"/>
  <c r="E11" i="45"/>
  <c r="D11" i="45"/>
  <c r="G10" i="45"/>
  <c r="F10" i="45"/>
  <c r="E10" i="45"/>
  <c r="D10" i="45"/>
  <c r="G9" i="45"/>
  <c r="F9" i="45"/>
  <c r="E9" i="45"/>
  <c r="D9" i="45"/>
  <c r="C13" i="45"/>
  <c r="C12" i="45"/>
  <c r="C11" i="45"/>
  <c r="C10" i="45"/>
  <c r="C9" i="45"/>
  <c r="F36" i="45"/>
  <c r="F40" i="45" s="1"/>
  <c r="C36" i="45"/>
  <c r="C40" i="45" s="1"/>
  <c r="L5" i="45"/>
  <c r="K5" i="45"/>
  <c r="J5" i="45"/>
  <c r="I5" i="45"/>
  <c r="H5" i="45"/>
  <c r="L4" i="45"/>
  <c r="L6" i="45" s="1"/>
  <c r="K4" i="45"/>
  <c r="K6" i="45" s="1"/>
  <c r="J4" i="45"/>
  <c r="J6" i="45" s="1"/>
  <c r="I4" i="45"/>
  <c r="H4" i="45"/>
  <c r="L3" i="45"/>
  <c r="K3" i="45"/>
  <c r="J3" i="45"/>
  <c r="I3" i="45"/>
  <c r="I6" i="45" s="1"/>
  <c r="H3" i="45"/>
  <c r="H6" i="45" s="1"/>
  <c r="G6" i="45"/>
  <c r="F6" i="45"/>
  <c r="E6" i="45"/>
  <c r="D6" i="45"/>
  <c r="C6" i="45"/>
  <c r="G5" i="45"/>
  <c r="F5" i="45"/>
  <c r="E5" i="45"/>
  <c r="D5" i="45"/>
  <c r="C5" i="45"/>
  <c r="G4" i="45"/>
  <c r="F4" i="45"/>
  <c r="E4" i="45"/>
  <c r="D4" i="45"/>
  <c r="C4" i="45"/>
  <c r="G3" i="45"/>
  <c r="F3" i="45"/>
  <c r="E3" i="45"/>
  <c r="D3" i="45"/>
  <c r="C3" i="45"/>
  <c r="G26" i="45"/>
  <c r="H17" i="33" s="1"/>
  <c r="F26" i="45"/>
  <c r="F48" i="45" s="1"/>
  <c r="F49" i="45" s="1"/>
  <c r="E26" i="45"/>
  <c r="E48" i="45" s="1"/>
  <c r="E49" i="45" s="1"/>
  <c r="D26" i="45"/>
  <c r="D48" i="45" s="1"/>
  <c r="D49" i="45" s="1"/>
  <c r="C26" i="45"/>
  <c r="C48" i="45" s="1"/>
  <c r="C49" i="45" s="1"/>
  <c r="G25" i="45"/>
  <c r="F25" i="45"/>
  <c r="E25" i="45"/>
  <c r="D25" i="45"/>
  <c r="C25" i="45"/>
  <c r="G24" i="45"/>
  <c r="F24" i="45"/>
  <c r="E24" i="45"/>
  <c r="D24" i="45"/>
  <c r="C24" i="45"/>
  <c r="G23" i="45"/>
  <c r="F23" i="45"/>
  <c r="E23" i="45"/>
  <c r="D23" i="45"/>
  <c r="C23" i="45"/>
  <c r="G22" i="45"/>
  <c r="F22" i="45"/>
  <c r="E22" i="45"/>
  <c r="D22" i="45"/>
  <c r="C22" i="45"/>
  <c r="G21" i="45"/>
  <c r="F21" i="45"/>
  <c r="F27" i="45" s="1"/>
  <c r="E21" i="45"/>
  <c r="D21" i="45"/>
  <c r="C21" i="45"/>
  <c r="G18" i="45"/>
  <c r="G45" i="45" s="1"/>
  <c r="G46" i="45" s="1"/>
  <c r="F18" i="45"/>
  <c r="E18" i="45"/>
  <c r="D18" i="45"/>
  <c r="D45" i="45" s="1"/>
  <c r="D46" i="45" s="1"/>
  <c r="C18" i="45"/>
  <c r="C45" i="45" s="1"/>
  <c r="C46" i="45" s="1"/>
  <c r="G17" i="45"/>
  <c r="G19" i="45" s="1"/>
  <c r="F17" i="45"/>
  <c r="E17" i="45"/>
  <c r="E37" i="45" s="1"/>
  <c r="E41" i="45" s="1"/>
  <c r="D17" i="45"/>
  <c r="D37" i="45" s="1"/>
  <c r="D41" i="45" s="1"/>
  <c r="C17" i="45"/>
  <c r="C37" i="45" s="1"/>
  <c r="C41" i="45" s="1"/>
  <c r="G16" i="45"/>
  <c r="G36" i="45" s="1"/>
  <c r="G40" i="45" s="1"/>
  <c r="F16" i="45"/>
  <c r="F19" i="45" s="1"/>
  <c r="E16" i="45"/>
  <c r="D16" i="45"/>
  <c r="C16" i="45"/>
  <c r="G38" i="35"/>
  <c r="F38" i="35"/>
  <c r="E38" i="35"/>
  <c r="D38" i="35"/>
  <c r="L33" i="35"/>
  <c r="K33" i="35"/>
  <c r="J33" i="35"/>
  <c r="I33" i="35"/>
  <c r="H33" i="35"/>
  <c r="G34" i="35"/>
  <c r="F34" i="35"/>
  <c r="E34" i="35"/>
  <c r="D34" i="35"/>
  <c r="L21" i="31"/>
  <c r="K21" i="31"/>
  <c r="L20" i="31"/>
  <c r="K20" i="31"/>
  <c r="J20" i="31"/>
  <c r="J21" i="31" s="1"/>
  <c r="I20" i="31"/>
  <c r="I21" i="31" s="1"/>
  <c r="L19" i="31"/>
  <c r="K19" i="31"/>
  <c r="J19" i="31"/>
  <c r="I19" i="31"/>
  <c r="H19" i="31"/>
  <c r="L18" i="31"/>
  <c r="K18" i="31"/>
  <c r="J18" i="31"/>
  <c r="I18" i="31"/>
  <c r="H18" i="31"/>
  <c r="L30" i="35"/>
  <c r="K30" i="35"/>
  <c r="J30" i="35"/>
  <c r="I30" i="35"/>
  <c r="H30" i="35"/>
  <c r="L27" i="35"/>
  <c r="K27" i="35"/>
  <c r="J27" i="35"/>
  <c r="I27" i="35"/>
  <c r="H27" i="35"/>
  <c r="G31" i="35"/>
  <c r="F31" i="35"/>
  <c r="E31" i="35"/>
  <c r="D31" i="35"/>
  <c r="G28" i="35"/>
  <c r="F28" i="35"/>
  <c r="E28" i="35"/>
  <c r="D28" i="35"/>
  <c r="G37" i="35"/>
  <c r="F37" i="35"/>
  <c r="E37" i="35"/>
  <c r="D37" i="35"/>
  <c r="C37" i="35"/>
  <c r="G36" i="35"/>
  <c r="F36" i="35"/>
  <c r="E36" i="35"/>
  <c r="D36" i="35"/>
  <c r="C36" i="35"/>
  <c r="G33" i="35"/>
  <c r="F33" i="35"/>
  <c r="E33" i="35"/>
  <c r="D33" i="35"/>
  <c r="C33" i="35"/>
  <c r="G30" i="35"/>
  <c r="F30" i="35"/>
  <c r="E30" i="35"/>
  <c r="D30" i="35"/>
  <c r="G27" i="35"/>
  <c r="F27" i="35"/>
  <c r="E27" i="35"/>
  <c r="D27" i="35"/>
  <c r="C27" i="35"/>
  <c r="C30" i="35"/>
  <c r="L10" i="31"/>
  <c r="K10" i="31"/>
  <c r="J10" i="31"/>
  <c r="I10" i="31"/>
  <c r="H10" i="31"/>
  <c r="L15" i="31"/>
  <c r="K15" i="31"/>
  <c r="J15" i="31"/>
  <c r="I15" i="31"/>
  <c r="H15" i="31"/>
  <c r="L14" i="31"/>
  <c r="K14" i="31"/>
  <c r="J14" i="31"/>
  <c r="I14" i="31"/>
  <c r="H14" i="31"/>
  <c r="L13" i="31"/>
  <c r="K13" i="31"/>
  <c r="J13" i="31"/>
  <c r="I13" i="31"/>
  <c r="H13" i="31"/>
  <c r="L12" i="31"/>
  <c r="K12" i="31"/>
  <c r="J12" i="31"/>
  <c r="I12" i="31"/>
  <c r="H12" i="31"/>
  <c r="L11" i="31"/>
  <c r="K11" i="31"/>
  <c r="J11" i="31"/>
  <c r="I11" i="31"/>
  <c r="H11" i="31"/>
  <c r="L23" i="35"/>
  <c r="K23" i="35"/>
  <c r="J23" i="35"/>
  <c r="I23" i="35"/>
  <c r="H23" i="35"/>
  <c r="G24" i="35"/>
  <c r="F24" i="35"/>
  <c r="E24" i="35"/>
  <c r="D24" i="35"/>
  <c r="G23" i="35"/>
  <c r="F23" i="35"/>
  <c r="E23" i="35"/>
  <c r="D23" i="35"/>
  <c r="C23" i="35"/>
  <c r="L20" i="35"/>
  <c r="K20" i="35"/>
  <c r="J20" i="35"/>
  <c r="I20" i="35"/>
  <c r="H20" i="35"/>
  <c r="G21" i="35"/>
  <c r="F21" i="35"/>
  <c r="E21" i="35"/>
  <c r="D21" i="35"/>
  <c r="C21" i="35"/>
  <c r="G20" i="35"/>
  <c r="F20" i="35"/>
  <c r="E20" i="35"/>
  <c r="D20" i="35"/>
  <c r="C20" i="35"/>
  <c r="L17" i="35"/>
  <c r="K17" i="35"/>
  <c r="J17" i="35"/>
  <c r="I17" i="35"/>
  <c r="H17" i="35"/>
  <c r="G18" i="35"/>
  <c r="F18" i="35"/>
  <c r="E18" i="35"/>
  <c r="D18" i="35"/>
  <c r="C18" i="35"/>
  <c r="G17" i="35"/>
  <c r="F17" i="35"/>
  <c r="E17" i="35"/>
  <c r="D17" i="35"/>
  <c r="C17" i="35"/>
  <c r="L14" i="35"/>
  <c r="K14" i="35"/>
  <c r="J14" i="35"/>
  <c r="I14" i="35"/>
  <c r="H14" i="35"/>
  <c r="G15" i="35"/>
  <c r="F15" i="35"/>
  <c r="E15" i="35"/>
  <c r="D15" i="35"/>
  <c r="C15" i="35"/>
  <c r="G14" i="35"/>
  <c r="F14" i="35"/>
  <c r="E14" i="35"/>
  <c r="D14" i="35"/>
  <c r="C14" i="35"/>
  <c r="L11" i="35"/>
  <c r="K11" i="35"/>
  <c r="J11" i="35"/>
  <c r="I11" i="35"/>
  <c r="H11" i="35"/>
  <c r="G12" i="35"/>
  <c r="F12" i="35"/>
  <c r="E12" i="35"/>
  <c r="D12" i="35"/>
  <c r="C12" i="35"/>
  <c r="G11" i="35"/>
  <c r="F11" i="35"/>
  <c r="E11" i="35"/>
  <c r="D11" i="35"/>
  <c r="C11" i="35"/>
  <c r="L8" i="35"/>
  <c r="K8" i="35"/>
  <c r="J8" i="35"/>
  <c r="I8" i="35"/>
  <c r="H8" i="35"/>
  <c r="G8" i="35"/>
  <c r="F8" i="35"/>
  <c r="E8" i="35"/>
  <c r="D8" i="35"/>
  <c r="C8" i="35"/>
  <c r="L7" i="35"/>
  <c r="K7" i="35"/>
  <c r="J7" i="35"/>
  <c r="I7" i="35"/>
  <c r="H7" i="35"/>
  <c r="G7" i="35"/>
  <c r="F7" i="35"/>
  <c r="E7" i="35"/>
  <c r="D7" i="35"/>
  <c r="C7" i="35"/>
  <c r="L6" i="35"/>
  <c r="K6" i="35"/>
  <c r="J6" i="35"/>
  <c r="I6" i="35"/>
  <c r="H6" i="35"/>
  <c r="G6" i="35"/>
  <c r="F6" i="35"/>
  <c r="E6" i="35"/>
  <c r="D6" i="35"/>
  <c r="C6" i="35"/>
  <c r="L5" i="35"/>
  <c r="K5" i="35"/>
  <c r="J5" i="35"/>
  <c r="I5" i="35"/>
  <c r="H5" i="35"/>
  <c r="G5" i="35"/>
  <c r="F5" i="35"/>
  <c r="E5" i="35"/>
  <c r="D5" i="35"/>
  <c r="C5" i="35"/>
  <c r="L8" i="31"/>
  <c r="K8" i="31"/>
  <c r="J8" i="31"/>
  <c r="I8" i="31"/>
  <c r="H8" i="31"/>
  <c r="L7" i="31"/>
  <c r="K7" i="31"/>
  <c r="J7" i="31"/>
  <c r="I7" i="31"/>
  <c r="H7" i="31"/>
  <c r="L6" i="31"/>
  <c r="K6" i="31"/>
  <c r="J6" i="31"/>
  <c r="I6" i="31"/>
  <c r="H6" i="31"/>
  <c r="L5" i="31"/>
  <c r="K5" i="31"/>
  <c r="J5" i="31"/>
  <c r="I5" i="31"/>
  <c r="H5" i="31"/>
  <c r="L24" i="34"/>
  <c r="K24" i="34"/>
  <c r="J24" i="34"/>
  <c r="I24" i="34"/>
  <c r="H24" i="34"/>
  <c r="L23" i="34"/>
  <c r="K23" i="34"/>
  <c r="J23" i="34"/>
  <c r="I23" i="34"/>
  <c r="H23" i="34"/>
  <c r="G66" i="34"/>
  <c r="F66" i="34"/>
  <c r="E66" i="34"/>
  <c r="D66" i="34"/>
  <c r="J22" i="34"/>
  <c r="L21" i="34"/>
  <c r="K21" i="34"/>
  <c r="J21" i="34"/>
  <c r="I21" i="34"/>
  <c r="H21" i="34"/>
  <c r="L20" i="34"/>
  <c r="K20" i="34"/>
  <c r="J20" i="34"/>
  <c r="I20" i="34"/>
  <c r="I22" i="34" s="1"/>
  <c r="H20" i="34"/>
  <c r="H22" i="34" s="1"/>
  <c r="L19" i="34"/>
  <c r="L22" i="34" s="1"/>
  <c r="K19" i="34"/>
  <c r="K22" i="34" s="1"/>
  <c r="J19" i="34"/>
  <c r="I19" i="34"/>
  <c r="H19" i="34"/>
  <c r="L15" i="34"/>
  <c r="K15" i="34"/>
  <c r="J15" i="34"/>
  <c r="I15" i="34"/>
  <c r="L14" i="34"/>
  <c r="K14" i="34"/>
  <c r="J14" i="34"/>
  <c r="I14" i="34"/>
  <c r="L13" i="34"/>
  <c r="L16" i="34" s="1"/>
  <c r="K13" i="34"/>
  <c r="K16" i="34" s="1"/>
  <c r="J13" i="34"/>
  <c r="J16" i="34" s="1"/>
  <c r="I13" i="34"/>
  <c r="I16" i="34" s="1"/>
  <c r="H16" i="34"/>
  <c r="H15" i="34"/>
  <c r="H14" i="34"/>
  <c r="H13" i="34"/>
  <c r="L9" i="34"/>
  <c r="K9" i="34"/>
  <c r="J9" i="34"/>
  <c r="I9" i="34"/>
  <c r="L8" i="34"/>
  <c r="K8" i="34"/>
  <c r="J8" i="34"/>
  <c r="I8" i="34"/>
  <c r="L7" i="34"/>
  <c r="L10" i="34" s="1"/>
  <c r="K7" i="34"/>
  <c r="K10" i="34" s="1"/>
  <c r="J7" i="34"/>
  <c r="J10" i="34" s="1"/>
  <c r="I7" i="34"/>
  <c r="I10" i="34" s="1"/>
  <c r="H10" i="34"/>
  <c r="H9" i="34"/>
  <c r="H8" i="34"/>
  <c r="H7" i="34"/>
  <c r="L41" i="34"/>
  <c r="K41" i="34"/>
  <c r="J41" i="34"/>
  <c r="I41" i="34"/>
  <c r="H41" i="34"/>
  <c r="L39" i="34"/>
  <c r="K39" i="34"/>
  <c r="J39" i="34"/>
  <c r="I39" i="34"/>
  <c r="H39" i="34"/>
  <c r="I38" i="34"/>
  <c r="J38" i="34" s="1"/>
  <c r="K38" i="34" s="1"/>
  <c r="L38" i="34" s="1"/>
  <c r="J37" i="34"/>
  <c r="K37" i="34" s="1"/>
  <c r="L37" i="34" s="1"/>
  <c r="I37" i="34"/>
  <c r="I36" i="34"/>
  <c r="J36" i="34" s="1"/>
  <c r="K36" i="34" s="1"/>
  <c r="L36" i="34" s="1"/>
  <c r="H38" i="34"/>
  <c r="H37" i="34"/>
  <c r="H36" i="34"/>
  <c r="L33" i="34"/>
  <c r="K33" i="34"/>
  <c r="J33" i="34"/>
  <c r="I33" i="34"/>
  <c r="H33" i="34"/>
  <c r="I32" i="34"/>
  <c r="J32" i="34" s="1"/>
  <c r="K32" i="34" s="1"/>
  <c r="L32" i="34" s="1"/>
  <c r="I31" i="34"/>
  <c r="J31" i="34" s="1"/>
  <c r="K31" i="34" s="1"/>
  <c r="L31" i="34" s="1"/>
  <c r="J30" i="34"/>
  <c r="K30" i="34" s="1"/>
  <c r="L30" i="34" s="1"/>
  <c r="I30" i="34"/>
  <c r="H32" i="34"/>
  <c r="H31" i="34"/>
  <c r="H30" i="34"/>
  <c r="G80" i="34"/>
  <c r="F80" i="34"/>
  <c r="E80" i="34"/>
  <c r="G79" i="34"/>
  <c r="F79" i="34"/>
  <c r="E79" i="34"/>
  <c r="G78" i="34"/>
  <c r="F78" i="34"/>
  <c r="E78" i="34"/>
  <c r="G75" i="34"/>
  <c r="F75" i="34"/>
  <c r="E75" i="34"/>
  <c r="G74" i="34"/>
  <c r="F74" i="34"/>
  <c r="E74" i="34"/>
  <c r="G73" i="34"/>
  <c r="F73" i="34"/>
  <c r="E73" i="34"/>
  <c r="G41" i="34"/>
  <c r="F41" i="34"/>
  <c r="E41" i="34"/>
  <c r="D41" i="34"/>
  <c r="H63" i="34"/>
  <c r="I63" i="34" s="1"/>
  <c r="J63" i="34" s="1"/>
  <c r="K63" i="34" s="1"/>
  <c r="L63" i="34" s="1"/>
  <c r="H60" i="34"/>
  <c r="I60" i="34" s="1"/>
  <c r="J60" i="34" s="1"/>
  <c r="K60" i="34" s="1"/>
  <c r="L60" i="34" s="1"/>
  <c r="I57" i="34"/>
  <c r="J57" i="34" s="1"/>
  <c r="K57" i="34" s="1"/>
  <c r="L57" i="34" s="1"/>
  <c r="H57" i="34"/>
  <c r="H52" i="34"/>
  <c r="I52" i="34" s="1"/>
  <c r="J52" i="34" s="1"/>
  <c r="K52" i="34" s="1"/>
  <c r="L52" i="34" s="1"/>
  <c r="H49" i="34"/>
  <c r="I49" i="34" s="1"/>
  <c r="J49" i="34" s="1"/>
  <c r="K49" i="34" s="1"/>
  <c r="L49" i="34" s="1"/>
  <c r="J46" i="34"/>
  <c r="K46" i="34" s="1"/>
  <c r="L46" i="34" s="1"/>
  <c r="I46" i="34"/>
  <c r="H46" i="34"/>
  <c r="G64" i="34"/>
  <c r="F64" i="34"/>
  <c r="E64" i="34"/>
  <c r="G61" i="34"/>
  <c r="F61" i="34"/>
  <c r="E61" i="34"/>
  <c r="G58" i="34"/>
  <c r="F58" i="34"/>
  <c r="E58" i="34"/>
  <c r="F63" i="34"/>
  <c r="E63" i="34"/>
  <c r="D63" i="34"/>
  <c r="G63" i="34"/>
  <c r="F60" i="34"/>
  <c r="E60" i="34"/>
  <c r="D60" i="34"/>
  <c r="G60" i="34"/>
  <c r="F57" i="34"/>
  <c r="E57" i="34"/>
  <c r="D57" i="34"/>
  <c r="G57" i="34"/>
  <c r="G53" i="34"/>
  <c r="F53" i="34"/>
  <c r="E53" i="34"/>
  <c r="G50" i="34"/>
  <c r="F50" i="34"/>
  <c r="E50" i="34"/>
  <c r="G47" i="34"/>
  <c r="F47" i="34"/>
  <c r="E47" i="34"/>
  <c r="F52" i="34"/>
  <c r="E52" i="34"/>
  <c r="D52" i="34"/>
  <c r="G52" i="34"/>
  <c r="F49" i="34"/>
  <c r="E49" i="34"/>
  <c r="D49" i="34"/>
  <c r="G49" i="34"/>
  <c r="F46" i="34"/>
  <c r="E46" i="34"/>
  <c r="D46" i="34"/>
  <c r="G46" i="34"/>
  <c r="G39" i="34"/>
  <c r="F39" i="34"/>
  <c r="E39" i="34"/>
  <c r="D39" i="34"/>
  <c r="G33" i="34"/>
  <c r="F33" i="34"/>
  <c r="E33" i="34"/>
  <c r="D33" i="34"/>
  <c r="F24" i="34"/>
  <c r="E24" i="34"/>
  <c r="D24" i="34"/>
  <c r="C24" i="34"/>
  <c r="G24" i="34"/>
  <c r="F22" i="34"/>
  <c r="E22" i="34"/>
  <c r="D22" i="34"/>
  <c r="C22" i="34"/>
  <c r="G22" i="34"/>
  <c r="F21" i="34"/>
  <c r="E21" i="34"/>
  <c r="D21" i="34"/>
  <c r="C21" i="34"/>
  <c r="G21" i="34"/>
  <c r="F20" i="34"/>
  <c r="E20" i="34"/>
  <c r="D20" i="34"/>
  <c r="C20" i="34"/>
  <c r="G20" i="34"/>
  <c r="F19" i="34"/>
  <c r="E19" i="34"/>
  <c r="D19" i="34"/>
  <c r="C19" i="34"/>
  <c r="G19" i="34"/>
  <c r="C16" i="34"/>
  <c r="D16" i="34"/>
  <c r="F16" i="34"/>
  <c r="G16" i="34"/>
  <c r="E16" i="34"/>
  <c r="C10" i="34"/>
  <c r="D10" i="34"/>
  <c r="E10" i="34"/>
  <c r="F10" i="34"/>
  <c r="G10" i="34"/>
  <c r="G97" i="32"/>
  <c r="G90" i="32"/>
  <c r="F90" i="32"/>
  <c r="E87" i="32"/>
  <c r="G84" i="32"/>
  <c r="G76" i="32"/>
  <c r="F76" i="32"/>
  <c r="G68" i="32"/>
  <c r="G74" i="31"/>
  <c r="F74" i="31"/>
  <c r="E74" i="31"/>
  <c r="D74" i="31"/>
  <c r="C74" i="31"/>
  <c r="G73" i="31"/>
  <c r="F73" i="31"/>
  <c r="E73" i="31"/>
  <c r="D73" i="31"/>
  <c r="C73" i="31"/>
  <c r="G72" i="31"/>
  <c r="F72" i="31"/>
  <c r="E72" i="31"/>
  <c r="D72" i="31"/>
  <c r="C72" i="31"/>
  <c r="G71" i="31"/>
  <c r="F71" i="31"/>
  <c r="E71" i="31"/>
  <c r="D71" i="31"/>
  <c r="C71" i="31"/>
  <c r="G70" i="31"/>
  <c r="F70" i="31"/>
  <c r="E70" i="31"/>
  <c r="D70" i="31"/>
  <c r="C70" i="31"/>
  <c r="G69" i="31"/>
  <c r="F69" i="31"/>
  <c r="E69" i="31"/>
  <c r="D69" i="31"/>
  <c r="C69" i="31"/>
  <c r="G68" i="31"/>
  <c r="F68" i="31"/>
  <c r="E68" i="31"/>
  <c r="D68" i="31"/>
  <c r="C68" i="31"/>
  <c r="G67" i="31"/>
  <c r="F67" i="31"/>
  <c r="E67" i="31"/>
  <c r="D67" i="31"/>
  <c r="C67" i="31"/>
  <c r="G66" i="31"/>
  <c r="F66" i="31"/>
  <c r="E66" i="31"/>
  <c r="D66" i="31"/>
  <c r="C66" i="31"/>
  <c r="G65" i="31"/>
  <c r="F65" i="31"/>
  <c r="E65" i="31"/>
  <c r="D65" i="31"/>
  <c r="C65" i="31"/>
  <c r="G63" i="31"/>
  <c r="F63" i="31"/>
  <c r="E63" i="31"/>
  <c r="D63" i="31"/>
  <c r="C63" i="31"/>
  <c r="G62" i="31"/>
  <c r="F62" i="31"/>
  <c r="E62" i="31"/>
  <c r="D62" i="31"/>
  <c r="C62" i="31"/>
  <c r="G61" i="31"/>
  <c r="F61" i="31"/>
  <c r="E61" i="31"/>
  <c r="D61" i="31"/>
  <c r="C61" i="31"/>
  <c r="G60" i="31"/>
  <c r="F60" i="31"/>
  <c r="E60" i="31"/>
  <c r="D60" i="31"/>
  <c r="C60" i="31"/>
  <c r="G59" i="31"/>
  <c r="F59" i="31"/>
  <c r="E59" i="31"/>
  <c r="D59" i="31"/>
  <c r="C59" i="31"/>
  <c r="G58" i="31"/>
  <c r="F58" i="31"/>
  <c r="E58" i="31"/>
  <c r="D58" i="31"/>
  <c r="C58" i="31"/>
  <c r="G56" i="31"/>
  <c r="F56" i="31"/>
  <c r="E56" i="31"/>
  <c r="D56" i="31"/>
  <c r="C56" i="31"/>
  <c r="G55" i="31"/>
  <c r="F55" i="31"/>
  <c r="E55" i="31"/>
  <c r="D55" i="31"/>
  <c r="C55" i="31"/>
  <c r="G54" i="31"/>
  <c r="F54" i="31"/>
  <c r="E54" i="31"/>
  <c r="D54" i="31"/>
  <c r="C54" i="31"/>
  <c r="G53" i="31"/>
  <c r="F53" i="31"/>
  <c r="E53" i="31"/>
  <c r="D53" i="31"/>
  <c r="C53" i="31"/>
  <c r="G46" i="31"/>
  <c r="G47" i="31" s="1"/>
  <c r="F46" i="31"/>
  <c r="F47" i="31" s="1"/>
  <c r="G45" i="31"/>
  <c r="F45" i="31"/>
  <c r="E45" i="31"/>
  <c r="G44" i="31"/>
  <c r="F44" i="31"/>
  <c r="E44" i="31"/>
  <c r="E46" i="31" s="1"/>
  <c r="E47" i="31" s="1"/>
  <c r="D47" i="31"/>
  <c r="D46" i="31"/>
  <c r="D45" i="31"/>
  <c r="D44" i="31"/>
  <c r="G40" i="31"/>
  <c r="G41" i="31" s="1"/>
  <c r="F40" i="31"/>
  <c r="F41" i="31" s="1"/>
  <c r="E40" i="31"/>
  <c r="E41" i="31" s="1"/>
  <c r="D41" i="31"/>
  <c r="D40" i="31"/>
  <c r="G39" i="31"/>
  <c r="F39" i="31"/>
  <c r="E39" i="31"/>
  <c r="D39" i="31"/>
  <c r="G38" i="31"/>
  <c r="F38" i="31"/>
  <c r="E38" i="31"/>
  <c r="D38" i="31"/>
  <c r="G36" i="31"/>
  <c r="F36" i="31"/>
  <c r="E36" i="31"/>
  <c r="G34" i="31"/>
  <c r="F34" i="31"/>
  <c r="E34" i="31"/>
  <c r="E35" i="31" s="1"/>
  <c r="D34" i="31"/>
  <c r="D35" i="31" s="1"/>
  <c r="D36" i="31" s="1"/>
  <c r="G35" i="31"/>
  <c r="F35" i="31"/>
  <c r="G33" i="31"/>
  <c r="F33" i="31"/>
  <c r="E33" i="31"/>
  <c r="D33" i="31"/>
  <c r="C41" i="33"/>
  <c r="D41" i="33"/>
  <c r="E41" i="33"/>
  <c r="F38" i="33"/>
  <c r="F41" i="33" s="1"/>
  <c r="E38" i="33"/>
  <c r="D38" i="33"/>
  <c r="C38" i="33"/>
  <c r="G38" i="33"/>
  <c r="G41" i="33" s="1"/>
  <c r="G36" i="33"/>
  <c r="C36" i="33"/>
  <c r="D36" i="33"/>
  <c r="E36" i="33"/>
  <c r="F36" i="33"/>
  <c r="C26" i="33"/>
  <c r="D26" i="33"/>
  <c r="E26" i="33"/>
  <c r="F26" i="33"/>
  <c r="G26" i="33"/>
  <c r="C18" i="33"/>
  <c r="D18" i="33"/>
  <c r="E18" i="33"/>
  <c r="F18" i="33"/>
  <c r="G18" i="33"/>
  <c r="G48" i="32"/>
  <c r="G92" i="32" s="1"/>
  <c r="F48" i="32"/>
  <c r="F97" i="32" s="1"/>
  <c r="E48" i="32"/>
  <c r="E90" i="32" s="1"/>
  <c r="C47" i="32"/>
  <c r="D47" i="32"/>
  <c r="E47" i="32"/>
  <c r="E96" i="32" s="1"/>
  <c r="F47" i="32"/>
  <c r="F96" i="32" s="1"/>
  <c r="G47" i="32"/>
  <c r="G10" i="39" s="1"/>
  <c r="H4" i="39" s="1"/>
  <c r="G32" i="32"/>
  <c r="F32" i="32"/>
  <c r="E32" i="32"/>
  <c r="D32" i="32"/>
  <c r="C32" i="32"/>
  <c r="G20" i="32"/>
  <c r="G14" i="37" s="1"/>
  <c r="H11" i="37" s="1"/>
  <c r="F20" i="32"/>
  <c r="F14" i="37" s="1"/>
  <c r="E20" i="32"/>
  <c r="D20" i="32"/>
  <c r="C20" i="32"/>
  <c r="G15" i="32"/>
  <c r="G64" i="32" s="1"/>
  <c r="F15" i="32"/>
  <c r="E15" i="32"/>
  <c r="D15" i="32"/>
  <c r="C15" i="32"/>
  <c r="G10" i="32"/>
  <c r="G21" i="32" s="1"/>
  <c r="G62" i="32" s="1"/>
  <c r="F10" i="32"/>
  <c r="E10" i="32"/>
  <c r="D10" i="32"/>
  <c r="C10" i="32"/>
  <c r="G26" i="31"/>
  <c r="F26" i="31"/>
  <c r="E26" i="31"/>
  <c r="D26" i="31"/>
  <c r="G24" i="31"/>
  <c r="F24" i="31"/>
  <c r="E24" i="31"/>
  <c r="D24" i="31"/>
  <c r="F21" i="31"/>
  <c r="E21" i="31"/>
  <c r="D21" i="31"/>
  <c r="G21" i="31"/>
  <c r="F20" i="31"/>
  <c r="E20" i="31"/>
  <c r="D20" i="31"/>
  <c r="G20" i="31"/>
  <c r="G10" i="31"/>
  <c r="F10" i="31"/>
  <c r="E10" i="31"/>
  <c r="D10" i="31"/>
  <c r="C10" i="31"/>
  <c r="G8" i="31"/>
  <c r="F8" i="31"/>
  <c r="E8" i="31"/>
  <c r="D8" i="31"/>
  <c r="C8" i="31"/>
  <c r="H25" i="32" l="1"/>
  <c r="H32" i="32" s="1"/>
  <c r="H15" i="33"/>
  <c r="H14" i="32"/>
  <c r="I6" i="43"/>
  <c r="J6" i="43" s="1"/>
  <c r="K6" i="43" s="1"/>
  <c r="L6" i="43" s="1"/>
  <c r="L14" i="32" s="1"/>
  <c r="F29" i="45"/>
  <c r="F81" i="32"/>
  <c r="E74" i="32"/>
  <c r="F95" i="32"/>
  <c r="E93" i="32"/>
  <c r="G87" i="32"/>
  <c r="G63" i="32"/>
  <c r="E77" i="32"/>
  <c r="G79" i="32"/>
  <c r="F85" i="32"/>
  <c r="E91" i="32"/>
  <c r="G93" i="32"/>
  <c r="H14" i="33"/>
  <c r="D7" i="43"/>
  <c r="G65" i="32"/>
  <c r="F31" i="40"/>
  <c r="F33" i="40" s="1"/>
  <c r="G74" i="32"/>
  <c r="F93" i="32"/>
  <c r="G55" i="32"/>
  <c r="G69" i="32"/>
  <c r="F77" i="32"/>
  <c r="E83" i="32"/>
  <c r="G85" i="32"/>
  <c r="F91" i="32"/>
  <c r="F87" i="32"/>
  <c r="E85" i="32"/>
  <c r="G61" i="32"/>
  <c r="G77" i="32"/>
  <c r="F83" i="32"/>
  <c r="E88" i="32"/>
  <c r="G91" i="32"/>
  <c r="D19" i="45"/>
  <c r="D29" i="45" s="1"/>
  <c r="G32" i="45"/>
  <c r="G38" i="45" s="1"/>
  <c r="G42" i="45" s="1"/>
  <c r="G59" i="32"/>
  <c r="E75" i="32"/>
  <c r="G50" i="32"/>
  <c r="G67" i="32"/>
  <c r="F75" i="32"/>
  <c r="E80" i="32"/>
  <c r="G83" i="32"/>
  <c r="F88" i="32"/>
  <c r="E94" i="32"/>
  <c r="G96" i="32"/>
  <c r="E19" i="45"/>
  <c r="E29" i="45" s="1"/>
  <c r="G48" i="45"/>
  <c r="G49" i="45" s="1"/>
  <c r="E95" i="32"/>
  <c r="E79" i="32"/>
  <c r="F79" i="32"/>
  <c r="G58" i="32"/>
  <c r="G75" i="32"/>
  <c r="F80" i="32"/>
  <c r="E86" i="32"/>
  <c r="G88" i="32"/>
  <c r="F94" i="32"/>
  <c r="C7" i="43"/>
  <c r="E81" i="32"/>
  <c r="F74" i="32"/>
  <c r="G81" i="32"/>
  <c r="G95" i="32"/>
  <c r="G57" i="32"/>
  <c r="C21" i="32"/>
  <c r="C64" i="32" s="1"/>
  <c r="E21" i="32"/>
  <c r="E64" i="32" s="1"/>
  <c r="E78" i="32"/>
  <c r="G80" i="32"/>
  <c r="F86" i="32"/>
  <c r="E92" i="32"/>
  <c r="G94" i="32"/>
  <c r="C27" i="45"/>
  <c r="G31" i="40"/>
  <c r="G33" i="40" s="1"/>
  <c r="F32" i="45"/>
  <c r="F38" i="45" s="1"/>
  <c r="F42" i="45" s="1"/>
  <c r="D21" i="32"/>
  <c r="D64" i="32" s="1"/>
  <c r="F21" i="32"/>
  <c r="F64" i="32" s="1"/>
  <c r="C48" i="32"/>
  <c r="C81" i="32" s="1"/>
  <c r="G56" i="32"/>
  <c r="G70" i="32"/>
  <c r="F78" i="32"/>
  <c r="E84" i="32"/>
  <c r="G86" i="32"/>
  <c r="F92" i="32"/>
  <c r="E97" i="32"/>
  <c r="D27" i="45"/>
  <c r="D48" i="32"/>
  <c r="D81" i="32" s="1"/>
  <c r="E76" i="32"/>
  <c r="G78" i="32"/>
  <c r="F84" i="32"/>
  <c r="E32" i="45"/>
  <c r="E38" i="45" s="1"/>
  <c r="E42" i="45" s="1"/>
  <c r="E27" i="45"/>
  <c r="G27" i="45"/>
  <c r="G29" i="45" s="1"/>
  <c r="F7" i="43"/>
  <c r="D31" i="40"/>
  <c r="D33" i="40" s="1"/>
  <c r="H37" i="32"/>
  <c r="I14" i="43"/>
  <c r="H38" i="32"/>
  <c r="I15" i="43"/>
  <c r="I5" i="43"/>
  <c r="H13" i="32"/>
  <c r="I12" i="43"/>
  <c r="H35" i="32"/>
  <c r="I13" i="43"/>
  <c r="H36" i="32"/>
  <c r="H39" i="32"/>
  <c r="I16" i="43"/>
  <c r="H31" i="40"/>
  <c r="H32" i="40" s="1"/>
  <c r="I26" i="40"/>
  <c r="I29" i="40" s="1"/>
  <c r="I31" i="40" s="1"/>
  <c r="I32" i="40" s="1"/>
  <c r="I15" i="33"/>
  <c r="D36" i="45"/>
  <c r="D40" i="45" s="1"/>
  <c r="D43" i="45" s="1"/>
  <c r="F37" i="45"/>
  <c r="F41" i="45" s="1"/>
  <c r="H27" i="45"/>
  <c r="H29" i="45" s="1"/>
  <c r="I9" i="43"/>
  <c r="E36" i="45"/>
  <c r="E40" i="45" s="1"/>
  <c r="E43" i="45" s="1"/>
  <c r="G37" i="45"/>
  <c r="G41" i="45" s="1"/>
  <c r="G43" i="45" s="1"/>
  <c r="I14" i="32"/>
  <c r="J14" i="32"/>
  <c r="C19" i="45"/>
  <c r="C29" i="45" s="1"/>
  <c r="H16" i="33"/>
  <c r="H4" i="43"/>
  <c r="K14" i="32"/>
  <c r="H14" i="37"/>
  <c r="I11" i="37" s="1"/>
  <c r="I14" i="37" s="1"/>
  <c r="J11" i="37" s="1"/>
  <c r="J14" i="37" s="1"/>
  <c r="K11" i="37" s="1"/>
  <c r="K14" i="37" s="1"/>
  <c r="L11" i="37" s="1"/>
  <c r="L14" i="37" s="1"/>
  <c r="D32" i="45"/>
  <c r="D38" i="45" s="1"/>
  <c r="D42" i="45" s="1"/>
  <c r="I15" i="46"/>
  <c r="J11" i="46" s="1"/>
  <c r="J15" i="46" s="1"/>
  <c r="K11" i="46" s="1"/>
  <c r="K15" i="46" s="1"/>
  <c r="L11" i="46" s="1"/>
  <c r="L15" i="46" s="1"/>
  <c r="C30" i="46"/>
  <c r="C29" i="46"/>
  <c r="C28" i="46"/>
  <c r="C27" i="46"/>
  <c r="H20" i="32"/>
  <c r="J22" i="37"/>
  <c r="H92" i="37"/>
  <c r="L92" i="37"/>
  <c r="I92" i="37"/>
  <c r="K92" i="37"/>
  <c r="J92" i="37"/>
  <c r="C88" i="37"/>
  <c r="C87" i="37"/>
  <c r="C86" i="37"/>
  <c r="C85" i="37"/>
  <c r="C74" i="37"/>
  <c r="C73" i="37"/>
  <c r="C72" i="37"/>
  <c r="C71" i="37"/>
  <c r="C60" i="37"/>
  <c r="C59" i="37"/>
  <c r="C58" i="37"/>
  <c r="C57" i="37"/>
  <c r="C46" i="37"/>
  <c r="C45" i="37"/>
  <c r="C44" i="37"/>
  <c r="C43" i="37"/>
  <c r="C51" i="31"/>
  <c r="F59" i="32" l="1"/>
  <c r="F69" i="32"/>
  <c r="D59" i="32"/>
  <c r="C59" i="32"/>
  <c r="F43" i="45"/>
  <c r="C87" i="32"/>
  <c r="C74" i="32"/>
  <c r="C95" i="32"/>
  <c r="C91" i="32"/>
  <c r="C90" i="32"/>
  <c r="C76" i="32"/>
  <c r="C96" i="32"/>
  <c r="C77" i="32"/>
  <c r="C97" i="32"/>
  <c r="C84" i="32"/>
  <c r="C92" i="32"/>
  <c r="C78" i="32"/>
  <c r="C83" i="32"/>
  <c r="C79" i="32"/>
  <c r="C86" i="32"/>
  <c r="C85" i="32"/>
  <c r="C94" i="32"/>
  <c r="C80" i="32"/>
  <c r="C88" i="32"/>
  <c r="C75" i="32"/>
  <c r="C93" i="32"/>
  <c r="E68" i="32"/>
  <c r="E62" i="32"/>
  <c r="E69" i="32"/>
  <c r="E63" i="32"/>
  <c r="E57" i="32"/>
  <c r="E70" i="32"/>
  <c r="E56" i="32"/>
  <c r="E58" i="32"/>
  <c r="E67" i="32"/>
  <c r="E50" i="32"/>
  <c r="E65" i="32"/>
  <c r="E61" i="32"/>
  <c r="E55" i="32"/>
  <c r="F68" i="32"/>
  <c r="F62" i="32"/>
  <c r="F63" i="32"/>
  <c r="F70" i="32"/>
  <c r="F56" i="32"/>
  <c r="F50" i="32"/>
  <c r="F65" i="32"/>
  <c r="F58" i="32"/>
  <c r="F67" i="32"/>
  <c r="F61" i="32"/>
  <c r="F55" i="32"/>
  <c r="F57" i="32"/>
  <c r="C57" i="32"/>
  <c r="C65" i="32"/>
  <c r="C50" i="32"/>
  <c r="C68" i="32"/>
  <c r="C70" i="32"/>
  <c r="C63" i="32"/>
  <c r="C62" i="32"/>
  <c r="C56" i="32"/>
  <c r="C69" i="32"/>
  <c r="C61" i="32"/>
  <c r="C58" i="32"/>
  <c r="C67" i="32"/>
  <c r="C55" i="32"/>
  <c r="D95" i="32"/>
  <c r="D90" i="32"/>
  <c r="D76" i="32"/>
  <c r="D91" i="32"/>
  <c r="D97" i="32"/>
  <c r="D84" i="32"/>
  <c r="D77" i="32"/>
  <c r="D92" i="32"/>
  <c r="D78" i="32"/>
  <c r="D86" i="32"/>
  <c r="D93" i="32"/>
  <c r="D94" i="32"/>
  <c r="D80" i="32"/>
  <c r="D88" i="32"/>
  <c r="D75" i="32"/>
  <c r="D85" i="32"/>
  <c r="D79" i="32"/>
  <c r="D83" i="32"/>
  <c r="D87" i="32"/>
  <c r="D74" i="32"/>
  <c r="D65" i="32"/>
  <c r="D68" i="32"/>
  <c r="D55" i="32"/>
  <c r="D62" i="32"/>
  <c r="D70" i="32"/>
  <c r="D56" i="32"/>
  <c r="D63" i="32"/>
  <c r="D57" i="32"/>
  <c r="D58" i="32"/>
  <c r="D61" i="32"/>
  <c r="D67" i="32"/>
  <c r="D50" i="32"/>
  <c r="D69" i="32"/>
  <c r="E59" i="32"/>
  <c r="D96" i="32"/>
  <c r="J16" i="43"/>
  <c r="I39" i="32"/>
  <c r="J13" i="43"/>
  <c r="I36" i="32"/>
  <c r="I4" i="43"/>
  <c r="H12" i="32"/>
  <c r="H15" i="32" s="1"/>
  <c r="I11" i="33"/>
  <c r="J12" i="43"/>
  <c r="I35" i="32"/>
  <c r="H11" i="33"/>
  <c r="I13" i="32"/>
  <c r="J5" i="43"/>
  <c r="J26" i="40"/>
  <c r="J29" i="40" s="1"/>
  <c r="J31" i="40"/>
  <c r="J32" i="40" s="1"/>
  <c r="J15" i="43"/>
  <c r="I38" i="32"/>
  <c r="I37" i="32"/>
  <c r="J14" i="43"/>
  <c r="I16" i="32"/>
  <c r="J9" i="43"/>
  <c r="J24" i="37"/>
  <c r="K22" i="37"/>
  <c r="B27" i="46"/>
  <c r="B28" i="46" s="1"/>
  <c r="B29" i="46" s="1"/>
  <c r="B30" i="46" s="1"/>
  <c r="D2" i="46"/>
  <c r="E2" i="46" s="1"/>
  <c r="F2" i="46" s="1"/>
  <c r="G2" i="46" s="1"/>
  <c r="H2" i="46" s="1"/>
  <c r="I2" i="46" s="1"/>
  <c r="J2" i="46" s="1"/>
  <c r="K2" i="46" s="1"/>
  <c r="L2" i="46" s="1"/>
  <c r="K5" i="43" l="1"/>
  <c r="J13" i="32"/>
  <c r="K12" i="43"/>
  <c r="J35" i="32"/>
  <c r="K26" i="40"/>
  <c r="K29" i="40" s="1"/>
  <c r="K31" i="40" s="1"/>
  <c r="K32" i="40" s="1"/>
  <c r="K14" i="43"/>
  <c r="J37" i="32"/>
  <c r="K9" i="43"/>
  <c r="J16" i="32"/>
  <c r="J4" i="43"/>
  <c r="I12" i="32"/>
  <c r="I15" i="32" s="1"/>
  <c r="J11" i="33"/>
  <c r="K15" i="43"/>
  <c r="J38" i="32"/>
  <c r="K13" i="43"/>
  <c r="J36" i="32"/>
  <c r="K16" i="43"/>
  <c r="J39" i="32"/>
  <c r="K24" i="37"/>
  <c r="L22" i="37"/>
  <c r="L24" i="37" s="1"/>
  <c r="D4" i="27"/>
  <c r="C4" i="27"/>
  <c r="E4" i="27"/>
  <c r="C10" i="27"/>
  <c r="D10" i="27"/>
  <c r="E10" i="27"/>
  <c r="F10" i="27"/>
  <c r="G10" i="27"/>
  <c r="H10" i="27"/>
  <c r="I10" i="27"/>
  <c r="J10" i="27"/>
  <c r="K10" i="27"/>
  <c r="L10" i="27"/>
  <c r="E11" i="27"/>
  <c r="F11" i="27"/>
  <c r="G11" i="27"/>
  <c r="H11" i="27"/>
  <c r="I11" i="27"/>
  <c r="J11" i="27"/>
  <c r="K11" i="27"/>
  <c r="L11" i="27"/>
  <c r="E12" i="27"/>
  <c r="F12" i="27"/>
  <c r="G12" i="27"/>
  <c r="H12" i="27"/>
  <c r="I12" i="27"/>
  <c r="J12" i="27"/>
  <c r="K12" i="27"/>
  <c r="L12" i="27"/>
  <c r="C24" i="27"/>
  <c r="C47" i="27" s="1"/>
  <c r="C29" i="27"/>
  <c r="C30" i="27" s="1"/>
  <c r="C33" i="27"/>
  <c r="C34" i="27"/>
  <c r="C35" i="27"/>
  <c r="C44" i="27"/>
  <c r="C45" i="27"/>
  <c r="C46" i="27"/>
  <c r="C48" i="27"/>
  <c r="C50" i="27" s="1"/>
  <c r="C59" i="27"/>
  <c r="A1" i="27"/>
  <c r="L26" i="40" l="1"/>
  <c r="L29" i="40" s="1"/>
  <c r="L31" i="40"/>
  <c r="L32" i="40" s="1"/>
  <c r="K4" i="43"/>
  <c r="J12" i="32"/>
  <c r="J15" i="32" s="1"/>
  <c r="L15" i="43"/>
  <c r="L38" i="32" s="1"/>
  <c r="K38" i="32"/>
  <c r="L12" i="43"/>
  <c r="L35" i="32" s="1"/>
  <c r="K35" i="32"/>
  <c r="L13" i="43"/>
  <c r="L36" i="32" s="1"/>
  <c r="K36" i="32"/>
  <c r="L9" i="43"/>
  <c r="L16" i="32" s="1"/>
  <c r="K16" i="32"/>
  <c r="L16" i="43"/>
  <c r="L39" i="32" s="1"/>
  <c r="K39" i="32"/>
  <c r="L14" i="43"/>
  <c r="L37" i="32" s="1"/>
  <c r="K37" i="32"/>
  <c r="L5" i="43"/>
  <c r="L13" i="32" s="1"/>
  <c r="K13" i="32"/>
  <c r="C36" i="27"/>
  <c r="C41" i="27" s="1"/>
  <c r="B13" i="45"/>
  <c r="B12" i="45"/>
  <c r="B10" i="45"/>
  <c r="B11" i="45"/>
  <c r="H2" i="39"/>
  <c r="I2" i="39" s="1"/>
  <c r="J2" i="39" s="1"/>
  <c r="K2" i="39" s="1"/>
  <c r="L2" i="39" s="1"/>
  <c r="A1" i="39"/>
  <c r="L4" i="43" l="1"/>
  <c r="L12" i="32" s="1"/>
  <c r="L15" i="32" s="1"/>
  <c r="K12" i="32"/>
  <c r="K15" i="32" s="1"/>
  <c r="L11" i="33"/>
  <c r="K11" i="33"/>
  <c r="G4" i="27"/>
  <c r="D5" i="27"/>
  <c r="D9" i="27" s="1"/>
  <c r="E5" i="27"/>
  <c r="E9" i="27" s="1"/>
  <c r="E13" i="27" s="1"/>
  <c r="F4" i="27"/>
  <c r="C5" i="27"/>
  <c r="C9" i="27" s="1"/>
  <c r="C39" i="27"/>
  <c r="C60" i="27"/>
  <c r="C40" i="27"/>
  <c r="D31" i="42"/>
  <c r="E31" i="42" s="1"/>
  <c r="P16" i="42"/>
  <c r="Q16" i="42"/>
  <c r="R16" i="42"/>
  <c r="D26" i="42"/>
  <c r="E26" i="42" s="1"/>
  <c r="C51" i="27" l="1"/>
  <c r="F5" i="27"/>
  <c r="F9" i="27" s="1"/>
  <c r="F13" i="27" s="1"/>
  <c r="G5" i="27"/>
  <c r="G9" i="27" s="1"/>
  <c r="G13" i="27" s="1"/>
  <c r="B85" i="37"/>
  <c r="B86" i="37" s="1"/>
  <c r="B87" i="37" s="1"/>
  <c r="B88" i="37" s="1"/>
  <c r="B71" i="37"/>
  <c r="B72" i="37" s="1"/>
  <c r="B73" i="37" s="1"/>
  <c r="B74" i="37" s="1"/>
  <c r="B57" i="37"/>
  <c r="B58" i="37" s="1"/>
  <c r="B59" i="37" s="1"/>
  <c r="B60" i="37" s="1"/>
  <c r="B43" i="37"/>
  <c r="B44" i="37" s="1"/>
  <c r="B45" i="37" s="1"/>
  <c r="B46" i="37" s="1"/>
  <c r="H4" i="27" l="1"/>
  <c r="B5" i="45"/>
  <c r="B4" i="45"/>
  <c r="H2" i="45"/>
  <c r="I2" i="45" s="1"/>
  <c r="J2" i="45" s="1"/>
  <c r="K2" i="45" s="1"/>
  <c r="L2" i="45" s="1"/>
  <c r="A1" i="45"/>
  <c r="B44" i="31"/>
  <c r="B38" i="31"/>
  <c r="M24" i="42"/>
  <c r="H24" i="42"/>
  <c r="I24" i="42"/>
  <c r="E24" i="42"/>
  <c r="U22" i="42"/>
  <c r="T22" i="42"/>
  <c r="S22" i="42"/>
  <c r="O22" i="42"/>
  <c r="N22" i="42"/>
  <c r="M22" i="42"/>
  <c r="N21" i="42"/>
  <c r="O21" i="42"/>
  <c r="S21" i="42"/>
  <c r="T21" i="42"/>
  <c r="U21" i="42"/>
  <c r="M21" i="42"/>
  <c r="P9" i="42"/>
  <c r="Q9" i="42"/>
  <c r="R9" i="42"/>
  <c r="R17" i="42"/>
  <c r="Q17" i="42"/>
  <c r="P17" i="42"/>
  <c r="R14" i="42"/>
  <c r="Q14" i="42"/>
  <c r="P14" i="42"/>
  <c r="R13" i="42"/>
  <c r="Q13" i="42"/>
  <c r="P13" i="42"/>
  <c r="K17" i="42"/>
  <c r="L17" i="42" s="1"/>
  <c r="K16" i="42"/>
  <c r="L16" i="42" s="1"/>
  <c r="K15" i="42"/>
  <c r="L15" i="42" s="1"/>
  <c r="K14" i="42"/>
  <c r="L14" i="42" s="1"/>
  <c r="K13" i="42"/>
  <c r="L13" i="42" s="1"/>
  <c r="K12" i="42"/>
  <c r="L12" i="42" s="1"/>
  <c r="K11" i="42"/>
  <c r="L11" i="42" s="1"/>
  <c r="K10" i="42"/>
  <c r="L10" i="42" s="1"/>
  <c r="X10" i="42" s="1"/>
  <c r="G2" i="27"/>
  <c r="H2" i="27" s="1"/>
  <c r="D2" i="40"/>
  <c r="E2" i="40" s="1"/>
  <c r="F2" i="40" s="1"/>
  <c r="G2" i="40" s="1"/>
  <c r="I4" i="27" l="1"/>
  <c r="V11" i="42"/>
  <c r="W11" i="42"/>
  <c r="X11" i="42"/>
  <c r="X12" i="42"/>
  <c r="W12" i="42"/>
  <c r="V12" i="42"/>
  <c r="X15" i="42"/>
  <c r="V15" i="42"/>
  <c r="W15" i="42"/>
  <c r="I2" i="27"/>
  <c r="W16" i="42"/>
  <c r="V16" i="42"/>
  <c r="X16" i="42"/>
  <c r="V17" i="42"/>
  <c r="X17" i="42"/>
  <c r="W17" i="42"/>
  <c r="X13" i="42"/>
  <c r="W13" i="42"/>
  <c r="V13" i="42"/>
  <c r="W14" i="42"/>
  <c r="X14" i="42"/>
  <c r="V14" i="42"/>
  <c r="V10" i="42"/>
  <c r="W10" i="42"/>
  <c r="D24" i="42"/>
  <c r="L4" i="27" l="1"/>
  <c r="J4" i="27"/>
  <c r="J2" i="27"/>
  <c r="K4" i="27" l="1"/>
  <c r="K2" i="27"/>
  <c r="L2" i="27" l="1"/>
  <c r="B16" i="43"/>
  <c r="B15" i="43"/>
  <c r="B14" i="43"/>
  <c r="B13" i="43"/>
  <c r="B12" i="43"/>
  <c r="B9" i="43"/>
  <c r="B7" i="43"/>
  <c r="B5" i="43"/>
  <c r="B4" i="43"/>
  <c r="H2" i="43"/>
  <c r="I2" i="43" s="1"/>
  <c r="J2" i="43" s="1"/>
  <c r="K2" i="43" s="1"/>
  <c r="L2" i="43" s="1"/>
  <c r="A1" i="43"/>
  <c r="D2" i="37"/>
  <c r="E2" i="37" s="1"/>
  <c r="F2" i="37" s="1"/>
  <c r="I2" i="34"/>
  <c r="G2" i="37" l="1"/>
  <c r="D2" i="33" l="1"/>
  <c r="E2" i="33" s="1"/>
  <c r="F2" i="33" s="1"/>
  <c r="G2" i="33" s="1"/>
  <c r="D2" i="32"/>
  <c r="E2" i="32" s="1"/>
  <c r="F2" i="32" s="1"/>
  <c r="G2" i="32" s="1"/>
  <c r="D2" i="31"/>
  <c r="D51" i="31" s="1"/>
  <c r="E2" i="31" l="1"/>
  <c r="E51" i="31" s="1"/>
  <c r="S24" i="42"/>
  <c r="F2" i="31" l="1"/>
  <c r="F51" i="31" s="1"/>
  <c r="G2" i="31" l="1"/>
  <c r="G51" i="31" s="1"/>
  <c r="K9" i="42" l="1"/>
  <c r="L9" i="42" s="1"/>
  <c r="X9" i="42" l="1"/>
  <c r="V9" i="42"/>
  <c r="W9" i="42"/>
  <c r="W22" i="42" l="1"/>
  <c r="W21" i="42"/>
  <c r="D32" i="42" s="1"/>
  <c r="V22" i="42"/>
  <c r="V21" i="42"/>
  <c r="X22" i="42"/>
  <c r="X21" i="42"/>
  <c r="E32" i="42" s="1"/>
  <c r="U24" i="42" l="1"/>
  <c r="E33" i="42" l="1"/>
  <c r="E34" i="42" s="1"/>
  <c r="Q10" i="42"/>
  <c r="R10" i="42"/>
  <c r="P10" i="42"/>
  <c r="Q11" i="42"/>
  <c r="R11" i="42"/>
  <c r="P11" i="42"/>
  <c r="P22" i="42" l="1"/>
  <c r="P21" i="42"/>
  <c r="R21" i="42"/>
  <c r="E27" i="42" s="1"/>
  <c r="R22" i="42"/>
  <c r="Q21" i="42"/>
  <c r="D27" i="42" s="1"/>
  <c r="Q22" i="42"/>
  <c r="C24" i="42"/>
  <c r="P24" i="42" s="1"/>
  <c r="A1" i="42"/>
  <c r="H2" i="40" l="1"/>
  <c r="I2" i="40" s="1"/>
  <c r="J2" i="40" s="1"/>
  <c r="K2" i="40" s="1"/>
  <c r="L2" i="40" s="1"/>
  <c r="A1" i="40"/>
  <c r="H2" i="37" l="1"/>
  <c r="I2" i="37" s="1"/>
  <c r="J2" i="37" s="1"/>
  <c r="K2" i="37" s="1"/>
  <c r="L2" i="37" s="1"/>
  <c r="A1" i="37"/>
  <c r="H2" i="35" l="1"/>
  <c r="I2" i="35" s="1"/>
  <c r="J2" i="35" s="1"/>
  <c r="K2" i="35" s="1"/>
  <c r="L2" i="35" s="1"/>
  <c r="A1" i="35"/>
  <c r="J2" i="34"/>
  <c r="K2" i="34" s="1"/>
  <c r="L2" i="34" s="1"/>
  <c r="A1" i="34"/>
  <c r="H2" i="33" l="1"/>
  <c r="I2" i="33" s="1"/>
  <c r="J2" i="33" s="1"/>
  <c r="K2" i="33" s="1"/>
  <c r="L2" i="33" s="1"/>
  <c r="A1" i="33"/>
  <c r="A1" i="32" l="1"/>
  <c r="H2" i="32"/>
  <c r="A1" i="31"/>
  <c r="H2" i="31"/>
  <c r="H51" i="31" s="1"/>
  <c r="I2" i="32" l="1"/>
  <c r="I2" i="31"/>
  <c r="I51" i="31" s="1"/>
  <c r="K24" i="42"/>
  <c r="J2" i="32" l="1"/>
  <c r="J2" i="31"/>
  <c r="J51" i="31" s="1"/>
  <c r="L24" i="42"/>
  <c r="K2" i="32" l="1"/>
  <c r="X24" i="42"/>
  <c r="V24" i="42"/>
  <c r="K2" i="31"/>
  <c r="K51" i="31" s="1"/>
  <c r="L2" i="32" l="1"/>
  <c r="L2" i="31"/>
  <c r="L51" i="31" s="1"/>
  <c r="T24" i="42" l="1"/>
  <c r="W24" i="42" s="1"/>
  <c r="D33" i="42"/>
  <c r="D34" i="42" s="1"/>
  <c r="I5" i="27" l="1"/>
  <c r="I9" i="27" s="1"/>
  <c r="I13" i="27" s="1"/>
  <c r="J5" i="27"/>
  <c r="J9" i="27" s="1"/>
  <c r="J13" i="27" s="1"/>
  <c r="H5" i="27"/>
  <c r="H9" i="27" s="1"/>
  <c r="H13" i="27" s="1"/>
  <c r="K5" i="27" l="1"/>
  <c r="K9" i="27" s="1"/>
  <c r="K13" i="27" s="1"/>
  <c r="L5" i="27"/>
  <c r="L9" i="27" s="1"/>
  <c r="L13" i="27" s="1"/>
  <c r="L15" i="27" s="1"/>
  <c r="D57" i="27" s="1"/>
  <c r="D56" i="27" l="1"/>
  <c r="D58" i="27" s="1"/>
  <c r="C56" i="27"/>
  <c r="C57" i="27"/>
  <c r="C58" i="27" l="1"/>
  <c r="C61" i="27" s="1"/>
  <c r="C62" i="27" s="1"/>
  <c r="F66" i="27" s="1"/>
  <c r="H6" i="32"/>
  <c r="I6" i="32"/>
  <c r="J6" i="32"/>
  <c r="K6" i="32"/>
  <c r="L6" i="32"/>
  <c r="H10" i="32"/>
  <c r="I10" i="32"/>
  <c r="J10" i="32"/>
  <c r="K10" i="32"/>
  <c r="L10" i="32"/>
  <c r="H21" i="32"/>
  <c r="I21" i="32"/>
  <c r="J21" i="32"/>
  <c r="K21" i="32"/>
  <c r="L21" i="32"/>
  <c r="H33" i="32"/>
  <c r="I33" i="32"/>
  <c r="J33" i="32"/>
  <c r="K33" i="32"/>
  <c r="L33" i="32"/>
  <c r="H47" i="32"/>
  <c r="I47" i="32"/>
  <c r="J47" i="32"/>
  <c r="K47" i="32"/>
  <c r="L47" i="32"/>
  <c r="H48" i="32"/>
  <c r="I48" i="32"/>
  <c r="J48" i="32"/>
  <c r="K48" i="32"/>
  <c r="L48" i="32"/>
  <c r="H50" i="32"/>
  <c r="I50" i="32"/>
  <c r="J50" i="32"/>
  <c r="K50" i="32"/>
  <c r="L50" i="32"/>
  <c r="H4" i="33"/>
  <c r="I4" i="33"/>
  <c r="J4" i="33"/>
  <c r="K4" i="33"/>
  <c r="L4" i="33"/>
  <c r="H18" i="33"/>
  <c r="I18" i="33"/>
  <c r="J18" i="33"/>
  <c r="K18" i="33"/>
  <c r="L18" i="33"/>
  <c r="H28" i="33"/>
  <c r="I28" i="33"/>
  <c r="J28" i="33"/>
  <c r="K28" i="33"/>
  <c r="L28" i="33"/>
  <c r="H33" i="33"/>
  <c r="I33" i="33"/>
  <c r="J33" i="33"/>
  <c r="K33" i="33"/>
  <c r="L33" i="33"/>
  <c r="H36" i="33"/>
  <c r="I36" i="33"/>
  <c r="J36" i="33"/>
  <c r="K36" i="33"/>
  <c r="L36" i="33"/>
  <c r="H38" i="33"/>
  <c r="I38" i="33"/>
  <c r="J38" i="33"/>
  <c r="K38" i="33"/>
  <c r="L38" i="33"/>
  <c r="I40" i="33"/>
  <c r="J40" i="33"/>
  <c r="K40" i="33"/>
  <c r="L40" i="33"/>
  <c r="H41" i="33"/>
  <c r="I41" i="33"/>
  <c r="J41" i="33"/>
  <c r="K41" i="33"/>
  <c r="L41" i="33"/>
  <c r="H36" i="35"/>
  <c r="I36" i="35"/>
  <c r="J36" i="35"/>
  <c r="K36" i="35"/>
  <c r="L36" i="35"/>
  <c r="H37" i="35"/>
  <c r="I37" i="35"/>
  <c r="J37" i="35"/>
  <c r="K37" i="35"/>
  <c r="L37" i="35"/>
  <c r="D59" i="27"/>
  <c r="D60" i="27"/>
  <c r="D61" i="27"/>
  <c r="D62" i="27"/>
  <c r="H4" i="40"/>
  <c r="I4" i="40"/>
  <c r="J4" i="40"/>
  <c r="K4" i="40"/>
  <c r="L4" i="40"/>
  <c r="H5" i="40"/>
  <c r="I5" i="40"/>
  <c r="J5" i="40"/>
  <c r="K5" i="40"/>
  <c r="L5" i="40"/>
  <c r="I8" i="40"/>
  <c r="J8" i="40"/>
  <c r="K8" i="40"/>
  <c r="L8" i="40"/>
  <c r="H10" i="40"/>
  <c r="I10" i="40"/>
  <c r="J10" i="40"/>
  <c r="K10" i="40"/>
  <c r="L10" i="40"/>
  <c r="H13" i="40"/>
  <c r="I13" i="40"/>
  <c r="J13" i="40"/>
  <c r="K13" i="40"/>
  <c r="L13" i="40"/>
  <c r="I16" i="40"/>
  <c r="J16" i="40"/>
  <c r="K16" i="40"/>
  <c r="L16" i="40"/>
  <c r="H17" i="40"/>
  <c r="I17" i="40"/>
  <c r="J17" i="40"/>
  <c r="K17" i="40"/>
  <c r="L17" i="40"/>
  <c r="H18" i="40"/>
  <c r="I18" i="40"/>
  <c r="J18" i="40"/>
  <c r="K18" i="40"/>
  <c r="L18" i="40"/>
  <c r="H20" i="40"/>
  <c r="I20" i="40"/>
  <c r="J20" i="40"/>
  <c r="K20" i="40"/>
  <c r="L20" i="40"/>
  <c r="H22" i="40"/>
  <c r="I22" i="40"/>
  <c r="J22" i="40"/>
  <c r="K22" i="40"/>
  <c r="L22" i="40"/>
  <c r="H35" i="40"/>
  <c r="I35" i="40"/>
  <c r="J35" i="40"/>
  <c r="K35" i="40"/>
  <c r="L35" i="40"/>
  <c r="H37" i="40"/>
  <c r="I37" i="40"/>
  <c r="J37" i="40"/>
  <c r="K37" i="40"/>
  <c r="L37" i="40"/>
  <c r="H39" i="40"/>
  <c r="I39" i="40"/>
  <c r="J39" i="40"/>
  <c r="K39" i="40"/>
  <c r="L39" i="40"/>
  <c r="H41" i="40"/>
  <c r="I41" i="40"/>
  <c r="J41" i="40"/>
  <c r="K41" i="40"/>
  <c r="L41" i="40"/>
  <c r="H22" i="31"/>
  <c r="I22" i="31"/>
  <c r="J22" i="31"/>
  <c r="K22" i="31"/>
  <c r="L22" i="31"/>
  <c r="H23" i="31"/>
  <c r="I23" i="31"/>
  <c r="J23" i="31"/>
  <c r="K23" i="31"/>
  <c r="L23" i="31"/>
  <c r="H24" i="31"/>
  <c r="I24" i="31"/>
  <c r="J24" i="31"/>
  <c r="K24" i="31"/>
  <c r="L24" i="31"/>
  <c r="H25" i="31"/>
  <c r="I25" i="31"/>
  <c r="J25" i="31"/>
  <c r="K25" i="31"/>
  <c r="L25" i="31"/>
  <c r="H26" i="31"/>
  <c r="I26" i="31"/>
  <c r="J26" i="31"/>
  <c r="K26" i="31"/>
  <c r="L26" i="31"/>
  <c r="H27" i="31"/>
  <c r="I27" i="31"/>
  <c r="J27" i="31"/>
  <c r="K27" i="31"/>
  <c r="L27" i="31"/>
  <c r="H28" i="31"/>
  <c r="I28" i="31"/>
  <c r="J28" i="31"/>
  <c r="K28" i="31"/>
  <c r="L28" i="31"/>
  <c r="H29" i="31"/>
  <c r="I29" i="31"/>
  <c r="J29" i="31"/>
  <c r="K29" i="31"/>
  <c r="L29" i="31"/>
  <c r="H30" i="31"/>
  <c r="I30" i="31"/>
  <c r="J30" i="31"/>
  <c r="K30" i="31"/>
  <c r="L30" i="31"/>
  <c r="H31" i="31"/>
  <c r="I31" i="31"/>
  <c r="J31" i="31"/>
  <c r="K31" i="31"/>
  <c r="L31" i="31"/>
  <c r="N24" i="42"/>
  <c r="O24" i="42"/>
  <c r="Q24" i="42"/>
  <c r="R24" i="42"/>
  <c r="D28" i="42"/>
  <c r="E28" i="42"/>
  <c r="D29" i="42"/>
  <c r="E29" i="42"/>
  <c r="D35" i="42"/>
  <c r="D36" i="42"/>
  <c r="D37" i="42"/>
  <c r="D38" i="42"/>
  <c r="I4" i="39"/>
  <c r="J4" i="39"/>
  <c r="K4" i="39"/>
  <c r="L4" i="39"/>
  <c r="H5" i="39"/>
  <c r="I5" i="39"/>
  <c r="J5" i="39"/>
  <c r="K5" i="39"/>
  <c r="L5" i="39"/>
  <c r="H6" i="39"/>
  <c r="I6" i="39"/>
  <c r="J6" i="39"/>
  <c r="K6" i="39"/>
  <c r="L6" i="39"/>
  <c r="H10" i="39"/>
  <c r="I10" i="39"/>
  <c r="J10" i="39"/>
  <c r="K10" i="39"/>
  <c r="L10" i="39"/>
  <c r="H13" i="39"/>
  <c r="I13" i="39"/>
  <c r="J13" i="39"/>
  <c r="K13" i="39"/>
  <c r="L13" i="39"/>
  <c r="H15" i="39"/>
  <c r="I15" i="39"/>
  <c r="J15" i="39"/>
  <c r="K15" i="39"/>
  <c r="L15" i="39"/>
  <c r="H16" i="39"/>
  <c r="I16" i="39"/>
  <c r="J16" i="39"/>
  <c r="K16" i="39"/>
  <c r="L16" i="39"/>
  <c r="H25" i="39"/>
  <c r="I25" i="39"/>
  <c r="J25" i="39"/>
  <c r="K25" i="39"/>
  <c r="L25" i="39"/>
  <c r="H26" i="39"/>
  <c r="I26" i="39"/>
  <c r="J26" i="39"/>
  <c r="K26" i="39"/>
  <c r="L26" i="39"/>
  <c r="H28" i="39"/>
  <c r="I28" i="39"/>
  <c r="J28" i="39"/>
  <c r="K28" i="39"/>
  <c r="L28" i="39"/>
  <c r="H29" i="39"/>
  <c r="I29" i="39"/>
  <c r="J29" i="39"/>
  <c r="K29" i="39"/>
  <c r="L29" i="39"/>
  <c r="H31" i="39"/>
  <c r="I31" i="39"/>
  <c r="J31" i="39"/>
  <c r="K31" i="39"/>
  <c r="L31" i="39"/>
  <c r="H32" i="39"/>
  <c r="I32" i="39"/>
  <c r="J32" i="39"/>
  <c r="K32" i="39"/>
  <c r="L32" i="39"/>
  <c r="H33" i="39"/>
  <c r="I33" i="39"/>
  <c r="J33" i="39"/>
  <c r="K33" i="39"/>
  <c r="L33" i="39"/>
</calcChain>
</file>

<file path=xl/sharedStrings.xml><?xml version="1.0" encoding="utf-8"?>
<sst xmlns="http://schemas.openxmlformats.org/spreadsheetml/2006/main" count="687" uniqueCount="437">
  <si>
    <t>Ratios &amp; Assumptions</t>
  </si>
  <si>
    <t>Capital Expenditures</t>
  </si>
  <si>
    <t>Beginning Net PP&amp;E</t>
  </si>
  <si>
    <t>(Depreciation Expense)</t>
  </si>
  <si>
    <t>Total</t>
  </si>
  <si>
    <t>Total Capex</t>
  </si>
  <si>
    <t>Revenue</t>
  </si>
  <si>
    <t>% of Sales</t>
  </si>
  <si>
    <t>Income Statement</t>
  </si>
  <si>
    <t>Cash Flows</t>
  </si>
  <si>
    <t>Working Capital</t>
  </si>
  <si>
    <t>Ending Balance</t>
  </si>
  <si>
    <t>Issuance</t>
  </si>
  <si>
    <t>Historicals</t>
  </si>
  <si>
    <t>Forecasts</t>
  </si>
  <si>
    <t>EBIT</t>
  </si>
  <si>
    <t>EBIT x (1-t)</t>
  </si>
  <si>
    <t>Less: Capex</t>
  </si>
  <si>
    <t>Add: Change in working capital</t>
  </si>
  <si>
    <t>FCFF</t>
  </si>
  <si>
    <t>Add: Depreciation &amp; amortization</t>
  </si>
  <si>
    <t>NPV of explicit period</t>
  </si>
  <si>
    <t>NPV of terminal value</t>
  </si>
  <si>
    <t>DCF Valuation Summary</t>
  </si>
  <si>
    <t>DCF calculation as of</t>
  </si>
  <si>
    <t>Enterprise Value</t>
  </si>
  <si>
    <t>Equity value</t>
  </si>
  <si>
    <t>Share Price</t>
  </si>
  <si>
    <t>Sensitivity Analysis</t>
  </si>
  <si>
    <t>WACC</t>
  </si>
  <si>
    <t>Interest Rate</t>
  </si>
  <si>
    <t>Average Cash Balance</t>
  </si>
  <si>
    <t>Balance Sheet</t>
  </si>
  <si>
    <t>Depreciation Schedule</t>
  </si>
  <si>
    <t>Shareholder's Equity</t>
  </si>
  <si>
    <t>Core Financial Statements</t>
  </si>
  <si>
    <t>Supporting Financial Modeling Schedules</t>
  </si>
  <si>
    <t>www.wallstreetmojo.com</t>
  </si>
  <si>
    <t>+ Cash</t>
  </si>
  <si>
    <t>- Debt</t>
  </si>
  <si>
    <t>Assets</t>
  </si>
  <si>
    <t>Current liabilities</t>
  </si>
  <si>
    <t>Prepaid expenses and other current assets</t>
  </si>
  <si>
    <t>Accounts receivable</t>
  </si>
  <si>
    <t>Other assets</t>
  </si>
  <si>
    <t>Cash flows from operating activities</t>
  </si>
  <si>
    <t>Depreciation and amortization</t>
  </si>
  <si>
    <t>Operating Expenses:</t>
  </si>
  <si>
    <t xml:space="preserve">Total Non Cash Current Assets </t>
  </si>
  <si>
    <t>Net Working Capital</t>
  </si>
  <si>
    <t>(Increase) / Decrease in Working Capital</t>
  </si>
  <si>
    <t>Debt to equity ratio</t>
  </si>
  <si>
    <t>Terminal Value</t>
  </si>
  <si>
    <t>WACC Inputs</t>
  </si>
  <si>
    <t>Cost of Equity &amp; Cost of Debt</t>
  </si>
  <si>
    <t>Risk Free Rate</t>
  </si>
  <si>
    <t>Beta</t>
  </si>
  <si>
    <t>Equity Risk Premium</t>
  </si>
  <si>
    <t>Cost of equity</t>
  </si>
  <si>
    <t>Terminal Growth Rate</t>
  </si>
  <si>
    <t>Market Value of Equity</t>
  </si>
  <si>
    <t>Current Stock Price</t>
  </si>
  <si>
    <t>Calculating Book value of Debt</t>
  </si>
  <si>
    <t>Value of Debt</t>
  </si>
  <si>
    <t>Proporiton of Equity in the Capital Strucuture</t>
  </si>
  <si>
    <t>Proporiton of Debt in the Capital Strucuture</t>
  </si>
  <si>
    <t>WACC Calculations</t>
  </si>
  <si>
    <t>Risk Free rate</t>
  </si>
  <si>
    <t>Market risk premium</t>
  </si>
  <si>
    <t>Pre-tax cost of debt</t>
  </si>
  <si>
    <t>Tax rate</t>
  </si>
  <si>
    <t>After tax cost of debt</t>
  </si>
  <si>
    <t>Calculating Debt to Equity ratio</t>
  </si>
  <si>
    <t>Growth</t>
  </si>
  <si>
    <t>Cost Sheet</t>
  </si>
  <si>
    <t>Revenue Built-up</t>
  </si>
  <si>
    <t>Debt Schedule</t>
  </si>
  <si>
    <t>Date</t>
  </si>
  <si>
    <t>Comparable Company Analysis</t>
  </si>
  <si>
    <t>EPS</t>
  </si>
  <si>
    <t>P/E (x)</t>
  </si>
  <si>
    <t>EV / EBITDA (x)</t>
  </si>
  <si>
    <t># of shares</t>
  </si>
  <si>
    <t>Mean</t>
  </si>
  <si>
    <t>Median</t>
  </si>
  <si>
    <t xml:space="preserve">Market Cap </t>
  </si>
  <si>
    <t xml:space="preserve">Enterprise Value  </t>
  </si>
  <si>
    <t>Price</t>
  </si>
  <si>
    <t xml:space="preserve">Valuation </t>
  </si>
  <si>
    <t>(All Data is in Millions $, Except Per Share Information)</t>
  </si>
  <si>
    <t>Target (Year end)</t>
  </si>
  <si>
    <t>All content is Copyright material of WallStreetMojo.</t>
  </si>
  <si>
    <t xml:space="preserve">Website: </t>
  </si>
  <si>
    <t xml:space="preserve">Note: </t>
  </si>
  <si>
    <t>Goodwill</t>
  </si>
  <si>
    <t>Retained earnings</t>
  </si>
  <si>
    <t>Deferred income taxes</t>
  </si>
  <si>
    <t>Free Cash Flow to Firm (FCFF)</t>
  </si>
  <si>
    <t>Comparable Peers</t>
  </si>
  <si>
    <t>McDonalds</t>
  </si>
  <si>
    <t>Sales by Company-operated restaurants</t>
  </si>
  <si>
    <t>Revenues from franchised restaurants</t>
  </si>
  <si>
    <t>Other revenues</t>
  </si>
  <si>
    <t>Total revenues</t>
  </si>
  <si>
    <t>Company-operated restaurant expenses</t>
  </si>
  <si>
    <t>Food &amp; paper</t>
  </si>
  <si>
    <t>Payroll &amp; employee benefits</t>
  </si>
  <si>
    <t>Occupancy &amp; other operating expenses</t>
  </si>
  <si>
    <t>Franchised restaurants-occupancy expenses</t>
  </si>
  <si>
    <t>Other restaurant expenses</t>
  </si>
  <si>
    <t>Selling, general &amp; administrative expenses</t>
  </si>
  <si>
    <t>Other</t>
  </si>
  <si>
    <t>Other operating (income) expense, net</t>
  </si>
  <si>
    <t>Total operating costs and expenses</t>
  </si>
  <si>
    <t>Operating income</t>
  </si>
  <si>
    <t>Nonoperating (income) expense, net</t>
  </si>
  <si>
    <t>Income before provision for income taxes</t>
  </si>
  <si>
    <t>Provision for income taxes</t>
  </si>
  <si>
    <t>Net income</t>
  </si>
  <si>
    <t>Earnings per common share-basic</t>
  </si>
  <si>
    <t>Earnings per common share-diluted</t>
  </si>
  <si>
    <t>Dividends declared per common share</t>
  </si>
  <si>
    <t>Weighted-average shares outstanding-basic</t>
  </si>
  <si>
    <t>Weighted-average shares outstanding-diluted</t>
  </si>
  <si>
    <t>Revenues</t>
  </si>
  <si>
    <t>Operating Costs and Expenses</t>
  </si>
  <si>
    <t xml:space="preserve">Interest expense-net of capitalized interest </t>
  </si>
  <si>
    <t>Current assets</t>
  </si>
  <si>
    <t>Cash and equivalents</t>
  </si>
  <si>
    <t>Accounts and notes receivable</t>
  </si>
  <si>
    <t>Inventories, at cost, not in excess of market</t>
  </si>
  <si>
    <t>Total current assets</t>
  </si>
  <si>
    <t>Investments in and advances to affiliates</t>
  </si>
  <si>
    <t>Miscellaneous</t>
  </si>
  <si>
    <t>Total other assets</t>
  </si>
  <si>
    <t>Lease right-of-use asset, net</t>
  </si>
  <si>
    <t>Property and equipment</t>
  </si>
  <si>
    <t>Property and equipment, at cost</t>
  </si>
  <si>
    <t>Accumulated depreciation and amortization</t>
  </si>
  <si>
    <t>Net property and equipment</t>
  </si>
  <si>
    <t>Total assets</t>
  </si>
  <si>
    <t>Accounts payable</t>
  </si>
  <si>
    <t>Lease liability</t>
  </si>
  <si>
    <t>Income taxes</t>
  </si>
  <si>
    <t>Other taxes</t>
  </si>
  <si>
    <t>Accrued interest</t>
  </si>
  <si>
    <t>Accrued payroll and other liabilities</t>
  </si>
  <si>
    <t>Current maturities of long-term debt</t>
  </si>
  <si>
    <t>Total current liabilities</t>
  </si>
  <si>
    <t>Long-term debt</t>
  </si>
  <si>
    <t>Long-term lease liability</t>
  </si>
  <si>
    <t>Long-term income taxes</t>
  </si>
  <si>
    <t>Deferred revenues - initial franchise fees</t>
  </si>
  <si>
    <t>Other long-term liabilities</t>
  </si>
  <si>
    <t>Shareholders' equity (deficit)</t>
  </si>
  <si>
    <t>Additional paid-in capital</t>
  </si>
  <si>
    <t>Accumulated other comprehensive income (loss)</t>
  </si>
  <si>
    <t>Common stock in treasury, at cost; 915.8 and 915.2 million shares</t>
  </si>
  <si>
    <t>Total shareholders' equity (deficit)</t>
  </si>
  <si>
    <t>Total liabilities and shareholders' equity (deficit)</t>
  </si>
  <si>
    <t>Adjustments to reconcile to cash provided by operations</t>
  </si>
  <si>
    <t>Charges and credits:</t>
  </si>
  <si>
    <t>Share-based compensation</t>
  </si>
  <si>
    <t>Net gain on sale of restaurant businesses</t>
  </si>
  <si>
    <t>Changes in working capital items:</t>
  </si>
  <si>
    <t>Inventories, prepaid expenses and other current assets</t>
  </si>
  <si>
    <t>Other accrued liabilities</t>
  </si>
  <si>
    <t>Cash provided by operations</t>
  </si>
  <si>
    <t>Investing activities</t>
  </si>
  <si>
    <t>Capital expenditures</t>
  </si>
  <si>
    <t>Purchases of restaurant and other businesses</t>
  </si>
  <si>
    <t>Sales of restaurant businesses</t>
  </si>
  <si>
    <t>Sales of property</t>
  </si>
  <si>
    <t>Cash used for investing activities</t>
  </si>
  <si>
    <t>Financing activities</t>
  </si>
  <si>
    <t>Net short-term borrowings</t>
  </si>
  <si>
    <t>Long-term financing issuances</t>
  </si>
  <si>
    <t>Long-term financing repayments</t>
  </si>
  <si>
    <t>Treasury stock purchases</t>
  </si>
  <si>
    <t>Common stock dividends</t>
  </si>
  <si>
    <t>Proceeds from stock option exercises</t>
  </si>
  <si>
    <t>Cash used for financing activities</t>
  </si>
  <si>
    <t>Effect of exchange rates on cash and equivalents</t>
  </si>
  <si>
    <t>Cash and equivalents increase</t>
  </si>
  <si>
    <t>Cash and equivalents at beginning of year</t>
  </si>
  <si>
    <t>Cash and equivalents at end of year</t>
  </si>
  <si>
    <t>Supplemental cash flow disclosures</t>
  </si>
  <si>
    <t>Interest paid</t>
  </si>
  <si>
    <t>Income taxes paid</t>
  </si>
  <si>
    <t>Proceeds from sale of businesses in China and Hong Kong</t>
  </si>
  <si>
    <t>Change in cash balances of businesses held for sale</t>
  </si>
  <si>
    <t>Vertical Analysis</t>
  </si>
  <si>
    <t>Check</t>
  </si>
  <si>
    <t>Liabilities and Shareholders Equity</t>
  </si>
  <si>
    <t>Preferred stock, no par value; authorized - 165.0 million shares; issued - none</t>
  </si>
  <si>
    <t>Purchases</t>
  </si>
  <si>
    <t>Inventory Turnover</t>
  </si>
  <si>
    <t>Days</t>
  </si>
  <si>
    <t>Interest Expense</t>
  </si>
  <si>
    <t>Company-operated sales:</t>
  </si>
  <si>
    <t>U.S.</t>
  </si>
  <si>
    <t>International Operated Markets</t>
  </si>
  <si>
    <t>Franchised revenues:</t>
  </si>
  <si>
    <t>Total Other revenues</t>
  </si>
  <si>
    <t>Total Revenues</t>
  </si>
  <si>
    <t>International Developmental Licensed Markets &amp; Corporate</t>
  </si>
  <si>
    <t>Total Company-operated sales and Franchised Revenues</t>
  </si>
  <si>
    <t>US</t>
  </si>
  <si>
    <t>IOM</t>
  </si>
  <si>
    <t>IDL</t>
  </si>
  <si>
    <t>Total Other revenues (% of total )</t>
  </si>
  <si>
    <t>% Sales by Company-operated restaurants</t>
  </si>
  <si>
    <t>% Revenues from franchised restaurants</t>
  </si>
  <si>
    <t>% Other revenues</t>
  </si>
  <si>
    <t>Land</t>
  </si>
  <si>
    <t>Buildings and improvements on owned land</t>
  </si>
  <si>
    <t>Buildings and improvements on leased land</t>
  </si>
  <si>
    <t>Equipment, signs and seating</t>
  </si>
  <si>
    <t>PPE (Break-up for 2021)</t>
  </si>
  <si>
    <t>New Restaurants</t>
  </si>
  <si>
    <t>Existing Restaurants</t>
  </si>
  <si>
    <t>Others</t>
  </si>
  <si>
    <t>Total Non Debt Current Liabilities</t>
  </si>
  <si>
    <t>Accounts receivable Days</t>
  </si>
  <si>
    <t>Inventory Days</t>
  </si>
  <si>
    <t>Payable Days</t>
  </si>
  <si>
    <t>Accounts Receivable Turnover</t>
  </si>
  <si>
    <t>Payables Turnover</t>
  </si>
  <si>
    <t>Total Revenue</t>
  </si>
  <si>
    <t>Other Assets</t>
  </si>
  <si>
    <t>Other liablities</t>
  </si>
  <si>
    <t>Stock Options</t>
  </si>
  <si>
    <t>New Shares from Exercised Options - millions</t>
  </si>
  <si>
    <t>Average Strike Price</t>
  </si>
  <si>
    <t>Option Proceeds</t>
  </si>
  <si>
    <t>Share Repurchase and Issuance</t>
  </si>
  <si>
    <t>Net Change in Shares (MM):</t>
  </si>
  <si>
    <t>Average Basic Shares (MM):</t>
  </si>
  <si>
    <t>Average Diluted Shares (MM):</t>
  </si>
  <si>
    <t># Shares Issued (millions)</t>
  </si>
  <si>
    <t># Shares Repurchased (millions)</t>
  </si>
  <si>
    <t>Dividends Payout Ratio</t>
  </si>
  <si>
    <t>Net Income ($ million)</t>
  </si>
  <si>
    <t>Dividends ($ million)</t>
  </si>
  <si>
    <t>% of total revenue</t>
  </si>
  <si>
    <t>Effective Tax Rate</t>
  </si>
  <si>
    <t>Long Term Debt</t>
  </si>
  <si>
    <t>Repayment</t>
  </si>
  <si>
    <t>Effective Interest Rate</t>
  </si>
  <si>
    <t>Current Portion of Long Term Debt</t>
  </si>
  <si>
    <t>Company Operated Restaurants (Numbers)</t>
  </si>
  <si>
    <t>Franchised Operated (Numbers)</t>
  </si>
  <si>
    <t>Beginning Shareholders Equity</t>
  </si>
  <si>
    <t>+ Net Income</t>
  </si>
  <si>
    <t>- Dividends</t>
  </si>
  <si>
    <t>+ Options Proceeds</t>
  </si>
  <si>
    <t>- Issuance/ (Repurchase) of Equity</t>
  </si>
  <si>
    <t>Ending Shareholders Equity</t>
  </si>
  <si>
    <t>Dividends ($ Per share)</t>
  </si>
  <si>
    <t>https://finance.yahoo.com/quote/mcd/key-statistics/</t>
  </si>
  <si>
    <t>Long-Term Debt</t>
  </si>
  <si>
    <t>Current Maturities of Long Term Debt</t>
  </si>
  <si>
    <t>Lease Liability</t>
  </si>
  <si>
    <t>Number of Diluted Shares</t>
  </si>
  <si>
    <t>check here</t>
  </si>
  <si>
    <t>https://site.financialmodelingprep.com/discounted-cash-flow-model/MCD/</t>
  </si>
  <si>
    <t>https://www.gurufocus.com/stock/MCD/dcf</t>
  </si>
  <si>
    <t>https://finbox.com/NYSE:MCD/models/dcf-growth-exit-5yr</t>
  </si>
  <si>
    <t>https://simplywall.st/stocks/us/consumer-services/nyse-mcd/mcdonalds/news/estimating-the-fair-value-of-mcdonalds-corporation-nysemcd-1</t>
  </si>
  <si>
    <t>https://valueinvesting.io/MCD/valuation/dcf-growth-exit-5y</t>
  </si>
  <si>
    <t>Other restaurant expenses (as % of other revenues)</t>
  </si>
  <si>
    <t>Franchised restaurants-occupancy expenses (% of franchise revenue)</t>
  </si>
  <si>
    <t>SHAK</t>
  </si>
  <si>
    <t>CMG</t>
  </si>
  <si>
    <t>DPZ</t>
  </si>
  <si>
    <t>YUM</t>
  </si>
  <si>
    <t>QSR</t>
  </si>
  <si>
    <t>JACK</t>
  </si>
  <si>
    <t>Symbol</t>
  </si>
  <si>
    <t>Name</t>
  </si>
  <si>
    <t>EPS Diluted (Annual)</t>
  </si>
  <si>
    <t>Cash and Equivalents (Annual)</t>
  </si>
  <si>
    <t>EBITDA (Annual)</t>
  </si>
  <si>
    <t>EV to EBITDA (Annual)</t>
  </si>
  <si>
    <t>EV to EBITDA (Forward)</t>
  </si>
  <si>
    <t>EV to EBITDA (5y Median)</t>
  </si>
  <si>
    <t>Chipotle Mexican Grill Inc</t>
  </si>
  <si>
    <t>Domino's Pizza Inc</t>
  </si>
  <si>
    <t>Jack In The Box Inc</t>
  </si>
  <si>
    <t>PZZA</t>
  </si>
  <si>
    <t>Papa John's International Inc</t>
  </si>
  <si>
    <t>Restaurant Brands International Inc</t>
  </si>
  <si>
    <t>SBUX</t>
  </si>
  <si>
    <t>Starbucks Corp</t>
  </si>
  <si>
    <t>Shake Shack Inc</t>
  </si>
  <si>
    <t>WEN</t>
  </si>
  <si>
    <t>The Wendy's Co</t>
  </si>
  <si>
    <t>Yum Brands Inc</t>
  </si>
  <si>
    <t>MCD</t>
  </si>
  <si>
    <t>McDonald's Corp</t>
  </si>
  <si>
    <t>Revenue Estimates for Current Fiscal Year</t>
  </si>
  <si>
    <t>Revenue Estimates for Next Fiscal Year</t>
  </si>
  <si>
    <t>Revenue Estimates for 2 Fiscal Years Ahead</t>
  </si>
  <si>
    <t>EBITDA Estimates for Current Fiscal Year</t>
  </si>
  <si>
    <t>EBITDA Estimates for Next Fiscal Year</t>
  </si>
  <si>
    <t>EPS Estimates for Current Fiscal Year</t>
  </si>
  <si>
    <t>EPS Estimates for Next Fiscal Year</t>
  </si>
  <si>
    <t>Current Portion of Long Term Debt (Annual)</t>
  </si>
  <si>
    <t>Non-Current Portion of Long Term Debt (Annual)</t>
  </si>
  <si>
    <t>Minority Interest Ownership (Annual)</t>
  </si>
  <si>
    <t>Shares Outstanding</t>
  </si>
  <si>
    <t>Short Term Investments (Annual)</t>
  </si>
  <si>
    <t>EV = Price x outstanding shares + current debt + long term debt + minority interest - cash &amp; cash equivalents - short term investments</t>
  </si>
  <si>
    <t>Minority Interest</t>
  </si>
  <si>
    <t>EBITDA</t>
  </si>
  <si>
    <t>PE Ratio</t>
  </si>
  <si>
    <t>PE Ratio (Forward)</t>
  </si>
  <si>
    <t>Depreciation &amp; Amortization (Total)</t>
  </si>
  <si>
    <t>Ycharts data - Saved as Comp</t>
  </si>
  <si>
    <t>Franchise Margin</t>
  </si>
  <si>
    <t xml:space="preserve">Cost </t>
  </si>
  <si>
    <t>Cost</t>
  </si>
  <si>
    <t>Useful Life</t>
  </si>
  <si>
    <t>Years</t>
  </si>
  <si>
    <t>Building Improvement</t>
  </si>
  <si>
    <t>Depreciation Expense (existing)</t>
  </si>
  <si>
    <t>Capex</t>
  </si>
  <si>
    <t>Total Depreciation (Other Equipment)</t>
  </si>
  <si>
    <t>Buildings and improvements on owned land - Straight Line Method</t>
  </si>
  <si>
    <t>Buildings and improvements on leased land - Straight Line Method</t>
  </si>
  <si>
    <t>Depreciation (Buildings and improvements on owned land)</t>
  </si>
  <si>
    <t>Total Depreciation (Buildings and improvements on leased land)</t>
  </si>
  <si>
    <t>Total Depreciation (Equipment, signs and seating)</t>
  </si>
  <si>
    <t>+ Beginning Cash Balance</t>
  </si>
  <si>
    <t>- Minimum Cash Balance</t>
  </si>
  <si>
    <t>Cash Available for Debt Repayment</t>
  </si>
  <si>
    <t>Long Term Debt Issuance</t>
  </si>
  <si>
    <t>Long Term Debt (Repayments)</t>
  </si>
  <si>
    <t>Beginning Balance</t>
  </si>
  <si>
    <t>Discretionary (Paydown)/ Borrowings</t>
  </si>
  <si>
    <t>Average Balance</t>
  </si>
  <si>
    <t>Total Interest Expense</t>
  </si>
  <si>
    <t>Earnings Per Share</t>
  </si>
  <si>
    <t>Buyback PE Ratio</t>
  </si>
  <si>
    <t>CFO + CFI</t>
  </si>
  <si>
    <t>https://pages.stern.nyu.edu/~adamodar/New_Home_Page/datafile/ctryprem.html</t>
  </si>
  <si>
    <t>https://www.bankrate.com/rates/interest-rates/10-year-treasury-bill/</t>
  </si>
  <si>
    <t>&lt;&lt; will it be 21% going forward</t>
  </si>
  <si>
    <t>check if this assumptin is correct</t>
  </si>
  <si>
    <t>McDonalds Valuation</t>
  </si>
  <si>
    <t>Sector PE</t>
  </si>
  <si>
    <t>McDonlds EPS</t>
  </si>
  <si>
    <t>Fair Price</t>
  </si>
  <si>
    <t>EV/EBITDA Valuation</t>
  </si>
  <si>
    <t>Sector EV/EBITDA</t>
  </si>
  <si>
    <t>McDonalds EBITDA</t>
  </si>
  <si>
    <t xml:space="preserve">Sales by Company-operated restaurants </t>
  </si>
  <si>
    <t>Net Interest Expense</t>
  </si>
  <si>
    <t>Margin (%)</t>
  </si>
  <si>
    <t>Growth (% yoy)</t>
  </si>
  <si>
    <t>Total Revenue Breakup</t>
  </si>
  <si>
    <t>Total Restaurants Breakup</t>
  </si>
  <si>
    <t>Yield Per Restaurant Breakup</t>
  </si>
  <si>
    <t>Company-operated sales ($ million per restaurant)</t>
  </si>
  <si>
    <t>Franchised revenues: ($ million per restaurant)</t>
  </si>
  <si>
    <t>Increase/Decrease of Restaurants Breakup</t>
  </si>
  <si>
    <t>Operating Costs</t>
  </si>
  <si>
    <t>Total Operating Costs</t>
  </si>
  <si>
    <t>Food and Paper</t>
  </si>
  <si>
    <t>Cash Conversion Cycle</t>
  </si>
  <si>
    <t>Depreciation Expense as % of Net PPE</t>
  </si>
  <si>
    <t>Total Capex Breakup</t>
  </si>
  <si>
    <t>Depreciation Calculations</t>
  </si>
  <si>
    <t>Buyback Price (Per Share)</t>
  </si>
  <si>
    <t>Repurchase amount ($ million)</t>
  </si>
  <si>
    <t>Share Repurchase (million)</t>
  </si>
  <si>
    <t>Interest Income</t>
  </si>
  <si>
    <t xml:space="preserve">Short Term Investments </t>
  </si>
  <si>
    <t>Current Debt</t>
  </si>
  <si>
    <t>2022E</t>
  </si>
  <si>
    <t>2023E</t>
  </si>
  <si>
    <t xml:space="preserve"> 
2021A</t>
  </si>
  <si>
    <t xml:space="preserve">Cash &amp; Equivalents </t>
  </si>
  <si>
    <t>Chanage in Beta -&gt; WACC -&gt; Share price (See other model_</t>
  </si>
  <si>
    <t>Cost of Debt =</t>
  </si>
  <si>
    <t>i*(1-t)</t>
  </si>
  <si>
    <t>Capital Asset Pricing Mode (CAPM) =</t>
  </si>
  <si>
    <t>Rf + B*(Rm - Rf)</t>
  </si>
  <si>
    <t>Rf + B*Rp</t>
  </si>
  <si>
    <t>FCF*(1+G)</t>
  </si>
  <si>
    <t>Div*(1+G)</t>
  </si>
  <si>
    <t>(WACC - G)</t>
  </si>
  <si>
    <t>(Ce - G)</t>
  </si>
  <si>
    <t>Common stock, $.01 par value; authorized - 3.5 billion shares; issued - 1,660.6 million shares</t>
  </si>
  <si>
    <t>Common stock, $.01 par value; authorized - 3.5 billion shares; issued  - 1,660.6 million shares</t>
  </si>
  <si>
    <t>Margin ($ million)</t>
  </si>
  <si>
    <t>% of Operating Costs</t>
  </si>
  <si>
    <t xml:space="preserve">Interest Expense </t>
  </si>
  <si>
    <t>- Debt &amp; Lease Liability</t>
  </si>
  <si>
    <t>Prepared by - Dheeraj Vaidya, CFA, FRM</t>
  </si>
  <si>
    <t xml:space="preserve">McDonalds </t>
  </si>
  <si>
    <t>Other Assets &amp; Liabilities</t>
  </si>
  <si>
    <t>Operating Income (EBIT)</t>
  </si>
  <si>
    <t>EBITDA Margin</t>
  </si>
  <si>
    <t>Restaurant Margin (EBIT)</t>
  </si>
  <si>
    <t>Depreciation and Amortization in Cash Flows</t>
  </si>
  <si>
    <t>Depreciation &amp; Amortization included in SG&amp;A</t>
  </si>
  <si>
    <t>% of Total Depreciation &amp; Amortization in Cash Flows</t>
  </si>
  <si>
    <t>Beginning - Capitalized Software</t>
  </si>
  <si>
    <t>Addition to Intangibles</t>
  </si>
  <si>
    <t>(Amortization Expense)</t>
  </si>
  <si>
    <t>(Write off)</t>
  </si>
  <si>
    <t>Net -Capitalized Software</t>
  </si>
  <si>
    <t>Amortization Calculations</t>
  </si>
  <si>
    <t>Capitalized Software - Straight Line Method</t>
  </si>
  <si>
    <t xml:space="preserve">Capitalized Software </t>
  </si>
  <si>
    <t>Amortization Expense (existing)</t>
  </si>
  <si>
    <t>Total Amortization Expense</t>
  </si>
  <si>
    <t>Miscellaneous (excluding capitalized software)</t>
  </si>
  <si>
    <t>Capital Expenditures by Type</t>
  </si>
  <si>
    <t>Total Depreciation</t>
  </si>
  <si>
    <t>B</t>
  </si>
  <si>
    <t>A</t>
  </si>
  <si>
    <t>S</t>
  </si>
  <si>
    <t>E</t>
  </si>
  <si>
    <t>Depreciation and Amortization Expense (Cash Flows)</t>
  </si>
  <si>
    <t>Amortization Expense (Capitalized Software)</t>
  </si>
  <si>
    <t>Depreciation Expense (Property)</t>
  </si>
  <si>
    <t>Accumulated depreciation</t>
  </si>
  <si>
    <t>+ Share-based Compensation</t>
  </si>
  <si>
    <t>Cash Available for Line of Credit</t>
  </si>
  <si>
    <t>Line of Credit Facility</t>
  </si>
  <si>
    <t>Discretionary (Paydown)/ Borrowings (Line of Credit Facility)</t>
  </si>
  <si>
    <t>Amortization Schedule</t>
  </si>
  <si>
    <t>% propotion</t>
  </si>
  <si>
    <t>useful life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</si>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</sst>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 * #,##0.00_ ;_ * \-#,##0.00_ ;_ * &quot;-&quot;??_ ;_ @_ 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_(* #,##0.0_);_(* \(#,##0.0\);_(* &quot;-&quot;??_);_(@_)"/>
    <numFmt numFmtId="170" formatCode="0.0%"/>
    <numFmt numFmtId="171" formatCode="0.0"/>
    <numFmt numFmtId="172" formatCode="[$-409]d\-mmm\-yy;@"/>
    <numFmt numFmtId="173" formatCode="&quot;FY&quot;\ 0"/>
    <numFmt numFmtId="174" formatCode="#,##0.0;\(#,##0.0\);\-"/>
    <numFmt numFmtId="175" formatCode="#,##0.00;\(#,##0.00\);\-"/>
    <numFmt numFmtId="176" formatCode="0.00_);\(0.00\)"/>
    <numFmt numFmtId="177" formatCode="#,##0.0"/>
    <numFmt numFmtId="178" formatCode="0.0_);\(0.0\)"/>
    <numFmt numFmtId="179" formatCode="0.0\x"/>
    <numFmt numFmtId="180" formatCode="_(* #,##0.000_);_(* \(#,##0.000\);_(* &quot;-&quot;??_);_(@_)"/>
    <numFmt numFmtId="181" formatCode="_(* #,##0.0_);_(* \(#,##0.0\);_(* &quot;-&quot;_);_(@_)"/>
    <numFmt numFmtId="182" formatCode="&quot;$&quot;#,##0.0_);\(&quot;$&quot;#,##0.0\)"/>
    <numFmt numFmtId="183" formatCode="#,##0.0_);\(#,##0.0\)"/>
    <numFmt numFmtId="184" formatCode="[$$-409]#,##0.00"/>
    <numFmt numFmtId="185" formatCode="_ * #,##0.0_ ;_ * \-#,##0.0_ ;_ * &quot;-&quot;??_ ;_ @_ 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70C0"/>
      <name val="Calibri"/>
      <family val="2"/>
      <scheme val="minor"/>
    </font>
    <font>
      <b/>
      <u val="singleAccounting"/>
      <sz val="11"/>
      <color theme="0"/>
      <name val="Arial"/>
      <family val="2"/>
    </font>
    <font>
      <sz val="9"/>
      <name val="Geneva"/>
    </font>
    <font>
      <u/>
      <sz val="12.65"/>
      <color theme="10"/>
      <name val="Calibri"/>
      <family val="2"/>
    </font>
    <font>
      <sz val="11"/>
      <color theme="1" tint="0.499984740745262"/>
      <name val="Calibri"/>
      <family val="2"/>
      <scheme val="minor"/>
    </font>
    <font>
      <b/>
      <u/>
      <sz val="9"/>
      <color rgb="FF000000"/>
      <name val="Arial"/>
      <family val="2"/>
    </font>
    <font>
      <b/>
      <sz val="24"/>
      <color theme="0"/>
      <name val="Arial"/>
      <family val="2"/>
    </font>
    <font>
      <sz val="11"/>
      <color theme="0"/>
      <name val="Arial"/>
      <family val="2"/>
    </font>
    <font>
      <i/>
      <sz val="11"/>
      <color theme="0"/>
      <name val="Arial"/>
      <family val="2"/>
    </font>
    <font>
      <sz val="11"/>
      <color theme="1" tint="0.499984740745262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sz val="11"/>
      <color rgb="FF00B050"/>
      <name val="Arial"/>
      <family val="2"/>
    </font>
    <font>
      <b/>
      <sz val="11"/>
      <color rgb="FF0BA1A1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B0F0"/>
      <name val="Arial"/>
      <family val="2"/>
    </font>
    <font>
      <sz val="11"/>
      <color rgb="FFED1D24"/>
      <name val="Arial"/>
      <family val="2"/>
    </font>
    <font>
      <sz val="11"/>
      <color rgb="FF0C9596"/>
      <name val="Arial"/>
      <family val="2"/>
    </font>
    <font>
      <b/>
      <u/>
      <sz val="11"/>
      <color theme="1"/>
      <name val="Arial"/>
      <family val="2"/>
    </font>
    <font>
      <b/>
      <sz val="25"/>
      <color theme="0"/>
      <name val="Arial"/>
      <family val="2"/>
    </font>
    <font>
      <b/>
      <sz val="16"/>
      <color theme="0"/>
      <name val="Arial"/>
      <family val="2"/>
    </font>
    <font>
      <b/>
      <sz val="11"/>
      <color theme="0"/>
      <name val="Arial"/>
      <family val="2"/>
    </font>
    <font>
      <u/>
      <sz val="11"/>
      <color theme="0"/>
      <name val="Arial"/>
      <family val="2"/>
    </font>
    <font>
      <u/>
      <sz val="11"/>
      <color theme="10"/>
      <name val="Arial"/>
      <family val="2"/>
    </font>
    <font>
      <b/>
      <sz val="12"/>
      <color rgb="FF0BA1A1"/>
      <name val="Arial"/>
      <family val="2"/>
    </font>
    <font>
      <u/>
      <sz val="11"/>
      <color rgb="FF9AC240"/>
      <name val="Arial"/>
      <family val="2"/>
    </font>
    <font>
      <sz val="11"/>
      <color rgb="FF9AC240"/>
      <name val="Arial"/>
      <family val="2"/>
    </font>
    <font>
      <b/>
      <sz val="11"/>
      <color rgb="FFED1D24"/>
      <name val="Arial"/>
      <family val="2"/>
    </font>
    <font>
      <b/>
      <u/>
      <sz val="11"/>
      <name val="Arial"/>
      <family val="2"/>
    </font>
    <font>
      <sz val="11"/>
      <color rgb="FF000000"/>
      <name val="Arial"/>
      <family val="2"/>
    </font>
    <font>
      <b/>
      <u val="singleAccounting"/>
      <sz val="11"/>
      <color theme="1"/>
      <name val="Arial"/>
      <family val="2"/>
    </font>
    <font>
      <sz val="11"/>
      <color rgb="FF0BA1A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57"/>
      <name val="Arial"/>
      <family val="2"/>
    </font>
    <font>
      <sz val="11"/>
      <color indexed="17"/>
      <name val="Arial"/>
      <family val="2"/>
    </font>
    <font>
      <u/>
      <sz val="11"/>
      <name val="Arial"/>
      <family val="2"/>
    </font>
    <font>
      <sz val="11"/>
      <color indexed="62"/>
      <name val="Arial"/>
      <family val="2"/>
    </font>
    <font>
      <sz val="11"/>
      <color rgb="FF0000FF"/>
      <name val="Arial"/>
      <family val="2"/>
    </font>
    <font>
      <sz val="11"/>
      <color theme="4"/>
      <name val="Arial"/>
      <family val="2"/>
    </font>
    <font>
      <b/>
      <sz val="11"/>
      <color theme="4"/>
      <name val="Arial"/>
      <family val="2"/>
    </font>
    <font>
      <sz val="9"/>
      <color theme="4"/>
      <name val="Times New Roman"/>
      <family val="1"/>
    </font>
    <font>
      <sz val="11"/>
      <color theme="5"/>
      <name val="Arial"/>
      <family val="2"/>
    </font>
    <font>
      <sz val="11"/>
      <color rgb="FF00AF00"/>
      <name val="Arial"/>
      <family val="2"/>
    </font>
    <font>
      <b/>
      <sz val="11"/>
      <color theme="5"/>
      <name val="Arial"/>
      <family val="2"/>
    </font>
    <font>
      <b/>
      <sz val="11"/>
      <color rgb="FF00B0F0"/>
      <name val="Arial"/>
      <family val="2"/>
    </font>
    <font>
      <b/>
      <sz val="12"/>
      <color theme="1"/>
      <name val="Arial"/>
      <family val="2"/>
    </font>
    <font>
      <b/>
      <u/>
      <sz val="11"/>
      <color rgb="FF0BA1A1"/>
      <name val="Arial"/>
      <family val="2"/>
    </font>
    <font>
      <b/>
      <u val="singleAccounting"/>
      <sz val="11"/>
      <name val="Arial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104C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C4E54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23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74" fontId="10" fillId="0" borderId="1">
      <alignment vertical="center"/>
    </xf>
    <xf numFmtId="174" fontId="1" fillId="3" borderId="2"/>
    <xf numFmtId="174" fontId="6" fillId="4" borderId="2"/>
    <xf numFmtId="170" fontId="6" fillId="4" borderId="2"/>
    <xf numFmtId="164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495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5" borderId="0" xfId="0" applyFont="1" applyFill="1"/>
    <xf numFmtId="0" fontId="27" fillId="5" borderId="0" xfId="0" applyFont="1" applyFill="1"/>
    <xf numFmtId="0" fontId="28" fillId="5" borderId="0" xfId="0" applyFont="1" applyFill="1"/>
    <xf numFmtId="0" fontId="29" fillId="5" borderId="0" xfId="0" applyFont="1" applyFill="1"/>
    <xf numFmtId="0" fontId="30" fillId="5" borderId="0" xfId="13" applyFont="1" applyFill="1" applyAlignment="1" applyProtection="1"/>
    <xf numFmtId="0" fontId="31" fillId="0" borderId="0" xfId="13" applyFont="1" applyAlignment="1" applyProtection="1"/>
    <xf numFmtId="0" fontId="32" fillId="3" borderId="0" xfId="0" applyFont="1" applyFill="1"/>
    <xf numFmtId="0" fontId="33" fillId="3" borderId="0" xfId="13" applyFont="1" applyFill="1" applyAlignment="1" applyProtection="1"/>
    <xf numFmtId="0" fontId="34" fillId="3" borderId="0" xfId="0" applyFont="1" applyFill="1"/>
    <xf numFmtId="0" fontId="31" fillId="0" borderId="0" xfId="13" applyFont="1" applyFill="1" applyAlignment="1" applyProtection="1"/>
    <xf numFmtId="0" fontId="31" fillId="3" borderId="0" xfId="13" applyFont="1" applyFill="1" applyAlignment="1" applyProtection="1"/>
    <xf numFmtId="0" fontId="35" fillId="0" borderId="0" xfId="0" applyFont="1"/>
    <xf numFmtId="0" fontId="29" fillId="5" borderId="0" xfId="0" applyFont="1" applyFill="1" applyAlignment="1">
      <alignment horizontal="left"/>
    </xf>
    <xf numFmtId="0" fontId="14" fillId="5" borderId="0" xfId="0" applyFont="1" applyFill="1"/>
    <xf numFmtId="0" fontId="13" fillId="5" borderId="0" xfId="0" applyFont="1" applyFill="1"/>
    <xf numFmtId="173" fontId="12" fillId="5" borderId="3" xfId="0" applyNumberFormat="1" applyFont="1" applyFill="1" applyBorder="1" applyAlignment="1">
      <alignment vertical="center"/>
    </xf>
    <xf numFmtId="173" fontId="13" fillId="5" borderId="3" xfId="0" applyNumberFormat="1" applyFont="1" applyFill="1" applyBorder="1" applyAlignment="1">
      <alignment vertical="center"/>
    </xf>
    <xf numFmtId="0" fontId="2" fillId="0" borderId="3" xfId="0" applyFont="1" applyBorder="1"/>
    <xf numFmtId="0" fontId="2" fillId="3" borderId="3" xfId="0" applyFont="1" applyFill="1" applyBorder="1"/>
    <xf numFmtId="0" fontId="14" fillId="5" borderId="3" xfId="0" applyFont="1" applyFill="1" applyBorder="1" applyAlignment="1">
      <alignment vertical="center"/>
    </xf>
    <xf numFmtId="0" fontId="13" fillId="5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173" fontId="13" fillId="2" borderId="3" xfId="0" applyNumberFormat="1" applyFont="1" applyFill="1" applyBorder="1" applyAlignment="1">
      <alignment vertical="center"/>
    </xf>
    <xf numFmtId="0" fontId="2" fillId="2" borderId="3" xfId="0" applyFont="1" applyFill="1" applyBorder="1"/>
    <xf numFmtId="0" fontId="16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2"/>
    </xf>
    <xf numFmtId="174" fontId="46" fillId="2" borderId="3" xfId="14" applyFont="1" applyFill="1" applyBorder="1">
      <alignment vertical="center"/>
    </xf>
    <xf numFmtId="174" fontId="50" fillId="2" borderId="3" xfId="14" applyFont="1" applyFill="1" applyBorder="1">
      <alignment vertical="center"/>
    </xf>
    <xf numFmtId="164" fontId="2" fillId="0" borderId="3" xfId="0" applyNumberFormat="1" applyFont="1" applyBorder="1"/>
    <xf numFmtId="169" fontId="2" fillId="3" borderId="3" xfId="1" applyNumberFormat="1" applyFont="1" applyFill="1" applyBorder="1" applyAlignment="1">
      <alignment vertical="center" wrapText="1"/>
    </xf>
    <xf numFmtId="175" fontId="23" fillId="2" borderId="3" xfId="14" applyNumberFormat="1" applyFont="1" applyFill="1" applyBorder="1">
      <alignment vertical="center"/>
    </xf>
    <xf numFmtId="175" fontId="46" fillId="2" borderId="3" xfId="14" applyNumberFormat="1" applyFont="1" applyFill="1" applyBorder="1">
      <alignment vertical="center"/>
    </xf>
    <xf numFmtId="175" fontId="46" fillId="0" borderId="3" xfId="14" applyNumberFormat="1" applyFont="1" applyBorder="1">
      <alignment vertical="center"/>
    </xf>
    <xf numFmtId="175" fontId="50" fillId="0" borderId="3" xfId="14" applyNumberFormat="1" applyFont="1" applyBorder="1">
      <alignment vertical="center"/>
    </xf>
    <xf numFmtId="174" fontId="21" fillId="2" borderId="3" xfId="14" applyFont="1" applyFill="1" applyBorder="1">
      <alignment vertical="center"/>
    </xf>
    <xf numFmtId="0" fontId="16" fillId="0" borderId="3" xfId="0" applyFont="1" applyBorder="1" applyAlignment="1">
      <alignment horizontal="left" vertical="center" wrapText="1" indent="2"/>
    </xf>
    <xf numFmtId="0" fontId="16" fillId="3" borderId="3" xfId="0" applyFont="1" applyFill="1" applyBorder="1" applyAlignment="1">
      <alignment vertical="center" wrapText="1"/>
    </xf>
    <xf numFmtId="169" fontId="16" fillId="3" borderId="3" xfId="1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vertical="center" wrapText="1"/>
    </xf>
    <xf numFmtId="174" fontId="23" fillId="2" borderId="3" xfId="14" applyFont="1" applyFill="1" applyBorder="1">
      <alignment vertical="center"/>
    </xf>
    <xf numFmtId="174" fontId="46" fillId="0" borderId="3" xfId="14" applyFont="1" applyBorder="1">
      <alignment vertical="center"/>
    </xf>
    <xf numFmtId="174" fontId="50" fillId="0" borderId="3" xfId="14" applyFont="1" applyBorder="1">
      <alignment vertical="center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/>
    <xf numFmtId="167" fontId="2" fillId="0" borderId="3" xfId="1" applyFont="1" applyBorder="1"/>
    <xf numFmtId="173" fontId="2" fillId="0" borderId="3" xfId="0" applyNumberFormat="1" applyFont="1" applyBorder="1"/>
    <xf numFmtId="10" fontId="2" fillId="0" borderId="3" xfId="2" applyNumberFormat="1" applyFont="1" applyBorder="1"/>
    <xf numFmtId="0" fontId="7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vertical="center"/>
    </xf>
    <xf numFmtId="174" fontId="18" fillId="2" borderId="3" xfId="14" applyFont="1" applyFill="1" applyBorder="1">
      <alignment vertical="center"/>
    </xf>
    <xf numFmtId="174" fontId="51" fillId="2" borderId="3" xfId="14" applyFont="1" applyFill="1" applyBorder="1">
      <alignment vertical="center"/>
    </xf>
    <xf numFmtId="0" fontId="2" fillId="0" borderId="3" xfId="0" applyFont="1" applyBorder="1" applyAlignment="1">
      <alignment horizontal="left" vertical="center"/>
    </xf>
    <xf numFmtId="175" fontId="21" fillId="2" borderId="3" xfId="14" applyNumberFormat="1" applyFont="1" applyFill="1" applyBorder="1">
      <alignment vertical="center"/>
    </xf>
    <xf numFmtId="175" fontId="50" fillId="2" borderId="3" xfId="14" applyNumberFormat="1" applyFont="1" applyFill="1" applyBorder="1">
      <alignment vertical="center"/>
    </xf>
    <xf numFmtId="175" fontId="22" fillId="2" borderId="3" xfId="14" applyNumberFormat="1" applyFont="1" applyFill="1" applyBorder="1">
      <alignment vertical="center"/>
    </xf>
    <xf numFmtId="0" fontId="26" fillId="0" borderId="3" xfId="0" applyFont="1" applyBorder="1"/>
    <xf numFmtId="174" fontId="2" fillId="0" borderId="3" xfId="0" applyNumberFormat="1" applyFont="1" applyBorder="1"/>
    <xf numFmtId="171" fontId="2" fillId="0" borderId="3" xfId="0" applyNumberFormat="1" applyFont="1" applyBorder="1"/>
    <xf numFmtId="0" fontId="16" fillId="0" borderId="3" xfId="0" applyFont="1" applyBorder="1"/>
    <xf numFmtId="10" fontId="16" fillId="0" borderId="3" xfId="2" applyNumberFormat="1" applyFont="1" applyBorder="1"/>
    <xf numFmtId="169" fontId="2" fillId="0" borderId="3" xfId="0" applyNumberFormat="1" applyFont="1" applyBorder="1"/>
    <xf numFmtId="170" fontId="2" fillId="2" borderId="3" xfId="2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75" fontId="2" fillId="2" borderId="3" xfId="0" applyNumberFormat="1" applyFont="1" applyFill="1" applyBorder="1" applyAlignment="1">
      <alignment vertical="center"/>
    </xf>
    <xf numFmtId="0" fontId="2" fillId="5" borderId="3" xfId="0" applyFont="1" applyFill="1" applyBorder="1"/>
    <xf numFmtId="174" fontId="15" fillId="0" borderId="3" xfId="0" applyNumberFormat="1" applyFont="1" applyBorder="1" applyAlignment="1">
      <alignment horizontal="right" vertical="center"/>
    </xf>
    <xf numFmtId="174" fontId="15" fillId="0" borderId="3" xfId="14" applyFont="1" applyBorder="1" applyAlignment="1">
      <alignment horizontal="right" vertical="center"/>
    </xf>
    <xf numFmtId="174" fontId="2" fillId="2" borderId="3" xfId="14" applyFont="1" applyFill="1" applyBorder="1">
      <alignment vertical="center"/>
    </xf>
    <xf numFmtId="0" fontId="2" fillId="0" borderId="3" xfId="0" applyFont="1" applyBorder="1" applyAlignment="1">
      <alignment vertical="top"/>
    </xf>
    <xf numFmtId="169" fontId="2" fillId="0" borderId="3" xfId="1" applyNumberFormat="1" applyFont="1" applyBorder="1" applyAlignment="1">
      <alignment horizontal="left" vertical="center" wrapText="1" indent="2"/>
    </xf>
    <xf numFmtId="0" fontId="16" fillId="0" borderId="3" xfId="0" applyFont="1" applyBorder="1" applyAlignment="1">
      <alignment vertical="center" wrapText="1"/>
    </xf>
    <xf numFmtId="0" fontId="16" fillId="3" borderId="3" xfId="0" applyFont="1" applyFill="1" applyBorder="1" applyAlignment="1">
      <alignment horizontal="left" vertical="center" wrapText="1" indent="2"/>
    </xf>
    <xf numFmtId="169" fontId="2" fillId="0" borderId="3" xfId="1" applyNumberFormat="1" applyFont="1" applyBorder="1" applyAlignment="1">
      <alignment vertical="center" wrapText="1"/>
    </xf>
    <xf numFmtId="0" fontId="26" fillId="0" borderId="3" xfId="0" applyFont="1" applyBorder="1" applyAlignment="1">
      <alignment horizontal="left" vertical="center" wrapText="1" indent="2"/>
    </xf>
    <xf numFmtId="175" fontId="25" fillId="0" borderId="3" xfId="14" applyNumberFormat="1" applyFont="1" applyBorder="1" applyAlignment="1">
      <alignment horizontal="right" vertical="center"/>
    </xf>
    <xf numFmtId="0" fontId="19" fillId="2" borderId="3" xfId="0" applyFont="1" applyFill="1" applyBorder="1" applyAlignment="1">
      <alignment vertical="center"/>
    </xf>
    <xf numFmtId="170" fontId="21" fillId="2" borderId="3" xfId="2" applyNumberFormat="1" applyFont="1" applyFill="1" applyBorder="1" applyAlignment="1">
      <alignment vertical="center"/>
    </xf>
    <xf numFmtId="170" fontId="23" fillId="2" borderId="3" xfId="2" applyNumberFormat="1" applyFont="1" applyFill="1" applyBorder="1" applyAlignment="1">
      <alignment vertical="center"/>
    </xf>
    <xf numFmtId="9" fontId="2" fillId="2" borderId="3" xfId="2" applyFont="1" applyFill="1" applyBorder="1" applyAlignment="1">
      <alignment vertical="center"/>
    </xf>
    <xf numFmtId="170" fontId="46" fillId="2" borderId="3" xfId="2" applyNumberFormat="1" applyFont="1" applyFill="1" applyBorder="1" applyAlignment="1">
      <alignment vertical="center"/>
    </xf>
    <xf numFmtId="167" fontId="17" fillId="0" borderId="3" xfId="1" applyFont="1" applyFill="1" applyBorder="1"/>
    <xf numFmtId="170" fontId="2" fillId="0" borderId="3" xfId="2" applyNumberFormat="1" applyFont="1" applyBorder="1"/>
    <xf numFmtId="0" fontId="19" fillId="0" borderId="3" xfId="0" applyFont="1" applyBorder="1" applyAlignment="1">
      <alignment vertical="center"/>
    </xf>
    <xf numFmtId="175" fontId="18" fillId="0" borderId="3" xfId="14" applyNumberFormat="1" applyFont="1" applyBorder="1">
      <alignment vertical="center"/>
    </xf>
    <xf numFmtId="174" fontId="50" fillId="0" borderId="3" xfId="0" applyNumberFormat="1" applyFont="1" applyBorder="1" applyAlignment="1">
      <alignment vertical="center"/>
    </xf>
    <xf numFmtId="174" fontId="50" fillId="2" borderId="3" xfId="14" applyFont="1" applyFill="1" applyBorder="1" applyAlignment="1">
      <alignment horizontal="right" vertical="center"/>
    </xf>
    <xf numFmtId="9" fontId="2" fillId="0" borderId="3" xfId="14" applyNumberFormat="1" applyFont="1" applyBorder="1">
      <alignment vertical="center"/>
    </xf>
    <xf numFmtId="9" fontId="2" fillId="0" borderId="3" xfId="14" applyNumberFormat="1" applyFont="1" applyBorder="1" applyAlignment="1">
      <alignment horizontal="right" vertical="center"/>
    </xf>
    <xf numFmtId="9" fontId="23" fillId="0" borderId="3" xfId="14" applyNumberFormat="1" applyFont="1" applyBorder="1" applyAlignment="1">
      <alignment horizontal="right" vertical="center"/>
    </xf>
    <xf numFmtId="175" fontId="25" fillId="0" borderId="3" xfId="14" applyNumberFormat="1" applyFont="1" applyBorder="1">
      <alignment vertical="center"/>
    </xf>
    <xf numFmtId="0" fontId="47" fillId="0" borderId="3" xfId="0" applyFont="1" applyBorder="1"/>
    <xf numFmtId="170" fontId="2" fillId="0" borderId="3" xfId="2" applyNumberFormat="1" applyFont="1" applyFill="1" applyBorder="1" applyAlignment="1">
      <alignment vertical="center"/>
    </xf>
    <xf numFmtId="170" fontId="47" fillId="0" borderId="3" xfId="14" applyNumberFormat="1" applyFont="1" applyBorder="1" applyAlignment="1">
      <alignment horizontal="right" vertical="center"/>
    </xf>
    <xf numFmtId="170" fontId="47" fillId="0" borderId="3" xfId="2" applyNumberFormat="1" applyFont="1" applyBorder="1" applyAlignment="1">
      <alignment horizontal="right" vertical="center"/>
    </xf>
    <xf numFmtId="169" fontId="50" fillId="0" borderId="3" xfId="1" applyNumberFormat="1" applyFont="1" applyFill="1" applyBorder="1" applyAlignment="1">
      <alignment horizontal="right" vertical="center"/>
    </xf>
    <xf numFmtId="169" fontId="2" fillId="0" borderId="3" xfId="1" applyNumberFormat="1" applyFont="1" applyBorder="1" applyAlignment="1">
      <alignment horizontal="right" vertical="center"/>
    </xf>
    <xf numFmtId="170" fontId="2" fillId="0" borderId="3" xfId="2" applyNumberFormat="1" applyFont="1" applyFill="1" applyBorder="1" applyAlignment="1">
      <alignment horizontal="right" vertical="center"/>
    </xf>
    <xf numFmtId="171" fontId="50" fillId="0" borderId="3" xfId="0" applyNumberFormat="1" applyFont="1" applyBorder="1" applyAlignment="1">
      <alignment vertical="center"/>
    </xf>
    <xf numFmtId="9" fontId="47" fillId="0" borderId="3" xfId="0" applyNumberFormat="1" applyFont="1" applyBorder="1"/>
    <xf numFmtId="173" fontId="13" fillId="5" borderId="3" xfId="0" applyNumberFormat="1" applyFont="1" applyFill="1" applyBorder="1" applyAlignment="1">
      <alignment horizontal="right" vertical="center"/>
    </xf>
    <xf numFmtId="175" fontId="22" fillId="0" borderId="3" xfId="0" applyNumberFormat="1" applyFont="1" applyBorder="1" applyAlignment="1">
      <alignment vertical="center"/>
    </xf>
    <xf numFmtId="0" fontId="16" fillId="0" borderId="3" xfId="0" applyFont="1" applyBorder="1" applyAlignment="1">
      <alignment horizontal="left" vertical="center"/>
    </xf>
    <xf numFmtId="174" fontId="15" fillId="0" borderId="3" xfId="0" applyNumberFormat="1" applyFont="1" applyBorder="1" applyAlignment="1">
      <alignment vertical="center"/>
    </xf>
    <xf numFmtId="174" fontId="16" fillId="0" borderId="3" xfId="0" applyNumberFormat="1" applyFont="1" applyBorder="1" applyAlignment="1">
      <alignment vertical="center"/>
    </xf>
    <xf numFmtId="174" fontId="2" fillId="0" borderId="3" xfId="0" applyNumberFormat="1" applyFont="1" applyBorder="1" applyAlignment="1">
      <alignment vertical="center"/>
    </xf>
    <xf numFmtId="0" fontId="19" fillId="0" borderId="3" xfId="0" applyFont="1" applyBorder="1" applyAlignment="1">
      <alignment horizontal="left" vertical="center"/>
    </xf>
    <xf numFmtId="0" fontId="47" fillId="0" borderId="3" xfId="0" applyFont="1" applyBorder="1" applyAlignment="1">
      <alignment vertical="center"/>
    </xf>
    <xf numFmtId="169" fontId="21" fillId="0" borderId="3" xfId="1" applyNumberFormat="1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174" fontId="47" fillId="0" borderId="3" xfId="0" applyNumberFormat="1" applyFont="1" applyBorder="1" applyAlignment="1">
      <alignment vertical="center"/>
    </xf>
    <xf numFmtId="170" fontId="47" fillId="0" borderId="3" xfId="0" applyNumberFormat="1" applyFont="1" applyBorder="1"/>
    <xf numFmtId="171" fontId="2" fillId="0" borderId="3" xfId="0" applyNumberFormat="1" applyFont="1" applyBorder="1" applyAlignment="1">
      <alignment vertical="center"/>
    </xf>
    <xf numFmtId="171" fontId="21" fillId="0" borderId="3" xfId="1" applyNumberFormat="1" applyFont="1" applyBorder="1" applyAlignment="1">
      <alignment vertical="center"/>
    </xf>
    <xf numFmtId="170" fontId="2" fillId="0" borderId="3" xfId="2" applyNumberFormat="1" applyFont="1" applyBorder="1" applyAlignment="1">
      <alignment vertical="center"/>
    </xf>
    <xf numFmtId="0" fontId="2" fillId="0" borderId="3" xfId="0" applyFont="1" applyBorder="1" applyAlignment="1">
      <alignment horizontal="right" vertical="center" indent="1"/>
    </xf>
    <xf numFmtId="169" fontId="15" fillId="0" borderId="3" xfId="1" applyNumberFormat="1" applyFont="1" applyBorder="1" applyAlignment="1">
      <alignment vertical="center"/>
    </xf>
    <xf numFmtId="169" fontId="47" fillId="0" borderId="3" xfId="1" applyNumberFormat="1" applyFont="1" applyBorder="1" applyAlignment="1">
      <alignment horizontal="right" vertical="center"/>
    </xf>
    <xf numFmtId="174" fontId="16" fillId="3" borderId="3" xfId="1" applyNumberFormat="1" applyFont="1" applyFill="1" applyBorder="1" applyAlignment="1">
      <alignment horizontal="right" vertical="center" wrapText="1"/>
    </xf>
    <xf numFmtId="169" fontId="2" fillId="0" borderId="3" xfId="1" applyNumberFormat="1" applyFont="1" applyBorder="1"/>
    <xf numFmtId="169" fontId="2" fillId="0" borderId="3" xfId="1" applyNumberFormat="1" applyFont="1" applyBorder="1" applyAlignment="1">
      <alignment horizontal="right" vertical="center" wrapText="1"/>
    </xf>
    <xf numFmtId="169" fontId="47" fillId="0" borderId="3" xfId="1" applyNumberFormat="1" applyFont="1" applyBorder="1" applyAlignment="1">
      <alignment horizontal="right" vertical="center" wrapText="1"/>
    </xf>
    <xf numFmtId="169" fontId="47" fillId="0" borderId="3" xfId="1" applyNumberFormat="1" applyFont="1" applyBorder="1" applyAlignment="1">
      <alignment horizontal="left" vertical="center" wrapText="1" indent="2"/>
    </xf>
    <xf numFmtId="169" fontId="21" fillId="0" borderId="3" xfId="1" applyNumberFormat="1" applyFont="1" applyBorder="1" applyAlignment="1">
      <alignment horizontal="left" vertical="center" wrapText="1" indent="2"/>
    </xf>
    <xf numFmtId="10" fontId="23" fillId="0" borderId="3" xfId="2" applyNumberFormat="1" applyFont="1" applyBorder="1" applyAlignment="1">
      <alignment horizontal="right" vertical="center" wrapText="1"/>
    </xf>
    <xf numFmtId="170" fontId="21" fillId="0" borderId="3" xfId="2" applyNumberFormat="1" applyFont="1" applyBorder="1" applyAlignment="1">
      <alignment horizontal="right" vertical="center" wrapText="1"/>
    </xf>
    <xf numFmtId="169" fontId="50" fillId="0" borderId="3" xfId="1" applyNumberFormat="1" applyFont="1" applyBorder="1" applyAlignment="1">
      <alignment horizontal="left" vertical="center" wrapText="1" indent="2"/>
    </xf>
    <xf numFmtId="0" fontId="40" fillId="0" borderId="3" xfId="0" applyFont="1" applyBorder="1"/>
    <xf numFmtId="0" fontId="2" fillId="0" borderId="3" xfId="0" applyFont="1" applyBorder="1" applyAlignment="1">
      <alignment horizontal="left"/>
    </xf>
    <xf numFmtId="170" fontId="2" fillId="0" borderId="3" xfId="7" applyNumberFormat="1" applyFont="1" applyBorder="1"/>
    <xf numFmtId="181" fontId="40" fillId="0" borderId="3" xfId="0" applyNumberFormat="1" applyFont="1" applyBorder="1"/>
    <xf numFmtId="0" fontId="2" fillId="0" borderId="3" xfId="0" applyFont="1" applyBorder="1" applyAlignment="1">
      <alignment horizontal="left" indent="1"/>
    </xf>
    <xf numFmtId="169" fontId="2" fillId="0" borderId="3" xfId="6" applyNumberFormat="1" applyFont="1" applyBorder="1"/>
    <xf numFmtId="0" fontId="2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Continuous"/>
    </xf>
    <xf numFmtId="169" fontId="41" fillId="0" borderId="3" xfId="6" applyNumberFormat="1" applyFont="1" applyBorder="1"/>
    <xf numFmtId="169" fontId="41" fillId="0" borderId="3" xfId="6" applyNumberFormat="1" applyFont="1" applyFill="1" applyBorder="1"/>
    <xf numFmtId="182" fontId="2" fillId="0" borderId="3" xfId="0" applyNumberFormat="1" applyFont="1" applyBorder="1" applyAlignment="1">
      <alignment horizontal="right"/>
    </xf>
    <xf numFmtId="171" fontId="2" fillId="0" borderId="3" xfId="0" applyNumberFormat="1" applyFont="1" applyBorder="1" applyAlignment="1">
      <alignment horizontal="right"/>
    </xf>
    <xf numFmtId="183" fontId="2" fillId="0" borderId="3" xfId="0" applyNumberFormat="1" applyFont="1" applyBorder="1" applyAlignment="1">
      <alignment horizontal="right"/>
    </xf>
    <xf numFmtId="0" fontId="22" fillId="0" borderId="3" xfId="0" applyFont="1" applyBorder="1"/>
    <xf numFmtId="169" fontId="40" fillId="0" borderId="3" xfId="6" applyNumberFormat="1" applyFont="1" applyBorder="1"/>
    <xf numFmtId="0" fontId="2" fillId="0" borderId="3" xfId="0" applyFont="1" applyBorder="1" applyAlignment="1">
      <alignment horizontal="right" vertical="center" wrapText="1"/>
    </xf>
    <xf numFmtId="178" fontId="2" fillId="2" borderId="3" xfId="0" applyNumberFormat="1" applyFont="1" applyFill="1" applyBorder="1" applyAlignment="1">
      <alignment horizontal="right" vertical="center" wrapText="1"/>
    </xf>
    <xf numFmtId="0" fontId="2" fillId="0" borderId="3" xfId="0" quotePrefix="1" applyFont="1" applyBorder="1" applyAlignment="1">
      <alignment horizontal="left" vertical="center" wrapText="1" indent="2"/>
    </xf>
    <xf numFmtId="178" fontId="50" fillId="0" borderId="3" xfId="0" applyNumberFormat="1" applyFont="1" applyBorder="1" applyAlignment="1">
      <alignment horizontal="right" vertical="center" wrapText="1"/>
    </xf>
    <xf numFmtId="169" fontId="21" fillId="0" borderId="3" xfId="1" applyNumberFormat="1" applyFont="1" applyBorder="1" applyAlignment="1">
      <alignment horizontal="right" vertical="center"/>
    </xf>
    <xf numFmtId="169" fontId="2" fillId="2" borderId="3" xfId="1" applyNumberFormat="1" applyFont="1" applyFill="1" applyBorder="1" applyAlignment="1">
      <alignment horizontal="right" vertical="center" wrapText="1"/>
    </xf>
    <xf numFmtId="169" fontId="21" fillId="2" borderId="3" xfId="1" applyNumberFormat="1" applyFont="1" applyFill="1" applyBorder="1" applyAlignment="1">
      <alignment horizontal="right" vertical="center" wrapText="1"/>
    </xf>
    <xf numFmtId="169" fontId="47" fillId="2" borderId="3" xfId="1" applyNumberFormat="1" applyFont="1" applyFill="1" applyBorder="1" applyAlignment="1">
      <alignment horizontal="right" vertical="center" wrapText="1"/>
    </xf>
    <xf numFmtId="169" fontId="21" fillId="2" borderId="3" xfId="1" applyNumberFormat="1" applyFont="1" applyFill="1" applyBorder="1" applyAlignment="1">
      <alignment vertical="center"/>
    </xf>
    <xf numFmtId="169" fontId="21" fillId="2" borderId="3" xfId="1" applyNumberFormat="1" applyFont="1" applyFill="1" applyBorder="1" applyAlignment="1">
      <alignment horizontal="right" vertical="center"/>
    </xf>
    <xf numFmtId="169" fontId="22" fillId="2" borderId="3" xfId="1" applyNumberFormat="1" applyFont="1" applyFill="1" applyBorder="1" applyAlignment="1">
      <alignment horizontal="right" vertical="center"/>
    </xf>
    <xf numFmtId="169" fontId="50" fillId="0" borderId="3" xfId="1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 vertical="center" wrapText="1" indent="2"/>
    </xf>
    <xf numFmtId="174" fontId="2" fillId="3" borderId="3" xfId="0" applyNumberFormat="1" applyFont="1" applyFill="1" applyBorder="1" applyAlignment="1">
      <alignment vertical="center"/>
    </xf>
    <xf numFmtId="0" fontId="36" fillId="0" borderId="3" xfId="0" applyFont="1" applyBorder="1" applyAlignment="1">
      <alignment vertical="center" wrapText="1"/>
    </xf>
    <xf numFmtId="175" fontId="18" fillId="0" borderId="3" xfId="0" applyNumberFormat="1" applyFont="1" applyBorder="1" applyAlignment="1">
      <alignment vertical="center"/>
    </xf>
    <xf numFmtId="174" fontId="21" fillId="0" borderId="3" xfId="0" applyNumberFormat="1" applyFont="1" applyBorder="1" applyAlignment="1">
      <alignment vertical="center"/>
    </xf>
    <xf numFmtId="174" fontId="2" fillId="2" borderId="3" xfId="1" applyNumberFormat="1" applyFont="1" applyFill="1" applyBorder="1" applyAlignment="1">
      <alignment horizontal="right" vertical="center" wrapText="1"/>
    </xf>
    <xf numFmtId="174" fontId="18" fillId="0" borderId="3" xfId="0" applyNumberFormat="1" applyFont="1" applyBorder="1" applyAlignment="1">
      <alignment vertical="center"/>
    </xf>
    <xf numFmtId="176" fontId="18" fillId="0" borderId="3" xfId="0" applyNumberFormat="1" applyFont="1" applyBorder="1" applyAlignment="1">
      <alignment vertical="center"/>
    </xf>
    <xf numFmtId="169" fontId="50" fillId="0" borderId="3" xfId="6" applyNumberFormat="1" applyFont="1" applyBorder="1" applyAlignment="1" applyProtection="1">
      <alignment vertical="center"/>
      <protection locked="0"/>
    </xf>
    <xf numFmtId="0" fontId="2" fillId="0" borderId="3" xfId="0" quotePrefix="1" applyFont="1" applyBorder="1"/>
    <xf numFmtId="169" fontId="47" fillId="0" borderId="3" xfId="6" applyNumberFormat="1" applyFont="1" applyBorder="1"/>
    <xf numFmtId="0" fontId="44" fillId="0" borderId="3" xfId="0" applyFont="1" applyBorder="1"/>
    <xf numFmtId="170" fontId="45" fillId="0" borderId="3" xfId="0" applyNumberFormat="1" applyFont="1" applyBorder="1"/>
    <xf numFmtId="10" fontId="22" fillId="0" borderId="3" xfId="2" applyNumberFormat="1" applyFont="1" applyBorder="1" applyAlignment="1">
      <alignment vertical="center" wrapText="1"/>
    </xf>
    <xf numFmtId="10" fontId="21" fillId="0" borderId="3" xfId="2" applyNumberFormat="1" applyFont="1" applyBorder="1" applyAlignment="1">
      <alignment vertical="center" wrapText="1"/>
    </xf>
    <xf numFmtId="10" fontId="47" fillId="0" borderId="3" xfId="2" applyNumberFormat="1" applyFont="1" applyBorder="1" applyAlignment="1">
      <alignment vertical="center" wrapText="1"/>
    </xf>
    <xf numFmtId="0" fontId="19" fillId="3" borderId="3" xfId="0" applyFont="1" applyFill="1" applyBorder="1" applyAlignment="1">
      <alignment vertical="center" wrapText="1"/>
    </xf>
    <xf numFmtId="0" fontId="35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170" fontId="50" fillId="0" borderId="3" xfId="2" applyNumberFormat="1" applyFont="1" applyBorder="1"/>
    <xf numFmtId="168" fontId="2" fillId="0" borderId="3" xfId="1" applyNumberFormat="1" applyFont="1" applyBorder="1"/>
    <xf numFmtId="168" fontId="2" fillId="0" borderId="3" xfId="1" applyNumberFormat="1" applyFont="1" applyBorder="1" applyAlignment="1">
      <alignment horizontal="right"/>
    </xf>
    <xf numFmtId="0" fontId="16" fillId="0" borderId="3" xfId="0" applyFont="1" applyBorder="1" applyAlignment="1">
      <alignment horizontal="left" vertical="center" wrapText="1" indent="3"/>
    </xf>
    <xf numFmtId="10" fontId="47" fillId="0" borderId="3" xfId="2" applyNumberFormat="1" applyFont="1" applyBorder="1"/>
    <xf numFmtId="167" fontId="47" fillId="0" borderId="3" xfId="1" applyFont="1" applyBorder="1"/>
    <xf numFmtId="10" fontId="49" fillId="0" borderId="3" xfId="0" applyNumberFormat="1" applyFont="1" applyBorder="1"/>
    <xf numFmtId="10" fontId="48" fillId="0" borderId="3" xfId="2" applyNumberFormat="1" applyFont="1" applyBorder="1"/>
    <xf numFmtId="0" fontId="47" fillId="0" borderId="3" xfId="2" applyNumberFormat="1" applyFont="1" applyBorder="1"/>
    <xf numFmtId="0" fontId="2" fillId="0" borderId="3" xfId="2" applyNumberFormat="1" applyFont="1" applyBorder="1"/>
    <xf numFmtId="2" fontId="16" fillId="0" borderId="3" xfId="2" applyNumberFormat="1" applyFont="1" applyBorder="1"/>
    <xf numFmtId="169" fontId="18" fillId="0" borderId="3" xfId="1" applyNumberFormat="1" applyFont="1" applyBorder="1"/>
    <xf numFmtId="169" fontId="50" fillId="0" borderId="3" xfId="1" applyNumberFormat="1" applyFont="1" applyBorder="1"/>
    <xf numFmtId="167" fontId="16" fillId="0" borderId="3" xfId="1" applyFont="1" applyBorder="1"/>
    <xf numFmtId="180" fontId="16" fillId="0" borderId="3" xfId="1" applyNumberFormat="1" applyFont="1" applyBorder="1"/>
    <xf numFmtId="168" fontId="16" fillId="0" borderId="3" xfId="1" applyNumberFormat="1" applyFont="1" applyBorder="1"/>
    <xf numFmtId="10" fontId="50" fillId="0" borderId="3" xfId="2" applyNumberFormat="1" applyFont="1" applyBorder="1"/>
    <xf numFmtId="10" fontId="18" fillId="0" borderId="3" xfId="2" applyNumberFormat="1" applyFont="1" applyBorder="1"/>
    <xf numFmtId="170" fontId="18" fillId="0" borderId="3" xfId="2" applyNumberFormat="1" applyFont="1" applyBorder="1"/>
    <xf numFmtId="0" fontId="19" fillId="3" borderId="3" xfId="0" applyFont="1" applyFill="1" applyBorder="1" applyAlignment="1">
      <alignment vertical="center"/>
    </xf>
    <xf numFmtId="165" fontId="2" fillId="0" borderId="3" xfId="0" applyNumberFormat="1" applyFont="1" applyBorder="1"/>
    <xf numFmtId="0" fontId="19" fillId="3" borderId="3" xfId="0" applyFont="1" applyFill="1" applyBorder="1" applyAlignment="1">
      <alignment horizontal="right" vertical="center"/>
    </xf>
    <xf numFmtId="168" fontId="2" fillId="2" borderId="3" xfId="0" applyNumberFormat="1" applyFont="1" applyFill="1" applyBorder="1"/>
    <xf numFmtId="2" fontId="2" fillId="2" borderId="3" xfId="2" applyNumberFormat="1" applyFont="1" applyFill="1" applyBorder="1"/>
    <xf numFmtId="170" fontId="2" fillId="2" borderId="3" xfId="2" applyNumberFormat="1" applyFont="1" applyFill="1" applyBorder="1"/>
    <xf numFmtId="38" fontId="16" fillId="2" borderId="3" xfId="0" applyNumberFormat="1" applyFont="1" applyFill="1" applyBorder="1"/>
    <xf numFmtId="168" fontId="2" fillId="2" borderId="3" xfId="1" applyNumberFormat="1" applyFont="1" applyFill="1" applyBorder="1"/>
    <xf numFmtId="168" fontId="16" fillId="2" borderId="3" xfId="0" applyNumberFormat="1" applyFont="1" applyFill="1" applyBorder="1"/>
    <xf numFmtId="3" fontId="37" fillId="0" borderId="3" xfId="0" applyNumberFormat="1" applyFont="1" applyBorder="1"/>
    <xf numFmtId="167" fontId="13" fillId="0" borderId="3" xfId="0" applyNumberFormat="1" applyFont="1" applyBorder="1"/>
    <xf numFmtId="10" fontId="48" fillId="0" borderId="3" xfId="0" applyNumberFormat="1" applyFont="1" applyBorder="1"/>
    <xf numFmtId="0" fontId="16" fillId="0" borderId="3" xfId="0" applyFont="1" applyBorder="1" applyAlignment="1">
      <alignment vertical="center" textRotation="90"/>
    </xf>
    <xf numFmtId="170" fontId="48" fillId="0" borderId="3" xfId="0" applyNumberFormat="1" applyFont="1" applyBorder="1"/>
    <xf numFmtId="170" fontId="48" fillId="0" borderId="3" xfId="2" applyNumberFormat="1" applyFont="1" applyBorder="1"/>
    <xf numFmtId="0" fontId="13" fillId="5" borderId="3" xfId="0" applyFont="1" applyFill="1" applyBorder="1"/>
    <xf numFmtId="0" fontId="13" fillId="3" borderId="3" xfId="0" applyFont="1" applyFill="1" applyBorder="1"/>
    <xf numFmtId="0" fontId="13" fillId="5" borderId="3" xfId="0" applyFont="1" applyFill="1" applyBorder="1" applyAlignment="1">
      <alignment vertical="center"/>
    </xf>
    <xf numFmtId="168" fontId="19" fillId="3" borderId="3" xfId="18" applyNumberFormat="1" applyFont="1" applyFill="1" applyBorder="1"/>
    <xf numFmtId="172" fontId="48" fillId="3" borderId="3" xfId="18" applyNumberFormat="1" applyFont="1" applyFill="1" applyBorder="1"/>
    <xf numFmtId="168" fontId="39" fillId="0" borderId="3" xfId="18" applyNumberFormat="1" applyFont="1" applyBorder="1"/>
    <xf numFmtId="168" fontId="2" fillId="2" borderId="3" xfId="18" applyNumberFormat="1" applyFont="1" applyFill="1" applyBorder="1"/>
    <xf numFmtId="168" fontId="2" fillId="3" borderId="3" xfId="18" applyNumberFormat="1" applyFont="1" applyFill="1" applyBorder="1"/>
    <xf numFmtId="170" fontId="39" fillId="0" borderId="3" xfId="2" applyNumberFormat="1" applyFont="1" applyBorder="1"/>
    <xf numFmtId="173" fontId="48" fillId="3" borderId="3" xfId="0" applyNumberFormat="1" applyFont="1" applyFill="1" applyBorder="1" applyAlignment="1">
      <alignment horizontal="right" vertical="center"/>
    </xf>
    <xf numFmtId="173" fontId="19" fillId="3" borderId="3" xfId="0" applyNumberFormat="1" applyFont="1" applyFill="1" applyBorder="1" applyAlignment="1">
      <alignment horizontal="right" vertical="center"/>
    </xf>
    <xf numFmtId="168" fontId="29" fillId="5" borderId="3" xfId="18" applyNumberFormat="1" applyFont="1" applyFill="1" applyBorder="1"/>
    <xf numFmtId="0" fontId="39" fillId="0" borderId="3" xfId="0" applyFont="1" applyBorder="1" applyAlignment="1">
      <alignment horizontal="left" vertical="center"/>
    </xf>
    <xf numFmtId="176" fontId="47" fillId="0" borderId="3" xfId="0" applyNumberFormat="1" applyFont="1" applyBorder="1"/>
    <xf numFmtId="178" fontId="47" fillId="0" borderId="3" xfId="18" applyNumberFormat="1" applyFont="1" applyBorder="1"/>
    <xf numFmtId="178" fontId="47" fillId="0" borderId="3" xfId="0" applyNumberFormat="1" applyFont="1" applyBorder="1"/>
    <xf numFmtId="178" fontId="23" fillId="0" borderId="3" xfId="0" applyNumberFormat="1" applyFont="1" applyBorder="1"/>
    <xf numFmtId="178" fontId="21" fillId="0" borderId="3" xfId="18" applyNumberFormat="1" applyFont="1" applyBorder="1"/>
    <xf numFmtId="178" fontId="2" fillId="0" borderId="3" xfId="18" applyNumberFormat="1" applyFont="1" applyBorder="1"/>
    <xf numFmtId="179" fontId="2" fillId="0" borderId="3" xfId="18" applyNumberFormat="1" applyFont="1" applyBorder="1"/>
    <xf numFmtId="176" fontId="47" fillId="0" borderId="3" xfId="18" applyNumberFormat="1" applyFont="1" applyBorder="1"/>
    <xf numFmtId="178" fontId="23" fillId="0" borderId="3" xfId="18" applyNumberFormat="1" applyFont="1" applyBorder="1"/>
    <xf numFmtId="179" fontId="2" fillId="6" borderId="3" xfId="18" applyNumberFormat="1" applyFont="1" applyFill="1" applyBorder="1"/>
    <xf numFmtId="176" fontId="23" fillId="0" borderId="3" xfId="18" applyNumberFormat="1" applyFont="1" applyBorder="1"/>
    <xf numFmtId="176" fontId="37" fillId="0" borderId="3" xfId="0" applyNumberFormat="1" applyFont="1" applyBorder="1"/>
    <xf numFmtId="179" fontId="2" fillId="2" borderId="3" xfId="18" applyNumberFormat="1" applyFont="1" applyFill="1" applyBorder="1"/>
    <xf numFmtId="168" fontId="17" fillId="0" borderId="3" xfId="18" applyNumberFormat="1" applyFont="1" applyFill="1" applyBorder="1"/>
    <xf numFmtId="168" fontId="2" fillId="0" borderId="3" xfId="18" applyNumberFormat="1" applyFont="1" applyBorder="1"/>
    <xf numFmtId="178" fontId="16" fillId="0" borderId="3" xfId="18" applyNumberFormat="1" applyFont="1" applyBorder="1"/>
    <xf numFmtId="176" fontId="2" fillId="0" borderId="3" xfId="18" applyNumberFormat="1" applyFont="1" applyBorder="1"/>
    <xf numFmtId="178" fontId="48" fillId="3" borderId="3" xfId="18" applyNumberFormat="1" applyFont="1" applyFill="1" applyBorder="1"/>
    <xf numFmtId="178" fontId="52" fillId="3" borderId="3" xfId="18" applyNumberFormat="1" applyFont="1" applyFill="1" applyBorder="1"/>
    <xf numFmtId="178" fontId="16" fillId="3" borderId="3" xfId="18" applyNumberFormat="1" applyFont="1" applyFill="1" applyBorder="1"/>
    <xf numFmtId="0" fontId="2" fillId="0" borderId="3" xfId="3" applyFont="1" applyBorder="1"/>
    <xf numFmtId="0" fontId="11" fillId="0" borderId="3" xfId="0" applyFont="1" applyBorder="1"/>
    <xf numFmtId="10" fontId="37" fillId="0" borderId="3" xfId="0" applyNumberFormat="1" applyFont="1" applyBorder="1"/>
    <xf numFmtId="0" fontId="37" fillId="0" borderId="3" xfId="0" applyFont="1" applyBorder="1"/>
    <xf numFmtId="168" fontId="16" fillId="3" borderId="3" xfId="18" applyNumberFormat="1" applyFont="1" applyFill="1" applyBorder="1"/>
    <xf numFmtId="177" fontId="16" fillId="3" borderId="3" xfId="0" applyNumberFormat="1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2"/>
    </xf>
    <xf numFmtId="174" fontId="46" fillId="2" borderId="5" xfId="14" applyFont="1" applyFill="1" applyBorder="1">
      <alignment vertical="center"/>
    </xf>
    <xf numFmtId="174" fontId="50" fillId="2" borderId="5" xfId="14" applyFont="1" applyFill="1" applyBorder="1">
      <alignment vertical="center"/>
    </xf>
    <xf numFmtId="0" fontId="2" fillId="0" borderId="6" xfId="0" applyFont="1" applyBorder="1" applyAlignment="1">
      <alignment horizontal="left" vertical="center" wrapText="1" indent="2"/>
    </xf>
    <xf numFmtId="0" fontId="16" fillId="3" borderId="4" xfId="0" applyFont="1" applyFill="1" applyBorder="1" applyAlignment="1">
      <alignment vertical="center" wrapText="1"/>
    </xf>
    <xf numFmtId="177" fontId="16" fillId="3" borderId="4" xfId="0" applyNumberFormat="1" applyFont="1" applyFill="1" applyBorder="1" applyAlignment="1">
      <alignment vertical="center" wrapText="1"/>
    </xf>
    <xf numFmtId="184" fontId="46" fillId="2" borderId="6" xfId="14" applyNumberFormat="1" applyFont="1" applyFill="1" applyBorder="1">
      <alignment vertical="center"/>
    </xf>
    <xf numFmtId="184" fontId="21" fillId="2" borderId="6" xfId="14" applyNumberFormat="1" applyFont="1" applyFill="1" applyBorder="1">
      <alignment vertical="center"/>
    </xf>
    <xf numFmtId="184" fontId="46" fillId="2" borderId="3" xfId="14" applyNumberFormat="1" applyFont="1" applyFill="1" applyBorder="1">
      <alignment vertical="center"/>
    </xf>
    <xf numFmtId="184" fontId="21" fillId="2" borderId="3" xfId="14" applyNumberFormat="1" applyFont="1" applyFill="1" applyBorder="1">
      <alignment vertical="center"/>
    </xf>
    <xf numFmtId="184" fontId="50" fillId="2" borderId="3" xfId="14" applyNumberFormat="1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vertical="center" wrapText="1"/>
    </xf>
    <xf numFmtId="0" fontId="16" fillId="0" borderId="4" xfId="0" applyFont="1" applyBorder="1" applyAlignment="1">
      <alignment horizontal="left" vertical="center" wrapText="1" indent="2"/>
    </xf>
    <xf numFmtId="169" fontId="16" fillId="3" borderId="4" xfId="1" applyNumberFormat="1" applyFont="1" applyFill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0" fontId="16" fillId="3" borderId="5" xfId="0" applyFont="1" applyFill="1" applyBorder="1" applyAlignment="1">
      <alignment horizontal="left" vertical="center" wrapText="1" indent="2"/>
    </xf>
    <xf numFmtId="174" fontId="22" fillId="3" borderId="5" xfId="14" applyFont="1" applyFill="1" applyBorder="1">
      <alignment vertical="center"/>
    </xf>
    <xf numFmtId="0" fontId="16" fillId="3" borderId="4" xfId="0" applyFont="1" applyFill="1" applyBorder="1" applyAlignment="1">
      <alignment horizontal="left" vertical="center" wrapText="1" indent="2"/>
    </xf>
    <xf numFmtId="169" fontId="16" fillId="3" borderId="5" xfId="1" applyNumberFormat="1" applyFont="1" applyFill="1" applyBorder="1" applyAlignment="1">
      <alignment vertical="center" wrapText="1"/>
    </xf>
    <xf numFmtId="174" fontId="2" fillId="2" borderId="5" xfId="14" applyFont="1" applyFill="1" applyBorder="1">
      <alignment vertical="center"/>
    </xf>
    <xf numFmtId="0" fontId="2" fillId="0" borderId="6" xfId="0" applyFont="1" applyBorder="1" applyAlignment="1">
      <alignment vertical="top"/>
    </xf>
    <xf numFmtId="174" fontId="23" fillId="2" borderId="6" xfId="14" applyFont="1" applyFill="1" applyBorder="1">
      <alignment vertical="center"/>
    </xf>
    <xf numFmtId="0" fontId="2" fillId="0" borderId="7" xfId="0" applyFont="1" applyBorder="1" applyAlignment="1">
      <alignment horizontal="left" vertical="center" wrapText="1" indent="2"/>
    </xf>
    <xf numFmtId="174" fontId="23" fillId="2" borderId="7" xfId="14" applyFont="1" applyFill="1" applyBorder="1">
      <alignment vertical="center"/>
    </xf>
    <xf numFmtId="174" fontId="46" fillId="2" borderId="7" xfId="14" applyFont="1" applyFill="1" applyBorder="1">
      <alignment vertical="center"/>
    </xf>
    <xf numFmtId="174" fontId="2" fillId="2" borderId="7" xfId="14" applyFont="1" applyFill="1" applyBorder="1">
      <alignment vertical="center"/>
    </xf>
    <xf numFmtId="0" fontId="2" fillId="0" borderId="8" xfId="0" applyFont="1" applyBorder="1"/>
    <xf numFmtId="0" fontId="2" fillId="0" borderId="9" xfId="0" applyFont="1" applyBorder="1"/>
    <xf numFmtId="0" fontId="16" fillId="3" borderId="10" xfId="0" applyFont="1" applyFill="1" applyBorder="1" applyAlignment="1">
      <alignment horizontal="left" vertical="center" wrapText="1" indent="2"/>
    </xf>
    <xf numFmtId="169" fontId="16" fillId="3" borderId="11" xfId="1" applyNumberFormat="1" applyFont="1" applyFill="1" applyBorder="1" applyAlignment="1">
      <alignment vertical="center" wrapText="1"/>
    </xf>
    <xf numFmtId="0" fontId="16" fillId="3" borderId="3" xfId="0" applyFont="1" applyFill="1" applyBorder="1"/>
    <xf numFmtId="174" fontId="53" fillId="3" borderId="3" xfId="14" applyFont="1" applyFill="1" applyBorder="1">
      <alignment vertical="center"/>
    </xf>
    <xf numFmtId="0" fontId="54" fillId="0" borderId="3" xfId="0" applyFont="1" applyBorder="1" applyAlignment="1">
      <alignment horizontal="left" vertical="center" wrapText="1"/>
    </xf>
    <xf numFmtId="168" fontId="46" fillId="0" borderId="3" xfId="1" applyNumberFormat="1" applyFont="1" applyBorder="1"/>
    <xf numFmtId="0" fontId="2" fillId="0" borderId="3" xfId="0" applyFont="1" applyBorder="1" applyAlignment="1">
      <alignment horizontal="left" indent="2"/>
    </xf>
    <xf numFmtId="0" fontId="16" fillId="0" borderId="3" xfId="0" applyFont="1" applyBorder="1" applyAlignment="1">
      <alignment horizontal="left"/>
    </xf>
    <xf numFmtId="170" fontId="16" fillId="0" borderId="3" xfId="2" applyNumberFormat="1" applyFont="1" applyBorder="1"/>
    <xf numFmtId="174" fontId="50" fillId="2" borderId="5" xfId="14" applyFont="1" applyFill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9" fontId="2" fillId="0" borderId="6" xfId="14" applyNumberFormat="1" applyFont="1" applyBorder="1">
      <alignment vertical="center"/>
    </xf>
    <xf numFmtId="9" fontId="2" fillId="0" borderId="6" xfId="14" applyNumberFormat="1" applyFont="1" applyBorder="1" applyAlignment="1">
      <alignment horizontal="right" vertical="center"/>
    </xf>
    <xf numFmtId="9" fontId="23" fillId="0" borderId="6" xfId="14" applyNumberFormat="1" applyFont="1" applyBorder="1" applyAlignment="1">
      <alignment horizontal="right" vertical="center"/>
    </xf>
    <xf numFmtId="174" fontId="16" fillId="3" borderId="11" xfId="1" applyNumberFormat="1" applyFont="1" applyFill="1" applyBorder="1" applyAlignment="1">
      <alignment horizontal="right" vertical="center" wrapText="1"/>
    </xf>
    <xf numFmtId="0" fontId="16" fillId="3" borderId="12" xfId="0" applyFont="1" applyFill="1" applyBorder="1" applyAlignment="1">
      <alignment horizontal="left" vertical="center" wrapText="1" indent="2"/>
    </xf>
    <xf numFmtId="174" fontId="16" fillId="3" borderId="4" xfId="1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175" fontId="22" fillId="0" borderId="6" xfId="0" applyNumberFormat="1" applyFont="1" applyBorder="1" applyAlignment="1">
      <alignment vertical="center"/>
    </xf>
    <xf numFmtId="174" fontId="2" fillId="0" borderId="5" xfId="0" applyNumberFormat="1" applyFont="1" applyBorder="1" applyAlignment="1">
      <alignment vertical="center"/>
    </xf>
    <xf numFmtId="174" fontId="47" fillId="0" borderId="5" xfId="0" applyNumberFormat="1" applyFont="1" applyBorder="1" applyAlignment="1">
      <alignment vertical="center"/>
    </xf>
    <xf numFmtId="174" fontId="15" fillId="0" borderId="6" xfId="0" applyNumberFormat="1" applyFont="1" applyBorder="1" applyAlignment="1">
      <alignment vertical="center"/>
    </xf>
    <xf numFmtId="174" fontId="16" fillId="3" borderId="4" xfId="0" applyNumberFormat="1" applyFont="1" applyFill="1" applyBorder="1" applyAlignment="1">
      <alignment vertical="center"/>
    </xf>
    <xf numFmtId="177" fontId="16" fillId="0" borderId="3" xfId="0" applyNumberFormat="1" applyFont="1" applyBorder="1" applyAlignment="1">
      <alignment vertical="center" wrapText="1"/>
    </xf>
    <xf numFmtId="0" fontId="39" fillId="3" borderId="3" xfId="0" applyFont="1" applyFill="1" applyBorder="1" applyAlignment="1">
      <alignment horizontal="left" vertical="center"/>
    </xf>
    <xf numFmtId="174" fontId="2" fillId="2" borderId="3" xfId="0" applyNumberFormat="1" applyFont="1" applyFill="1" applyBorder="1" applyAlignment="1">
      <alignment vertical="center"/>
    </xf>
    <xf numFmtId="174" fontId="47" fillId="2" borderId="5" xfId="14" applyFont="1" applyFill="1" applyBorder="1" applyAlignment="1">
      <alignment horizontal="right" vertical="center"/>
    </xf>
    <xf numFmtId="174" fontId="18" fillId="2" borderId="5" xfId="14" applyFont="1" applyFill="1" applyBorder="1" applyAlignment="1">
      <alignment horizontal="right" vertical="center"/>
    </xf>
    <xf numFmtId="0" fontId="3" fillId="0" borderId="6" xfId="0" applyFont="1" applyBorder="1" applyAlignment="1">
      <alignment vertical="top"/>
    </xf>
    <xf numFmtId="169" fontId="2" fillId="0" borderId="6" xfId="1" applyNumberFormat="1" applyFont="1" applyFill="1" applyBorder="1"/>
    <xf numFmtId="169" fontId="3" fillId="0" borderId="6" xfId="1" applyNumberFormat="1" applyFont="1" applyBorder="1" applyAlignment="1">
      <alignment vertical="top"/>
    </xf>
    <xf numFmtId="169" fontId="15" fillId="0" borderId="6" xfId="1" applyNumberFormat="1" applyFont="1" applyBorder="1" applyAlignment="1">
      <alignment vertical="center"/>
    </xf>
    <xf numFmtId="174" fontId="2" fillId="3" borderId="4" xfId="1" applyNumberFormat="1" applyFont="1" applyFill="1" applyBorder="1" applyAlignment="1">
      <alignment horizontal="right" vertical="center" wrapText="1"/>
    </xf>
    <xf numFmtId="174" fontId="47" fillId="3" borderId="4" xfId="1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top"/>
    </xf>
    <xf numFmtId="169" fontId="2" fillId="0" borderId="5" xfId="1" applyNumberFormat="1" applyFont="1" applyBorder="1" applyAlignment="1">
      <alignment horizontal="left" vertical="center" wrapText="1" indent="2"/>
    </xf>
    <xf numFmtId="169" fontId="2" fillId="0" borderId="6" xfId="1" applyNumberFormat="1" applyFont="1" applyBorder="1" applyAlignment="1">
      <alignment horizontal="left" vertical="center" wrapText="1" indent="2"/>
    </xf>
    <xf numFmtId="169" fontId="2" fillId="0" borderId="6" xfId="1" applyNumberFormat="1" applyFont="1" applyBorder="1" applyAlignment="1">
      <alignment vertical="center" wrapText="1"/>
    </xf>
    <xf numFmtId="0" fontId="19" fillId="3" borderId="4" xfId="0" applyFont="1" applyFill="1" applyBorder="1" applyAlignment="1">
      <alignment horizontal="left" vertical="center" wrapText="1" indent="2"/>
    </xf>
    <xf numFmtId="169" fontId="2" fillId="3" borderId="4" xfId="1" applyNumberFormat="1" applyFont="1" applyFill="1" applyBorder="1" applyAlignment="1">
      <alignment vertical="center"/>
    </xf>
    <xf numFmtId="169" fontId="16" fillId="3" borderId="4" xfId="1" applyNumberFormat="1" applyFont="1" applyFill="1" applyBorder="1" applyAlignment="1">
      <alignment vertical="center"/>
    </xf>
    <xf numFmtId="0" fontId="55" fillId="0" borderId="3" xfId="0" applyFont="1" applyBorder="1" applyAlignment="1">
      <alignment vertical="center"/>
    </xf>
    <xf numFmtId="0" fontId="2" fillId="0" borderId="5" xfId="0" applyFont="1" applyBorder="1"/>
    <xf numFmtId="169" fontId="2" fillId="0" borderId="5" xfId="1" applyNumberFormat="1" applyFont="1" applyBorder="1"/>
    <xf numFmtId="174" fontId="17" fillId="2" borderId="5" xfId="14" applyFont="1" applyFill="1" applyBorder="1" applyAlignment="1">
      <alignment horizontal="right" vertical="center"/>
    </xf>
    <xf numFmtId="0" fontId="2" fillId="0" borderId="11" xfId="0" applyFont="1" applyBorder="1"/>
    <xf numFmtId="169" fontId="2" fillId="0" borderId="11" xfId="1" applyNumberFormat="1" applyFont="1" applyBorder="1" applyAlignment="1">
      <alignment horizontal="left" vertical="center" wrapText="1" indent="2"/>
    </xf>
    <xf numFmtId="169" fontId="2" fillId="0" borderId="11" xfId="1" applyNumberFormat="1" applyFont="1" applyBorder="1"/>
    <xf numFmtId="174" fontId="2" fillId="2" borderId="11" xfId="1" applyNumberFormat="1" applyFont="1" applyFill="1" applyBorder="1" applyAlignment="1">
      <alignment horizontal="right" vertical="center" wrapText="1"/>
    </xf>
    <xf numFmtId="0" fontId="47" fillId="0" borderId="3" xfId="0" applyFont="1" applyBorder="1" applyAlignment="1">
      <alignment horizontal="right"/>
    </xf>
    <xf numFmtId="0" fontId="40" fillId="3" borderId="3" xfId="0" applyFont="1" applyFill="1" applyBorder="1"/>
    <xf numFmtId="0" fontId="16" fillId="3" borderId="4" xfId="0" applyFont="1" applyFill="1" applyBorder="1"/>
    <xf numFmtId="0" fontId="2" fillId="0" borderId="7" xfId="0" applyFont="1" applyBorder="1"/>
    <xf numFmtId="169" fontId="2" fillId="0" borderId="7" xfId="1" applyNumberFormat="1" applyFont="1" applyBorder="1" applyAlignment="1">
      <alignment horizontal="left" vertical="center" wrapText="1" indent="2"/>
    </xf>
    <xf numFmtId="169" fontId="2" fillId="0" borderId="7" xfId="1" applyNumberFormat="1" applyFont="1" applyBorder="1"/>
    <xf numFmtId="169" fontId="47" fillId="0" borderId="7" xfId="1" applyNumberFormat="1" applyFont="1" applyBorder="1" applyAlignment="1">
      <alignment horizontal="left" vertical="center" wrapText="1" indent="2"/>
    </xf>
    <xf numFmtId="169" fontId="47" fillId="0" borderId="7" xfId="1" applyNumberFormat="1" applyFont="1" applyBorder="1" applyAlignment="1">
      <alignment horizontal="right" vertical="center" wrapText="1"/>
    </xf>
    <xf numFmtId="169" fontId="21" fillId="0" borderId="7" xfId="1" applyNumberFormat="1" applyFont="1" applyBorder="1" applyAlignment="1">
      <alignment horizontal="left" vertical="center" wrapText="1" indent="2"/>
    </xf>
    <xf numFmtId="10" fontId="21" fillId="0" borderId="6" xfId="2" applyNumberFormat="1" applyFont="1" applyBorder="1" applyAlignment="1">
      <alignment horizontal="right" vertical="center" wrapText="1"/>
    </xf>
    <xf numFmtId="169" fontId="16" fillId="3" borderId="4" xfId="1" applyNumberFormat="1" applyFont="1" applyFill="1" applyBorder="1" applyAlignment="1">
      <alignment horizontal="left" vertical="center" wrapText="1" indent="2"/>
    </xf>
    <xf numFmtId="169" fontId="16" fillId="3" borderId="4" xfId="1" applyNumberFormat="1" applyFont="1" applyFill="1" applyBorder="1"/>
    <xf numFmtId="169" fontId="22" fillId="3" borderId="4" xfId="1" applyNumberFormat="1" applyFont="1" applyFill="1" applyBorder="1" applyAlignment="1">
      <alignment horizontal="left" vertical="center" wrapText="1" indent="2"/>
    </xf>
    <xf numFmtId="0" fontId="40" fillId="2" borderId="4" xfId="0" applyFont="1" applyFill="1" applyBorder="1"/>
    <xf numFmtId="169" fontId="40" fillId="2" borderId="4" xfId="0" applyNumberFormat="1" applyFont="1" applyFill="1" applyBorder="1"/>
    <xf numFmtId="0" fontId="40" fillId="0" borderId="5" xfId="0" applyFont="1" applyBorder="1"/>
    <xf numFmtId="169" fontId="40" fillId="0" borderId="5" xfId="0" applyNumberFormat="1" applyFont="1" applyBorder="1"/>
    <xf numFmtId="0" fontId="40" fillId="3" borderId="4" xfId="0" applyFont="1" applyFill="1" applyBorder="1"/>
    <xf numFmtId="169" fontId="42" fillId="3" borderId="4" xfId="6" applyNumberFormat="1" applyFont="1" applyFill="1" applyBorder="1"/>
    <xf numFmtId="170" fontId="47" fillId="0" borderId="3" xfId="2" applyNumberFormat="1" applyFont="1" applyBorder="1" applyAlignment="1">
      <alignment horizontal="right" vertical="center" wrapText="1"/>
    </xf>
    <xf numFmtId="169" fontId="16" fillId="0" borderId="3" xfId="1" applyNumberFormat="1" applyFont="1" applyBorder="1" applyAlignment="1">
      <alignment horizontal="left" vertical="center" wrapText="1"/>
    </xf>
    <xf numFmtId="179" fontId="2" fillId="0" borderId="3" xfId="1" applyNumberFormat="1" applyFont="1" applyBorder="1" applyAlignment="1">
      <alignment vertical="center" wrapText="1"/>
    </xf>
    <xf numFmtId="179" fontId="47" fillId="2" borderId="3" xfId="1" applyNumberFormat="1" applyFont="1" applyFill="1" applyBorder="1" applyAlignment="1">
      <alignment vertical="center" wrapText="1"/>
    </xf>
    <xf numFmtId="0" fontId="2" fillId="0" borderId="5" xfId="0" quotePrefix="1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right" vertical="center" wrapText="1"/>
    </xf>
    <xf numFmtId="0" fontId="16" fillId="2" borderId="6" xfId="0" applyFont="1" applyFill="1" applyBorder="1" applyAlignment="1">
      <alignment horizontal="left" vertical="center" wrapText="1" indent="2"/>
    </xf>
    <xf numFmtId="0" fontId="19" fillId="2" borderId="6" xfId="0" applyFont="1" applyFill="1" applyBorder="1" applyAlignment="1">
      <alignment horizontal="left" vertical="center" wrapText="1" indent="2"/>
    </xf>
    <xf numFmtId="174" fontId="15" fillId="2" borderId="6" xfId="0" applyNumberFormat="1" applyFont="1" applyFill="1" applyBorder="1" applyAlignment="1">
      <alignment horizontal="right" vertical="center"/>
    </xf>
    <xf numFmtId="174" fontId="20" fillId="2" borderId="6" xfId="0" applyNumberFormat="1" applyFont="1" applyFill="1" applyBorder="1" applyAlignment="1">
      <alignment horizontal="right" vertical="center"/>
    </xf>
    <xf numFmtId="174" fontId="16" fillId="2" borderId="6" xfId="0" applyNumberFormat="1" applyFont="1" applyFill="1" applyBorder="1" applyAlignment="1">
      <alignment horizontal="right" vertical="center"/>
    </xf>
    <xf numFmtId="174" fontId="15" fillId="3" borderId="4" xfId="0" applyNumberFormat="1" applyFont="1" applyFill="1" applyBorder="1" applyAlignment="1">
      <alignment horizontal="right" vertical="center"/>
    </xf>
    <xf numFmtId="174" fontId="52" fillId="3" borderId="4" xfId="0" applyNumberFormat="1" applyFont="1" applyFill="1" applyBorder="1" applyAlignment="1">
      <alignment horizontal="right" vertical="center"/>
    </xf>
    <xf numFmtId="174" fontId="16" fillId="3" borderId="4" xfId="0" applyNumberFormat="1" applyFont="1" applyFill="1" applyBorder="1" applyAlignment="1">
      <alignment horizontal="right" vertical="center"/>
    </xf>
    <xf numFmtId="0" fontId="16" fillId="0" borderId="3" xfId="0" applyFont="1" applyBorder="1" applyAlignment="1">
      <alignment horizontal="right" vertical="center" wrapText="1"/>
    </xf>
    <xf numFmtId="0" fontId="52" fillId="0" borderId="3" xfId="0" applyFont="1" applyBorder="1" applyAlignment="1">
      <alignment horizontal="right" vertical="center" wrapText="1"/>
    </xf>
    <xf numFmtId="178" fontId="22" fillId="2" borderId="3" xfId="0" applyNumberFormat="1" applyFont="1" applyFill="1" applyBorder="1" applyAlignment="1">
      <alignment horizontal="right" vertical="center" wrapText="1"/>
    </xf>
    <xf numFmtId="170" fontId="2" fillId="0" borderId="3" xfId="2" applyNumberFormat="1" applyFont="1" applyBorder="1" applyAlignment="1">
      <alignment horizontal="right" vertical="center" wrapText="1"/>
    </xf>
    <xf numFmtId="170" fontId="47" fillId="2" borderId="3" xfId="2" applyNumberFormat="1" applyFont="1" applyFill="1" applyBorder="1" applyAlignment="1">
      <alignment horizontal="right" vertical="center" wrapText="1"/>
    </xf>
    <xf numFmtId="0" fontId="0" fillId="2" borderId="3" xfId="0" applyFill="1" applyBorder="1"/>
    <xf numFmtId="0" fontId="26" fillId="0" borderId="3" xfId="0" applyFont="1" applyBorder="1" applyAlignment="1">
      <alignment horizontal="left" vertical="center" wrapText="1"/>
    </xf>
    <xf numFmtId="169" fontId="41" fillId="0" borderId="5" xfId="6" applyNumberFormat="1" applyFont="1" applyBorder="1"/>
    <xf numFmtId="169" fontId="41" fillId="0" borderId="6" xfId="6" applyNumberFormat="1" applyFont="1" applyBorder="1"/>
    <xf numFmtId="0" fontId="22" fillId="3" borderId="11" xfId="0" applyFont="1" applyFill="1" applyBorder="1"/>
    <xf numFmtId="169" fontId="41" fillId="3" borderId="11" xfId="6" applyNumberFormat="1" applyFont="1" applyFill="1" applyBorder="1"/>
    <xf numFmtId="169" fontId="40" fillId="3" borderId="11" xfId="6" applyNumberFormat="1" applyFont="1" applyFill="1" applyBorder="1"/>
    <xf numFmtId="169" fontId="43" fillId="0" borderId="11" xfId="6" applyNumberFormat="1" applyFont="1" applyBorder="1"/>
    <xf numFmtId="169" fontId="41" fillId="0" borderId="11" xfId="6" applyNumberFormat="1" applyFont="1" applyBorder="1"/>
    <xf numFmtId="169" fontId="47" fillId="0" borderId="11" xfId="6" applyNumberFormat="1" applyFont="1" applyBorder="1"/>
    <xf numFmtId="174" fontId="18" fillId="0" borderId="6" xfId="0" applyNumberFormat="1" applyFont="1" applyBorder="1" applyAlignment="1">
      <alignment vertical="center"/>
    </xf>
    <xf numFmtId="0" fontId="16" fillId="3" borderId="11" xfId="0" applyFont="1" applyFill="1" applyBorder="1" applyAlignment="1">
      <alignment horizontal="left" vertical="center" wrapText="1" indent="2"/>
    </xf>
    <xf numFmtId="169" fontId="22" fillId="2" borderId="3" xfId="6" applyNumberFormat="1" applyFont="1" applyFill="1" applyBorder="1" applyAlignment="1" applyProtection="1">
      <alignment vertical="center"/>
      <protection locked="0"/>
    </xf>
    <xf numFmtId="169" fontId="41" fillId="2" borderId="3" xfId="6" applyNumberFormat="1" applyFont="1" applyFill="1" applyBorder="1"/>
    <xf numFmtId="169" fontId="41" fillId="2" borderId="5" xfId="6" applyNumberFormat="1" applyFont="1" applyFill="1" applyBorder="1"/>
    <xf numFmtId="178" fontId="22" fillId="3" borderId="3" xfId="0" applyNumberFormat="1" applyFont="1" applyFill="1" applyBorder="1" applyAlignment="1">
      <alignment vertical="center"/>
    </xf>
    <xf numFmtId="0" fontId="35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indent="3"/>
    </xf>
    <xf numFmtId="168" fontId="2" fillId="0" borderId="6" xfId="1" applyNumberFormat="1" applyFont="1" applyBorder="1"/>
    <xf numFmtId="0" fontId="16" fillId="3" borderId="4" xfId="0" applyFont="1" applyFill="1" applyBorder="1" applyAlignment="1">
      <alignment horizontal="left" vertical="center" wrapText="1" indent="3"/>
    </xf>
    <xf numFmtId="174" fontId="16" fillId="3" borderId="4" xfId="0" applyNumberFormat="1" applyFont="1" applyFill="1" applyBorder="1" applyAlignment="1">
      <alignment vertical="center" wrapText="1"/>
    </xf>
    <xf numFmtId="174" fontId="16" fillId="3" borderId="4" xfId="0" applyNumberFormat="1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 wrapText="1" indent="3"/>
    </xf>
    <xf numFmtId="168" fontId="2" fillId="0" borderId="7" xfId="1" applyNumberFormat="1" applyFont="1" applyBorder="1"/>
    <xf numFmtId="168" fontId="2" fillId="0" borderId="7" xfId="1" applyNumberFormat="1" applyFont="1" applyBorder="1" applyAlignment="1">
      <alignment horizontal="right"/>
    </xf>
    <xf numFmtId="170" fontId="2" fillId="0" borderId="7" xfId="2" applyNumberFormat="1" applyFont="1" applyBorder="1" applyAlignment="1">
      <alignment horizontal="right"/>
    </xf>
    <xf numFmtId="175" fontId="16" fillId="3" borderId="4" xfId="0" applyNumberFormat="1" applyFont="1" applyFill="1" applyBorder="1" applyAlignment="1">
      <alignment horizontal="right" vertical="center"/>
    </xf>
    <xf numFmtId="0" fontId="47" fillId="0" borderId="4" xfId="0" applyFont="1" applyBorder="1"/>
    <xf numFmtId="0" fontId="19" fillId="2" borderId="3" xfId="0" applyFont="1" applyFill="1" applyBorder="1" applyAlignment="1">
      <alignment horizontal="right" vertical="center"/>
    </xf>
    <xf numFmtId="2" fontId="18" fillId="2" borderId="3" xfId="8" applyNumberFormat="1" applyFont="1" applyFill="1" applyBorder="1"/>
    <xf numFmtId="176" fontId="18" fillId="2" borderId="3" xfId="8" applyNumberFormat="1" applyFont="1" applyFill="1" applyBorder="1"/>
    <xf numFmtId="2" fontId="19" fillId="2" borderId="3" xfId="0" applyNumberFormat="1" applyFont="1" applyFill="1" applyBorder="1" applyAlignment="1">
      <alignment vertical="center"/>
    </xf>
    <xf numFmtId="0" fontId="22" fillId="3" borderId="3" xfId="0" applyFont="1" applyFill="1" applyBorder="1" applyAlignment="1">
      <alignment vertical="center" wrapText="1"/>
    </xf>
    <xf numFmtId="0" fontId="26" fillId="0" borderId="3" xfId="0" applyFont="1" applyBorder="1" applyAlignment="1">
      <alignment horizontal="left"/>
    </xf>
    <xf numFmtId="171" fontId="16" fillId="0" borderId="3" xfId="2" applyNumberFormat="1" applyFont="1" applyBorder="1"/>
    <xf numFmtId="169" fontId="16" fillId="0" borderId="3" xfId="1" applyNumberFormat="1" applyFont="1" applyBorder="1"/>
    <xf numFmtId="169" fontId="2" fillId="2" borderId="3" xfId="0" applyNumberFormat="1" applyFont="1" applyFill="1" applyBorder="1"/>
    <xf numFmtId="169" fontId="16" fillId="0" borderId="3" xfId="0" applyNumberFormat="1" applyFont="1" applyBorder="1"/>
    <xf numFmtId="169" fontId="16" fillId="2" borderId="3" xfId="0" applyNumberFormat="1" applyFont="1" applyFill="1" applyBorder="1"/>
    <xf numFmtId="169" fontId="18" fillId="0" borderId="3" xfId="8" applyNumberFormat="1" applyFont="1" applyBorder="1"/>
    <xf numFmtId="169" fontId="19" fillId="3" borderId="3" xfId="0" applyNumberFormat="1" applyFont="1" applyFill="1" applyBorder="1" applyAlignment="1">
      <alignment vertical="center"/>
    </xf>
    <xf numFmtId="169" fontId="2" fillId="0" borderId="3" xfId="1" applyNumberFormat="1" applyFont="1" applyFill="1" applyBorder="1"/>
    <xf numFmtId="185" fontId="16" fillId="0" borderId="4" xfId="0" applyNumberFormat="1" applyFont="1" applyBorder="1"/>
    <xf numFmtId="168" fontId="22" fillId="3" borderId="3" xfId="18" applyNumberFormat="1" applyFont="1" applyFill="1" applyBorder="1"/>
    <xf numFmtId="0" fontId="21" fillId="0" borderId="3" xfId="0" applyFont="1" applyBorder="1" applyAlignment="1">
      <alignment horizontal="left" vertical="center"/>
    </xf>
    <xf numFmtId="169" fontId="2" fillId="0" borderId="3" xfId="18" applyNumberFormat="1" applyFont="1" applyBorder="1"/>
    <xf numFmtId="168" fontId="2" fillId="2" borderId="9" xfId="18" applyNumberFormat="1" applyFont="1" applyFill="1" applyBorder="1"/>
    <xf numFmtId="168" fontId="2" fillId="0" borderId="5" xfId="18" applyNumberFormat="1" applyFont="1" applyBorder="1"/>
    <xf numFmtId="178" fontId="2" fillId="0" borderId="5" xfId="18" applyNumberFormat="1" applyFont="1" applyBorder="1"/>
    <xf numFmtId="168" fontId="2" fillId="0" borderId="6" xfId="18" applyNumberFormat="1" applyFont="1" applyBorder="1"/>
    <xf numFmtId="178" fontId="2" fillId="0" borderId="6" xfId="18" applyNumberFormat="1" applyFont="1" applyBorder="1"/>
    <xf numFmtId="168" fontId="2" fillId="3" borderId="6" xfId="18" applyNumberFormat="1" applyFont="1" applyFill="1" applyBorder="1"/>
    <xf numFmtId="168" fontId="16" fillId="7" borderId="13" xfId="18" applyNumberFormat="1" applyFont="1" applyFill="1" applyBorder="1"/>
    <xf numFmtId="168" fontId="16" fillId="7" borderId="14" xfId="18" applyNumberFormat="1" applyFont="1" applyFill="1" applyBorder="1"/>
    <xf numFmtId="178" fontId="16" fillId="7" borderId="14" xfId="18" applyNumberFormat="1" applyFont="1" applyFill="1" applyBorder="1"/>
    <xf numFmtId="168" fontId="16" fillId="7" borderId="16" xfId="18" applyNumberFormat="1" applyFont="1" applyFill="1" applyBorder="1"/>
    <xf numFmtId="168" fontId="16" fillId="7" borderId="17" xfId="18" applyNumberFormat="1" applyFont="1" applyFill="1" applyBorder="1"/>
    <xf numFmtId="178" fontId="2" fillId="7" borderId="17" xfId="18" applyNumberFormat="1" applyFont="1" applyFill="1" applyBorder="1"/>
    <xf numFmtId="178" fontId="16" fillId="7" borderId="17" xfId="18" applyNumberFormat="1" applyFont="1" applyFill="1" applyBorder="1"/>
    <xf numFmtId="179" fontId="16" fillId="7" borderId="14" xfId="18" applyNumberFormat="1" applyFont="1" applyFill="1" applyBorder="1"/>
    <xf numFmtId="179" fontId="16" fillId="7" borderId="17" xfId="18" applyNumberFormat="1" applyFont="1" applyFill="1" applyBorder="1"/>
    <xf numFmtId="179" fontId="16" fillId="7" borderId="15" xfId="18" applyNumberFormat="1" applyFont="1" applyFill="1" applyBorder="1"/>
    <xf numFmtId="179" fontId="16" fillId="7" borderId="18" xfId="18" applyNumberFormat="1" applyFont="1" applyFill="1" applyBorder="1"/>
    <xf numFmtId="178" fontId="52" fillId="3" borderId="3" xfId="18" applyNumberFormat="1" applyFont="1" applyFill="1" applyBorder="1" applyAlignment="1">
      <alignment horizontal="right"/>
    </xf>
    <xf numFmtId="179" fontId="16" fillId="3" borderId="3" xfId="18" applyNumberFormat="1" applyFont="1" applyFill="1" applyBorder="1"/>
    <xf numFmtId="179" fontId="16" fillId="0" borderId="3" xfId="18" applyNumberFormat="1" applyFont="1" applyBorder="1"/>
    <xf numFmtId="179" fontId="2" fillId="0" borderId="3" xfId="1" applyNumberFormat="1" applyFont="1" applyBorder="1"/>
    <xf numFmtId="169" fontId="2" fillId="0" borderId="3" xfId="3" applyNumberFormat="1" applyFont="1" applyBorder="1"/>
    <xf numFmtId="168" fontId="29" fillId="5" borderId="3" xfId="18" applyNumberFormat="1" applyFont="1" applyFill="1" applyBorder="1" applyAlignment="1">
      <alignment horizontal="right" wrapText="1"/>
    </xf>
    <xf numFmtId="168" fontId="29" fillId="5" borderId="3" xfId="18" applyNumberFormat="1" applyFont="1" applyFill="1" applyBorder="1" applyAlignment="1">
      <alignment horizontal="right"/>
    </xf>
    <xf numFmtId="170" fontId="2" fillId="0" borderId="3" xfId="0" applyNumberFormat="1" applyFont="1" applyBorder="1"/>
    <xf numFmtId="0" fontId="57" fillId="0" borderId="0" xfId="0" applyFont="1"/>
    <xf numFmtId="0" fontId="16" fillId="2" borderId="3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169" fontId="22" fillId="3" borderId="5" xfId="1" applyNumberFormat="1" applyFont="1" applyFill="1" applyBorder="1" applyAlignment="1">
      <alignment vertical="center"/>
    </xf>
    <xf numFmtId="174" fontId="2" fillId="0" borderId="5" xfId="0" applyNumberFormat="1" applyFont="1" applyBorder="1" applyAlignment="1">
      <alignment horizontal="right" vertical="center" wrapText="1"/>
    </xf>
    <xf numFmtId="169" fontId="50" fillId="0" borderId="5" xfId="1" applyNumberFormat="1" applyFont="1" applyBorder="1"/>
    <xf numFmtId="173" fontId="12" fillId="8" borderId="3" xfId="0" applyNumberFormat="1" applyFont="1" applyFill="1" applyBorder="1" applyAlignment="1">
      <alignment vertical="center"/>
    </xf>
    <xf numFmtId="173" fontId="13" fillId="8" borderId="3" xfId="0" applyNumberFormat="1" applyFont="1" applyFill="1" applyBorder="1" applyAlignment="1">
      <alignment vertical="center"/>
    </xf>
    <xf numFmtId="0" fontId="14" fillId="8" borderId="3" xfId="0" applyFont="1" applyFill="1" applyBorder="1" applyAlignment="1">
      <alignment vertical="center"/>
    </xf>
    <xf numFmtId="0" fontId="13" fillId="8" borderId="3" xfId="0" applyFont="1" applyFill="1" applyBorder="1" applyAlignment="1">
      <alignment vertical="center" wrapText="1"/>
    </xf>
    <xf numFmtId="0" fontId="9" fillId="0" borderId="0" xfId="13" applyAlignment="1" applyProtection="1"/>
    <xf numFmtId="0" fontId="58" fillId="0" borderId="3" xfId="0" applyFont="1" applyBorder="1" applyAlignment="1">
      <alignment horizontal="left" vertical="center" wrapText="1" indent="2"/>
    </xf>
    <xf numFmtId="3" fontId="2" fillId="0" borderId="3" xfId="0" applyNumberFormat="1" applyFont="1" applyBorder="1" applyAlignment="1">
      <alignment vertical="top"/>
    </xf>
    <xf numFmtId="0" fontId="16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0" fontId="2" fillId="0" borderId="3" xfId="0" applyFont="1" applyBorder="1" applyAlignment="1">
      <alignment horizontal="left" vertical="center" indent="1"/>
    </xf>
    <xf numFmtId="0" fontId="16" fillId="0" borderId="3" xfId="0" applyFont="1" applyBorder="1" applyAlignment="1">
      <alignment horizontal="right"/>
    </xf>
    <xf numFmtId="169" fontId="50" fillId="0" borderId="3" xfId="6" applyNumberFormat="1" applyFont="1" applyBorder="1"/>
    <xf numFmtId="169" fontId="50" fillId="0" borderId="3" xfId="1" applyNumberFormat="1" applyFont="1" applyBorder="1" applyAlignment="1">
      <alignment vertical="center" wrapText="1"/>
    </xf>
    <xf numFmtId="169" fontId="47" fillId="0" borderId="3" xfId="1" applyNumberFormat="1" applyFont="1" applyBorder="1" applyAlignment="1">
      <alignment vertical="center" wrapText="1"/>
    </xf>
    <xf numFmtId="169" fontId="2" fillId="0" borderId="7" xfId="1" applyNumberFormat="1" applyFont="1" applyBorder="1" applyAlignment="1">
      <alignment horizontal="right" vertical="center" wrapText="1" indent="2"/>
    </xf>
    <xf numFmtId="169" fontId="47" fillId="0" borderId="5" xfId="1" applyNumberFormat="1" applyFont="1" applyBorder="1" applyAlignment="1">
      <alignment horizontal="left" vertical="center" wrapText="1" indent="2"/>
    </xf>
    <xf numFmtId="169" fontId="47" fillId="3" borderId="4" xfId="1" applyNumberFormat="1" applyFont="1" applyFill="1" applyBorder="1" applyAlignment="1">
      <alignment vertical="center"/>
    </xf>
    <xf numFmtId="169" fontId="2" fillId="7" borderId="3" xfId="1" applyNumberFormat="1" applyFont="1" applyFill="1" applyBorder="1" applyAlignment="1">
      <alignment horizontal="left" vertical="center" wrapText="1" indent="2"/>
    </xf>
    <xf numFmtId="169" fontId="2" fillId="7" borderId="3" xfId="1" applyNumberFormat="1" applyFont="1" applyFill="1" applyBorder="1" applyAlignment="1">
      <alignment vertical="center" wrapText="1"/>
    </xf>
    <xf numFmtId="169" fontId="2" fillId="7" borderId="5" xfId="1" applyNumberFormat="1" applyFont="1" applyFill="1" applyBorder="1" applyAlignment="1">
      <alignment horizontal="right" vertical="center" wrapText="1" indent="2"/>
    </xf>
    <xf numFmtId="0" fontId="16" fillId="2" borderId="3" xfId="0" applyFont="1" applyFill="1" applyBorder="1" applyAlignment="1">
      <alignment horizontal="left" vertical="center" wrapText="1" indent="2"/>
    </xf>
    <xf numFmtId="167" fontId="50" fillId="0" borderId="3" xfId="1" applyFont="1" applyBorder="1" applyAlignment="1">
      <alignment horizontal="right" vertical="center" wrapText="1"/>
    </xf>
    <xf numFmtId="178" fontId="47" fillId="0" borderId="3" xfId="0" applyNumberFormat="1" applyFont="1" applyBorder="1" applyAlignment="1">
      <alignment horizontal="right" vertical="center" wrapText="1"/>
    </xf>
    <xf numFmtId="10" fontId="2" fillId="0" borderId="3" xfId="2" applyNumberFormat="1" applyFont="1" applyBorder="1" applyAlignment="1">
      <alignment horizontal="left" vertical="center" wrapText="1" indent="2"/>
    </xf>
    <xf numFmtId="0" fontId="16" fillId="2" borderId="5" xfId="0" applyFont="1" applyFill="1" applyBorder="1" applyAlignment="1">
      <alignment horizontal="left" vertical="center" wrapText="1" indent="2"/>
    </xf>
    <xf numFmtId="0" fontId="16" fillId="2" borderId="3" xfId="0" applyFont="1" applyFill="1" applyBorder="1" applyAlignment="1">
      <alignment horizontal="left" vertical="center"/>
    </xf>
    <xf numFmtId="169" fontId="16" fillId="2" borderId="3" xfId="1" applyNumberFormat="1" applyFont="1" applyFill="1" applyBorder="1" applyAlignment="1">
      <alignment vertical="center" wrapText="1"/>
    </xf>
    <xf numFmtId="169" fontId="40" fillId="0" borderId="4" xfId="0" applyNumberFormat="1" applyFont="1" applyBorder="1"/>
    <xf numFmtId="169" fontId="40" fillId="0" borderId="4" xfId="6" applyNumberFormat="1" applyFont="1" applyFill="1" applyBorder="1"/>
    <xf numFmtId="174" fontId="23" fillId="0" borderId="3" xfId="14" applyFont="1" applyBorder="1">
      <alignment vertical="center"/>
    </xf>
    <xf numFmtId="169" fontId="16" fillId="0" borderId="3" xfId="1" applyNumberFormat="1" applyFont="1" applyFill="1" applyBorder="1" applyAlignment="1">
      <alignment vertical="center" wrapText="1"/>
    </xf>
    <xf numFmtId="169" fontId="2" fillId="0" borderId="3" xfId="1" applyNumberFormat="1" applyFont="1" applyFill="1" applyBorder="1" applyAlignment="1">
      <alignment vertical="center" wrapText="1"/>
    </xf>
    <xf numFmtId="174" fontId="46" fillId="0" borderId="5" xfId="14" applyFont="1" applyBorder="1">
      <alignment vertical="center"/>
    </xf>
    <xf numFmtId="169" fontId="16" fillId="0" borderId="4" xfId="1" applyNumberFormat="1" applyFont="1" applyFill="1" applyBorder="1" applyAlignment="1">
      <alignment vertical="center" wrapText="1"/>
    </xf>
    <xf numFmtId="4" fontId="2" fillId="0" borderId="3" xfId="0" applyNumberFormat="1" applyFont="1" applyBorder="1" applyAlignment="1">
      <alignment vertical="center"/>
    </xf>
    <xf numFmtId="3" fontId="2" fillId="3" borderId="0" xfId="0" applyNumberFormat="1" applyFont="1" applyFill="1"/>
    <xf numFmtId="174" fontId="50" fillId="6" borderId="3" xfId="14" applyFont="1" applyFill="1" applyBorder="1">
      <alignment vertical="center"/>
    </xf>
    <xf numFmtId="0" fontId="2" fillId="6" borderId="3" xfId="0" applyFont="1" applyFill="1" applyBorder="1" applyAlignment="1">
      <alignment horizontal="left" vertical="center" wrapText="1" indent="2"/>
    </xf>
    <xf numFmtId="169" fontId="2" fillId="0" borderId="5" xfId="0" applyNumberFormat="1" applyFont="1" applyBorder="1"/>
    <xf numFmtId="4" fontId="50" fillId="0" borderId="3" xfId="0" applyNumberFormat="1" applyFont="1" applyBorder="1" applyAlignment="1">
      <alignment horizontal="left" vertical="center" wrapText="1" indent="2"/>
    </xf>
    <xf numFmtId="0" fontId="7" fillId="8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38" fillId="0" borderId="3" xfId="0" applyFont="1" applyBorder="1" applyAlignment="1">
      <alignment horizontal="center"/>
    </xf>
    <xf numFmtId="168" fontId="56" fillId="3" borderId="3" xfId="18" applyNumberFormat="1" applyFont="1" applyFill="1" applyBorder="1" applyAlignment="1">
      <alignment horizontal="center"/>
    </xf>
    <xf numFmtId="0" fontId="47" fillId="2" borderId="3" xfId="0" applyFont="1" applyFill="1" applyBorder="1"/>
    <xf numFmtId="167" fontId="21" fillId="0" borderId="3" xfId="1" applyFont="1" applyFill="1" applyBorder="1" applyAlignment="1">
      <alignment horizontal="right" vertical="center" wrapText="1"/>
    </xf>
  </cellXfs>
  <cellStyles count="23">
    <cellStyle name="Assume #" xfId="16" xr:uid="{00000000-0005-0000-0000-000000000000}"/>
    <cellStyle name="Assume %" xfId="17" xr:uid="{00000000-0005-0000-0000-000001000000}"/>
    <cellStyle name="Comma" xfId="1" builtinId="3"/>
    <cellStyle name="Comma 2" xfId="5" xr:uid="{00000000-0005-0000-0000-000003000000}"/>
    <cellStyle name="Comma 2 2" xfId="19" xr:uid="{00000000-0005-0000-0000-000004000000}"/>
    <cellStyle name="Comma 3" xfId="6" xr:uid="{00000000-0005-0000-0000-000005000000}"/>
    <cellStyle name="Comma 4" xfId="12" xr:uid="{00000000-0005-0000-0000-000006000000}"/>
    <cellStyle name="Comma 5" xfId="18" xr:uid="{00000000-0005-0000-0000-000007000000}"/>
    <cellStyle name="Currency" xfId="8" builtinId="4"/>
    <cellStyle name="Currency 2" xfId="4" xr:uid="{00000000-0005-0000-0000-000009000000}"/>
    <cellStyle name="Currency 3" xfId="10" xr:uid="{00000000-0005-0000-0000-00000A000000}"/>
    <cellStyle name="Estimates" xfId="15" xr:uid="{00000000-0005-0000-0000-00000B000000}"/>
    <cellStyle name="GivenData" xfId="14" xr:uid="{00000000-0005-0000-0000-00000C000000}"/>
    <cellStyle name="Hyperlink" xfId="13" builtinId="8"/>
    <cellStyle name="Normal" xfId="0" builtinId="0"/>
    <cellStyle name="Normal 2" xfId="3" xr:uid="{00000000-0005-0000-0000-00000F000000}"/>
    <cellStyle name="Normal 2 2" xfId="20" xr:uid="{00000000-0005-0000-0000-000010000000}"/>
    <cellStyle name="Normal 2 2 2" xfId="22" xr:uid="{00000000-0005-0000-0000-000011000000}"/>
    <cellStyle name="Normal 3" xfId="9" xr:uid="{00000000-0005-0000-0000-000012000000}"/>
    <cellStyle name="Percent" xfId="2" builtinId="5"/>
    <cellStyle name="Percent 2" xfId="7" xr:uid="{00000000-0005-0000-0000-000014000000}"/>
    <cellStyle name="Percent 2 2" xfId="21" xr:uid="{00000000-0005-0000-0000-000015000000}"/>
    <cellStyle name="Percent 3" xfId="11" xr:uid="{00000000-0005-0000-0000-000016000000}"/>
  </cellStyles>
  <dxfs count="0"/>
  <tableStyles count="0" defaultTableStyle="TableStyleMedium2" defaultPivotStyle="PivotStyleLight16"/>
  <colors>
    <mruColors>
      <color rgb="FF00AF00"/>
      <color rgb="FF009600"/>
      <color rgb="FF0C4E54"/>
      <color rgb="FF00C800"/>
      <color rgb="FF0BA1A1"/>
      <color rgb="FF006400"/>
      <color rgb="FF00B000"/>
      <color rgb="FF50FB47"/>
      <color rgb="FF38783E"/>
      <color rgb="FF2090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95683</xdr:colOff>
      <xdr:row>4</xdr:row>
      <xdr:rowOff>110181</xdr:rowOff>
    </xdr:from>
    <xdr:to>
      <xdr:col>3</xdr:col>
      <xdr:colOff>59829</xdr:colOff>
      <xdr:row>6</xdr:row>
      <xdr:rowOff>108137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83" y="1548456"/>
          <a:ext cx="1602446" cy="3565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ducba\Madhuri\WallStreetMojo%20Articles\Articles\Financial%20Models\M&amp;M%20With%20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dex"/>
      <sheetName val="Overview"/>
      <sheetName val="Income Statement"/>
      <sheetName val="Balance Sheet"/>
      <sheetName val="Cash Flow Statement"/>
      <sheetName val="Ratio Analysis"/>
      <sheetName val="Revenue Buildup"/>
      <sheetName val="Cost Sheet"/>
      <sheetName val="Working Capital Management"/>
      <sheetName val="Depreciation Schedule"/>
      <sheetName val="Amortization Schedule"/>
      <sheetName val="Shareholder's Equity Schedule"/>
      <sheetName val="Debt Schedule"/>
      <sheetName val="DCF Valuation"/>
      <sheetName val="Relative Valuation"/>
      <sheetName val="Recommendation"/>
      <sheetName val="Recommendation det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FF"/>
      </a:accent1>
      <a:accent2>
        <a:srgbClr val="0096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llstreetmoj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AF00"/>
  </sheetPr>
  <dimension ref="A1:L23"/>
  <sheetViews>
    <sheetView showGridLines="0" zoomScaleNormal="100" workbookViewId="0">
      <selection activeCell="K23" sqref="K23"/>
    </sheetView>
  </sheetViews>
  <sheetFormatPr defaultRowHeight="14.25"/>
  <cols>
    <col min="1" max="1" width="11" style="1" customWidth="1"/>
    <col min="2" max="2" width="9.140625" style="1"/>
    <col min="3" max="3" width="4.42578125" style="1" customWidth="1"/>
    <col min="4" max="5" width="9.140625" style="1"/>
    <col min="6" max="6" width="26.140625" style="1" customWidth="1"/>
    <col min="7" max="7" width="11.28515625" style="1" customWidth="1"/>
    <col min="8" max="8" width="34.28515625" style="1" customWidth="1"/>
    <col min="9" max="10" width="9.140625" style="1"/>
    <col min="11" max="11" width="17" style="1" customWidth="1"/>
    <col min="12" max="12" width="41.7109375" style="1" customWidth="1"/>
    <col min="13" max="16384" width="9.140625" style="1"/>
  </cols>
  <sheetData>
    <row r="1" spans="1:8" ht="30.75">
      <c r="A1" s="4" t="s">
        <v>400</v>
      </c>
      <c r="B1" s="3"/>
      <c r="C1" s="3"/>
      <c r="D1" s="3"/>
      <c r="E1" s="3"/>
      <c r="F1" s="3"/>
      <c r="G1" s="3"/>
      <c r="H1" s="3"/>
    </row>
    <row r="2" spans="1:8" ht="20.25">
      <c r="A2" s="5" t="s">
        <v>399</v>
      </c>
      <c r="B2" s="3"/>
      <c r="C2" s="3"/>
      <c r="D2" s="3"/>
      <c r="E2" s="3"/>
      <c r="F2" s="3"/>
      <c r="G2" s="3"/>
      <c r="H2" s="3"/>
    </row>
    <row r="3" spans="1:8" ht="15">
      <c r="A3" s="6" t="s">
        <v>92</v>
      </c>
      <c r="B3" s="7" t="s">
        <v>37</v>
      </c>
      <c r="C3" s="3"/>
      <c r="D3" s="3"/>
      <c r="E3" s="3"/>
      <c r="F3" s="7"/>
      <c r="G3" s="7"/>
      <c r="H3" s="3"/>
    </row>
    <row r="4" spans="1:8" ht="15">
      <c r="A4" s="6"/>
      <c r="B4" s="3"/>
      <c r="C4" s="3"/>
      <c r="D4" s="3"/>
      <c r="E4" s="3"/>
      <c r="F4" s="3"/>
      <c r="G4" s="3"/>
      <c r="H4" s="3"/>
    </row>
    <row r="5" spans="1:8">
      <c r="A5" s="2"/>
      <c r="B5" s="2"/>
      <c r="C5" s="8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 ht="15.75">
      <c r="B8" s="9" t="s">
        <v>35</v>
      </c>
      <c r="C8" s="10"/>
      <c r="D8" s="11"/>
      <c r="E8" s="11"/>
    </row>
    <row r="9" spans="1:8">
      <c r="A9" s="2"/>
      <c r="B9" s="2"/>
      <c r="C9" s="8" t="s">
        <v>8</v>
      </c>
      <c r="D9" s="2"/>
      <c r="E9" s="2"/>
      <c r="F9" s="2"/>
      <c r="G9" s="2"/>
      <c r="H9" s="2"/>
    </row>
    <row r="10" spans="1:8">
      <c r="A10" s="2"/>
      <c r="B10" s="2"/>
      <c r="C10" s="8" t="s">
        <v>32</v>
      </c>
      <c r="D10" s="2"/>
      <c r="E10" s="2"/>
      <c r="F10" s="2"/>
      <c r="G10" s="2"/>
      <c r="H10" s="2"/>
    </row>
    <row r="11" spans="1:8">
      <c r="A11" s="2"/>
      <c r="B11" s="2"/>
      <c r="C11" s="8" t="s">
        <v>9</v>
      </c>
      <c r="D11" s="2"/>
      <c r="E11" s="2"/>
      <c r="F11" s="2"/>
      <c r="G11" s="2"/>
      <c r="H11" s="2"/>
    </row>
    <row r="12" spans="1:8">
      <c r="A12" s="2"/>
      <c r="B12" s="2"/>
      <c r="C12" s="12"/>
      <c r="D12" s="2"/>
      <c r="E12" s="2"/>
      <c r="F12" s="2"/>
      <c r="G12" s="2"/>
      <c r="H12" s="2"/>
    </row>
    <row r="13" spans="1:8" ht="15.75">
      <c r="B13" s="9" t="s">
        <v>36</v>
      </c>
      <c r="C13" s="13"/>
    </row>
    <row r="14" spans="1:8" ht="15">
      <c r="A14" s="2"/>
      <c r="B14" s="14"/>
      <c r="C14" s="8" t="s">
        <v>75</v>
      </c>
      <c r="D14" s="2"/>
      <c r="E14" s="2"/>
      <c r="F14" s="2"/>
      <c r="G14" s="2"/>
      <c r="H14" s="2"/>
    </row>
    <row r="15" spans="1:8" ht="15">
      <c r="A15" s="2"/>
      <c r="B15" s="14"/>
      <c r="C15" s="8" t="s">
        <v>74</v>
      </c>
      <c r="D15" s="2"/>
      <c r="E15" s="2"/>
      <c r="F15" s="2"/>
      <c r="G15" s="2"/>
      <c r="H15" s="2"/>
    </row>
    <row r="16" spans="1:8" ht="17.25">
      <c r="A16" s="2"/>
      <c r="B16" s="2"/>
      <c r="C16" s="453" t="s">
        <v>10</v>
      </c>
    </row>
    <row r="17" spans="1:12">
      <c r="A17" s="2"/>
      <c r="B17" s="2"/>
      <c r="C17" s="8" t="s">
        <v>33</v>
      </c>
      <c r="D17" s="2"/>
      <c r="E17" s="2"/>
      <c r="F17" s="2"/>
      <c r="G17" s="2"/>
      <c r="H17" s="2"/>
    </row>
    <row r="18" spans="1:12" ht="17.25">
      <c r="A18" s="2"/>
      <c r="B18" s="2"/>
      <c r="C18" s="453" t="s">
        <v>433</v>
      </c>
      <c r="D18" s="2"/>
      <c r="E18" s="2"/>
      <c r="F18" s="2"/>
      <c r="G18" s="2"/>
      <c r="H18" s="2"/>
    </row>
    <row r="19" spans="1:12" ht="17.25">
      <c r="A19" s="2"/>
      <c r="B19" s="2"/>
      <c r="C19" s="453" t="s">
        <v>401</v>
      </c>
    </row>
    <row r="20" spans="1:12" ht="17.25">
      <c r="A20" s="2"/>
      <c r="B20" s="2"/>
      <c r="C20" s="453" t="s">
        <v>34</v>
      </c>
    </row>
    <row r="21" spans="1:12" ht="17.25">
      <c r="A21" s="2"/>
      <c r="B21" s="2"/>
      <c r="C21" s="453" t="s">
        <v>76</v>
      </c>
      <c r="D21" s="2"/>
      <c r="E21" s="2"/>
      <c r="F21" s="2"/>
      <c r="G21" s="2"/>
      <c r="H21" s="2"/>
    </row>
    <row r="22" spans="1:12">
      <c r="A22" s="2"/>
      <c r="B22" s="12"/>
      <c r="C22" s="12"/>
      <c r="D22" s="2"/>
      <c r="E22" s="2"/>
      <c r="F22" s="2"/>
      <c r="G22" s="2"/>
      <c r="H22" s="2"/>
    </row>
    <row r="23" spans="1:12" ht="15">
      <c r="A23" s="15" t="s">
        <v>93</v>
      </c>
      <c r="B23" s="16" t="s">
        <v>91</v>
      </c>
      <c r="C23" s="7"/>
      <c r="D23" s="17"/>
      <c r="E23" s="17"/>
      <c r="F23" s="17"/>
      <c r="G23" s="17"/>
      <c r="H23" s="17"/>
      <c r="L23" s="484"/>
    </row>
  </sheetData>
  <hyperlinks>
    <hyperlink ref="B3" r:id="rId1" xr:uid="{00000000-0004-0000-0000-000001000000}"/>
    <hyperlink ref="C9" location="'Income Statement'!A1" display="Income Statement" xr:uid="{00000000-0004-0000-0000-000002000000}"/>
    <hyperlink ref="C11" location="'Cash Flows'!A1" display="Cash Flows" xr:uid="{00000000-0004-0000-0000-000003000000}"/>
    <hyperlink ref="C14" location="'Revenue Built-up'!A1" display="Revenue Built-up" xr:uid="{00000000-0004-0000-0000-000005000000}"/>
    <hyperlink ref="C15" location="'Cost Sheet'!A1" display="Cost Sheet" xr:uid="{00000000-0004-0000-0000-000006000000}"/>
    <hyperlink ref="C16" location="'Working Capital'!A1" display="Working Capital" xr:uid="{00000000-0004-0000-0000-000007000000}"/>
    <hyperlink ref="C17" location="'Dep Capex'!A1" display="Depreciation Schedule" xr:uid="{00000000-0004-0000-0000-000008000000}"/>
    <hyperlink ref="C20" location="'Shareholder''s Equity'!A1" display="Shareholder's Equity" xr:uid="{00000000-0004-0000-0000-00000A000000}"/>
    <hyperlink ref="C21" location="Debt!A1" display="Debt Schedule" xr:uid="{00000000-0004-0000-0000-00000B000000}"/>
    <hyperlink ref="C10" location="'Balance Sheet'!A1" display="Balance Sheet" xr:uid="{00000000-0004-0000-0000-00000F000000}"/>
    <hyperlink ref="C19" location="'Other Assets and Liabilities'!A1" display="Other Assets &amp; Liabilities" xr:uid="{794ABA6C-0325-4B59-BDBD-E8860548D91F}"/>
    <hyperlink ref="C18" location="Amortization!A1" display="Amortization Schedule" xr:uid="{FC56C0B5-9D49-4B60-B2E8-D6022F5E059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L220"/>
  <sheetViews>
    <sheetView showGridLines="0" zoomScaleNormal="100" workbookViewId="0">
      <pane ySplit="2" topLeftCell="A3" activePane="bottomLeft" state="frozen"/>
      <selection activeCell="A2" sqref="A2"/>
      <selection pane="bottomLeft" activeCell="M24" sqref="M24"/>
    </sheetView>
  </sheetViews>
  <sheetFormatPr defaultColWidth="8.7109375" defaultRowHeight="14.25" zeroHeight="1"/>
  <cols>
    <col min="1" max="1" width="3.5703125" style="55" customWidth="1"/>
    <col min="2" max="2" width="46.140625" style="29" customWidth="1"/>
    <col min="3" max="3" width="15.42578125" style="55" bestFit="1" customWidth="1"/>
    <col min="4" max="4" width="18.42578125" style="55" customWidth="1"/>
    <col min="5" max="7" width="15.42578125" style="55" bestFit="1" customWidth="1"/>
    <col min="8" max="10" width="13.140625" style="55" bestFit="1" customWidth="1"/>
    <col min="11" max="12" width="13.28515625" style="55" bestFit="1" customWidth="1"/>
    <col min="13" max="16384" width="8.7109375" style="70"/>
  </cols>
  <sheetData>
    <row r="1" spans="1:12" ht="33.75" customHeight="1">
      <c r="A1" s="449" t="str">
        <f>Index!A1</f>
        <v xml:space="preserve">McDonalds </v>
      </c>
      <c r="B1" s="450"/>
      <c r="C1" s="489" t="s">
        <v>13</v>
      </c>
      <c r="D1" s="489"/>
      <c r="E1" s="489"/>
      <c r="F1" s="489"/>
      <c r="G1" s="489"/>
      <c r="H1" s="489" t="s">
        <v>14</v>
      </c>
      <c r="I1" s="489"/>
      <c r="J1" s="489"/>
      <c r="K1" s="489"/>
      <c r="L1" s="489"/>
    </row>
    <row r="2" spans="1:12">
      <c r="A2" s="451" t="s">
        <v>89</v>
      </c>
      <c r="B2" s="452"/>
      <c r="C2" s="450">
        <v>2017</v>
      </c>
      <c r="D2" s="450">
        <f>C2+1</f>
        <v>2018</v>
      </c>
      <c r="E2" s="450">
        <f t="shared" ref="E2:G2" si="0">D2+1</f>
        <v>2019</v>
      </c>
      <c r="F2" s="450">
        <f t="shared" si="0"/>
        <v>2020</v>
      </c>
      <c r="G2" s="450">
        <f t="shared" si="0"/>
        <v>2021</v>
      </c>
      <c r="H2" s="450">
        <f t="shared" ref="H2:L2" si="1">G2+1</f>
        <v>2022</v>
      </c>
      <c r="I2" s="450">
        <f t="shared" si="1"/>
        <v>2023</v>
      </c>
      <c r="J2" s="450">
        <f t="shared" si="1"/>
        <v>2024</v>
      </c>
      <c r="K2" s="450">
        <f t="shared" si="1"/>
        <v>2025</v>
      </c>
      <c r="L2" s="450">
        <f t="shared" si="1"/>
        <v>2026</v>
      </c>
    </row>
    <row r="3" spans="1:12">
      <c r="A3" s="24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15">
      <c r="B4" s="30" t="s">
        <v>124</v>
      </c>
      <c r="C4" s="29"/>
      <c r="D4" s="29"/>
      <c r="E4" s="29"/>
      <c r="F4" s="29"/>
      <c r="G4" s="29"/>
    </row>
    <row r="5" spans="1:12">
      <c r="B5" s="31" t="s">
        <v>100</v>
      </c>
      <c r="C5" s="32">
        <v>12719</v>
      </c>
      <c r="D5" s="32">
        <v>10013</v>
      </c>
      <c r="E5" s="32">
        <v>9421</v>
      </c>
      <c r="F5" s="32">
        <v>8139</v>
      </c>
      <c r="G5" s="32">
        <v>9787</v>
      </c>
      <c r="H5" s="56">
        <f>'Revenue Built-up'!H10</f>
        <v>9703.0155188207336</v>
      </c>
      <c r="I5" s="56">
        <f>'Revenue Built-up'!I10</f>
        <v>10058.419343517533</v>
      </c>
      <c r="J5" s="56">
        <f>'Revenue Built-up'!J10</f>
        <v>10534.084281765181</v>
      </c>
      <c r="K5" s="56">
        <f>'Revenue Built-up'!K10</f>
        <v>11144.186658549987</v>
      </c>
      <c r="L5" s="56">
        <f>'Revenue Built-up'!L10</f>
        <v>11907.672482549149</v>
      </c>
    </row>
    <row r="6" spans="1:12">
      <c r="B6" s="31" t="s">
        <v>101</v>
      </c>
      <c r="C6" s="32">
        <v>10101</v>
      </c>
      <c r="D6" s="32">
        <v>11012</v>
      </c>
      <c r="E6" s="32">
        <v>11656</v>
      </c>
      <c r="F6" s="32">
        <v>10726</v>
      </c>
      <c r="G6" s="32">
        <v>13085</v>
      </c>
      <c r="H6" s="57">
        <f>'Revenue Built-up'!H16</f>
        <v>12956.418338516167</v>
      </c>
      <c r="I6" s="57">
        <f>'Revenue Built-up'!I16</f>
        <v>13300.185869751611</v>
      </c>
      <c r="J6" s="57">
        <f>'Revenue Built-up'!J16</f>
        <v>13823.750621917241</v>
      </c>
      <c r="K6" s="57">
        <f>'Revenue Built-up'!K16</f>
        <v>14543.703822272702</v>
      </c>
      <c r="L6" s="57">
        <f>'Revenue Built-up'!L16</f>
        <v>15484.219293651711</v>
      </c>
    </row>
    <row r="7" spans="1:12">
      <c r="B7" s="31" t="s">
        <v>102</v>
      </c>
      <c r="C7" s="46"/>
      <c r="D7" s="32">
        <v>233</v>
      </c>
      <c r="E7" s="32">
        <v>288</v>
      </c>
      <c r="F7" s="32">
        <v>343</v>
      </c>
      <c r="G7" s="32">
        <v>351</v>
      </c>
      <c r="H7" s="57">
        <f>'Revenue Built-up'!H23</f>
        <v>339.89150786005354</v>
      </c>
      <c r="I7" s="57">
        <f>'Revenue Built-up'!I23</f>
        <v>350.37907819903711</v>
      </c>
      <c r="J7" s="57">
        <f>'Revenue Built-up'!J23</f>
        <v>365.36752355523629</v>
      </c>
      <c r="K7" s="57">
        <f>'Revenue Built-up'!K23</f>
        <v>385.31835721234023</v>
      </c>
      <c r="L7" s="57">
        <f>'Revenue Built-up'!L23</f>
        <v>410.87837664301287</v>
      </c>
    </row>
    <row r="8" spans="1:12" ht="15">
      <c r="B8" s="42" t="s">
        <v>103</v>
      </c>
      <c r="C8" s="43">
        <f>SUM(C5:C7)</f>
        <v>22820</v>
      </c>
      <c r="D8" s="43">
        <f t="shared" ref="D8:G8" si="2">SUM(D5:D7)</f>
        <v>21258</v>
      </c>
      <c r="E8" s="43">
        <f t="shared" si="2"/>
        <v>21365</v>
      </c>
      <c r="F8" s="43">
        <f t="shared" si="2"/>
        <v>19208</v>
      </c>
      <c r="G8" s="43">
        <f t="shared" si="2"/>
        <v>23223</v>
      </c>
      <c r="H8" s="43">
        <f>SUM(H5:H7)</f>
        <v>22999.325365196957</v>
      </c>
      <c r="I8" s="43">
        <f t="shared" ref="I8:L8" si="3">SUM(I5:I7)</f>
        <v>23708.984291468179</v>
      </c>
      <c r="J8" s="43">
        <f t="shared" si="3"/>
        <v>24723.202427237658</v>
      </c>
      <c r="K8" s="43">
        <f t="shared" si="3"/>
        <v>26073.208838035029</v>
      </c>
      <c r="L8" s="43">
        <f t="shared" si="3"/>
        <v>27802.770152843874</v>
      </c>
    </row>
    <row r="9" spans="1:12" ht="15">
      <c r="B9" s="30" t="s">
        <v>125</v>
      </c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ht="15">
      <c r="B10" s="41" t="s">
        <v>104</v>
      </c>
      <c r="C10" s="43">
        <f>SUM(C11:C13)</f>
        <v>10409.6</v>
      </c>
      <c r="D10" s="43">
        <f t="shared" ref="D10:L10" si="4">SUM(D11:D13)</f>
        <v>8265.9000000000015</v>
      </c>
      <c r="E10" s="43">
        <f t="shared" si="4"/>
        <v>7760.6</v>
      </c>
      <c r="F10" s="43">
        <f t="shared" si="4"/>
        <v>6981.2000000000007</v>
      </c>
      <c r="G10" s="43">
        <f t="shared" si="4"/>
        <v>8047.3</v>
      </c>
      <c r="H10" s="43">
        <f t="shared" si="4"/>
        <v>8053.5028806212085</v>
      </c>
      <c r="I10" s="43">
        <f t="shared" si="4"/>
        <v>8348.4880551195529</v>
      </c>
      <c r="J10" s="43">
        <f t="shared" si="4"/>
        <v>8743.2899538651</v>
      </c>
      <c r="K10" s="43">
        <f t="shared" si="4"/>
        <v>9249.6749265964881</v>
      </c>
      <c r="L10" s="43">
        <f t="shared" si="4"/>
        <v>9883.3681605157926</v>
      </c>
    </row>
    <row r="11" spans="1:12">
      <c r="B11" s="31" t="s">
        <v>105</v>
      </c>
      <c r="C11" s="32">
        <v>4033.5</v>
      </c>
      <c r="D11" s="32">
        <v>3153.8</v>
      </c>
      <c r="E11" s="32">
        <v>2980.3</v>
      </c>
      <c r="F11" s="32">
        <v>2564.1999999999998</v>
      </c>
      <c r="G11" s="32">
        <v>3096.8</v>
      </c>
      <c r="H11" s="33">
        <f>'Cost Sheet'!H11</f>
        <v>3066.1529039473517</v>
      </c>
      <c r="I11" s="33">
        <f>'Cost Sheet'!I11</f>
        <v>3178.4605125515404</v>
      </c>
      <c r="J11" s="33">
        <f>'Cost Sheet'!J11</f>
        <v>3328.7706330377973</v>
      </c>
      <c r="K11" s="33">
        <f>'Cost Sheet'!K11</f>
        <v>3521.5629841017958</v>
      </c>
      <c r="L11" s="33">
        <f>'Cost Sheet'!L11</f>
        <v>3762.8245044855312</v>
      </c>
    </row>
    <row r="12" spans="1:12">
      <c r="B12" s="31" t="s">
        <v>106</v>
      </c>
      <c r="C12" s="32">
        <v>3528.5</v>
      </c>
      <c r="D12" s="32">
        <v>2937.9</v>
      </c>
      <c r="E12" s="32">
        <v>2704.4</v>
      </c>
      <c r="F12" s="32">
        <v>2416.4</v>
      </c>
      <c r="G12" s="32">
        <v>2677.2</v>
      </c>
      <c r="H12" s="33">
        <f>'Cost Sheet'!H14</f>
        <v>2775.0624383827294</v>
      </c>
      <c r="I12" s="33">
        <f>'Cost Sheet'!I14</f>
        <v>2876.707932246014</v>
      </c>
      <c r="J12" s="33">
        <f>'Cost Sheet'!J14</f>
        <v>3012.7481045848417</v>
      </c>
      <c r="K12" s="33">
        <f>'Cost Sheet'!K14</f>
        <v>3187.2373843452961</v>
      </c>
      <c r="L12" s="33">
        <f>'Cost Sheet'!L14</f>
        <v>3405.5943300090562</v>
      </c>
    </row>
    <row r="13" spans="1:12">
      <c r="B13" s="31" t="s">
        <v>107</v>
      </c>
      <c r="C13" s="32">
        <v>2847.6</v>
      </c>
      <c r="D13" s="32">
        <v>2174.1999999999998</v>
      </c>
      <c r="E13" s="32">
        <v>2075.9</v>
      </c>
      <c r="F13" s="32">
        <v>2000.6</v>
      </c>
      <c r="G13" s="32">
        <v>2273.3000000000002</v>
      </c>
      <c r="H13" s="33">
        <f>'Cost Sheet'!H17</f>
        <v>2212.2875382911275</v>
      </c>
      <c r="I13" s="33">
        <f>'Cost Sheet'!I17</f>
        <v>2293.3196103219975</v>
      </c>
      <c r="J13" s="33">
        <f>'Cost Sheet'!J17</f>
        <v>2401.7712162424614</v>
      </c>
      <c r="K13" s="33">
        <f>'Cost Sheet'!K17</f>
        <v>2540.8745581493972</v>
      </c>
      <c r="L13" s="33">
        <f>'Cost Sheet'!L17</f>
        <v>2714.9493260212062</v>
      </c>
    </row>
    <row r="14" spans="1:12" ht="15" customHeight="1">
      <c r="B14" s="41" t="s">
        <v>108</v>
      </c>
      <c r="C14" s="32">
        <v>1790</v>
      </c>
      <c r="D14" s="32">
        <v>1973.3</v>
      </c>
      <c r="E14" s="32">
        <v>2200.6</v>
      </c>
      <c r="F14" s="32">
        <v>2207.5</v>
      </c>
      <c r="G14" s="32">
        <v>2335</v>
      </c>
      <c r="H14" s="33">
        <f>'Cost Sheet'!H20</f>
        <v>2409.8938109640071</v>
      </c>
      <c r="I14" s="33">
        <f>'Cost Sheet'!I20</f>
        <v>2473.8345717737998</v>
      </c>
      <c r="J14" s="33">
        <f>'Cost Sheet'!J20</f>
        <v>2571.2176156766068</v>
      </c>
      <c r="K14" s="33">
        <f>'Cost Sheet'!K20</f>
        <v>2705.1289109427225</v>
      </c>
      <c r="L14" s="33">
        <f>'Cost Sheet'!L20</f>
        <v>2880.0647886192182</v>
      </c>
    </row>
    <row r="15" spans="1:12" ht="15">
      <c r="B15" s="41" t="s">
        <v>109</v>
      </c>
      <c r="C15" s="46"/>
      <c r="D15" s="32">
        <v>186.1</v>
      </c>
      <c r="E15" s="32">
        <v>223.8</v>
      </c>
      <c r="F15" s="32">
        <v>267</v>
      </c>
      <c r="G15" s="32">
        <v>260.39999999999998</v>
      </c>
      <c r="H15" s="33">
        <f>'Cost Sheet'!H23</f>
        <v>263.41591859154153</v>
      </c>
      <c r="I15" s="33">
        <f>'Cost Sheet'!I23</f>
        <v>271.54378560425374</v>
      </c>
      <c r="J15" s="33">
        <f>'Cost Sheet'!J23</f>
        <v>283.15983075530812</v>
      </c>
      <c r="K15" s="33">
        <f>'Cost Sheet'!K23</f>
        <v>298.62172683956368</v>
      </c>
      <c r="L15" s="33">
        <f>'Cost Sheet'!L23</f>
        <v>318.43074189833499</v>
      </c>
    </row>
    <row r="16" spans="1:12" ht="15">
      <c r="B16" s="30" t="s">
        <v>110</v>
      </c>
      <c r="C16" s="46"/>
      <c r="D16" s="46"/>
      <c r="E16" s="46"/>
      <c r="F16" s="46"/>
      <c r="G16" s="46"/>
      <c r="H16" s="33"/>
      <c r="I16" s="33"/>
      <c r="J16" s="33"/>
      <c r="K16" s="33"/>
      <c r="L16" s="33"/>
    </row>
    <row r="17" spans="2:12">
      <c r="B17" s="31" t="s">
        <v>46</v>
      </c>
      <c r="C17" s="483"/>
      <c r="D17" s="32">
        <v>214.8</v>
      </c>
      <c r="E17" s="32">
        <v>262.5</v>
      </c>
      <c r="F17" s="32">
        <v>300.60000000000002</v>
      </c>
      <c r="G17" s="32">
        <v>329.7</v>
      </c>
      <c r="H17" s="33">
        <f>'Dep Capex'!H96</f>
        <v>308.65717403504419</v>
      </c>
      <c r="I17" s="33">
        <f>'Dep Capex'!I96</f>
        <v>336.56715810817991</v>
      </c>
      <c r="J17" s="33">
        <f>'Dep Capex'!J96</f>
        <v>369.04430752074364</v>
      </c>
      <c r="K17" s="33">
        <f>'Dep Capex'!K96</f>
        <v>406.08862227273522</v>
      </c>
      <c r="L17" s="33">
        <f>'Dep Capex'!L96</f>
        <v>447.70010236415493</v>
      </c>
    </row>
    <row r="18" spans="2:12">
      <c r="B18" s="31" t="s">
        <v>111</v>
      </c>
      <c r="C18" s="32"/>
      <c r="D18" s="32">
        <v>1985.4</v>
      </c>
      <c r="E18" s="32">
        <v>1966.9</v>
      </c>
      <c r="F18" s="32">
        <v>2245</v>
      </c>
      <c r="G18" s="32">
        <v>2377.8000000000002</v>
      </c>
      <c r="H18" s="33">
        <f>'Cost Sheet'!H27</f>
        <v>2322.9318618848929</v>
      </c>
      <c r="I18" s="33">
        <f>'Cost Sheet'!I27</f>
        <v>2394.6074134382861</v>
      </c>
      <c r="J18" s="33">
        <f>'Cost Sheet'!J27</f>
        <v>2497.0434451510037</v>
      </c>
      <c r="K18" s="33">
        <f>'Cost Sheet'!K27</f>
        <v>2633.394092641538</v>
      </c>
      <c r="L18" s="33">
        <f>'Cost Sheet'!L27</f>
        <v>2808.0797854372313</v>
      </c>
    </row>
    <row r="19" spans="2:12">
      <c r="B19" s="31" t="s">
        <v>112</v>
      </c>
      <c r="C19" s="32"/>
      <c r="D19" s="32">
        <v>-190.2</v>
      </c>
      <c r="E19" s="32">
        <v>-119.8</v>
      </c>
      <c r="F19" s="32">
        <v>-117.5</v>
      </c>
      <c r="G19" s="32">
        <v>-483.3</v>
      </c>
      <c r="H19" s="33">
        <f>'Cost Sheet'!H30</f>
        <v>-413.98785657354517</v>
      </c>
      <c r="I19" s="33">
        <f>'Cost Sheet'!I30</f>
        <v>-426.76171724642722</v>
      </c>
      <c r="J19" s="33">
        <f>'Cost Sheet'!J30</f>
        <v>-445.01764369027779</v>
      </c>
      <c r="K19" s="33">
        <f>'Cost Sheet'!K30</f>
        <v>-469.3177590846305</v>
      </c>
      <c r="L19" s="33">
        <f>'Cost Sheet'!L30</f>
        <v>-500.4498627511897</v>
      </c>
    </row>
    <row r="20" spans="2:12" ht="15">
      <c r="B20" s="41" t="s">
        <v>113</v>
      </c>
      <c r="C20" s="40"/>
      <c r="D20" s="40">
        <f t="shared" ref="D20:F20" si="5">SUM(D17:D19)+D15+D14+D10</f>
        <v>12435.300000000003</v>
      </c>
      <c r="E20" s="40">
        <f t="shared" si="5"/>
        <v>12294.6</v>
      </c>
      <c r="F20" s="40">
        <f t="shared" si="5"/>
        <v>11883.800000000001</v>
      </c>
      <c r="G20" s="40">
        <f>SUM(G17:G19)+G15+G14+G10</f>
        <v>12866.900000000001</v>
      </c>
      <c r="H20" s="40">
        <f t="shared" ref="H20:L20" si="6">SUM(H17:H19)+H15+H14+H10</f>
        <v>12944.413789523149</v>
      </c>
      <c r="I20" s="40">
        <f t="shared" si="6"/>
        <v>13398.279266797645</v>
      </c>
      <c r="J20" s="40">
        <f t="shared" si="6"/>
        <v>14018.737509278484</v>
      </c>
      <c r="K20" s="40">
        <f t="shared" si="6"/>
        <v>14823.590520208418</v>
      </c>
      <c r="L20" s="40">
        <f t="shared" si="6"/>
        <v>15837.193716083542</v>
      </c>
    </row>
    <row r="21" spans="2:12" ht="15">
      <c r="B21" s="42" t="s">
        <v>114</v>
      </c>
      <c r="C21" s="43"/>
      <c r="D21" s="43">
        <f t="shared" ref="D21:F21" si="7">D8-D20</f>
        <v>8822.6999999999971</v>
      </c>
      <c r="E21" s="43">
        <f t="shared" si="7"/>
        <v>9070.4</v>
      </c>
      <c r="F21" s="43">
        <f t="shared" si="7"/>
        <v>7324.1999999999989</v>
      </c>
      <c r="G21" s="43">
        <f>G8-G20</f>
        <v>10356.099999999999</v>
      </c>
      <c r="H21" s="43">
        <f t="shared" ref="H21:L21" si="8">H8-H20</f>
        <v>10054.911575673808</v>
      </c>
      <c r="I21" s="43">
        <f t="shared" si="8"/>
        <v>10310.705024670535</v>
      </c>
      <c r="J21" s="43">
        <f t="shared" si="8"/>
        <v>10704.464917959174</v>
      </c>
      <c r="K21" s="43">
        <f t="shared" si="8"/>
        <v>11249.618317826611</v>
      </c>
      <c r="L21" s="43">
        <f t="shared" si="8"/>
        <v>11965.576436760331</v>
      </c>
    </row>
    <row r="22" spans="2:12">
      <c r="B22" s="31" t="s">
        <v>126</v>
      </c>
      <c r="C22" s="32"/>
      <c r="D22" s="32">
        <v>981.2</v>
      </c>
      <c r="E22" s="32">
        <v>1121.9000000000001</v>
      </c>
      <c r="F22" s="32">
        <v>1218.0999999999999</v>
      </c>
      <c r="G22" s="32">
        <v>1185.8</v>
      </c>
      <c r="H22" s="485">
        <f ca="1">Debt!H35</f>
        <v>1186.2359100000001</v>
      </c>
      <c r="I22" s="485">
        <f ca="1">Debt!I35</f>
        <v>1144.0165050000001</v>
      </c>
      <c r="J22" s="485">
        <f ca="1">Debt!J35</f>
        <v>1059.3160328515371</v>
      </c>
      <c r="K22" s="485">
        <f ca="1">Debt!K35</f>
        <v>997.62477761361276</v>
      </c>
      <c r="L22" s="485">
        <f ca="1">Debt!L35</f>
        <v>960.29357119393546</v>
      </c>
    </row>
    <row r="23" spans="2:12">
      <c r="B23" s="31" t="s">
        <v>115</v>
      </c>
      <c r="C23" s="32"/>
      <c r="D23" s="32">
        <v>25.3</v>
      </c>
      <c r="E23" s="32">
        <v>-70.2</v>
      </c>
      <c r="F23" s="32">
        <v>-34.799999999999997</v>
      </c>
      <c r="G23" s="32">
        <v>42.3</v>
      </c>
      <c r="H23" s="33">
        <f ca="1">'Cost Sheet'!H33-Debt!H39</f>
        <v>-10.350752237115302</v>
      </c>
      <c r="I23" s="33">
        <f ca="1">'Cost Sheet'!I33-Debt!I39</f>
        <v>-7.2481842055197179</v>
      </c>
      <c r="J23" s="33">
        <f ca="1">'Cost Sheet'!J33-Debt!J39</f>
        <v>-3.290511968424858</v>
      </c>
      <c r="K23" s="33">
        <f ca="1">'Cost Sheet'!K33-Debt!K39</f>
        <v>-1.9550000002757482</v>
      </c>
      <c r="L23" s="33">
        <f ca="1">'Cost Sheet'!L33-Debt!L39</f>
        <v>-1.9550000016265368</v>
      </c>
    </row>
    <row r="24" spans="2:12" ht="15">
      <c r="B24" s="42" t="s">
        <v>116</v>
      </c>
      <c r="C24" s="254"/>
      <c r="D24" s="254">
        <f>D21-D22-D23</f>
        <v>7816.1999999999971</v>
      </c>
      <c r="E24" s="254">
        <f t="shared" ref="E24:L24" si="9">E21-E22-E23</f>
        <v>8018.7</v>
      </c>
      <c r="F24" s="254">
        <f t="shared" si="9"/>
        <v>6140.8999999999987</v>
      </c>
      <c r="G24" s="254">
        <f t="shared" si="9"/>
        <v>9128</v>
      </c>
      <c r="H24" s="254">
        <f t="shared" ca="1" si="9"/>
        <v>8879.0264179109236</v>
      </c>
      <c r="I24" s="254">
        <f t="shared" ca="1" si="9"/>
        <v>9173.9367038760556</v>
      </c>
      <c r="J24" s="254">
        <f t="shared" ca="1" si="9"/>
        <v>9648.439397076063</v>
      </c>
      <c r="K24" s="254">
        <f t="shared" ca="1" si="9"/>
        <v>10253.948540213274</v>
      </c>
      <c r="L24" s="254">
        <f t="shared" ca="1" si="9"/>
        <v>11007.237865568022</v>
      </c>
    </row>
    <row r="25" spans="2:12">
      <c r="B25" s="255" t="s">
        <v>117</v>
      </c>
      <c r="C25" s="256"/>
      <c r="D25" s="256">
        <v>1891.8</v>
      </c>
      <c r="E25" s="256">
        <v>1992.7</v>
      </c>
      <c r="F25" s="256">
        <v>1410.2</v>
      </c>
      <c r="G25" s="256">
        <v>1582.7</v>
      </c>
      <c r="H25" s="257">
        <f ca="1">'Cost Sheet'!H36</f>
        <v>1864.5955477612938</v>
      </c>
      <c r="I25" s="257">
        <f ca="1">'Cost Sheet'!I36</f>
        <v>1926.5267078139716</v>
      </c>
      <c r="J25" s="257">
        <f ca="1">'Cost Sheet'!J36</f>
        <v>2026.1722733858269</v>
      </c>
      <c r="K25" s="257">
        <f ca="1">'Cost Sheet'!K36</f>
        <v>2153.3291934430135</v>
      </c>
      <c r="L25" s="257">
        <f ca="1">'Cost Sheet'!L36</f>
        <v>2311.5199517582587</v>
      </c>
    </row>
    <row r="26" spans="2:12" ht="15.75" thickBot="1">
      <c r="B26" s="259" t="s">
        <v>118</v>
      </c>
      <c r="C26" s="260"/>
      <c r="D26" s="260">
        <f>D24-D25</f>
        <v>5924.3999999999969</v>
      </c>
      <c r="E26" s="260">
        <f t="shared" ref="E26:L26" si="10">E24-E25</f>
        <v>6026</v>
      </c>
      <c r="F26" s="260">
        <f t="shared" si="10"/>
        <v>4730.6999999999989</v>
      </c>
      <c r="G26" s="260">
        <f t="shared" si="10"/>
        <v>7545.3</v>
      </c>
      <c r="H26" s="260">
        <f t="shared" ca="1" si="10"/>
        <v>7014.4308701496302</v>
      </c>
      <c r="I26" s="260">
        <f t="shared" ca="1" si="10"/>
        <v>7247.4099960620842</v>
      </c>
      <c r="J26" s="260">
        <f t="shared" ca="1" si="10"/>
        <v>7622.2671236902361</v>
      </c>
      <c r="K26" s="260">
        <f t="shared" ca="1" si="10"/>
        <v>8100.6193467702606</v>
      </c>
      <c r="L26" s="260">
        <f t="shared" ca="1" si="10"/>
        <v>8695.7179138097636</v>
      </c>
    </row>
    <row r="27" spans="2:12" ht="15" thickTop="1">
      <c r="B27" s="258" t="s">
        <v>119</v>
      </c>
      <c r="C27" s="261"/>
      <c r="D27" s="261">
        <v>7.61</v>
      </c>
      <c r="E27" s="261">
        <v>7.95</v>
      </c>
      <c r="F27" s="261">
        <v>6.35</v>
      </c>
      <c r="G27" s="261">
        <v>10.11</v>
      </c>
      <c r="H27" s="262">
        <f ca="1">H26/H30</f>
        <v>9.4854072373749876</v>
      </c>
      <c r="I27" s="262">
        <f t="shared" ref="I27:L27" ca="1" si="11">I26/I30</f>
        <v>9.8868781262956542</v>
      </c>
      <c r="J27" s="262">
        <f t="shared" ca="1" si="11"/>
        <v>10.484173914772622</v>
      </c>
      <c r="K27" s="262">
        <f t="shared" ca="1" si="11"/>
        <v>11.227171012002287</v>
      </c>
      <c r="L27" s="262">
        <f t="shared" ca="1" si="11"/>
        <v>12.135686616762539</v>
      </c>
    </row>
    <row r="28" spans="2:12">
      <c r="B28" s="31" t="s">
        <v>120</v>
      </c>
      <c r="C28" s="263"/>
      <c r="D28" s="263">
        <v>7.54</v>
      </c>
      <c r="E28" s="263">
        <v>7.88</v>
      </c>
      <c r="F28" s="263">
        <v>6.31</v>
      </c>
      <c r="G28" s="263">
        <v>10.039999999999999</v>
      </c>
      <c r="H28" s="264">
        <f ca="1">H26/H31</f>
        <v>9.4153804656869831</v>
      </c>
      <c r="I28" s="264">
        <f t="shared" ref="I28:L28" ca="1" si="12">I26/I31</f>
        <v>9.8132486279053044</v>
      </c>
      <c r="J28" s="264">
        <f t="shared" ca="1" si="12"/>
        <v>10.405455950103839</v>
      </c>
      <c r="K28" s="264">
        <f t="shared" ca="1" si="12"/>
        <v>11.142235921810615</v>
      </c>
      <c r="L28" s="264">
        <f t="shared" ca="1" si="12"/>
        <v>12.043245509381213</v>
      </c>
    </row>
    <row r="29" spans="2:12">
      <c r="B29" s="31" t="s">
        <v>121</v>
      </c>
      <c r="C29" s="263"/>
      <c r="D29" s="263">
        <v>4.1900000000000004</v>
      </c>
      <c r="E29" s="263">
        <v>4.7300000000000004</v>
      </c>
      <c r="F29" s="263">
        <v>5.04</v>
      </c>
      <c r="G29" s="263">
        <v>5.25</v>
      </c>
      <c r="H29" s="265">
        <f ca="1">'Shareholder''s Equity'!H31</f>
        <v>5.7433820840690597</v>
      </c>
      <c r="I29" s="265">
        <f ca="1">'Shareholder''s Equity'!I31</f>
        <v>5.9860816630222349</v>
      </c>
      <c r="J29" s="265">
        <f ca="1">'Shareholder''s Equity'!J31</f>
        <v>6.347328129562178</v>
      </c>
      <c r="K29" s="265">
        <f ca="1">'Shareholder''s Equity'!K31</f>
        <v>6.7967639122837804</v>
      </c>
      <c r="L29" s="265">
        <f ca="1">'Shareholder''s Equity'!L31</f>
        <v>7.3463797606043535</v>
      </c>
    </row>
    <row r="30" spans="2:12">
      <c r="B30" s="31" t="s">
        <v>122</v>
      </c>
      <c r="C30" s="37"/>
      <c r="D30" s="37">
        <v>778.2</v>
      </c>
      <c r="E30" s="37">
        <v>758.1</v>
      </c>
      <c r="F30" s="37">
        <v>744.6</v>
      </c>
      <c r="G30" s="37">
        <v>746.3</v>
      </c>
      <c r="H30" s="60">
        <f ca="1">'Shareholder''s Equity'!H28</f>
        <v>739.49707109157487</v>
      </c>
      <c r="I30" s="60">
        <f ca="1">'Shareholder''s Equity'!I28</f>
        <v>733.03320861076429</v>
      </c>
      <c r="J30" s="60">
        <f ca="1">'Shareholder''s Equity'!J28</f>
        <v>727.02600945506265</v>
      </c>
      <c r="K30" s="60">
        <f ca="1">'Shareholder''s Equity'!K28</f>
        <v>721.5191910863964</v>
      </c>
      <c r="L30" s="60">
        <f ca="1">'Shareholder''s Equity'!L28</f>
        <v>716.54107331585897</v>
      </c>
    </row>
    <row r="31" spans="2:12" ht="16.5" customHeight="1">
      <c r="B31" s="31" t="s">
        <v>123</v>
      </c>
      <c r="C31" s="37"/>
      <c r="D31" s="37">
        <v>785.6</v>
      </c>
      <c r="E31" s="37">
        <v>764.9</v>
      </c>
      <c r="F31" s="37">
        <v>750.1</v>
      </c>
      <c r="G31" s="37">
        <v>751.8</v>
      </c>
      <c r="H31" s="60">
        <f ca="1">'Shareholder''s Equity'!H29</f>
        <v>744.99707109157487</v>
      </c>
      <c r="I31" s="60">
        <f ca="1">'Shareholder''s Equity'!I29</f>
        <v>738.53320861076429</v>
      </c>
      <c r="J31" s="60">
        <f ca="1">'Shareholder''s Equity'!J29</f>
        <v>732.52600945506265</v>
      </c>
      <c r="K31" s="60">
        <f ca="1">'Shareholder''s Equity'!K29</f>
        <v>727.0191910863964</v>
      </c>
      <c r="L31" s="60">
        <f ca="1">'Shareholder''s Equity'!L29</f>
        <v>722.04107331585897</v>
      </c>
    </row>
    <row r="32" spans="2:12">
      <c r="B32" s="31"/>
      <c r="C32" s="36"/>
      <c r="D32" s="36"/>
      <c r="E32" s="36"/>
      <c r="F32" s="36"/>
      <c r="G32" s="36"/>
    </row>
    <row r="33" spans="1:12">
      <c r="B33" s="31" t="s">
        <v>402</v>
      </c>
      <c r="C33" s="59"/>
      <c r="D33" s="59">
        <f>D21</f>
        <v>8822.6999999999971</v>
      </c>
      <c r="E33" s="59">
        <f t="shared" ref="E33:G33" si="13">E21</f>
        <v>9070.4</v>
      </c>
      <c r="F33" s="59">
        <f t="shared" si="13"/>
        <v>7324.1999999999989</v>
      </c>
      <c r="G33" s="59">
        <f t="shared" si="13"/>
        <v>10356.099999999999</v>
      </c>
      <c r="H33" s="59"/>
      <c r="I33" s="59"/>
      <c r="J33" s="59"/>
      <c r="K33" s="59"/>
      <c r="L33" s="59"/>
    </row>
    <row r="34" spans="1:12">
      <c r="B34" s="31" t="s">
        <v>317</v>
      </c>
      <c r="C34" s="60"/>
      <c r="D34" s="60">
        <f>'Cash Flows'!D7</f>
        <v>1482</v>
      </c>
      <c r="E34" s="60">
        <f>'Cash Flows'!E7</f>
        <v>1617.9</v>
      </c>
      <c r="F34" s="60">
        <f>'Cash Flows'!F7</f>
        <v>1751.4</v>
      </c>
      <c r="G34" s="60">
        <f>'Cash Flows'!G7</f>
        <v>1868.1</v>
      </c>
      <c r="H34" s="60"/>
      <c r="I34" s="60"/>
      <c r="J34" s="60"/>
      <c r="K34" s="60"/>
      <c r="L34" s="60"/>
    </row>
    <row r="35" spans="1:12" ht="15">
      <c r="B35" s="31" t="s">
        <v>314</v>
      </c>
      <c r="C35" s="61"/>
      <c r="D35" s="61">
        <f>D33+D34</f>
        <v>10304.699999999997</v>
      </c>
      <c r="E35" s="61">
        <f t="shared" ref="E35:G35" si="14">E33+E34</f>
        <v>10688.3</v>
      </c>
      <c r="F35" s="61">
        <f t="shared" si="14"/>
        <v>9075.5999999999985</v>
      </c>
      <c r="G35" s="61">
        <f t="shared" si="14"/>
        <v>12224.199999999999</v>
      </c>
      <c r="H35" s="61"/>
      <c r="I35" s="61"/>
      <c r="J35" s="61"/>
      <c r="K35" s="61"/>
      <c r="L35" s="61"/>
    </row>
    <row r="36" spans="1:12">
      <c r="B36" s="31" t="s">
        <v>403</v>
      </c>
      <c r="C36" s="84"/>
      <c r="D36" s="84">
        <f>D35/D8</f>
        <v>0.48474456675134053</v>
      </c>
      <c r="E36" s="84">
        <f t="shared" ref="E36:G36" si="15">E35/E8</f>
        <v>0.50027147203369993</v>
      </c>
      <c r="F36" s="84">
        <f t="shared" si="15"/>
        <v>0.47249062890462301</v>
      </c>
      <c r="G36" s="84">
        <f t="shared" si="15"/>
        <v>0.52638332687421951</v>
      </c>
      <c r="H36" s="84"/>
      <c r="I36" s="84"/>
      <c r="J36" s="84"/>
      <c r="K36" s="84"/>
      <c r="L36" s="84"/>
    </row>
    <row r="37" spans="1:12" s="27" customFormat="1" ht="15">
      <c r="A37" s="20"/>
      <c r="B37" s="30" t="s">
        <v>404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s="27" customFormat="1">
      <c r="A38" s="20"/>
      <c r="B38" s="139" t="str">
        <f>B5</f>
        <v>Sales by Company-operated restaurants</v>
      </c>
      <c r="C38" s="63"/>
      <c r="D38" s="63">
        <f>D5</f>
        <v>10013</v>
      </c>
      <c r="E38" s="63">
        <f t="shared" ref="E38:G38" si="16">E5</f>
        <v>9421</v>
      </c>
      <c r="F38" s="63">
        <f t="shared" si="16"/>
        <v>8139</v>
      </c>
      <c r="G38" s="63">
        <f t="shared" si="16"/>
        <v>9787</v>
      </c>
      <c r="H38" s="63"/>
      <c r="I38" s="63"/>
      <c r="J38" s="63"/>
      <c r="K38" s="63"/>
      <c r="L38" s="63"/>
    </row>
    <row r="39" spans="1:12" s="27" customFormat="1">
      <c r="A39" s="20"/>
      <c r="B39" s="139" t="s">
        <v>320</v>
      </c>
      <c r="C39" s="63"/>
      <c r="D39" s="63">
        <f>SUM(D11:D13)</f>
        <v>8265.9000000000015</v>
      </c>
      <c r="E39" s="63">
        <f t="shared" ref="E39:G39" si="17">SUM(E11:E13)</f>
        <v>7760.6</v>
      </c>
      <c r="F39" s="63">
        <f t="shared" si="17"/>
        <v>6981.2000000000007</v>
      </c>
      <c r="G39" s="63">
        <f t="shared" si="17"/>
        <v>8047.3</v>
      </c>
      <c r="H39" s="63"/>
      <c r="I39" s="63"/>
      <c r="J39" s="63"/>
      <c r="K39" s="63"/>
      <c r="L39" s="63"/>
    </row>
    <row r="40" spans="1:12" s="27" customFormat="1">
      <c r="A40" s="20"/>
      <c r="B40" s="139" t="s">
        <v>395</v>
      </c>
      <c r="C40" s="63"/>
      <c r="D40" s="63">
        <f>D38-D39</f>
        <v>1747.0999999999985</v>
      </c>
      <c r="E40" s="63">
        <f t="shared" ref="E40:G40" si="18">E38-E39</f>
        <v>1660.3999999999996</v>
      </c>
      <c r="F40" s="63">
        <f t="shared" si="18"/>
        <v>1157.7999999999993</v>
      </c>
      <c r="G40" s="63">
        <f t="shared" si="18"/>
        <v>1739.6999999999998</v>
      </c>
      <c r="H40" s="63"/>
      <c r="I40" s="63"/>
      <c r="J40" s="63"/>
      <c r="K40" s="63"/>
      <c r="L40" s="63"/>
    </row>
    <row r="41" spans="1:12" s="27" customFormat="1" ht="15">
      <c r="A41" s="20"/>
      <c r="B41" s="65" t="s">
        <v>358</v>
      </c>
      <c r="C41" s="293"/>
      <c r="D41" s="293">
        <f>D40/D38</f>
        <v>0.17448317187656032</v>
      </c>
      <c r="E41" s="293">
        <f t="shared" ref="E41:G41" si="19">E40/E38</f>
        <v>0.17624456002547498</v>
      </c>
      <c r="F41" s="293">
        <f t="shared" si="19"/>
        <v>0.14225334807715928</v>
      </c>
      <c r="G41" s="293">
        <f t="shared" si="19"/>
        <v>0.17775620721365074</v>
      </c>
      <c r="H41" s="293"/>
      <c r="I41" s="293"/>
      <c r="J41" s="293"/>
      <c r="K41" s="293"/>
      <c r="L41" s="293"/>
    </row>
    <row r="42" spans="1:12" s="27" customForma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s="27" customFormat="1" ht="15">
      <c r="A43" s="20"/>
      <c r="B43" s="30" t="s">
        <v>319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s="27" customFormat="1">
      <c r="A44" s="20"/>
      <c r="B44" s="139" t="str">
        <f>B6</f>
        <v>Revenues from franchised restaurants</v>
      </c>
      <c r="C44" s="63"/>
      <c r="D44" s="63">
        <f>D6</f>
        <v>11012</v>
      </c>
      <c r="E44" s="63">
        <f t="shared" ref="E44:G44" si="20">E6</f>
        <v>11656</v>
      </c>
      <c r="F44" s="63">
        <f t="shared" si="20"/>
        <v>10726</v>
      </c>
      <c r="G44" s="63">
        <f t="shared" si="20"/>
        <v>13085</v>
      </c>
      <c r="H44" s="63"/>
      <c r="I44" s="63"/>
      <c r="J44" s="63"/>
      <c r="K44" s="63"/>
      <c r="L44" s="63"/>
    </row>
    <row r="45" spans="1:12" s="27" customFormat="1">
      <c r="A45" s="20"/>
      <c r="B45" s="139" t="s">
        <v>321</v>
      </c>
      <c r="C45" s="67"/>
      <c r="D45" s="67">
        <f>D14</f>
        <v>1973.3</v>
      </c>
      <c r="E45" s="67">
        <f t="shared" ref="E45:G45" si="21">E14</f>
        <v>2200.6</v>
      </c>
      <c r="F45" s="67">
        <f t="shared" si="21"/>
        <v>2207.5</v>
      </c>
      <c r="G45" s="67">
        <f t="shared" si="21"/>
        <v>2335</v>
      </c>
      <c r="H45" s="67"/>
      <c r="I45" s="67"/>
      <c r="J45" s="67"/>
      <c r="K45" s="67"/>
      <c r="L45" s="67"/>
    </row>
    <row r="46" spans="1:12" s="27" customFormat="1">
      <c r="A46" s="20"/>
      <c r="B46" s="139" t="s">
        <v>395</v>
      </c>
      <c r="C46" s="63"/>
      <c r="D46" s="63">
        <f>D44-D45</f>
        <v>9038.7000000000007</v>
      </c>
      <c r="E46" s="63">
        <f t="shared" ref="E46:G46" si="22">E44-E45</f>
        <v>9455.4</v>
      </c>
      <c r="F46" s="63">
        <f t="shared" si="22"/>
        <v>8518.5</v>
      </c>
      <c r="G46" s="63">
        <f t="shared" si="22"/>
        <v>10750</v>
      </c>
      <c r="H46" s="63"/>
      <c r="I46" s="63"/>
      <c r="J46" s="63"/>
      <c r="K46" s="63"/>
      <c r="L46" s="63"/>
    </row>
    <row r="47" spans="1:12" s="27" customFormat="1" ht="15">
      <c r="A47" s="20"/>
      <c r="B47" s="65" t="s">
        <v>358</v>
      </c>
      <c r="C47" s="293"/>
      <c r="D47" s="293">
        <f>D46/D44</f>
        <v>0.82080457682528163</v>
      </c>
      <c r="E47" s="293">
        <f t="shared" ref="E47:G47" si="23">E46/E44</f>
        <v>0.81120452985586822</v>
      </c>
      <c r="F47" s="293">
        <f t="shared" si="23"/>
        <v>0.79419168375909011</v>
      </c>
      <c r="G47" s="293">
        <f t="shared" si="23"/>
        <v>0.8215513947267864</v>
      </c>
      <c r="H47" s="293"/>
      <c r="I47" s="293"/>
      <c r="J47" s="293"/>
      <c r="K47" s="293"/>
      <c r="L47" s="293"/>
    </row>
    <row r="48" spans="1:12">
      <c r="B48" s="31"/>
      <c r="C48" s="36"/>
      <c r="D48" s="36"/>
      <c r="E48" s="36"/>
      <c r="F48" s="36"/>
      <c r="G48" s="36"/>
    </row>
    <row r="49" spans="1:12">
      <c r="B49" s="31"/>
      <c r="C49" s="36"/>
      <c r="D49" s="36"/>
      <c r="E49" s="36"/>
      <c r="F49" s="36"/>
      <c r="G49" s="36"/>
    </row>
    <row r="50" spans="1:12">
      <c r="B50" s="31"/>
      <c r="C50" s="36"/>
      <c r="D50" s="36"/>
      <c r="E50" s="36"/>
      <c r="F50" s="36"/>
      <c r="G50" s="36"/>
    </row>
    <row r="51" spans="1:12">
      <c r="B51" s="450" t="s">
        <v>191</v>
      </c>
      <c r="C51" s="450">
        <f>C2</f>
        <v>2017</v>
      </c>
      <c r="D51" s="450">
        <f t="shared" ref="D51:G51" si="24">D2</f>
        <v>2018</v>
      </c>
      <c r="E51" s="450">
        <f t="shared" si="24"/>
        <v>2019</v>
      </c>
      <c r="F51" s="450">
        <f t="shared" si="24"/>
        <v>2020</v>
      </c>
      <c r="G51" s="450">
        <f t="shared" si="24"/>
        <v>2021</v>
      </c>
      <c r="H51" s="450">
        <f t="shared" ref="H51:L51" si="25">H2</f>
        <v>2022</v>
      </c>
      <c r="I51" s="450">
        <f t="shared" si="25"/>
        <v>2023</v>
      </c>
      <c r="J51" s="450">
        <f t="shared" si="25"/>
        <v>2024</v>
      </c>
      <c r="K51" s="450">
        <f t="shared" si="25"/>
        <v>2025</v>
      </c>
      <c r="L51" s="450">
        <f t="shared" si="25"/>
        <v>2026</v>
      </c>
    </row>
    <row r="52" spans="1:12" ht="15">
      <c r="B52" s="30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1:12">
      <c r="B53" s="31" t="s">
        <v>100</v>
      </c>
      <c r="C53" s="68">
        <f>C5/C$8</f>
        <v>0.55736196319018405</v>
      </c>
      <c r="D53" s="68">
        <f t="shared" ref="D53:G53" si="26">D5/D$8</f>
        <v>0.47102267381691598</v>
      </c>
      <c r="E53" s="68">
        <f t="shared" si="26"/>
        <v>0.44095483267025509</v>
      </c>
      <c r="F53" s="68">
        <f t="shared" si="26"/>
        <v>0.42372969596001664</v>
      </c>
      <c r="G53" s="68">
        <f t="shared" si="26"/>
        <v>0.42143564569607717</v>
      </c>
      <c r="H53" s="68"/>
      <c r="I53" s="68"/>
      <c r="J53" s="68"/>
      <c r="K53" s="68"/>
      <c r="L53" s="68"/>
    </row>
    <row r="54" spans="1:12">
      <c r="B54" s="31" t="s">
        <v>101</v>
      </c>
      <c r="C54" s="68">
        <f t="shared" ref="C54:G56" si="27">C6/C$8</f>
        <v>0.44263803680981595</v>
      </c>
      <c r="D54" s="68">
        <f t="shared" si="27"/>
        <v>0.51801674663656039</v>
      </c>
      <c r="E54" s="68">
        <f t="shared" si="27"/>
        <v>0.54556517669084947</v>
      </c>
      <c r="F54" s="68">
        <f t="shared" si="27"/>
        <v>0.55841316118284046</v>
      </c>
      <c r="G54" s="68">
        <f t="shared" si="27"/>
        <v>0.56345002798949317</v>
      </c>
      <c r="H54" s="68"/>
      <c r="I54" s="68"/>
      <c r="J54" s="68"/>
      <c r="K54" s="68"/>
      <c r="L54" s="68"/>
    </row>
    <row r="55" spans="1:12">
      <c r="A55" s="69"/>
      <c r="B55" s="31" t="s">
        <v>102</v>
      </c>
      <c r="C55" s="68">
        <f t="shared" si="27"/>
        <v>0</v>
      </c>
      <c r="D55" s="68">
        <f t="shared" si="27"/>
        <v>1.0960579546523661E-2</v>
      </c>
      <c r="E55" s="68">
        <f t="shared" si="27"/>
        <v>1.347999063889539E-2</v>
      </c>
      <c r="F55" s="68">
        <f t="shared" si="27"/>
        <v>1.7857142857142856E-2</v>
      </c>
      <c r="G55" s="68">
        <f t="shared" si="27"/>
        <v>1.511432631442966E-2</v>
      </c>
      <c r="H55" s="68"/>
      <c r="I55" s="68"/>
      <c r="J55" s="68"/>
      <c r="K55" s="68"/>
      <c r="L55" s="68"/>
    </row>
    <row r="56" spans="1:12" ht="15">
      <c r="A56" s="70"/>
      <c r="B56" s="444" t="s">
        <v>103</v>
      </c>
      <c r="C56" s="68">
        <f t="shared" si="27"/>
        <v>1</v>
      </c>
      <c r="D56" s="68">
        <f t="shared" si="27"/>
        <v>1</v>
      </c>
      <c r="E56" s="68">
        <f t="shared" si="27"/>
        <v>1</v>
      </c>
      <c r="F56" s="68">
        <f t="shared" si="27"/>
        <v>1</v>
      </c>
      <c r="G56" s="68">
        <f t="shared" si="27"/>
        <v>1</v>
      </c>
      <c r="H56" s="68"/>
      <c r="I56" s="68"/>
      <c r="J56" s="68"/>
      <c r="K56" s="68"/>
      <c r="L56" s="68"/>
    </row>
    <row r="57" spans="1:12" ht="15">
      <c r="A57" s="70"/>
      <c r="B57" s="445" t="s">
        <v>125</v>
      </c>
      <c r="C57" s="70"/>
      <c r="D57" s="70"/>
      <c r="E57" s="70"/>
      <c r="F57" s="70"/>
      <c r="G57" s="70"/>
      <c r="H57" s="70"/>
      <c r="I57" s="70"/>
      <c r="J57" s="70"/>
      <c r="K57" s="70"/>
      <c r="L57" s="70"/>
    </row>
    <row r="58" spans="1:12" ht="15">
      <c r="A58" s="69"/>
      <c r="B58" s="41" t="s">
        <v>104</v>
      </c>
      <c r="C58" s="68">
        <f t="shared" ref="C58:G58" si="28">C10/C$8</f>
        <v>0.45616126205083263</v>
      </c>
      <c r="D58" s="68">
        <f t="shared" si="28"/>
        <v>0.38883714366356203</v>
      </c>
      <c r="E58" s="68">
        <f t="shared" si="28"/>
        <v>0.36323894219517905</v>
      </c>
      <c r="F58" s="68">
        <f t="shared" si="28"/>
        <v>0.36345272802998757</v>
      </c>
      <c r="G58" s="68">
        <f t="shared" si="28"/>
        <v>0.34652284373250658</v>
      </c>
      <c r="H58" s="68"/>
      <c r="I58" s="68"/>
      <c r="J58" s="68"/>
      <c r="K58" s="68"/>
      <c r="L58" s="68"/>
    </row>
    <row r="59" spans="1:12">
      <c r="A59" s="69"/>
      <c r="B59" s="31" t="s">
        <v>105</v>
      </c>
      <c r="C59" s="68">
        <f t="shared" ref="C59:G59" si="29">C11/C$8</f>
        <v>0.17675284837861524</v>
      </c>
      <c r="D59" s="68">
        <f t="shared" si="29"/>
        <v>0.14835826512371814</v>
      </c>
      <c r="E59" s="68">
        <f t="shared" si="29"/>
        <v>0.13949450035104144</v>
      </c>
      <c r="F59" s="68">
        <f t="shared" si="29"/>
        <v>0.13349645980841315</v>
      </c>
      <c r="G59" s="68">
        <f t="shared" si="29"/>
        <v>0.13335055763682557</v>
      </c>
      <c r="H59" s="68"/>
      <c r="I59" s="68"/>
      <c r="J59" s="68"/>
      <c r="K59" s="68"/>
      <c r="L59" s="68"/>
    </row>
    <row r="60" spans="1:12">
      <c r="A60" s="69"/>
      <c r="B60" s="31" t="s">
        <v>106</v>
      </c>
      <c r="C60" s="68">
        <f t="shared" ref="C60:G60" si="30">C12/C$8</f>
        <v>0.15462313759859772</v>
      </c>
      <c r="D60" s="68">
        <f t="shared" si="30"/>
        <v>0.13820208862545866</v>
      </c>
      <c r="E60" s="68">
        <f t="shared" si="30"/>
        <v>0.12658085654107185</v>
      </c>
      <c r="F60" s="68">
        <f t="shared" si="30"/>
        <v>0.12580174927113702</v>
      </c>
      <c r="G60" s="68">
        <f t="shared" si="30"/>
        <v>0.11528226327347887</v>
      </c>
      <c r="H60" s="68"/>
      <c r="I60" s="68"/>
      <c r="J60" s="68"/>
      <c r="K60" s="68"/>
      <c r="L60" s="68"/>
    </row>
    <row r="61" spans="1:12">
      <c r="A61" s="69"/>
      <c r="B61" s="31" t="s">
        <v>107</v>
      </c>
      <c r="C61" s="68">
        <f t="shared" ref="C61:G61" si="31">C13/C$8</f>
        <v>0.12478527607361962</v>
      </c>
      <c r="D61" s="68">
        <f t="shared" si="31"/>
        <v>0.10227678991438516</v>
      </c>
      <c r="E61" s="68">
        <f t="shared" si="31"/>
        <v>9.7163585303065764E-2</v>
      </c>
      <c r="F61" s="68">
        <f t="shared" si="31"/>
        <v>0.10415451895043731</v>
      </c>
      <c r="G61" s="68">
        <f t="shared" si="31"/>
        <v>9.7890022822202133E-2</v>
      </c>
      <c r="H61" s="68"/>
      <c r="I61" s="68"/>
      <c r="J61" s="68"/>
      <c r="K61" s="68"/>
      <c r="L61" s="68"/>
    </row>
    <row r="62" spans="1:12" ht="28.5">
      <c r="A62" s="69"/>
      <c r="B62" s="31" t="s">
        <v>271</v>
      </c>
      <c r="C62" s="68">
        <f t="shared" ref="C62:G62" si="32">C14/C$8</f>
        <v>7.8439964943032431E-2</v>
      </c>
      <c r="D62" s="68">
        <f t="shared" si="32"/>
        <v>9.2826230125129361E-2</v>
      </c>
      <c r="E62" s="68">
        <f t="shared" si="32"/>
        <v>0.10300023402761525</v>
      </c>
      <c r="F62" s="68">
        <f t="shared" si="32"/>
        <v>0.11492607246980424</v>
      </c>
      <c r="G62" s="68">
        <f t="shared" si="32"/>
        <v>0.10054687163587822</v>
      </c>
      <c r="H62" s="68"/>
      <c r="I62" s="68"/>
      <c r="J62" s="68"/>
      <c r="K62" s="68"/>
      <c r="L62" s="68"/>
    </row>
    <row r="63" spans="1:12" ht="28.5">
      <c r="A63" s="69"/>
      <c r="B63" s="31" t="s">
        <v>270</v>
      </c>
      <c r="C63" s="68">
        <f t="shared" ref="C63:G63" si="33">C15/C$8</f>
        <v>0</v>
      </c>
      <c r="D63" s="68">
        <f t="shared" si="33"/>
        <v>8.7543513030388549E-3</v>
      </c>
      <c r="E63" s="68">
        <f t="shared" si="33"/>
        <v>1.047507605897496E-2</v>
      </c>
      <c r="F63" s="68">
        <f t="shared" si="33"/>
        <v>1.3900458142440651E-2</v>
      </c>
      <c r="G63" s="68">
        <f t="shared" si="33"/>
        <v>1.1213021573440124E-2</v>
      </c>
      <c r="H63" s="68"/>
      <c r="I63" s="68"/>
      <c r="J63" s="68"/>
      <c r="K63" s="68"/>
      <c r="L63" s="68"/>
    </row>
    <row r="64" spans="1:12" ht="15">
      <c r="A64" s="69"/>
      <c r="B64" s="30" t="s">
        <v>110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</row>
    <row r="65" spans="1:12">
      <c r="A65" s="69"/>
      <c r="B65" s="31" t="s">
        <v>46</v>
      </c>
      <c r="C65" s="68">
        <f t="shared" ref="C65:G65" si="34">C17/C$8</f>
        <v>0</v>
      </c>
      <c r="D65" s="68">
        <f t="shared" si="34"/>
        <v>1.0104431272932543E-2</v>
      </c>
      <c r="E65" s="68">
        <f t="shared" si="34"/>
        <v>1.2286449801076528E-2</v>
      </c>
      <c r="F65" s="68">
        <f t="shared" si="34"/>
        <v>1.5649729279466892E-2</v>
      </c>
      <c r="G65" s="68">
        <f t="shared" si="34"/>
        <v>1.4197132153468543E-2</v>
      </c>
      <c r="H65" s="68"/>
      <c r="I65" s="68"/>
      <c r="J65" s="68"/>
      <c r="K65" s="68"/>
      <c r="L65" s="68"/>
    </row>
    <row r="66" spans="1:12">
      <c r="A66" s="69"/>
      <c r="B66" s="31" t="s">
        <v>111</v>
      </c>
      <c r="C66" s="68">
        <f t="shared" ref="C66:G66" si="35">C18/C$8</f>
        <v>0</v>
      </c>
      <c r="D66" s="68">
        <f t="shared" si="35"/>
        <v>9.3395427603725656E-2</v>
      </c>
      <c r="E66" s="68">
        <f t="shared" si="35"/>
        <v>9.2061783290428273E-2</v>
      </c>
      <c r="F66" s="68">
        <f t="shared" si="35"/>
        <v>0.11687838400666389</v>
      </c>
      <c r="G66" s="68">
        <f t="shared" si="35"/>
        <v>0.10238987210954657</v>
      </c>
      <c r="H66" s="68"/>
      <c r="I66" s="68"/>
      <c r="J66" s="68"/>
      <c r="K66" s="68"/>
      <c r="L66" s="68"/>
    </row>
    <row r="67" spans="1:12">
      <c r="A67" s="69"/>
      <c r="B67" s="31" t="s">
        <v>112</v>
      </c>
      <c r="C67" s="68">
        <f t="shared" ref="C67:G67" si="36">C19/C$8</f>
        <v>0</v>
      </c>
      <c r="D67" s="68">
        <f t="shared" si="36"/>
        <v>-8.947219870166525E-3</v>
      </c>
      <c r="E67" s="68">
        <f t="shared" si="36"/>
        <v>-5.6073016615960682E-3</v>
      </c>
      <c r="F67" s="68">
        <f t="shared" si="36"/>
        <v>-6.1172428154935444E-3</v>
      </c>
      <c r="G67" s="68">
        <f t="shared" si="36"/>
        <v>-2.0811264694483918E-2</v>
      </c>
      <c r="H67" s="68"/>
      <c r="I67" s="68"/>
      <c r="J67" s="68"/>
      <c r="K67" s="68"/>
      <c r="L67" s="68"/>
    </row>
    <row r="68" spans="1:12" ht="15">
      <c r="A68" s="69"/>
      <c r="B68" s="41" t="s">
        <v>113</v>
      </c>
      <c r="C68" s="68">
        <f t="shared" ref="C68:G68" si="37">C20/C$8</f>
        <v>0</v>
      </c>
      <c r="D68" s="68">
        <f t="shared" si="37"/>
        <v>0.58497036409822201</v>
      </c>
      <c r="E68" s="68">
        <f t="shared" si="37"/>
        <v>0.57545518371167803</v>
      </c>
      <c r="F68" s="68">
        <f t="shared" si="37"/>
        <v>0.61869012911286969</v>
      </c>
      <c r="G68" s="68">
        <f t="shared" si="37"/>
        <v>0.55405847651035622</v>
      </c>
      <c r="H68" s="68"/>
      <c r="I68" s="68"/>
      <c r="J68" s="68"/>
      <c r="K68" s="68"/>
      <c r="L68" s="68"/>
    </row>
    <row r="69" spans="1:12" ht="15">
      <c r="A69" s="69"/>
      <c r="B69" s="42" t="s">
        <v>114</v>
      </c>
      <c r="C69" s="68">
        <f t="shared" ref="C69:G69" si="38">C21/C$8</f>
        <v>0</v>
      </c>
      <c r="D69" s="68">
        <f t="shared" si="38"/>
        <v>0.41502963590177799</v>
      </c>
      <c r="E69" s="68">
        <f t="shared" si="38"/>
        <v>0.42454481628832202</v>
      </c>
      <c r="F69" s="68">
        <f t="shared" si="38"/>
        <v>0.38130987088713031</v>
      </c>
      <c r="G69" s="68">
        <f t="shared" si="38"/>
        <v>0.44594152348964383</v>
      </c>
      <c r="H69" s="68"/>
      <c r="I69" s="68"/>
      <c r="J69" s="68"/>
      <c r="K69" s="68"/>
      <c r="L69" s="68"/>
    </row>
    <row r="70" spans="1:12">
      <c r="A70" s="69"/>
      <c r="B70" s="31" t="s">
        <v>126</v>
      </c>
      <c r="C70" s="68">
        <f t="shared" ref="C70:G70" si="39">C22/C$8</f>
        <v>0</v>
      </c>
      <c r="D70" s="68">
        <f t="shared" si="39"/>
        <v>4.6156740991626685E-2</v>
      </c>
      <c r="E70" s="68">
        <f t="shared" si="39"/>
        <v>5.2511116311724788E-2</v>
      </c>
      <c r="F70" s="68">
        <f t="shared" si="39"/>
        <v>6.3416284881299453E-2</v>
      </c>
      <c r="G70" s="68">
        <f t="shared" si="39"/>
        <v>5.1061447702708519E-2</v>
      </c>
      <c r="H70" s="68"/>
      <c r="I70" s="68"/>
      <c r="J70" s="68"/>
      <c r="K70" s="68"/>
      <c r="L70" s="68"/>
    </row>
    <row r="71" spans="1:12">
      <c r="A71" s="69"/>
      <c r="B71" s="31" t="s">
        <v>115</v>
      </c>
      <c r="C71" s="68">
        <f t="shared" ref="C71:G71" si="40">C23/C$8</f>
        <v>0</v>
      </c>
      <c r="D71" s="68">
        <f t="shared" si="40"/>
        <v>1.1901401825195222E-3</v>
      </c>
      <c r="E71" s="68">
        <f t="shared" si="40"/>
        <v>-3.2857477182307512E-3</v>
      </c>
      <c r="F71" s="68">
        <f t="shared" si="40"/>
        <v>-1.8117451062057476E-3</v>
      </c>
      <c r="G71" s="68">
        <f t="shared" si="40"/>
        <v>1.8214700943030614E-3</v>
      </c>
      <c r="H71" s="68"/>
      <c r="I71" s="68"/>
      <c r="J71" s="68"/>
      <c r="K71" s="68"/>
      <c r="L71" s="68"/>
    </row>
    <row r="72" spans="1:12" ht="15">
      <c r="A72" s="69"/>
      <c r="B72" s="42" t="s">
        <v>116</v>
      </c>
      <c r="C72" s="68">
        <f t="shared" ref="C72:G72" si="41">C24/C$8</f>
        <v>0</v>
      </c>
      <c r="D72" s="68">
        <f t="shared" si="41"/>
        <v>0.36768275472763179</v>
      </c>
      <c r="E72" s="68">
        <f t="shared" si="41"/>
        <v>0.375319447694828</v>
      </c>
      <c r="F72" s="68">
        <f t="shared" si="41"/>
        <v>0.31970533111203658</v>
      </c>
      <c r="G72" s="68">
        <f t="shared" si="41"/>
        <v>0.39305860569263229</v>
      </c>
      <c r="H72" s="68"/>
      <c r="I72" s="68"/>
      <c r="J72" s="68"/>
      <c r="K72" s="68"/>
      <c r="L72" s="68"/>
    </row>
    <row r="73" spans="1:12">
      <c r="A73" s="69"/>
      <c r="B73" s="31" t="s">
        <v>117</v>
      </c>
      <c r="C73" s="68">
        <f t="shared" ref="C73:G73" si="42">C25/C$8</f>
        <v>0</v>
      </c>
      <c r="D73" s="68">
        <f t="shared" si="42"/>
        <v>8.8992379339542751E-2</v>
      </c>
      <c r="E73" s="68">
        <f t="shared" si="42"/>
        <v>9.326936578516265E-2</v>
      </c>
      <c r="F73" s="68">
        <f t="shared" si="42"/>
        <v>7.3417326114119122E-2</v>
      </c>
      <c r="G73" s="68">
        <f t="shared" si="42"/>
        <v>6.8152262842871292E-2</v>
      </c>
      <c r="H73" s="68"/>
      <c r="I73" s="68"/>
      <c r="J73" s="68"/>
      <c r="K73" s="68"/>
      <c r="L73" s="68"/>
    </row>
    <row r="74" spans="1:12" ht="15">
      <c r="A74" s="69"/>
      <c r="B74" s="42" t="s">
        <v>118</v>
      </c>
      <c r="C74" s="68">
        <f t="shared" ref="C74:G74" si="43">C26/C$8</f>
        <v>0</v>
      </c>
      <c r="D74" s="68">
        <f t="shared" si="43"/>
        <v>0.27869037538808905</v>
      </c>
      <c r="E74" s="68">
        <f t="shared" si="43"/>
        <v>0.28205008190966535</v>
      </c>
      <c r="F74" s="68">
        <f t="shared" si="43"/>
        <v>0.24628800499791748</v>
      </c>
      <c r="G74" s="68">
        <f t="shared" si="43"/>
        <v>0.324906342849761</v>
      </c>
      <c r="H74" s="68"/>
      <c r="I74" s="68"/>
      <c r="J74" s="68"/>
      <c r="K74" s="68"/>
      <c r="L74" s="68"/>
    </row>
    <row r="75" spans="1:12">
      <c r="A75" s="70"/>
      <c r="B75" s="45"/>
      <c r="C75" s="70"/>
      <c r="D75" s="70"/>
      <c r="E75" s="70"/>
      <c r="F75" s="71"/>
      <c r="G75" s="71"/>
      <c r="H75" s="71"/>
      <c r="I75" s="71"/>
      <c r="J75" s="71"/>
      <c r="K75" s="71"/>
      <c r="L75" s="71"/>
    </row>
    <row r="76" spans="1:12">
      <c r="A76" s="70"/>
      <c r="B76" s="55"/>
      <c r="C76" s="70"/>
      <c r="D76" s="70"/>
      <c r="E76" s="70"/>
      <c r="F76" s="71"/>
      <c r="G76" s="71"/>
      <c r="H76" s="70"/>
      <c r="I76" s="70"/>
      <c r="J76" s="70"/>
      <c r="K76" s="70"/>
      <c r="L76" s="70"/>
    </row>
    <row r="77" spans="1:12">
      <c r="A77" s="70"/>
      <c r="B77" s="45"/>
      <c r="C77" s="70"/>
      <c r="D77" s="70"/>
      <c r="E77" s="70"/>
      <c r="F77" s="71"/>
      <c r="G77" s="71"/>
      <c r="H77" s="70"/>
      <c r="I77" s="70"/>
      <c r="J77" s="70"/>
      <c r="K77" s="70"/>
      <c r="L77" s="70"/>
    </row>
    <row r="78" spans="1:12">
      <c r="A78" s="70"/>
      <c r="B78" s="45"/>
      <c r="C78" s="70"/>
      <c r="D78" s="70"/>
      <c r="E78" s="70"/>
      <c r="F78" s="71"/>
      <c r="G78" s="71"/>
      <c r="H78" s="70"/>
      <c r="I78" s="70"/>
      <c r="J78" s="70"/>
      <c r="K78" s="70"/>
      <c r="L78" s="70"/>
    </row>
    <row r="79" spans="1:12">
      <c r="A79" s="70"/>
      <c r="B79" s="45"/>
      <c r="C79" s="70"/>
      <c r="D79" s="70"/>
      <c r="E79" s="70"/>
      <c r="F79" s="71"/>
      <c r="G79" s="71"/>
      <c r="H79" s="70"/>
      <c r="I79" s="70"/>
      <c r="J79" s="70"/>
      <c r="K79" s="70"/>
      <c r="L79" s="70"/>
    </row>
    <row r="80" spans="1:12">
      <c r="A80" s="70"/>
      <c r="B80" s="45"/>
      <c r="C80" s="70"/>
      <c r="D80" s="70"/>
      <c r="E80" s="70"/>
      <c r="F80" s="71"/>
      <c r="G80" s="71"/>
      <c r="H80" s="70"/>
      <c r="I80" s="70"/>
      <c r="J80" s="70"/>
      <c r="K80" s="70"/>
      <c r="L80" s="70"/>
    </row>
    <row r="81" spans="2:7" s="70" customFormat="1">
      <c r="B81" s="45"/>
      <c r="F81" s="71"/>
      <c r="G81" s="71"/>
    </row>
    <row r="82" spans="2:7" s="70" customFormat="1">
      <c r="B82" s="45"/>
      <c r="F82" s="71"/>
      <c r="G82" s="71"/>
    </row>
    <row r="83" spans="2:7" s="70" customFormat="1">
      <c r="B83" s="45"/>
      <c r="F83" s="71"/>
      <c r="G83" s="71"/>
    </row>
    <row r="84" spans="2:7" s="70" customFormat="1">
      <c r="B84" s="45"/>
      <c r="F84" s="71"/>
      <c r="G84" s="71"/>
    </row>
    <row r="85" spans="2:7" s="70" customFormat="1">
      <c r="B85" s="45"/>
      <c r="F85" s="71"/>
      <c r="G85" s="71"/>
    </row>
    <row r="86" spans="2:7" s="70" customFormat="1">
      <c r="B86" s="45"/>
      <c r="F86" s="71"/>
      <c r="G86" s="71"/>
    </row>
    <row r="87" spans="2:7" s="70" customFormat="1">
      <c r="B87" s="45"/>
      <c r="F87" s="71"/>
      <c r="G87" s="71"/>
    </row>
    <row r="88" spans="2:7" s="70" customFormat="1">
      <c r="B88" s="45"/>
      <c r="F88" s="71"/>
      <c r="G88" s="71"/>
    </row>
    <row r="89" spans="2:7" s="70" customFormat="1">
      <c r="B89" s="45"/>
      <c r="F89" s="71"/>
      <c r="G89" s="71"/>
    </row>
    <row r="90" spans="2:7" s="70" customFormat="1">
      <c r="B90" s="45"/>
      <c r="F90" s="71"/>
      <c r="G90" s="71"/>
    </row>
    <row r="91" spans="2:7" s="70" customFormat="1">
      <c r="B91" s="45"/>
      <c r="F91" s="71"/>
      <c r="G91" s="71"/>
    </row>
    <row r="92" spans="2:7" s="70" customFormat="1">
      <c r="B92" s="45"/>
    </row>
    <row r="93" spans="2:7" s="70" customFormat="1">
      <c r="B93" s="45"/>
    </row>
    <row r="94" spans="2:7" s="70" customFormat="1">
      <c r="B94" s="45"/>
    </row>
    <row r="95" spans="2:7" s="70" customFormat="1">
      <c r="B95" s="45"/>
    </row>
    <row r="96" spans="2:7" s="70" customFormat="1">
      <c r="B96" s="45"/>
    </row>
    <row r="97" spans="2:2" s="70" customFormat="1">
      <c r="B97" s="45"/>
    </row>
    <row r="98" spans="2:2" s="70" customFormat="1">
      <c r="B98" s="45"/>
    </row>
    <row r="99" spans="2:2" s="70" customFormat="1">
      <c r="B99" s="45"/>
    </row>
    <row r="100" spans="2:2" s="70" customFormat="1">
      <c r="B100" s="45"/>
    </row>
    <row r="101" spans="2:2" s="70" customFormat="1">
      <c r="B101" s="45"/>
    </row>
    <row r="102" spans="2:2" s="70" customFormat="1">
      <c r="B102" s="45"/>
    </row>
    <row r="103" spans="2:2" s="70" customFormat="1">
      <c r="B103" s="45"/>
    </row>
    <row r="104" spans="2:2" s="70" customFormat="1">
      <c r="B104" s="45"/>
    </row>
    <row r="105" spans="2:2" s="70" customFormat="1">
      <c r="B105" s="45"/>
    </row>
    <row r="106" spans="2:2" s="70" customFormat="1">
      <c r="B106" s="45"/>
    </row>
    <row r="107" spans="2:2" s="70" customFormat="1">
      <c r="B107" s="45"/>
    </row>
    <row r="108" spans="2:2" s="70" customFormat="1">
      <c r="B108" s="45"/>
    </row>
    <row r="109" spans="2:2" s="70" customFormat="1">
      <c r="B109" s="45"/>
    </row>
    <row r="110" spans="2:2" s="70" customFormat="1">
      <c r="B110" s="45"/>
    </row>
    <row r="111" spans="2:2" s="70" customFormat="1">
      <c r="B111" s="45"/>
    </row>
    <row r="112" spans="2:2" s="70" customFormat="1">
      <c r="B112" s="45"/>
    </row>
    <row r="113" spans="2:2" s="70" customFormat="1">
      <c r="B113" s="45"/>
    </row>
    <row r="114" spans="2:2" s="70" customFormat="1">
      <c r="B114" s="45"/>
    </row>
    <row r="115" spans="2:2" s="70" customFormat="1">
      <c r="B115" s="45"/>
    </row>
    <row r="116" spans="2:2" s="70" customFormat="1">
      <c r="B116" s="45"/>
    </row>
    <row r="117" spans="2:2" s="70" customFormat="1">
      <c r="B117" s="45"/>
    </row>
    <row r="118" spans="2:2" s="70" customFormat="1">
      <c r="B118" s="45"/>
    </row>
    <row r="119" spans="2:2" s="70" customFormat="1">
      <c r="B119" s="45"/>
    </row>
    <row r="120" spans="2:2" s="70" customFormat="1">
      <c r="B120" s="45"/>
    </row>
    <row r="121" spans="2:2" s="70" customFormat="1">
      <c r="B121" s="45"/>
    </row>
    <row r="122" spans="2:2" s="70" customFormat="1">
      <c r="B122" s="45"/>
    </row>
    <row r="123" spans="2:2" s="70" customFormat="1">
      <c r="B123" s="45"/>
    </row>
    <row r="124" spans="2:2" s="70" customFormat="1">
      <c r="B124" s="45"/>
    </row>
    <row r="125" spans="2:2" s="70" customFormat="1">
      <c r="B125" s="45"/>
    </row>
    <row r="126" spans="2:2" s="70" customFormat="1">
      <c r="B126" s="45"/>
    </row>
    <row r="127" spans="2:2" s="70" customFormat="1">
      <c r="B127" s="45"/>
    </row>
    <row r="128" spans="2:2" s="70" customFormat="1">
      <c r="B128" s="45"/>
    </row>
    <row r="129" spans="2:2" s="70" customFormat="1">
      <c r="B129" s="45"/>
    </row>
    <row r="130" spans="2:2" s="70" customFormat="1">
      <c r="B130" s="45"/>
    </row>
    <row r="131" spans="2:2" s="70" customFormat="1">
      <c r="B131" s="45"/>
    </row>
    <row r="132" spans="2:2" s="70" customFormat="1">
      <c r="B132" s="45"/>
    </row>
    <row r="133" spans="2:2" s="70" customFormat="1">
      <c r="B133" s="45"/>
    </row>
    <row r="134" spans="2:2" s="70" customFormat="1">
      <c r="B134" s="45"/>
    </row>
    <row r="135" spans="2:2" s="70" customFormat="1">
      <c r="B135" s="45"/>
    </row>
    <row r="136" spans="2:2" s="70" customFormat="1">
      <c r="B136" s="45"/>
    </row>
    <row r="137" spans="2:2" s="70" customFormat="1">
      <c r="B137" s="45"/>
    </row>
    <row r="138" spans="2:2" s="70" customFormat="1">
      <c r="B138" s="45"/>
    </row>
    <row r="139" spans="2:2" s="70" customFormat="1">
      <c r="B139" s="45"/>
    </row>
    <row r="140" spans="2:2" s="70" customFormat="1">
      <c r="B140" s="45"/>
    </row>
    <row r="141" spans="2:2" s="70" customFormat="1">
      <c r="B141" s="45"/>
    </row>
    <row r="142" spans="2:2" s="70" customFormat="1">
      <c r="B142" s="45"/>
    </row>
    <row r="143" spans="2:2" s="70" customFormat="1">
      <c r="B143" s="45"/>
    </row>
    <row r="144" spans="2:2" s="70" customFormat="1">
      <c r="B144" s="45"/>
    </row>
    <row r="145" spans="2:2" s="70" customFormat="1">
      <c r="B145" s="45"/>
    </row>
    <row r="146" spans="2:2" s="70" customFormat="1">
      <c r="B146" s="45"/>
    </row>
    <row r="147" spans="2:2" s="70" customFormat="1">
      <c r="B147" s="45"/>
    </row>
    <row r="148" spans="2:2" s="70" customFormat="1">
      <c r="B148" s="45"/>
    </row>
    <row r="149" spans="2:2" s="70" customFormat="1">
      <c r="B149" s="45"/>
    </row>
    <row r="150" spans="2:2" s="70" customFormat="1">
      <c r="B150" s="45"/>
    </row>
    <row r="151" spans="2:2" s="70" customFormat="1">
      <c r="B151" s="45"/>
    </row>
    <row r="152" spans="2:2" s="70" customFormat="1">
      <c r="B152" s="45"/>
    </row>
    <row r="153" spans="2:2" s="70" customFormat="1">
      <c r="B153" s="45"/>
    </row>
    <row r="154" spans="2:2" s="70" customFormat="1">
      <c r="B154" s="45"/>
    </row>
    <row r="155" spans="2:2" s="70" customFormat="1">
      <c r="B155" s="45"/>
    </row>
    <row r="156" spans="2:2" s="70" customFormat="1">
      <c r="B156" s="45"/>
    </row>
    <row r="157" spans="2:2" s="70" customFormat="1">
      <c r="B157" s="45"/>
    </row>
    <row r="158" spans="2:2" s="70" customFormat="1">
      <c r="B158" s="45"/>
    </row>
    <row r="159" spans="2:2" s="70" customFormat="1">
      <c r="B159" s="45"/>
    </row>
    <row r="160" spans="2:2" s="70" customFormat="1">
      <c r="B160" s="45"/>
    </row>
    <row r="161" spans="2:2" s="70" customFormat="1">
      <c r="B161" s="45"/>
    </row>
    <row r="162" spans="2:2" s="70" customFormat="1">
      <c r="B162" s="45"/>
    </row>
    <row r="163" spans="2:2" s="70" customFormat="1">
      <c r="B163" s="45"/>
    </row>
    <row r="164" spans="2:2" s="70" customFormat="1">
      <c r="B164" s="45"/>
    </row>
    <row r="165" spans="2:2" s="70" customFormat="1">
      <c r="B165" s="45"/>
    </row>
    <row r="166" spans="2:2" s="70" customFormat="1">
      <c r="B166" s="45"/>
    </row>
    <row r="167" spans="2:2" s="70" customFormat="1">
      <c r="B167" s="45"/>
    </row>
    <row r="168" spans="2:2" s="70" customFormat="1">
      <c r="B168" s="45"/>
    </row>
    <row r="169" spans="2:2" s="70" customFormat="1">
      <c r="B169" s="45"/>
    </row>
    <row r="170" spans="2:2" s="70" customFormat="1">
      <c r="B170" s="45"/>
    </row>
    <row r="171" spans="2:2" s="70" customFormat="1">
      <c r="B171" s="45"/>
    </row>
    <row r="172" spans="2:2" s="70" customFormat="1">
      <c r="B172" s="45"/>
    </row>
    <row r="173" spans="2:2" s="70" customFormat="1">
      <c r="B173" s="45"/>
    </row>
    <row r="174" spans="2:2" s="70" customFormat="1">
      <c r="B174" s="45"/>
    </row>
    <row r="175" spans="2:2" s="70" customFormat="1">
      <c r="B175" s="45"/>
    </row>
    <row r="176" spans="2:2" s="70" customFormat="1">
      <c r="B176" s="45"/>
    </row>
    <row r="177" spans="2:2" s="70" customFormat="1">
      <c r="B177" s="45"/>
    </row>
    <row r="178" spans="2:2" s="70" customFormat="1">
      <c r="B178" s="45"/>
    </row>
    <row r="179" spans="2:2" s="70" customFormat="1">
      <c r="B179" s="45"/>
    </row>
    <row r="180" spans="2:2" s="70" customFormat="1">
      <c r="B180" s="45"/>
    </row>
    <row r="181" spans="2:2" s="70" customFormat="1">
      <c r="B181" s="45"/>
    </row>
    <row r="182" spans="2:2" s="70" customFormat="1">
      <c r="B182" s="45"/>
    </row>
    <row r="183" spans="2:2" s="70" customFormat="1">
      <c r="B183" s="45"/>
    </row>
    <row r="184" spans="2:2" s="70" customFormat="1">
      <c r="B184" s="45"/>
    </row>
    <row r="185" spans="2:2" s="70" customFormat="1">
      <c r="B185" s="45"/>
    </row>
    <row r="186" spans="2:2" s="70" customFormat="1">
      <c r="B186" s="45"/>
    </row>
    <row r="187" spans="2:2" s="70" customFormat="1">
      <c r="B187" s="45"/>
    </row>
    <row r="188" spans="2:2" s="70" customFormat="1">
      <c r="B188" s="45"/>
    </row>
    <row r="189" spans="2:2" s="70" customFormat="1">
      <c r="B189" s="45"/>
    </row>
    <row r="190" spans="2:2" s="70" customFormat="1">
      <c r="B190" s="45"/>
    </row>
    <row r="191" spans="2:2" s="70" customFormat="1">
      <c r="B191" s="45"/>
    </row>
    <row r="192" spans="2:2" s="70" customFormat="1">
      <c r="B192" s="45"/>
    </row>
    <row r="193" spans="2:2" s="70" customFormat="1">
      <c r="B193" s="45"/>
    </row>
    <row r="194" spans="2:2" s="70" customFormat="1">
      <c r="B194" s="45"/>
    </row>
    <row r="195" spans="2:2" s="70" customFormat="1">
      <c r="B195" s="45"/>
    </row>
    <row r="196" spans="2:2" s="70" customFormat="1">
      <c r="B196" s="45"/>
    </row>
    <row r="197" spans="2:2" s="70" customFormat="1">
      <c r="B197" s="45"/>
    </row>
    <row r="198" spans="2:2" s="70" customFormat="1">
      <c r="B198" s="45"/>
    </row>
    <row r="199" spans="2:2" s="70" customFormat="1">
      <c r="B199" s="45"/>
    </row>
    <row r="200" spans="2:2" s="70" customFormat="1">
      <c r="B200" s="45"/>
    </row>
    <row r="201" spans="2:2" s="70" customFormat="1">
      <c r="B201" s="45"/>
    </row>
    <row r="202" spans="2:2" s="70" customFormat="1">
      <c r="B202" s="45"/>
    </row>
    <row r="203" spans="2:2" s="70" customFormat="1">
      <c r="B203" s="45"/>
    </row>
    <row r="204" spans="2:2" s="70" customFormat="1">
      <c r="B204" s="45"/>
    </row>
    <row r="205" spans="2:2" s="70" customFormat="1">
      <c r="B205" s="45"/>
    </row>
    <row r="206" spans="2:2" s="70" customFormat="1">
      <c r="B206" s="45"/>
    </row>
    <row r="207" spans="2:2" s="70" customFormat="1">
      <c r="B207" s="45"/>
    </row>
    <row r="208" spans="2:2" s="70" customFormat="1">
      <c r="B208" s="45"/>
    </row>
    <row r="209" spans="1:12">
      <c r="A209" s="70"/>
      <c r="B209" s="45"/>
      <c r="C209" s="70"/>
      <c r="D209" s="70"/>
      <c r="E209" s="70"/>
      <c r="F209" s="70"/>
      <c r="G209" s="70"/>
      <c r="H209" s="70"/>
      <c r="I209" s="70"/>
      <c r="J209" s="70"/>
      <c r="K209" s="70"/>
      <c r="L209" s="70"/>
    </row>
    <row r="210" spans="1:12">
      <c r="A210" s="70"/>
      <c r="B210" s="45"/>
      <c r="C210" s="70"/>
      <c r="D210" s="70"/>
      <c r="E210" s="70"/>
      <c r="F210" s="70"/>
      <c r="G210" s="70"/>
      <c r="H210" s="70"/>
      <c r="I210" s="70"/>
      <c r="J210" s="70"/>
      <c r="K210" s="70"/>
      <c r="L210" s="70"/>
    </row>
    <row r="211" spans="1:12">
      <c r="A211" s="70"/>
      <c r="B211" s="45"/>
      <c r="C211" s="70"/>
      <c r="D211" s="70"/>
      <c r="E211" s="70"/>
      <c r="F211" s="70"/>
      <c r="G211" s="70"/>
      <c r="H211" s="70"/>
      <c r="I211" s="70"/>
      <c r="J211" s="70"/>
      <c r="K211" s="70"/>
      <c r="L211" s="70"/>
    </row>
    <row r="212" spans="1:12">
      <c r="A212" s="70"/>
      <c r="B212" s="45"/>
      <c r="C212" s="70"/>
      <c r="D212" s="70"/>
      <c r="E212" s="70"/>
      <c r="F212" s="70"/>
      <c r="G212" s="70"/>
      <c r="H212" s="70"/>
      <c r="I212" s="70"/>
      <c r="J212" s="70"/>
      <c r="K212" s="70"/>
      <c r="L212" s="70"/>
    </row>
    <row r="213" spans="1:12">
      <c r="A213" s="70"/>
      <c r="B213" s="45"/>
      <c r="C213" s="70"/>
      <c r="D213" s="70"/>
      <c r="E213" s="70"/>
      <c r="F213" s="70"/>
      <c r="G213" s="70"/>
      <c r="H213" s="70"/>
      <c r="I213" s="70"/>
      <c r="J213" s="70"/>
      <c r="K213" s="70"/>
      <c r="L213" s="70"/>
    </row>
    <row r="214" spans="1:12">
      <c r="A214" s="70"/>
      <c r="B214" s="45"/>
      <c r="C214" s="70"/>
      <c r="D214" s="70"/>
      <c r="E214" s="70"/>
      <c r="F214" s="70"/>
      <c r="G214" s="70"/>
      <c r="H214" s="70"/>
      <c r="I214" s="70"/>
      <c r="J214" s="70"/>
      <c r="K214" s="70"/>
      <c r="L214" s="70"/>
    </row>
    <row r="215" spans="1:12">
      <c r="A215" s="70"/>
      <c r="B215" s="45"/>
      <c r="C215" s="70"/>
      <c r="D215" s="70"/>
      <c r="E215" s="70"/>
      <c r="F215" s="70"/>
      <c r="G215" s="70"/>
      <c r="H215" s="70"/>
      <c r="I215" s="70"/>
      <c r="J215" s="70"/>
      <c r="K215" s="70"/>
      <c r="L215" s="70"/>
    </row>
    <row r="216" spans="1:12">
      <c r="A216" s="70"/>
      <c r="B216" s="45"/>
      <c r="C216" s="70"/>
      <c r="D216" s="70"/>
      <c r="E216" s="70"/>
      <c r="F216" s="70"/>
      <c r="G216" s="70"/>
      <c r="H216" s="70"/>
      <c r="I216" s="70"/>
      <c r="J216" s="70"/>
      <c r="K216" s="70"/>
      <c r="L216" s="70"/>
    </row>
    <row r="217" spans="1:12">
      <c r="A217" s="70"/>
      <c r="B217" s="45"/>
      <c r="C217" s="70"/>
      <c r="D217" s="70"/>
      <c r="E217" s="70"/>
      <c r="F217" s="70"/>
      <c r="G217" s="70"/>
      <c r="H217" s="70"/>
      <c r="I217" s="70"/>
      <c r="J217" s="70"/>
      <c r="K217" s="70"/>
      <c r="L217" s="70"/>
    </row>
    <row r="218" spans="1:12"/>
    <row r="219" spans="1:12"/>
    <row r="220" spans="1:12"/>
  </sheetData>
  <mergeCells count="2">
    <mergeCell ref="H1:L1"/>
    <mergeCell ref="C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6"/>
  <sheetViews>
    <sheetView zoomScaleNormal="1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H48" sqref="H48"/>
    </sheetView>
  </sheetViews>
  <sheetFormatPr defaultColWidth="8.7109375" defaultRowHeight="14.25" zeroHeight="1"/>
  <cols>
    <col min="1" max="1" width="3.5703125" style="20" customWidth="1"/>
    <col min="2" max="2" width="54.5703125" style="20" customWidth="1"/>
    <col min="3" max="12" width="12.5703125" style="20" customWidth="1"/>
    <col min="13" max="13" width="9.7109375" style="20" bestFit="1" customWidth="1"/>
    <col min="14" max="14" width="8.7109375" style="27" customWidth="1"/>
    <col min="15" max="16384" width="8.7109375" style="27"/>
  </cols>
  <sheetData>
    <row r="1" spans="1:13" ht="36.75" customHeight="1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</row>
    <row r="2" spans="1:13">
      <c r="A2" s="22" t="s">
        <v>89</v>
      </c>
      <c r="B2" s="23"/>
      <c r="C2" s="19">
        <v>2017</v>
      </c>
      <c r="D2" s="19">
        <f>C2+1</f>
        <v>2018</v>
      </c>
      <c r="E2" s="19">
        <f t="shared" ref="E2:G2" si="0">D2+1</f>
        <v>2019</v>
      </c>
      <c r="F2" s="19">
        <f t="shared" si="0"/>
        <v>2020</v>
      </c>
      <c r="G2" s="19">
        <f t="shared" si="0"/>
        <v>2021</v>
      </c>
      <c r="H2" s="19">
        <f t="shared" ref="H2:L2" si="1">G2+1</f>
        <v>2022</v>
      </c>
      <c r="I2" s="19">
        <f t="shared" si="1"/>
        <v>2023</v>
      </c>
      <c r="J2" s="19">
        <f t="shared" si="1"/>
        <v>2024</v>
      </c>
      <c r="K2" s="19">
        <f t="shared" si="1"/>
        <v>2025</v>
      </c>
      <c r="L2" s="19">
        <f t="shared" si="1"/>
        <v>2026</v>
      </c>
    </row>
    <row r="3" spans="1:13">
      <c r="A3" s="24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5">
      <c r="B4" s="28" t="s">
        <v>40</v>
      </c>
      <c r="C4" s="29"/>
      <c r="D4" s="29"/>
      <c r="E4" s="29"/>
      <c r="F4" s="29"/>
      <c r="G4" s="29"/>
    </row>
    <row r="5" spans="1:13" ht="15">
      <c r="B5" s="30" t="s">
        <v>127</v>
      </c>
      <c r="C5" s="29"/>
      <c r="D5" s="29"/>
      <c r="E5" s="29"/>
      <c r="F5" s="29"/>
      <c r="G5" s="29"/>
    </row>
    <row r="6" spans="1:13">
      <c r="B6" s="31" t="s">
        <v>128</v>
      </c>
      <c r="C6" s="32">
        <v>2463.8000000000002</v>
      </c>
      <c r="D6" s="32">
        <v>866</v>
      </c>
      <c r="E6" s="32">
        <v>898.5</v>
      </c>
      <c r="F6" s="32">
        <v>3449.1</v>
      </c>
      <c r="G6" s="32">
        <v>4709.2</v>
      </c>
      <c r="H6" s="33">
        <f ca="1">'Cash Flows'!H41</f>
        <v>4291.4541192306979</v>
      </c>
      <c r="I6" s="33">
        <f ca="1">'Cash Flows'!I41</f>
        <v>2011.3147551342745</v>
      </c>
      <c r="J6" s="33">
        <f ca="1">'Cash Flows'!J41</f>
        <v>850.00000001777607</v>
      </c>
      <c r="K6" s="33">
        <f ca="1">'Cash Flows'!K41</f>
        <v>850.00000022200493</v>
      </c>
      <c r="L6" s="33">
        <f ca="1">'Cash Flows'!L41</f>
        <v>850.00000119237484</v>
      </c>
    </row>
    <row r="7" spans="1:13">
      <c r="B7" s="31" t="s">
        <v>129</v>
      </c>
      <c r="C7" s="32">
        <v>1976.2</v>
      </c>
      <c r="D7" s="32">
        <v>2441.5</v>
      </c>
      <c r="E7" s="32">
        <v>2224.1999999999998</v>
      </c>
      <c r="F7" s="32">
        <v>2110.3000000000002</v>
      </c>
      <c r="G7" s="32">
        <v>1872.4</v>
      </c>
      <c r="H7" s="33">
        <f>'Working Capital'!H16</f>
        <v>2281.0289814250136</v>
      </c>
      <c r="I7" s="33">
        <f>'Working Capital'!I16</f>
        <v>2351.411592742872</v>
      </c>
      <c r="J7" s="33">
        <f>'Working Capital'!J16</f>
        <v>2451.9998023726121</v>
      </c>
      <c r="K7" s="33">
        <f>'Working Capital'!K16</f>
        <v>2585.8908491421048</v>
      </c>
      <c r="L7" s="33">
        <f>'Working Capital'!L16</f>
        <v>2757.4254233779407</v>
      </c>
      <c r="M7" s="34"/>
    </row>
    <row r="8" spans="1:13">
      <c r="B8" s="31" t="s">
        <v>130</v>
      </c>
      <c r="C8" s="32">
        <v>58.8</v>
      </c>
      <c r="D8" s="32">
        <v>51.1</v>
      </c>
      <c r="E8" s="32">
        <v>50.2</v>
      </c>
      <c r="F8" s="32">
        <v>51.1</v>
      </c>
      <c r="G8" s="32">
        <v>55.6</v>
      </c>
      <c r="H8" s="33">
        <f>'Working Capital'!H17</f>
        <v>52.082597272530357</v>
      </c>
      <c r="I8" s="33">
        <f>'Working Capital'!I17</f>
        <v>53.990288158409733</v>
      </c>
      <c r="J8" s="33">
        <f>'Working Capital'!J17</f>
        <v>56.543501163929712</v>
      </c>
      <c r="K8" s="33">
        <f>'Working Capital'!K17</f>
        <v>59.818330140907221</v>
      </c>
      <c r="L8" s="33">
        <f>'Working Capital'!L17</f>
        <v>63.916471035096698</v>
      </c>
      <c r="M8" s="34"/>
    </row>
    <row r="9" spans="1:13">
      <c r="B9" s="31" t="s">
        <v>42</v>
      </c>
      <c r="C9" s="32">
        <v>828.4</v>
      </c>
      <c r="D9" s="32">
        <v>694.6</v>
      </c>
      <c r="E9" s="32">
        <v>385</v>
      </c>
      <c r="F9" s="32">
        <v>632.70000000000005</v>
      </c>
      <c r="G9" s="32">
        <v>511.3</v>
      </c>
      <c r="H9" s="33">
        <f>'Working Capital'!H18</f>
        <v>643.98111022551484</v>
      </c>
      <c r="I9" s="33">
        <f>'Working Capital'!I18</f>
        <v>663.85156016110909</v>
      </c>
      <c r="J9" s="33">
        <f>'Working Capital'!J18</f>
        <v>692.24966796265448</v>
      </c>
      <c r="K9" s="33">
        <f>'Working Capital'!K18</f>
        <v>730.04984746498087</v>
      </c>
      <c r="L9" s="33">
        <f>'Working Capital'!L18</f>
        <v>778.4775642796285</v>
      </c>
      <c r="M9" s="34"/>
    </row>
    <row r="10" spans="1:13" ht="15">
      <c r="B10" s="79" t="s">
        <v>131</v>
      </c>
      <c r="C10" s="111">
        <f>SUM(C6:C9)</f>
        <v>5327.2</v>
      </c>
      <c r="D10" s="111">
        <f t="shared" ref="D10:L10" si="2">SUM(D6:D9)</f>
        <v>4053.2</v>
      </c>
      <c r="E10" s="111">
        <f t="shared" si="2"/>
        <v>3557.8999999999996</v>
      </c>
      <c r="F10" s="111">
        <f t="shared" si="2"/>
        <v>6243.2</v>
      </c>
      <c r="G10" s="111">
        <f t="shared" si="2"/>
        <v>7148.5000000000009</v>
      </c>
      <c r="H10" s="111">
        <f t="shared" ca="1" si="2"/>
        <v>7268.5468081537565</v>
      </c>
      <c r="I10" s="111">
        <f t="shared" ca="1" si="2"/>
        <v>5080.5681961966648</v>
      </c>
      <c r="J10" s="111">
        <f t="shared" ca="1" si="2"/>
        <v>4050.7929715169721</v>
      </c>
      <c r="K10" s="111">
        <f t="shared" ca="1" si="2"/>
        <v>4225.7590269699976</v>
      </c>
      <c r="L10" s="111">
        <f t="shared" ca="1" si="2"/>
        <v>4449.8194598850405</v>
      </c>
    </row>
    <row r="11" spans="1:13" ht="15">
      <c r="B11" s="30" t="s">
        <v>44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3">
      <c r="B12" s="44" t="s">
        <v>132</v>
      </c>
      <c r="C12" s="32">
        <v>1085.7</v>
      </c>
      <c r="D12" s="32">
        <v>1202.8</v>
      </c>
      <c r="E12" s="32">
        <v>1270.3</v>
      </c>
      <c r="F12" s="32">
        <v>1297.2</v>
      </c>
      <c r="G12" s="32">
        <v>1201.2</v>
      </c>
      <c r="H12" s="33">
        <f>'Other Assets and Liabilities'!H4</f>
        <v>1201.2</v>
      </c>
      <c r="I12" s="33">
        <f>'Other Assets and Liabilities'!I4</f>
        <v>1201.2</v>
      </c>
      <c r="J12" s="33">
        <f>'Other Assets and Liabilities'!J4</f>
        <v>1201.2</v>
      </c>
      <c r="K12" s="33">
        <f>'Other Assets and Liabilities'!K4</f>
        <v>1201.2</v>
      </c>
      <c r="L12" s="33">
        <f>'Other Assets and Liabilities'!L4</f>
        <v>1201.2</v>
      </c>
      <c r="M12" s="34"/>
    </row>
    <row r="13" spans="1:13">
      <c r="B13" s="44" t="s">
        <v>94</v>
      </c>
      <c r="C13" s="32">
        <v>2379.6999999999998</v>
      </c>
      <c r="D13" s="32">
        <v>2331.5</v>
      </c>
      <c r="E13" s="32">
        <v>2677.4</v>
      </c>
      <c r="F13" s="32">
        <v>2773.1</v>
      </c>
      <c r="G13" s="32">
        <v>2782.5</v>
      </c>
      <c r="H13" s="33">
        <f>'Other Assets and Liabilities'!H5</f>
        <v>2782.5</v>
      </c>
      <c r="I13" s="33">
        <f>'Other Assets and Liabilities'!I5</f>
        <v>2782.5</v>
      </c>
      <c r="J13" s="33">
        <f>'Other Assets and Liabilities'!J5</f>
        <v>2782.5</v>
      </c>
      <c r="K13" s="33">
        <f>'Other Assets and Liabilities'!K5</f>
        <v>2782.5</v>
      </c>
      <c r="L13" s="33">
        <f>'Other Assets and Liabilities'!L5</f>
        <v>2782.5</v>
      </c>
      <c r="M13" s="34"/>
    </row>
    <row r="14" spans="1:13">
      <c r="B14" s="44" t="s">
        <v>133</v>
      </c>
      <c r="C14" s="32">
        <v>2562.8000000000002</v>
      </c>
      <c r="D14" s="32">
        <v>2381</v>
      </c>
      <c r="E14" s="32">
        <v>2584</v>
      </c>
      <c r="F14" s="32">
        <v>3527.4</v>
      </c>
      <c r="G14" s="32">
        <v>4449.5</v>
      </c>
      <c r="H14" s="33">
        <f>'Other Assets and Liabilities'!H6+Amortization!H15</f>
        <v>4587.5</v>
      </c>
      <c r="I14" s="33">
        <f>'Other Assets and Liabilities'!I6+Amortization!I15</f>
        <v>4749.5</v>
      </c>
      <c r="J14" s="33">
        <f>'Other Assets and Liabilities'!J6+Amortization!J15</f>
        <v>4915.5</v>
      </c>
      <c r="K14" s="33">
        <f>'Other Assets and Liabilities'!K6+Amortization!K15</f>
        <v>5065.5</v>
      </c>
      <c r="L14" s="33">
        <f>'Other Assets and Liabilities'!L6+Amortization!L15</f>
        <v>5179.5</v>
      </c>
      <c r="M14" s="34"/>
    </row>
    <row r="15" spans="1:13" ht="15">
      <c r="B15" s="469" t="s">
        <v>134</v>
      </c>
      <c r="C15" s="111">
        <f>SUM(C12:C14)</f>
        <v>6028.2</v>
      </c>
      <c r="D15" s="111">
        <f t="shared" ref="D15:L15" si="3">SUM(D12:D14)</f>
        <v>5915.3</v>
      </c>
      <c r="E15" s="111">
        <f t="shared" si="3"/>
        <v>6531.7</v>
      </c>
      <c r="F15" s="111">
        <f t="shared" si="3"/>
        <v>7597.7000000000007</v>
      </c>
      <c r="G15" s="111">
        <f t="shared" si="3"/>
        <v>8433.2000000000007</v>
      </c>
      <c r="H15" s="111">
        <f t="shared" si="3"/>
        <v>8571.2000000000007</v>
      </c>
      <c r="I15" s="111">
        <f t="shared" si="3"/>
        <v>8733.2000000000007</v>
      </c>
      <c r="J15" s="111">
        <f t="shared" si="3"/>
        <v>8899.2000000000007</v>
      </c>
      <c r="K15" s="111">
        <f t="shared" si="3"/>
        <v>9049.2000000000007</v>
      </c>
      <c r="L15" s="111">
        <f t="shared" si="3"/>
        <v>9163.2000000000007</v>
      </c>
      <c r="M15" s="34"/>
    </row>
    <row r="16" spans="1:13">
      <c r="B16" s="44" t="s">
        <v>135</v>
      </c>
      <c r="C16" s="36"/>
      <c r="D16" s="37"/>
      <c r="E16" s="37">
        <v>13261.2</v>
      </c>
      <c r="F16" s="37">
        <v>13827.7</v>
      </c>
      <c r="G16" s="38">
        <v>13552</v>
      </c>
      <c r="H16" s="39">
        <f>'Other Assets and Liabilities'!H9</f>
        <v>13552</v>
      </c>
      <c r="I16" s="39">
        <f>'Other Assets and Liabilities'!I9</f>
        <v>13552</v>
      </c>
      <c r="J16" s="39">
        <f>'Other Assets and Liabilities'!J9</f>
        <v>13552</v>
      </c>
      <c r="K16" s="39">
        <f>'Other Assets and Liabilities'!K9</f>
        <v>13552</v>
      </c>
      <c r="L16" s="39">
        <f>'Other Assets and Liabilities'!L9</f>
        <v>13552</v>
      </c>
      <c r="M16" s="34"/>
    </row>
    <row r="17" spans="1:13" ht="15">
      <c r="B17" s="30" t="s">
        <v>136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3">
      <c r="B18" s="31" t="s">
        <v>137</v>
      </c>
      <c r="C18" s="32">
        <v>36626.400000000001</v>
      </c>
      <c r="D18" s="32">
        <v>37193.599999999999</v>
      </c>
      <c r="E18" s="32">
        <v>39050.9</v>
      </c>
      <c r="F18" s="32">
        <v>41476.5</v>
      </c>
      <c r="G18" s="32">
        <v>41916.6</v>
      </c>
      <c r="H18" s="33">
        <f>'Dep Capex'!H22</f>
        <v>44216.599999999991</v>
      </c>
      <c r="I18" s="33">
        <f>'Dep Capex'!I22</f>
        <v>46716.599999999991</v>
      </c>
      <c r="J18" s="33">
        <f>'Dep Capex'!J22</f>
        <v>49416.599999999991</v>
      </c>
      <c r="K18" s="33">
        <f>'Dep Capex'!K22</f>
        <v>52316.599999999991</v>
      </c>
      <c r="L18" s="33">
        <f>'Dep Capex'!L22</f>
        <v>55416.599999999991</v>
      </c>
      <c r="M18" s="34"/>
    </row>
    <row r="19" spans="1:13">
      <c r="B19" s="31" t="s">
        <v>138</v>
      </c>
      <c r="C19" s="32">
        <v>-14178.1</v>
      </c>
      <c r="D19" s="32">
        <v>-14350.9</v>
      </c>
      <c r="E19" s="32">
        <v>-14890.9</v>
      </c>
      <c r="F19" s="32">
        <v>-16518.3</v>
      </c>
      <c r="G19" s="32">
        <v>-17196</v>
      </c>
      <c r="H19" s="33">
        <f>'Dep Capex'!H23</f>
        <v>-18886.055939238075</v>
      </c>
      <c r="I19" s="33">
        <f>'Dep Capex'!I23</f>
        <v>-20670.294708190391</v>
      </c>
      <c r="J19" s="33">
        <f>'Dep Capex'!J23</f>
        <v>-22556.564875999804</v>
      </c>
      <c r="K19" s="33">
        <f>'Dep Capex'!K23</f>
        <v>-24552.715011809167</v>
      </c>
      <c r="L19" s="33">
        <f>'Dep Capex'!L23</f>
        <v>-26666.59368476133</v>
      </c>
      <c r="M19" s="34"/>
    </row>
    <row r="20" spans="1:13" ht="15">
      <c r="B20" s="272" t="s">
        <v>139</v>
      </c>
      <c r="C20" s="446">
        <f>SUM(C18:C19)</f>
        <v>22448.300000000003</v>
      </c>
      <c r="D20" s="446">
        <f>SUM(D18:D19)</f>
        <v>22842.699999999997</v>
      </c>
      <c r="E20" s="446">
        <f>SUM(E18:E19)</f>
        <v>24160</v>
      </c>
      <c r="F20" s="446">
        <f>SUM(F18:F19)</f>
        <v>24958.2</v>
      </c>
      <c r="G20" s="446">
        <f>SUM(G18:G19)</f>
        <v>24720.6</v>
      </c>
      <c r="H20" s="446">
        <f t="shared" ref="H20:L20" si="4">SUM(H18:H19)</f>
        <v>25330.544060761917</v>
      </c>
      <c r="I20" s="446">
        <f t="shared" si="4"/>
        <v>26046.3052918096</v>
      </c>
      <c r="J20" s="446">
        <f t="shared" si="4"/>
        <v>26860.035124000187</v>
      </c>
      <c r="K20" s="446">
        <f t="shared" si="4"/>
        <v>27763.884988190825</v>
      </c>
      <c r="L20" s="446">
        <f t="shared" si="4"/>
        <v>28750.006315238661</v>
      </c>
      <c r="M20" s="34"/>
    </row>
    <row r="21" spans="1:13" ht="15.75" thickBot="1">
      <c r="B21" s="274" t="s">
        <v>140</v>
      </c>
      <c r="C21" s="269">
        <f t="shared" ref="C21:F21" si="5">C10+C15+C16+C20</f>
        <v>33803.700000000004</v>
      </c>
      <c r="D21" s="269">
        <f t="shared" si="5"/>
        <v>32811.199999999997</v>
      </c>
      <c r="E21" s="269">
        <f t="shared" si="5"/>
        <v>47510.8</v>
      </c>
      <c r="F21" s="269">
        <f t="shared" si="5"/>
        <v>52626.8</v>
      </c>
      <c r="G21" s="269">
        <f>G10+G15+G16+G20</f>
        <v>53854.3</v>
      </c>
      <c r="H21" s="269">
        <f t="shared" ref="H21:L21" ca="1" si="6">H10+H15+H16+H20</f>
        <v>54722.290868915676</v>
      </c>
      <c r="I21" s="269">
        <f t="shared" ca="1" si="6"/>
        <v>53412.073488006266</v>
      </c>
      <c r="J21" s="269">
        <f t="shared" ca="1" si="6"/>
        <v>53362.028095517162</v>
      </c>
      <c r="K21" s="269">
        <f t="shared" ca="1" si="6"/>
        <v>54590.844015160823</v>
      </c>
      <c r="L21" s="269">
        <f t="shared" ca="1" si="6"/>
        <v>55915.025775123708</v>
      </c>
    </row>
    <row r="22" spans="1:13" ht="15" thickTop="1">
      <c r="A22" s="27"/>
      <c r="B22" s="266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7"/>
    </row>
    <row r="23" spans="1:13" ht="15">
      <c r="B23" s="28" t="s">
        <v>193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</row>
    <row r="24" spans="1:13" ht="15">
      <c r="B24" s="30" t="s">
        <v>41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3">
      <c r="B25" s="31" t="s">
        <v>141</v>
      </c>
      <c r="C25" s="32">
        <v>924.8</v>
      </c>
      <c r="D25" s="32">
        <v>1207.9000000000001</v>
      </c>
      <c r="E25" s="32">
        <v>988.2</v>
      </c>
      <c r="F25" s="32">
        <v>741.3</v>
      </c>
      <c r="G25" s="32">
        <v>1006.8</v>
      </c>
      <c r="H25" s="33">
        <f>'Working Capital'!H21</f>
        <v>1017.8018802684155</v>
      </c>
      <c r="I25" s="33">
        <f>'Working Capital'!I21</f>
        <v>1056.9278440464632</v>
      </c>
      <c r="J25" s="33">
        <f>'Working Capital'!J21</f>
        <v>1107.0947466439845</v>
      </c>
      <c r="K25" s="33">
        <f>'Working Capital'!K21</f>
        <v>1171.4050047300141</v>
      </c>
      <c r="L25" s="33">
        <f>'Working Capital'!L21</f>
        <v>1251.8567585878359</v>
      </c>
    </row>
    <row r="26" spans="1:13">
      <c r="B26" s="31" t="s">
        <v>142</v>
      </c>
      <c r="C26" s="46">
        <v>0</v>
      </c>
      <c r="D26" s="32">
        <v>0</v>
      </c>
      <c r="E26" s="32">
        <v>621</v>
      </c>
      <c r="F26" s="32">
        <v>701.5</v>
      </c>
      <c r="G26" s="47">
        <v>705.5</v>
      </c>
      <c r="H26" s="33">
        <f>'Working Capital'!H22</f>
        <v>705.5</v>
      </c>
      <c r="I26" s="33">
        <f>'Working Capital'!I22</f>
        <v>705.5</v>
      </c>
      <c r="J26" s="33">
        <f>'Working Capital'!J22</f>
        <v>705.5</v>
      </c>
      <c r="K26" s="33">
        <f>'Working Capital'!K22</f>
        <v>705.5</v>
      </c>
      <c r="L26" s="33">
        <f>'Working Capital'!L22</f>
        <v>705.5</v>
      </c>
    </row>
    <row r="27" spans="1:13">
      <c r="B27" s="31" t="s">
        <v>143</v>
      </c>
      <c r="C27" s="32">
        <v>265.8</v>
      </c>
      <c r="D27" s="32">
        <v>228.3</v>
      </c>
      <c r="E27" s="32">
        <v>331.7</v>
      </c>
      <c r="F27" s="32">
        <v>741.1</v>
      </c>
      <c r="G27" s="32">
        <v>360.7</v>
      </c>
      <c r="H27" s="33">
        <f>'Working Capital'!H23</f>
        <v>360.7</v>
      </c>
      <c r="I27" s="33">
        <f>'Working Capital'!I23</f>
        <v>360.7</v>
      </c>
      <c r="J27" s="33">
        <f>'Working Capital'!J23</f>
        <v>360.7</v>
      </c>
      <c r="K27" s="33">
        <f>'Working Capital'!K23</f>
        <v>360.7</v>
      </c>
      <c r="L27" s="33">
        <f>'Working Capital'!L23</f>
        <v>360.7</v>
      </c>
    </row>
    <row r="28" spans="1:13">
      <c r="B28" s="31" t="s">
        <v>144</v>
      </c>
      <c r="C28" s="32">
        <v>275.39999999999998</v>
      </c>
      <c r="D28" s="32">
        <v>253.7</v>
      </c>
      <c r="E28" s="32">
        <v>247.5</v>
      </c>
      <c r="F28" s="32">
        <v>227</v>
      </c>
      <c r="G28" s="32">
        <v>236.7</v>
      </c>
      <c r="H28" s="33">
        <f>'Working Capital'!H24</f>
        <v>236.7</v>
      </c>
      <c r="I28" s="33">
        <f>'Working Capital'!I24</f>
        <v>236.7</v>
      </c>
      <c r="J28" s="33">
        <f>'Working Capital'!J24</f>
        <v>236.7</v>
      </c>
      <c r="K28" s="33">
        <f>'Working Capital'!K24</f>
        <v>236.7</v>
      </c>
      <c r="L28" s="33">
        <f>'Working Capital'!L24</f>
        <v>236.7</v>
      </c>
    </row>
    <row r="29" spans="1:13">
      <c r="B29" s="31" t="s">
        <v>145</v>
      </c>
      <c r="C29" s="32">
        <v>278.39999999999998</v>
      </c>
      <c r="D29" s="32">
        <v>297</v>
      </c>
      <c r="E29" s="32">
        <v>337.8</v>
      </c>
      <c r="F29" s="32">
        <v>388.4</v>
      </c>
      <c r="G29" s="32">
        <v>363.3</v>
      </c>
      <c r="H29" s="33">
        <f>'Working Capital'!H25</f>
        <v>363.3</v>
      </c>
      <c r="I29" s="33">
        <f>'Working Capital'!I25</f>
        <v>363.3</v>
      </c>
      <c r="J29" s="33">
        <f>'Working Capital'!J25</f>
        <v>363.3</v>
      </c>
      <c r="K29" s="33">
        <f>'Working Capital'!K25</f>
        <v>363.3</v>
      </c>
      <c r="L29" s="33">
        <f>'Working Capital'!L25</f>
        <v>363.3</v>
      </c>
    </row>
    <row r="30" spans="1:13">
      <c r="B30" s="31" t="s">
        <v>146</v>
      </c>
      <c r="C30" s="32">
        <v>1146.2</v>
      </c>
      <c r="D30" s="32">
        <v>986.6</v>
      </c>
      <c r="E30" s="32">
        <v>1035.7</v>
      </c>
      <c r="F30" s="32">
        <v>1138.3</v>
      </c>
      <c r="G30" s="32">
        <v>1347</v>
      </c>
      <c r="H30" s="33">
        <f>'Working Capital'!H26</f>
        <v>1147.7689492889131</v>
      </c>
      <c r="I30" s="33">
        <f>'Working Capital'!I26</f>
        <v>1187.0437061372438</v>
      </c>
      <c r="J30" s="33">
        <f>'Working Capital'!J26</f>
        <v>1240.9504118317807</v>
      </c>
      <c r="K30" s="33">
        <f>'Working Capital'!K26</f>
        <v>1311.1165353885287</v>
      </c>
      <c r="L30" s="33">
        <f>'Working Capital'!L26</f>
        <v>1399.7594149405679</v>
      </c>
    </row>
    <row r="31" spans="1:13">
      <c r="B31" s="31" t="s">
        <v>147</v>
      </c>
      <c r="C31" s="32">
        <v>0</v>
      </c>
      <c r="D31" s="32">
        <v>0</v>
      </c>
      <c r="E31" s="32">
        <v>59.1</v>
      </c>
      <c r="F31" s="32">
        <v>2243.6</v>
      </c>
      <c r="G31" s="32">
        <v>0</v>
      </c>
      <c r="H31" s="33">
        <f>Debt!H24</f>
        <v>0</v>
      </c>
      <c r="I31" s="33">
        <f>Debt!I24</f>
        <v>0</v>
      </c>
      <c r="J31" s="33">
        <f>Debt!J24</f>
        <v>0</v>
      </c>
      <c r="K31" s="33">
        <f>Debt!K24</f>
        <v>0</v>
      </c>
      <c r="L31" s="33">
        <f>Debt!L24</f>
        <v>0</v>
      </c>
    </row>
    <row r="32" spans="1:13" ht="15">
      <c r="B32" s="79" t="s">
        <v>148</v>
      </c>
      <c r="C32" s="273">
        <f>SUM(C25:C31)</f>
        <v>2890.6000000000004</v>
      </c>
      <c r="D32" s="273">
        <f t="shared" ref="D32:L32" si="7">SUM(D25:D31)</f>
        <v>2973.5</v>
      </c>
      <c r="E32" s="273">
        <f t="shared" si="7"/>
        <v>3621.0000000000005</v>
      </c>
      <c r="F32" s="273">
        <f t="shared" si="7"/>
        <v>6181.2000000000007</v>
      </c>
      <c r="G32" s="273">
        <f t="shared" si="7"/>
        <v>4020</v>
      </c>
      <c r="H32" s="273">
        <f t="shared" si="7"/>
        <v>3831.7708295573284</v>
      </c>
      <c r="I32" s="273">
        <f t="shared" si="7"/>
        <v>3910.171550183707</v>
      </c>
      <c r="J32" s="273">
        <f t="shared" si="7"/>
        <v>4014.2451584757655</v>
      </c>
      <c r="K32" s="273">
        <f t="shared" si="7"/>
        <v>4148.7215401185431</v>
      </c>
      <c r="L32" s="273">
        <f t="shared" si="7"/>
        <v>4317.8161735284039</v>
      </c>
    </row>
    <row r="33" spans="2:12">
      <c r="B33" s="44" t="s">
        <v>431</v>
      </c>
      <c r="C33" s="45"/>
      <c r="D33" s="45"/>
      <c r="E33" s="45"/>
      <c r="F33" s="45"/>
      <c r="G33" s="45"/>
      <c r="H33" s="33">
        <f ca="1">Debt!H18</f>
        <v>0</v>
      </c>
      <c r="I33" s="33">
        <f ca="1">Debt!I18</f>
        <v>0</v>
      </c>
      <c r="J33" s="33">
        <f ca="1">Debt!J18</f>
        <v>3953.1048209737264</v>
      </c>
      <c r="K33" s="33">
        <f ca="1">Debt!K18</f>
        <v>6704.0108136278686</v>
      </c>
      <c r="L33" s="33">
        <f ca="1">Debt!L18</f>
        <v>8607.1759534607736</v>
      </c>
    </row>
    <row r="34" spans="2:12">
      <c r="B34" s="31" t="s">
        <v>149</v>
      </c>
      <c r="C34" s="32">
        <v>29536.400000000001</v>
      </c>
      <c r="D34" s="32">
        <v>31075.3</v>
      </c>
      <c r="E34" s="32">
        <v>34118.1</v>
      </c>
      <c r="F34" s="32">
        <v>35196.800000000003</v>
      </c>
      <c r="G34" s="32">
        <v>35622.699999999997</v>
      </c>
      <c r="H34" s="33">
        <f>Debt!H29</f>
        <v>35622.699999999997</v>
      </c>
      <c r="I34" s="33">
        <f>Debt!I29</f>
        <v>33087</v>
      </c>
      <c r="J34" s="33">
        <f>Debt!J29</f>
        <v>27686.5</v>
      </c>
      <c r="K34" s="33">
        <f>Debt!K29</f>
        <v>24550.1</v>
      </c>
      <c r="L34" s="33">
        <f>Debt!L29</f>
        <v>22090.1</v>
      </c>
    </row>
    <row r="35" spans="2:12">
      <c r="B35" s="44" t="s">
        <v>150</v>
      </c>
      <c r="C35" s="46">
        <v>0</v>
      </c>
      <c r="D35" s="32">
        <v>0</v>
      </c>
      <c r="E35" s="32">
        <v>12757.8</v>
      </c>
      <c r="F35" s="32">
        <v>13321.3</v>
      </c>
      <c r="G35" s="47">
        <v>13020.9</v>
      </c>
      <c r="H35" s="48">
        <f>'Other Assets and Liabilities'!H12</f>
        <v>13020.9</v>
      </c>
      <c r="I35" s="48">
        <f>'Other Assets and Liabilities'!I12</f>
        <v>13020.9</v>
      </c>
      <c r="J35" s="48">
        <f>'Other Assets and Liabilities'!J12</f>
        <v>13020.9</v>
      </c>
      <c r="K35" s="48">
        <f>'Other Assets and Liabilities'!K12</f>
        <v>13020.9</v>
      </c>
      <c r="L35" s="48">
        <f>'Other Assets and Liabilities'!L12</f>
        <v>13020.9</v>
      </c>
    </row>
    <row r="36" spans="2:12">
      <c r="B36" s="44" t="s">
        <v>151</v>
      </c>
      <c r="C36" s="32">
        <v>2370.9</v>
      </c>
      <c r="D36" s="32">
        <v>2081.1999999999998</v>
      </c>
      <c r="E36" s="32">
        <v>2265.9</v>
      </c>
      <c r="F36" s="32">
        <v>1970.7</v>
      </c>
      <c r="G36" s="32">
        <v>1896.8</v>
      </c>
      <c r="H36" s="48">
        <f>'Other Assets and Liabilities'!H13</f>
        <v>1896.8</v>
      </c>
      <c r="I36" s="48">
        <f>'Other Assets and Liabilities'!I13</f>
        <v>1896.8</v>
      </c>
      <c r="J36" s="48">
        <f>'Other Assets and Liabilities'!J13</f>
        <v>1896.8</v>
      </c>
      <c r="K36" s="48">
        <f>'Other Assets and Liabilities'!K13</f>
        <v>1896.8</v>
      </c>
      <c r="L36" s="48">
        <f>'Other Assets and Liabilities'!L13</f>
        <v>1896.8</v>
      </c>
    </row>
    <row r="37" spans="2:12">
      <c r="B37" s="44" t="s">
        <v>152</v>
      </c>
      <c r="C37" s="32">
        <v>0</v>
      </c>
      <c r="D37" s="32">
        <v>627.79999999999995</v>
      </c>
      <c r="E37" s="32">
        <v>660.6</v>
      </c>
      <c r="F37" s="32">
        <v>702</v>
      </c>
      <c r="G37" s="32">
        <v>738.3</v>
      </c>
      <c r="H37" s="48">
        <f>'Other Assets and Liabilities'!H14</f>
        <v>738.3</v>
      </c>
      <c r="I37" s="48">
        <f>'Other Assets and Liabilities'!I14</f>
        <v>738.3</v>
      </c>
      <c r="J37" s="48">
        <f>'Other Assets and Liabilities'!J14</f>
        <v>738.3</v>
      </c>
      <c r="K37" s="48">
        <f>'Other Assets and Liabilities'!K14</f>
        <v>738.3</v>
      </c>
      <c r="L37" s="48">
        <f>'Other Assets and Liabilities'!L14</f>
        <v>738.3</v>
      </c>
    </row>
    <row r="38" spans="2:12">
      <c r="B38" s="44" t="s">
        <v>153</v>
      </c>
      <c r="C38" s="32">
        <v>1154.4000000000001</v>
      </c>
      <c r="D38" s="32">
        <v>1096.3</v>
      </c>
      <c r="E38" s="32">
        <v>979.6</v>
      </c>
      <c r="F38" s="32">
        <v>1054.0999999999999</v>
      </c>
      <c r="G38" s="32">
        <v>1081</v>
      </c>
      <c r="H38" s="48">
        <f>'Other Assets and Liabilities'!H15</f>
        <v>1081</v>
      </c>
      <c r="I38" s="48">
        <f>'Other Assets and Liabilities'!I15</f>
        <v>1081</v>
      </c>
      <c r="J38" s="48">
        <f>'Other Assets and Liabilities'!J15</f>
        <v>1081</v>
      </c>
      <c r="K38" s="48">
        <f>'Other Assets and Liabilities'!K15</f>
        <v>1081</v>
      </c>
      <c r="L38" s="48">
        <f>'Other Assets and Liabilities'!L15</f>
        <v>1081</v>
      </c>
    </row>
    <row r="39" spans="2:12">
      <c r="B39" s="44" t="s">
        <v>96</v>
      </c>
      <c r="C39" s="32">
        <v>1119.4000000000001</v>
      </c>
      <c r="D39" s="32">
        <v>1215.5</v>
      </c>
      <c r="E39" s="32">
        <v>1318.1</v>
      </c>
      <c r="F39" s="32">
        <v>2025.6</v>
      </c>
      <c r="G39" s="32">
        <v>2075.6</v>
      </c>
      <c r="H39" s="48">
        <f>'Other Assets and Liabilities'!H16</f>
        <v>2075.6</v>
      </c>
      <c r="I39" s="48">
        <f>'Other Assets and Liabilities'!I16</f>
        <v>2075.6</v>
      </c>
      <c r="J39" s="48">
        <f>'Other Assets and Liabilities'!J16</f>
        <v>2075.6</v>
      </c>
      <c r="K39" s="48">
        <f>'Other Assets and Liabilities'!K16</f>
        <v>2075.6</v>
      </c>
      <c r="L39" s="48">
        <f>'Other Assets and Liabilities'!L16</f>
        <v>2075.6</v>
      </c>
    </row>
    <row r="40" spans="2:12" ht="15">
      <c r="B40" s="30" t="s">
        <v>154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2:12" ht="28.5">
      <c r="B41" s="31" t="s">
        <v>194</v>
      </c>
      <c r="C41" s="32">
        <v>0</v>
      </c>
      <c r="D41" s="32">
        <v>0</v>
      </c>
      <c r="E41" s="32">
        <v>0</v>
      </c>
      <c r="F41" s="32">
        <v>0</v>
      </c>
      <c r="G41" s="32">
        <v>0</v>
      </c>
      <c r="H41" s="46"/>
      <c r="I41" s="46"/>
      <c r="J41" s="46"/>
      <c r="K41" s="46"/>
      <c r="L41" s="46"/>
    </row>
    <row r="42" spans="2:12" ht="28.5">
      <c r="B42" s="31" t="s">
        <v>393</v>
      </c>
      <c r="C42" s="32">
        <v>16.600000000000001</v>
      </c>
      <c r="D42" s="32">
        <v>16.600000000000001</v>
      </c>
      <c r="E42" s="32">
        <v>16.600000000000001</v>
      </c>
      <c r="F42" s="32">
        <v>16.600000000000001</v>
      </c>
      <c r="G42" s="32">
        <v>16.600000000000001</v>
      </c>
      <c r="H42" s="46"/>
      <c r="I42" s="46"/>
      <c r="J42" s="46"/>
      <c r="K42" s="46"/>
      <c r="L42" s="46"/>
    </row>
    <row r="43" spans="2:12">
      <c r="B43" s="31" t="s">
        <v>155</v>
      </c>
      <c r="C43" s="32">
        <v>7072.4</v>
      </c>
      <c r="D43" s="32">
        <v>7376</v>
      </c>
      <c r="E43" s="32">
        <v>7653.9</v>
      </c>
      <c r="F43" s="32">
        <v>7903.6</v>
      </c>
      <c r="G43" s="32">
        <v>8231.6</v>
      </c>
      <c r="H43" s="46"/>
      <c r="I43" s="46"/>
      <c r="J43" s="46"/>
      <c r="K43" s="46"/>
      <c r="L43" s="46"/>
    </row>
    <row r="44" spans="2:12">
      <c r="B44" s="31" t="s">
        <v>95</v>
      </c>
      <c r="C44" s="32">
        <v>48325.8</v>
      </c>
      <c r="D44" s="32">
        <v>50487</v>
      </c>
      <c r="E44" s="32">
        <v>52930.5</v>
      </c>
      <c r="F44" s="32">
        <v>53908.1</v>
      </c>
      <c r="G44" s="32">
        <v>57534.7</v>
      </c>
      <c r="H44" s="46"/>
      <c r="I44" s="46"/>
      <c r="J44" s="46"/>
      <c r="K44" s="46"/>
      <c r="L44" s="46"/>
    </row>
    <row r="45" spans="2:12">
      <c r="B45" s="31" t="s">
        <v>156</v>
      </c>
      <c r="C45" s="32">
        <v>-2178.4</v>
      </c>
      <c r="D45" s="32">
        <v>-2609.5</v>
      </c>
      <c r="E45" s="32">
        <v>-2482.6999999999998</v>
      </c>
      <c r="F45" s="32">
        <v>-2586.8000000000002</v>
      </c>
      <c r="G45" s="32">
        <v>-2573.6999999999998</v>
      </c>
      <c r="H45" s="46"/>
      <c r="I45" s="46"/>
      <c r="J45" s="46"/>
      <c r="K45" s="46"/>
      <c r="L45" s="46"/>
    </row>
    <row r="46" spans="2:12" ht="28.5">
      <c r="B46" s="31" t="s">
        <v>157</v>
      </c>
      <c r="C46" s="32">
        <v>-56504.4</v>
      </c>
      <c r="D46" s="32">
        <v>-61528.5</v>
      </c>
      <c r="E46" s="32">
        <v>-66328.600000000006</v>
      </c>
      <c r="F46" s="32">
        <v>-67066.399999999994</v>
      </c>
      <c r="G46" s="32">
        <v>-67810.2</v>
      </c>
      <c r="H46" s="46"/>
      <c r="I46" s="46"/>
      <c r="J46" s="46"/>
      <c r="K46" s="46"/>
      <c r="L46" s="46"/>
    </row>
    <row r="47" spans="2:12" ht="15">
      <c r="B47" s="473" t="s">
        <v>158</v>
      </c>
      <c r="C47" s="275">
        <f>SUM(C41:C46)</f>
        <v>-3268</v>
      </c>
      <c r="D47" s="275">
        <f>SUM(D41:D46)</f>
        <v>-6258.4000000000015</v>
      </c>
      <c r="E47" s="275">
        <f>SUM(E41:E46)</f>
        <v>-8210.3000000000029</v>
      </c>
      <c r="F47" s="275">
        <f>SUM(F41:F46)</f>
        <v>-7824.8999999999942</v>
      </c>
      <c r="G47" s="275">
        <f>SUM(G41:G46)</f>
        <v>-4601</v>
      </c>
      <c r="H47" s="275">
        <f ca="1">'Shareholder''s Equity'!H10</f>
        <v>-3544.7799606416443</v>
      </c>
      <c r="I47" s="275">
        <f ca="1">'Shareholder''s Equity'!I10</f>
        <v>-2397.698062177431</v>
      </c>
      <c r="J47" s="275">
        <f ca="1">'Shareholder''s Equity'!J10</f>
        <v>-1104.4218839377913</v>
      </c>
      <c r="K47" s="275">
        <f ca="1">'Shareholder''s Equity'!K10</f>
        <v>375.41166130167676</v>
      </c>
      <c r="L47" s="275">
        <f ca="1">'Shareholder''s Equity'!L10</f>
        <v>2087.3336476209206</v>
      </c>
    </row>
    <row r="48" spans="2:12" ht="15.75" thickBot="1">
      <c r="B48" s="274" t="s">
        <v>159</v>
      </c>
      <c r="C48" s="269">
        <f>C47+C32+SUM(C33:C39)</f>
        <v>33803.700000000004</v>
      </c>
      <c r="D48" s="269">
        <f>D47+D32+SUM(D33:D39)</f>
        <v>32811.200000000004</v>
      </c>
      <c r="E48" s="269">
        <f>E47+E32+SUM(E33:E39)</f>
        <v>47510.799999999988</v>
      </c>
      <c r="F48" s="269">
        <f>F47+F32+SUM(F33:F39)</f>
        <v>52626.8</v>
      </c>
      <c r="G48" s="269">
        <f>G47+G32+SUM(G33:G39)</f>
        <v>53854.3</v>
      </c>
      <c r="H48" s="269">
        <f ca="1">H47+H32+SUM(H33:H39)</f>
        <v>54722.29086891569</v>
      </c>
      <c r="I48" s="269">
        <f t="shared" ref="I48:L48" ca="1" si="8">I47+I32+SUM(I33:I39)</f>
        <v>53412.073488006281</v>
      </c>
      <c r="J48" s="269">
        <f t="shared" ca="1" si="8"/>
        <v>53362.028095511705</v>
      </c>
      <c r="K48" s="269">
        <f t="shared" ca="1" si="8"/>
        <v>54590.844015048089</v>
      </c>
      <c r="L48" s="269">
        <f t="shared" ca="1" si="8"/>
        <v>55915.025774610098</v>
      </c>
    </row>
    <row r="49" spans="2:12" ht="15" thickTop="1">
      <c r="B49" s="258"/>
      <c r="C49" s="270"/>
      <c r="D49" s="270"/>
      <c r="E49" s="270"/>
      <c r="F49" s="271"/>
      <c r="G49" s="271"/>
      <c r="H49" s="271"/>
      <c r="I49" s="271"/>
      <c r="J49" s="271"/>
      <c r="K49" s="271"/>
      <c r="L49" s="271"/>
    </row>
    <row r="50" spans="2:12">
      <c r="B50" s="31" t="s">
        <v>192</v>
      </c>
      <c r="C50" s="50">
        <f>C21-C48</f>
        <v>0</v>
      </c>
      <c r="D50" s="50">
        <f>D21-D48</f>
        <v>0</v>
      </c>
      <c r="E50" s="50">
        <f>E21-E48</f>
        <v>0</v>
      </c>
      <c r="F50" s="50">
        <f>F21-F48</f>
        <v>0</v>
      </c>
      <c r="G50" s="50">
        <f>G21-G48</f>
        <v>0</v>
      </c>
      <c r="H50" s="50">
        <f t="shared" ref="H50:L50" ca="1" si="9">H21-H48</f>
        <v>0</v>
      </c>
      <c r="I50" s="50">
        <f t="shared" ca="1" si="9"/>
        <v>0</v>
      </c>
      <c r="J50" s="50">
        <f t="shared" ca="1" si="9"/>
        <v>5.4569682106375694E-9</v>
      </c>
      <c r="K50" s="50">
        <f t="shared" ca="1" si="9"/>
        <v>1.12733687274158E-7</v>
      </c>
      <c r="L50" s="50">
        <f t="shared" ca="1" si="9"/>
        <v>5.1360984798520803E-7</v>
      </c>
    </row>
    <row r="51" spans="2:12">
      <c r="B51" s="31"/>
      <c r="F51" s="49"/>
      <c r="G51" s="49"/>
      <c r="H51" s="49"/>
      <c r="I51" s="49"/>
      <c r="J51" s="49"/>
      <c r="K51" s="49"/>
      <c r="L51" s="49"/>
    </row>
    <row r="52" spans="2:12">
      <c r="B52" s="31" t="s">
        <v>191</v>
      </c>
      <c r="C52" s="89"/>
      <c r="D52" s="89"/>
      <c r="E52" s="89"/>
      <c r="F52" s="89"/>
      <c r="G52" s="52"/>
      <c r="H52" s="52"/>
      <c r="I52" s="52"/>
      <c r="J52" s="52"/>
      <c r="K52" s="52"/>
      <c r="L52" s="52"/>
    </row>
    <row r="53" spans="2:12" ht="15">
      <c r="B53" s="28" t="s">
        <v>40</v>
      </c>
      <c r="C53" s="89"/>
      <c r="D53" s="89"/>
      <c r="E53" s="89"/>
      <c r="F53" s="89"/>
      <c r="G53" s="49"/>
      <c r="H53" s="49"/>
      <c r="I53" s="49"/>
      <c r="J53" s="49"/>
      <c r="K53" s="49"/>
      <c r="L53" s="49"/>
    </row>
    <row r="54" spans="2:12" ht="15">
      <c r="B54" s="30" t="s">
        <v>127</v>
      </c>
      <c r="C54" s="89"/>
      <c r="D54" s="89"/>
      <c r="E54" s="89"/>
      <c r="F54" s="89"/>
      <c r="G54" s="49"/>
      <c r="H54" s="49"/>
      <c r="I54" s="49"/>
      <c r="J54" s="49"/>
      <c r="K54" s="49"/>
      <c r="L54" s="49"/>
    </row>
    <row r="55" spans="2:12">
      <c r="B55" s="31" t="s">
        <v>128</v>
      </c>
      <c r="C55" s="89">
        <f>C6/C$21</f>
        <v>7.2885512532651742E-2</v>
      </c>
      <c r="D55" s="89">
        <f t="shared" ref="D55:G55" si="10">D6/D$21</f>
        <v>2.6393426634807628E-2</v>
      </c>
      <c r="E55" s="89">
        <f t="shared" si="10"/>
        <v>1.8911489598154523E-2</v>
      </c>
      <c r="F55" s="89">
        <f t="shared" si="10"/>
        <v>6.5538850927664233E-2</v>
      </c>
      <c r="G55" s="89">
        <f t="shared" si="10"/>
        <v>8.7443342500041765E-2</v>
      </c>
      <c r="H55" s="89"/>
      <c r="I55" s="89"/>
      <c r="J55" s="89"/>
      <c r="K55" s="89"/>
      <c r="L55" s="89"/>
    </row>
    <row r="56" spans="2:12">
      <c r="B56" s="31" t="s">
        <v>129</v>
      </c>
      <c r="C56" s="89">
        <f t="shared" ref="C56:G56" si="11">C7/C$21</f>
        <v>5.8461056038244329E-2</v>
      </c>
      <c r="D56" s="89">
        <f t="shared" si="11"/>
        <v>7.4410567123421284E-2</v>
      </c>
      <c r="E56" s="89">
        <f t="shared" si="11"/>
        <v>4.6814618991892362E-2</v>
      </c>
      <c r="F56" s="89">
        <f t="shared" si="11"/>
        <v>4.0099341020164631E-2</v>
      </c>
      <c r="G56" s="89">
        <f t="shared" si="11"/>
        <v>3.4767882973133067E-2</v>
      </c>
      <c r="H56" s="89"/>
      <c r="I56" s="89"/>
      <c r="J56" s="89"/>
      <c r="K56" s="89"/>
      <c r="L56" s="89"/>
    </row>
    <row r="57" spans="2:12">
      <c r="B57" s="31" t="s">
        <v>130</v>
      </c>
      <c r="C57" s="89">
        <f t="shared" ref="C57:G57" si="12">C8/C$21</f>
        <v>1.7394545567497046E-3</v>
      </c>
      <c r="D57" s="89">
        <f t="shared" si="12"/>
        <v>1.5573950358414202E-3</v>
      </c>
      <c r="E57" s="89">
        <f t="shared" si="12"/>
        <v>1.0566018673648938E-3</v>
      </c>
      <c r="F57" s="89">
        <f t="shared" si="12"/>
        <v>9.7098816572544779E-4</v>
      </c>
      <c r="G57" s="89">
        <f t="shared" si="12"/>
        <v>1.0324152388945728E-3</v>
      </c>
      <c r="H57" s="89"/>
      <c r="I57" s="89"/>
      <c r="J57" s="89"/>
      <c r="K57" s="89"/>
      <c r="L57" s="89"/>
    </row>
    <row r="58" spans="2:12">
      <c r="B58" s="31" t="s">
        <v>42</v>
      </c>
      <c r="C58" s="89">
        <f t="shared" ref="C58:G58" si="13">C9/C$21</f>
        <v>2.4506193109038357E-2</v>
      </c>
      <c r="D58" s="89">
        <f t="shared" si="13"/>
        <v>2.1169600624177113E-2</v>
      </c>
      <c r="E58" s="89">
        <f t="shared" si="13"/>
        <v>8.1034206959259784E-3</v>
      </c>
      <c r="F58" s="89">
        <f t="shared" si="13"/>
        <v>1.2022391633160292E-2</v>
      </c>
      <c r="G58" s="89">
        <f t="shared" si="13"/>
        <v>9.4941351015610641E-3</v>
      </c>
      <c r="H58" s="89"/>
      <c r="I58" s="89"/>
      <c r="J58" s="89"/>
      <c r="K58" s="89"/>
      <c r="L58" s="89"/>
    </row>
    <row r="59" spans="2:12">
      <c r="B59" s="31" t="s">
        <v>131</v>
      </c>
      <c r="C59" s="89">
        <f t="shared" ref="C59:G59" si="14">C10/C$21</f>
        <v>0.15759221623668412</v>
      </c>
      <c r="D59" s="89">
        <f t="shared" si="14"/>
        <v>0.12353098941824743</v>
      </c>
      <c r="E59" s="89">
        <f t="shared" si="14"/>
        <v>7.4886131153337754E-2</v>
      </c>
      <c r="F59" s="89">
        <f t="shared" si="14"/>
        <v>0.1186315717467146</v>
      </c>
      <c r="G59" s="89">
        <f t="shared" si="14"/>
        <v>0.1327377758136305</v>
      </c>
      <c r="H59" s="89"/>
      <c r="I59" s="89"/>
      <c r="J59" s="89"/>
      <c r="K59" s="89"/>
      <c r="L59" s="89"/>
    </row>
    <row r="60" spans="2:12" ht="15">
      <c r="B60" s="30" t="s">
        <v>44</v>
      </c>
      <c r="C60" s="89"/>
      <c r="D60" s="89"/>
      <c r="E60" s="89"/>
      <c r="F60" s="89"/>
      <c r="G60" s="89"/>
      <c r="H60" s="89"/>
      <c r="I60" s="89"/>
      <c r="J60" s="89"/>
      <c r="K60" s="89"/>
      <c r="L60" s="89"/>
    </row>
    <row r="61" spans="2:12">
      <c r="B61" s="31" t="s">
        <v>132</v>
      </c>
      <c r="C61" s="89">
        <f t="shared" ref="C61:G61" si="15">C12/C$21</f>
        <v>3.2117785922842763E-2</v>
      </c>
      <c r="D61" s="89">
        <f t="shared" si="15"/>
        <v>3.6658214268298635E-2</v>
      </c>
      <c r="E61" s="89">
        <f t="shared" si="15"/>
        <v>2.6737078727363039E-2</v>
      </c>
      <c r="F61" s="89">
        <f t="shared" si="15"/>
        <v>2.4649038132662445E-2</v>
      </c>
      <c r="G61" s="89">
        <f t="shared" si="15"/>
        <v>2.2304625628779873E-2</v>
      </c>
      <c r="H61" s="89"/>
      <c r="I61" s="89"/>
      <c r="J61" s="89"/>
      <c r="K61" s="89"/>
      <c r="L61" s="89"/>
    </row>
    <row r="62" spans="2:12">
      <c r="B62" s="31" t="s">
        <v>94</v>
      </c>
      <c r="C62" s="89">
        <f t="shared" ref="C62:G62" si="16">C13/C$21</f>
        <v>7.0397619195531835E-2</v>
      </c>
      <c r="D62" s="89">
        <f t="shared" si="16"/>
        <v>7.1058053347637401E-2</v>
      </c>
      <c r="E62" s="89">
        <f t="shared" si="16"/>
        <v>5.6353502782525232E-2</v>
      </c>
      <c r="F62" s="89">
        <f t="shared" si="16"/>
        <v>5.2693684586560458E-2</v>
      </c>
      <c r="G62" s="89">
        <f t="shared" si="16"/>
        <v>5.1667183493240093E-2</v>
      </c>
      <c r="H62" s="89"/>
      <c r="I62" s="89"/>
      <c r="J62" s="89"/>
      <c r="K62" s="89"/>
      <c r="L62" s="89"/>
    </row>
    <row r="63" spans="2:12">
      <c r="B63" s="31" t="s">
        <v>133</v>
      </c>
      <c r="C63" s="89">
        <f t="shared" ref="C63:G63" si="17">C14/C$21</f>
        <v>7.5814186021056856E-2</v>
      </c>
      <c r="D63" s="89">
        <f t="shared" si="17"/>
        <v>7.2566684546740146E-2</v>
      </c>
      <c r="E63" s="89">
        <f t="shared" si="17"/>
        <v>5.4387633969539551E-2</v>
      </c>
      <c r="F63" s="89">
        <f t="shared" si="17"/>
        <v>6.7026686023090892E-2</v>
      </c>
      <c r="G63" s="89">
        <f t="shared" si="17"/>
        <v>8.2621072040672705E-2</v>
      </c>
      <c r="H63" s="89"/>
      <c r="I63" s="89"/>
      <c r="J63" s="89"/>
      <c r="K63" s="89"/>
      <c r="L63" s="89"/>
    </row>
    <row r="64" spans="2:12">
      <c r="B64" s="31" t="s">
        <v>134</v>
      </c>
      <c r="C64" s="89">
        <f t="shared" ref="C64:G64" si="18">C15/C$21</f>
        <v>0.17832959113943145</v>
      </c>
      <c r="D64" s="89">
        <f t="shared" si="18"/>
        <v>0.18028295216267617</v>
      </c>
      <c r="E64" s="89">
        <f t="shared" si="18"/>
        <v>0.13747821547942782</v>
      </c>
      <c r="F64" s="89">
        <f t="shared" si="18"/>
        <v>0.1443694087423138</v>
      </c>
      <c r="G64" s="89">
        <f t="shared" si="18"/>
        <v>0.15659288116269268</v>
      </c>
      <c r="H64" s="89"/>
      <c r="I64" s="89"/>
      <c r="J64" s="89"/>
      <c r="K64" s="89"/>
      <c r="L64" s="89"/>
    </row>
    <row r="65" spans="2:12">
      <c r="B65" s="31" t="s">
        <v>135</v>
      </c>
      <c r="C65" s="89">
        <f t="shared" ref="C65:G65" si="19">C16/C$21</f>
        <v>0</v>
      </c>
      <c r="D65" s="89">
        <f t="shared" si="19"/>
        <v>0</v>
      </c>
      <c r="E65" s="89">
        <f t="shared" si="19"/>
        <v>0.27911969489042493</v>
      </c>
      <c r="F65" s="89">
        <f t="shared" si="19"/>
        <v>0.26275015771432048</v>
      </c>
      <c r="G65" s="89">
        <f t="shared" si="19"/>
        <v>0.25164193017084985</v>
      </c>
      <c r="H65" s="89"/>
      <c r="I65" s="89"/>
      <c r="J65" s="89"/>
      <c r="K65" s="89"/>
      <c r="L65" s="89"/>
    </row>
    <row r="66" spans="2:12" ht="15">
      <c r="B66" s="30" t="s">
        <v>136</v>
      </c>
      <c r="C66" s="89"/>
      <c r="D66" s="89"/>
      <c r="E66" s="89"/>
      <c r="F66" s="89"/>
      <c r="G66" s="89"/>
      <c r="H66" s="89"/>
      <c r="I66" s="89"/>
      <c r="J66" s="89"/>
      <c r="K66" s="89"/>
      <c r="L66" s="89"/>
    </row>
    <row r="67" spans="2:12">
      <c r="B67" s="31" t="s">
        <v>137</v>
      </c>
      <c r="C67" s="89">
        <f t="shared" ref="C67:G67" si="20">C18/C$21</f>
        <v>1.0835026934921324</v>
      </c>
      <c r="D67" s="89">
        <f t="shared" si="20"/>
        <v>1.1335641488272299</v>
      </c>
      <c r="E67" s="89">
        <f t="shared" si="20"/>
        <v>0.82193732793385921</v>
      </c>
      <c r="F67" s="89">
        <f t="shared" si="20"/>
        <v>0.78812506175560737</v>
      </c>
      <c r="G67" s="89">
        <f t="shared" si="20"/>
        <v>0.77833339213396135</v>
      </c>
      <c r="H67" s="89"/>
      <c r="I67" s="89"/>
      <c r="J67" s="89"/>
      <c r="K67" s="89"/>
      <c r="L67" s="89"/>
    </row>
    <row r="68" spans="2:12">
      <c r="B68" s="31" t="s">
        <v>138</v>
      </c>
      <c r="C68" s="89">
        <f t="shared" ref="C68:G68" si="21">C19/C$21</f>
        <v>-0.41942450086824812</v>
      </c>
      <c r="D68" s="89">
        <f t="shared" si="21"/>
        <v>-0.43737809040815334</v>
      </c>
      <c r="E68" s="89">
        <f t="shared" si="21"/>
        <v>-0.31342136945704974</v>
      </c>
      <c r="F68" s="89">
        <f t="shared" si="21"/>
        <v>-0.31387619995895621</v>
      </c>
      <c r="G68" s="89">
        <f t="shared" si="21"/>
        <v>-0.31930597928113447</v>
      </c>
      <c r="H68" s="89"/>
      <c r="I68" s="89"/>
      <c r="J68" s="89"/>
      <c r="K68" s="89"/>
      <c r="L68" s="89"/>
    </row>
    <row r="69" spans="2:12">
      <c r="B69" s="31" t="s">
        <v>139</v>
      </c>
      <c r="C69" s="89">
        <f t="shared" ref="C69:G69" si="22">C20/C$21</f>
        <v>0.66407819262388434</v>
      </c>
      <c r="D69" s="89">
        <f t="shared" si="22"/>
        <v>0.69618605841907644</v>
      </c>
      <c r="E69" s="89">
        <f t="shared" si="22"/>
        <v>0.50851595847680942</v>
      </c>
      <c r="F69" s="89">
        <f t="shared" si="22"/>
        <v>0.4742488617966511</v>
      </c>
      <c r="G69" s="89">
        <f t="shared" si="22"/>
        <v>0.45902741285282694</v>
      </c>
      <c r="H69" s="89"/>
      <c r="I69" s="89"/>
      <c r="J69" s="89"/>
      <c r="K69" s="89"/>
      <c r="L69" s="89"/>
    </row>
    <row r="70" spans="2:12" ht="15">
      <c r="B70" s="41" t="s">
        <v>140</v>
      </c>
      <c r="C70" s="89">
        <f t="shared" ref="C70:G70" si="23">C21/C$21</f>
        <v>1</v>
      </c>
      <c r="D70" s="89">
        <f t="shared" si="23"/>
        <v>1</v>
      </c>
      <c r="E70" s="89">
        <f t="shared" si="23"/>
        <v>1</v>
      </c>
      <c r="F70" s="89">
        <f t="shared" si="23"/>
        <v>1</v>
      </c>
      <c r="G70" s="89">
        <f t="shared" si="23"/>
        <v>1</v>
      </c>
      <c r="H70" s="89"/>
      <c r="I70" s="89"/>
      <c r="J70" s="89"/>
      <c r="K70" s="89"/>
      <c r="L70" s="89"/>
    </row>
    <row r="71" spans="2:12">
      <c r="B71" s="44"/>
      <c r="C71" s="442"/>
      <c r="D71" s="442"/>
      <c r="E71" s="442"/>
      <c r="F71" s="442"/>
      <c r="G71" s="442"/>
      <c r="H71" s="442"/>
      <c r="I71" s="442"/>
      <c r="J71" s="442"/>
      <c r="K71" s="442"/>
      <c r="L71" s="442"/>
    </row>
    <row r="72" spans="2:12" ht="15">
      <c r="B72" s="28" t="s">
        <v>193</v>
      </c>
      <c r="C72" s="442"/>
      <c r="D72" s="442"/>
      <c r="E72" s="442"/>
      <c r="F72" s="442"/>
      <c r="G72" s="442"/>
      <c r="H72" s="442"/>
      <c r="I72" s="442"/>
      <c r="J72" s="442"/>
      <c r="K72" s="442"/>
      <c r="L72" s="442"/>
    </row>
    <row r="73" spans="2:12" ht="15">
      <c r="B73" s="30" t="s">
        <v>41</v>
      </c>
      <c r="C73" s="442"/>
      <c r="D73" s="442"/>
      <c r="E73" s="442"/>
      <c r="F73" s="442"/>
      <c r="G73" s="442"/>
      <c r="H73" s="442"/>
      <c r="I73" s="442"/>
      <c r="J73" s="442"/>
      <c r="K73" s="442"/>
      <c r="L73" s="442"/>
    </row>
    <row r="74" spans="2:12">
      <c r="B74" s="31" t="s">
        <v>141</v>
      </c>
      <c r="C74" s="89">
        <f>C25/C$48</f>
        <v>2.7357951940172223E-2</v>
      </c>
      <c r="D74" s="89">
        <f t="shared" ref="D74:G74" si="24">D25/D$48</f>
        <v>3.6813648997903153E-2</v>
      </c>
      <c r="E74" s="89">
        <f t="shared" si="24"/>
        <v>2.0799481381075468E-2</v>
      </c>
      <c r="F74" s="89">
        <f t="shared" si="24"/>
        <v>1.4085979006893824E-2</v>
      </c>
      <c r="G74" s="89">
        <f t="shared" si="24"/>
        <v>1.8694886016529782E-2</v>
      </c>
      <c r="H74" s="89"/>
      <c r="I74" s="89"/>
      <c r="J74" s="89"/>
      <c r="K74" s="89"/>
      <c r="L74" s="89"/>
    </row>
    <row r="75" spans="2:12">
      <c r="B75" s="31" t="s">
        <v>142</v>
      </c>
      <c r="C75" s="89">
        <f t="shared" ref="C75:G75" si="25">C26/C$48</f>
        <v>0</v>
      </c>
      <c r="D75" s="89">
        <f t="shared" si="25"/>
        <v>0</v>
      </c>
      <c r="E75" s="89">
        <f t="shared" si="25"/>
        <v>1.307071234329879E-2</v>
      </c>
      <c r="F75" s="89">
        <f t="shared" si="25"/>
        <v>1.3329710337698662E-2</v>
      </c>
      <c r="G75" s="89">
        <f t="shared" si="25"/>
        <v>1.3100160989930236E-2</v>
      </c>
      <c r="H75" s="89"/>
      <c r="I75" s="89"/>
      <c r="J75" s="89"/>
      <c r="K75" s="89"/>
      <c r="L75" s="89"/>
    </row>
    <row r="76" spans="2:12">
      <c r="B76" s="31" t="s">
        <v>143</v>
      </c>
      <c r="C76" s="89">
        <f t="shared" ref="C76:G76" si="26">C27/C$48</f>
        <v>7.8630445779603996E-3</v>
      </c>
      <c r="D76" s="89">
        <f t="shared" si="26"/>
        <v>6.9579899546496314E-3</v>
      </c>
      <c r="E76" s="89">
        <f t="shared" si="26"/>
        <v>6.9815705060744101E-3</v>
      </c>
      <c r="F76" s="89">
        <f t="shared" si="26"/>
        <v>1.4082178661822493E-2</v>
      </c>
      <c r="G76" s="89">
        <f t="shared" si="26"/>
        <v>6.6977010192315186E-3</v>
      </c>
      <c r="H76" s="89"/>
      <c r="I76" s="89"/>
      <c r="J76" s="89"/>
      <c r="K76" s="89"/>
      <c r="L76" s="89"/>
    </row>
    <row r="77" spans="2:12">
      <c r="B77" s="31" t="s">
        <v>144</v>
      </c>
      <c r="C77" s="89">
        <f t="shared" ref="C77:G77" si="27">C28/C$48</f>
        <v>8.147037158654228E-3</v>
      </c>
      <c r="D77" s="89">
        <f t="shared" si="27"/>
        <v>7.7321158628760895E-3</v>
      </c>
      <c r="E77" s="89">
        <f t="shared" si="27"/>
        <v>5.2093418759524166E-3</v>
      </c>
      <c r="F77" s="89">
        <f t="shared" si="27"/>
        <v>4.3133916559623614E-3</v>
      </c>
      <c r="G77" s="89">
        <f t="shared" si="27"/>
        <v>4.3951922130637663E-3</v>
      </c>
      <c r="H77" s="89"/>
      <c r="I77" s="89"/>
      <c r="J77" s="89"/>
      <c r="K77" s="89"/>
      <c r="L77" s="89"/>
    </row>
    <row r="78" spans="2:12">
      <c r="B78" s="31" t="s">
        <v>145</v>
      </c>
      <c r="C78" s="89">
        <f t="shared" ref="C78:G78" si="28">C29/C$48</f>
        <v>8.2357848401210503E-3</v>
      </c>
      <c r="D78" s="89">
        <f t="shared" si="28"/>
        <v>9.0517871946164709E-3</v>
      </c>
      <c r="E78" s="89">
        <f t="shared" si="28"/>
        <v>7.1099623664514196E-3</v>
      </c>
      <c r="F78" s="89">
        <f t="shared" si="28"/>
        <v>7.3802701285276698E-3</v>
      </c>
      <c r="G78" s="89">
        <f t="shared" si="28"/>
        <v>6.7459794296834234E-3</v>
      </c>
      <c r="H78" s="89"/>
      <c r="I78" s="89"/>
      <c r="J78" s="89"/>
      <c r="K78" s="89"/>
      <c r="L78" s="89"/>
    </row>
    <row r="79" spans="2:12">
      <c r="B79" s="31" t="s">
        <v>146</v>
      </c>
      <c r="C79" s="89">
        <f t="shared" ref="C79:G79" si="29">C30/C$48</f>
        <v>3.390753083242367E-2</v>
      </c>
      <c r="D79" s="89">
        <f t="shared" si="29"/>
        <v>3.0069000828985223E-2</v>
      </c>
      <c r="E79" s="89">
        <f t="shared" si="29"/>
        <v>2.1799254064339062E-2</v>
      </c>
      <c r="F79" s="89">
        <f t="shared" si="29"/>
        <v>2.162966397348879E-2</v>
      </c>
      <c r="G79" s="89">
        <f t="shared" si="29"/>
        <v>2.501193033796744E-2</v>
      </c>
      <c r="H79" s="89"/>
      <c r="I79" s="89"/>
      <c r="J79" s="89"/>
      <c r="K79" s="89"/>
      <c r="L79" s="89"/>
    </row>
    <row r="80" spans="2:12">
      <c r="B80" s="31" t="s">
        <v>147</v>
      </c>
      <c r="C80" s="89">
        <f t="shared" ref="C80:G80" si="30">C31/C$48</f>
        <v>0</v>
      </c>
      <c r="D80" s="89">
        <f t="shared" si="30"/>
        <v>0</v>
      </c>
      <c r="E80" s="89">
        <f t="shared" si="30"/>
        <v>1.2439276964395468E-3</v>
      </c>
      <c r="F80" s="89">
        <f t="shared" si="30"/>
        <v>4.2632271010207723E-2</v>
      </c>
      <c r="G80" s="89">
        <f t="shared" si="30"/>
        <v>0</v>
      </c>
      <c r="H80" s="89"/>
      <c r="I80" s="89"/>
      <c r="J80" s="89"/>
      <c r="K80" s="89"/>
      <c r="L80" s="89"/>
    </row>
    <row r="81" spans="2:12">
      <c r="B81" s="31" t="s">
        <v>148</v>
      </c>
      <c r="C81" s="89">
        <f t="shared" ref="C81:G81" si="31">C32/C$48</f>
        <v>8.5511349349331578E-2</v>
      </c>
      <c r="D81" s="89">
        <f t="shared" si="31"/>
        <v>9.062454283903057E-2</v>
      </c>
      <c r="E81" s="89">
        <f t="shared" si="31"/>
        <v>7.6214250233631112E-2</v>
      </c>
      <c r="F81" s="89">
        <f t="shared" si="31"/>
        <v>0.11745346477460154</v>
      </c>
      <c r="G81" s="89">
        <f t="shared" si="31"/>
        <v>7.4645850006406167E-2</v>
      </c>
      <c r="H81" s="89"/>
      <c r="I81" s="89"/>
      <c r="J81" s="89"/>
      <c r="K81" s="89"/>
      <c r="L81" s="89"/>
    </row>
    <row r="82" spans="2:12">
      <c r="B82" s="44"/>
      <c r="C82" s="89"/>
      <c r="D82" s="89"/>
      <c r="E82" s="89"/>
      <c r="F82" s="89"/>
      <c r="G82" s="89"/>
      <c r="H82" s="89"/>
      <c r="I82" s="89"/>
      <c r="J82" s="89"/>
      <c r="K82" s="89"/>
      <c r="L82" s="89"/>
    </row>
    <row r="83" spans="2:12">
      <c r="B83" s="31" t="s">
        <v>149</v>
      </c>
      <c r="C83" s="89">
        <f t="shared" ref="C83:G83" si="32">C34/C$48</f>
        <v>0.87376233962554384</v>
      </c>
      <c r="D83" s="89">
        <f t="shared" si="32"/>
        <v>0.94709428487833403</v>
      </c>
      <c r="E83" s="89">
        <f t="shared" si="32"/>
        <v>0.71811251336538229</v>
      </c>
      <c r="F83" s="89">
        <f t="shared" si="32"/>
        <v>0.66879992703337465</v>
      </c>
      <c r="G83" s="89">
        <f t="shared" si="32"/>
        <v>0.66146435846348384</v>
      </c>
      <c r="H83" s="89"/>
      <c r="I83" s="89"/>
      <c r="J83" s="89"/>
      <c r="K83" s="89"/>
      <c r="L83" s="89"/>
    </row>
    <row r="84" spans="2:12">
      <c r="B84" s="31" t="s">
        <v>150</v>
      </c>
      <c r="C84" s="89">
        <f t="shared" ref="C84:G84" si="33">C35/C$48</f>
        <v>0</v>
      </c>
      <c r="D84" s="89">
        <f t="shared" si="33"/>
        <v>0</v>
      </c>
      <c r="E84" s="89">
        <f t="shared" si="33"/>
        <v>0.2685242092324272</v>
      </c>
      <c r="F84" s="89">
        <f t="shared" si="33"/>
        <v>0.25312768399370661</v>
      </c>
      <c r="G84" s="89">
        <f t="shared" si="33"/>
        <v>0.24178013640507812</v>
      </c>
      <c r="H84" s="89"/>
      <c r="I84" s="89"/>
      <c r="J84" s="89"/>
      <c r="K84" s="89"/>
      <c r="L84" s="89"/>
    </row>
    <row r="85" spans="2:12">
      <c r="B85" s="31" t="s">
        <v>151</v>
      </c>
      <c r="C85" s="89">
        <f t="shared" ref="C85:G85" si="34">C36/C$48</f>
        <v>7.013729266322917E-2</v>
      </c>
      <c r="D85" s="89">
        <f t="shared" si="34"/>
        <v>6.3429560637830965E-2</v>
      </c>
      <c r="E85" s="89">
        <f t="shared" si="34"/>
        <v>4.7692314168567999E-2</v>
      </c>
      <c r="F85" s="89">
        <f t="shared" si="34"/>
        <v>3.744670016037456E-2</v>
      </c>
      <c r="G85" s="89">
        <f t="shared" si="34"/>
        <v>3.5220957286604779E-2</v>
      </c>
      <c r="H85" s="89"/>
      <c r="I85" s="89"/>
      <c r="J85" s="89"/>
      <c r="K85" s="89"/>
      <c r="L85" s="89"/>
    </row>
    <row r="86" spans="2:12">
      <c r="B86" s="31" t="s">
        <v>152</v>
      </c>
      <c r="C86" s="89">
        <f t="shared" ref="C86:G86" si="35">C37/C$48</f>
        <v>0</v>
      </c>
      <c r="D86" s="89">
        <f t="shared" si="35"/>
        <v>1.9133710440337442E-2</v>
      </c>
      <c r="E86" s="89">
        <f t="shared" si="35"/>
        <v>1.3904207043451177E-2</v>
      </c>
      <c r="F86" s="89">
        <f t="shared" si="35"/>
        <v>1.3339211200376993E-2</v>
      </c>
      <c r="G86" s="89">
        <f t="shared" si="35"/>
        <v>1.3709211706400416E-2</v>
      </c>
      <c r="H86" s="89"/>
      <c r="I86" s="89"/>
      <c r="J86" s="89"/>
      <c r="K86" s="89"/>
      <c r="L86" s="89"/>
    </row>
    <row r="87" spans="2:12">
      <c r="B87" s="31" t="s">
        <v>153</v>
      </c>
      <c r="C87" s="89">
        <f t="shared" ref="C87:G87" si="36">C38/C$48</f>
        <v>3.4150107828432981E-2</v>
      </c>
      <c r="D87" s="89">
        <f t="shared" si="36"/>
        <v>3.3412371385380599E-2</v>
      </c>
      <c r="E87" s="89">
        <f t="shared" si="36"/>
        <v>2.0618469905789846E-2</v>
      </c>
      <c r="F87" s="89">
        <f t="shared" si="36"/>
        <v>2.0029718698457818E-2</v>
      </c>
      <c r="G87" s="89">
        <f t="shared" si="36"/>
        <v>2.0072677576349521E-2</v>
      </c>
      <c r="H87" s="89"/>
      <c r="I87" s="89"/>
      <c r="J87" s="89"/>
      <c r="K87" s="89"/>
      <c r="L87" s="89"/>
    </row>
    <row r="88" spans="2:12">
      <c r="B88" s="31" t="s">
        <v>96</v>
      </c>
      <c r="C88" s="89">
        <f t="shared" ref="C88:G88" si="37">C39/C$48</f>
        <v>3.311471821132006E-2</v>
      </c>
      <c r="D88" s="89">
        <f t="shared" si="37"/>
        <v>3.7045277222411854E-2</v>
      </c>
      <c r="E88" s="89">
        <f t="shared" si="37"/>
        <v>2.7743165764415673E-2</v>
      </c>
      <c r="F88" s="89">
        <f t="shared" si="37"/>
        <v>3.8489894882455321E-2</v>
      </c>
      <c r="G88" s="89">
        <f t="shared" si="37"/>
        <v>3.854102643614344E-2</v>
      </c>
      <c r="H88" s="89"/>
      <c r="I88" s="89"/>
      <c r="J88" s="89"/>
      <c r="K88" s="89"/>
      <c r="L88" s="89"/>
    </row>
    <row r="89" spans="2:12" ht="15">
      <c r="B89" s="30" t="s">
        <v>154</v>
      </c>
      <c r="C89" s="89"/>
      <c r="D89" s="89"/>
      <c r="E89" s="89"/>
      <c r="F89" s="89"/>
      <c r="G89" s="89"/>
      <c r="H89" s="89"/>
      <c r="I89" s="89"/>
      <c r="J89" s="89"/>
      <c r="K89" s="89"/>
      <c r="L89" s="89"/>
    </row>
    <row r="90" spans="2:12" ht="28.5">
      <c r="B90" s="31" t="s">
        <v>194</v>
      </c>
      <c r="C90" s="89">
        <f t="shared" ref="C90:G90" si="38">C41/C$48</f>
        <v>0</v>
      </c>
      <c r="D90" s="89">
        <f t="shared" si="38"/>
        <v>0</v>
      </c>
      <c r="E90" s="89">
        <f t="shared" si="38"/>
        <v>0</v>
      </c>
      <c r="F90" s="89">
        <f t="shared" si="38"/>
        <v>0</v>
      </c>
      <c r="G90" s="89">
        <f t="shared" si="38"/>
        <v>0</v>
      </c>
      <c r="H90" s="89"/>
      <c r="I90" s="89"/>
      <c r="J90" s="89"/>
      <c r="K90" s="89"/>
      <c r="L90" s="89"/>
    </row>
    <row r="91" spans="2:12" ht="28.5">
      <c r="B91" s="31" t="s">
        <v>394</v>
      </c>
      <c r="C91" s="89">
        <f t="shared" ref="C91:G91" si="39">C42/C$48</f>
        <v>4.9107050411641325E-4</v>
      </c>
      <c r="D91" s="89">
        <f t="shared" si="39"/>
        <v>5.0592480616374897E-4</v>
      </c>
      <c r="E91" s="89">
        <f t="shared" si="39"/>
        <v>3.4939424299317218E-4</v>
      </c>
      <c r="F91" s="89">
        <f t="shared" si="39"/>
        <v>3.154286409205956E-4</v>
      </c>
      <c r="G91" s="89">
        <f t="shared" si="39"/>
        <v>3.0823908211600559E-4</v>
      </c>
      <c r="H91" s="89"/>
      <c r="I91" s="89"/>
      <c r="J91" s="89"/>
      <c r="K91" s="89"/>
      <c r="L91" s="89"/>
    </row>
    <row r="92" spans="2:12">
      <c r="B92" s="31" t="s">
        <v>155</v>
      </c>
      <c r="C92" s="89">
        <f t="shared" ref="C92:G92" si="40">C43/C$48</f>
        <v>0.20921970080198318</v>
      </c>
      <c r="D92" s="89">
        <f t="shared" si="40"/>
        <v>0.22480128736528987</v>
      </c>
      <c r="E92" s="89">
        <f t="shared" si="40"/>
        <v>0.16109810821960482</v>
      </c>
      <c r="F92" s="89">
        <f t="shared" si="40"/>
        <v>0.15018203652891682</v>
      </c>
      <c r="G92" s="89">
        <f t="shared" si="40"/>
        <v>0.15284944749072962</v>
      </c>
      <c r="H92" s="89"/>
      <c r="I92" s="89"/>
      <c r="J92" s="89"/>
      <c r="K92" s="89"/>
      <c r="L92" s="89"/>
    </row>
    <row r="93" spans="2:12">
      <c r="B93" s="31" t="s">
        <v>95</v>
      </c>
      <c r="C93" s="89">
        <f t="shared" ref="C93:G93" si="41">C44/C$48</f>
        <v>1.4296009016764437</v>
      </c>
      <c r="D93" s="89">
        <f t="shared" si="41"/>
        <v>1.538712390890915</v>
      </c>
      <c r="E93" s="89">
        <f t="shared" si="41"/>
        <v>1.1140730107680783</v>
      </c>
      <c r="F93" s="89">
        <f t="shared" si="41"/>
        <v>1.0243469106994914</v>
      </c>
      <c r="G93" s="89">
        <f t="shared" si="41"/>
        <v>1.068339946856611</v>
      </c>
      <c r="H93" s="89"/>
      <c r="I93" s="89"/>
      <c r="J93" s="89"/>
      <c r="K93" s="89"/>
      <c r="L93" s="89"/>
    </row>
    <row r="94" spans="2:12">
      <c r="B94" s="31" t="s">
        <v>156</v>
      </c>
      <c r="C94" s="89">
        <f t="shared" ref="C94:G94" si="42">C45/C$48</f>
        <v>-6.4442649769108115E-2</v>
      </c>
      <c r="D94" s="89">
        <f t="shared" si="42"/>
        <v>-7.9530769980982088E-2</v>
      </c>
      <c r="E94" s="89">
        <f t="shared" si="42"/>
        <v>-5.225548717344268E-2</v>
      </c>
      <c r="F94" s="89">
        <f t="shared" si="42"/>
        <v>-4.9153663152614255E-2</v>
      </c>
      <c r="G94" s="89">
        <f t="shared" si="42"/>
        <v>-4.7790055761564067E-2</v>
      </c>
      <c r="H94" s="89"/>
      <c r="I94" s="89"/>
      <c r="J94" s="89"/>
      <c r="K94" s="89"/>
      <c r="L94" s="89"/>
    </row>
    <row r="95" spans="2:12" ht="28.5">
      <c r="B95" s="31" t="s">
        <v>157</v>
      </c>
      <c r="C95" s="89">
        <f t="shared" ref="C95:G95" si="43">C46/C$48</f>
        <v>-1.6715448308912928</v>
      </c>
      <c r="D95" s="89">
        <f t="shared" si="43"/>
        <v>-1.8752285804847122</v>
      </c>
      <c r="E95" s="89">
        <f t="shared" si="43"/>
        <v>-1.3960741557708989</v>
      </c>
      <c r="F95" s="89">
        <f t="shared" si="43"/>
        <v>-1.274377313460062</v>
      </c>
      <c r="G95" s="89">
        <f t="shared" si="43"/>
        <v>-1.259141795548359</v>
      </c>
      <c r="H95" s="89"/>
      <c r="I95" s="89"/>
      <c r="J95" s="89"/>
      <c r="K95" s="89"/>
      <c r="L95" s="89"/>
    </row>
    <row r="96" spans="2:12">
      <c r="B96" s="31" t="s">
        <v>158</v>
      </c>
      <c r="C96" s="89">
        <f t="shared" ref="C96:G96" si="44">C47/C$48</f>
        <v>-9.6675807677857731E-2</v>
      </c>
      <c r="D96" s="89">
        <f t="shared" si="44"/>
        <v>-0.19073974740332572</v>
      </c>
      <c r="E96" s="89">
        <f t="shared" si="44"/>
        <v>-0.17280912971366522</v>
      </c>
      <c r="F96" s="89">
        <f t="shared" si="44"/>
        <v>-0.14868660074334739</v>
      </c>
      <c r="G96" s="89">
        <f t="shared" si="44"/>
        <v>-8.5434217880466359E-2</v>
      </c>
      <c r="H96" s="89"/>
      <c r="I96" s="89"/>
      <c r="J96" s="89"/>
      <c r="K96" s="89"/>
      <c r="L96" s="89"/>
    </row>
    <row r="97" spans="2:12" ht="15">
      <c r="B97" s="41" t="s">
        <v>159</v>
      </c>
      <c r="C97" s="89">
        <f t="shared" ref="C97:G97" si="45">C48/C$48</f>
        <v>1</v>
      </c>
      <c r="D97" s="89">
        <f t="shared" si="45"/>
        <v>1</v>
      </c>
      <c r="E97" s="89">
        <f t="shared" si="45"/>
        <v>1</v>
      </c>
      <c r="F97" s="89">
        <f t="shared" si="45"/>
        <v>1</v>
      </c>
      <c r="G97" s="89">
        <f t="shared" si="45"/>
        <v>1</v>
      </c>
      <c r="H97" s="89"/>
      <c r="I97" s="89"/>
      <c r="J97" s="89"/>
      <c r="K97" s="89"/>
      <c r="L97" s="89"/>
    </row>
    <row r="98" spans="2:12"/>
    <row r="99" spans="2:12"/>
    <row r="100" spans="2:12"/>
    <row r="101" spans="2:12"/>
    <row r="102" spans="2:12"/>
    <row r="103" spans="2:12"/>
    <row r="104" spans="2:12"/>
    <row r="105" spans="2:12"/>
    <row r="106" spans="2:12"/>
    <row r="107" spans="2:12"/>
    <row r="108" spans="2:12"/>
    <row r="109" spans="2:12"/>
    <row r="110" spans="2:12"/>
    <row r="111" spans="2:12"/>
    <row r="112" spans="2: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</sheetData>
  <mergeCells count="2">
    <mergeCell ref="H1:L1"/>
    <mergeCell ref="C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2"/>
  <sheetViews>
    <sheetView showGridLines="0" zoomScaleNormal="100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I36" sqref="I36:L36"/>
    </sheetView>
  </sheetViews>
  <sheetFormatPr defaultColWidth="8.7109375" defaultRowHeight="14.25" zeroHeight="1"/>
  <cols>
    <col min="1" max="1" width="3.5703125" style="20" customWidth="1"/>
    <col min="2" max="2" width="63.7109375" style="20" customWidth="1"/>
    <col min="3" max="5" width="12.5703125" style="20" customWidth="1"/>
    <col min="6" max="7" width="12.5703125" style="49" customWidth="1"/>
    <col min="8" max="8" width="12.7109375" style="20" customWidth="1"/>
    <col min="9" max="12" width="12.5703125" style="20" customWidth="1"/>
    <col min="13" max="15" width="8.7109375" style="20" customWidth="1"/>
    <col min="16" max="16383" width="8.7109375" style="20"/>
    <col min="16384" max="16384" width="8" style="20" customWidth="1"/>
  </cols>
  <sheetData>
    <row r="1" spans="1:13" ht="27.75" customHeight="1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>
      <c r="A2" s="22" t="s">
        <v>89</v>
      </c>
      <c r="B2" s="23"/>
      <c r="C2" s="19">
        <v>2017</v>
      </c>
      <c r="D2" s="19">
        <f>C2+1</f>
        <v>2018</v>
      </c>
      <c r="E2" s="19">
        <f t="shared" ref="E2:G2" si="0">D2+1</f>
        <v>2019</v>
      </c>
      <c r="F2" s="19">
        <f t="shared" si="0"/>
        <v>2020</v>
      </c>
      <c r="G2" s="19">
        <f t="shared" si="0"/>
        <v>2021</v>
      </c>
      <c r="H2" s="19">
        <f t="shared" ref="H2:L2" si="1">G2+1</f>
        <v>2022</v>
      </c>
      <c r="I2" s="19">
        <f t="shared" si="1"/>
        <v>2023</v>
      </c>
      <c r="J2" s="19">
        <f t="shared" si="1"/>
        <v>2024</v>
      </c>
      <c r="K2" s="19">
        <f t="shared" si="1"/>
        <v>2025</v>
      </c>
      <c r="L2" s="19">
        <f t="shared" si="1"/>
        <v>2026</v>
      </c>
      <c r="M2" s="72"/>
    </row>
    <row r="3" spans="1:13" ht="15">
      <c r="B3" s="30" t="s">
        <v>45</v>
      </c>
      <c r="C3" s="55"/>
      <c r="D3" s="55"/>
      <c r="E3" s="55"/>
      <c r="F3" s="73"/>
      <c r="G3" s="73"/>
      <c r="H3" s="73"/>
      <c r="I3" s="73"/>
      <c r="J3" s="73"/>
      <c r="K3" s="74"/>
      <c r="L3" s="74"/>
    </row>
    <row r="4" spans="1:13">
      <c r="B4" s="31" t="s">
        <v>118</v>
      </c>
      <c r="C4" s="47">
        <v>5192.3</v>
      </c>
      <c r="D4" s="47">
        <v>5924.3</v>
      </c>
      <c r="E4" s="47">
        <v>6025.4</v>
      </c>
      <c r="F4" s="47">
        <v>4730.5</v>
      </c>
      <c r="G4" s="47">
        <v>7545.2</v>
      </c>
      <c r="H4" s="33">
        <f ca="1">'Income Statement'!H26</f>
        <v>7014.4308701496302</v>
      </c>
      <c r="I4" s="33">
        <f ca="1">'Income Statement'!I26</f>
        <v>7247.4099960620842</v>
      </c>
      <c r="J4" s="33">
        <f ca="1">'Income Statement'!J26</f>
        <v>7622.2671236896886</v>
      </c>
      <c r="K4" s="33">
        <f ca="1">'Income Statement'!K26</f>
        <v>8100.6193467655376</v>
      </c>
      <c r="L4" s="33">
        <f ca="1">'Income Statement'!L26</f>
        <v>8695.7179137789499</v>
      </c>
    </row>
    <row r="5" spans="1:13">
      <c r="B5" s="454" t="s">
        <v>160</v>
      </c>
      <c r="C5" s="478"/>
      <c r="D5" s="478"/>
      <c r="E5" s="478"/>
      <c r="F5" s="478"/>
      <c r="G5" s="478"/>
      <c r="H5" s="33"/>
      <c r="I5" s="33"/>
      <c r="J5" s="33"/>
      <c r="K5" s="33"/>
      <c r="L5" s="33"/>
    </row>
    <row r="6" spans="1:13">
      <c r="B6" s="454" t="s">
        <v>161</v>
      </c>
      <c r="C6" s="478"/>
      <c r="D6" s="478"/>
      <c r="E6" s="478"/>
      <c r="F6" s="478"/>
      <c r="G6" s="478"/>
      <c r="H6" s="33"/>
      <c r="I6" s="33"/>
      <c r="J6" s="33"/>
      <c r="K6" s="33"/>
      <c r="L6" s="33"/>
    </row>
    <row r="7" spans="1:13">
      <c r="B7" s="31" t="s">
        <v>46</v>
      </c>
      <c r="C7" s="47">
        <v>1363.4</v>
      </c>
      <c r="D7" s="47">
        <v>1482</v>
      </c>
      <c r="E7" s="47">
        <v>1617.9</v>
      </c>
      <c r="F7" s="47">
        <v>1751.4</v>
      </c>
      <c r="G7" s="47">
        <v>1868.1</v>
      </c>
      <c r="H7" s="33">
        <f>'Dep Capex'!H13+Amortization!H13</f>
        <v>1882.0559392380742</v>
      </c>
      <c r="I7" s="33">
        <f>'Dep Capex'!I13+Amortization!I13</f>
        <v>2052.2387689523166</v>
      </c>
      <c r="J7" s="33">
        <f>'Dep Capex'!J13+Amortization!J13</f>
        <v>2250.2701678094122</v>
      </c>
      <c r="K7" s="33">
        <f>'Dep Capex'!K13+Amortization!K13</f>
        <v>2476.150135809361</v>
      </c>
      <c r="L7" s="33">
        <f>'Dep Capex'!L13+Amortization!L13</f>
        <v>2729.8786729521639</v>
      </c>
    </row>
    <row r="8" spans="1:13">
      <c r="B8" s="31" t="s">
        <v>96</v>
      </c>
      <c r="C8" s="47">
        <v>-36.4</v>
      </c>
      <c r="D8" s="47">
        <v>102.6</v>
      </c>
      <c r="E8" s="47">
        <v>149.69999999999999</v>
      </c>
      <c r="F8" s="47">
        <v>6.4</v>
      </c>
      <c r="G8" s="47">
        <v>-428.3</v>
      </c>
      <c r="H8" s="33"/>
      <c r="I8" s="33"/>
      <c r="J8" s="33"/>
      <c r="K8" s="33"/>
      <c r="L8" s="33"/>
    </row>
    <row r="9" spans="1:13">
      <c r="B9" s="31" t="s">
        <v>162</v>
      </c>
      <c r="C9" s="47">
        <v>117.5</v>
      </c>
      <c r="D9" s="47">
        <v>125.1</v>
      </c>
      <c r="E9" s="47">
        <v>109.6</v>
      </c>
      <c r="F9" s="47">
        <v>92.4</v>
      </c>
      <c r="G9" s="47">
        <v>139.19999999999999</v>
      </c>
      <c r="H9" s="33">
        <f>'Shareholder''s Equity'!H7</f>
        <v>116.7</v>
      </c>
      <c r="I9" s="33">
        <f>'Shareholder''s Equity'!I7</f>
        <v>116.7</v>
      </c>
      <c r="J9" s="33">
        <f>'Shareholder''s Equity'!J7</f>
        <v>116.7</v>
      </c>
      <c r="K9" s="33">
        <f>'Shareholder''s Equity'!K7</f>
        <v>116.7</v>
      </c>
      <c r="L9" s="33">
        <f>'Shareholder''s Equity'!L7</f>
        <v>116.7</v>
      </c>
    </row>
    <row r="10" spans="1:13">
      <c r="B10" s="31" t="s">
        <v>163</v>
      </c>
      <c r="C10" s="47">
        <v>-1155.8</v>
      </c>
      <c r="D10" s="47">
        <v>-308.8</v>
      </c>
      <c r="E10" s="47">
        <v>-128.19999999999999</v>
      </c>
      <c r="F10" s="47">
        <v>-28.2</v>
      </c>
      <c r="G10" s="47">
        <v>-97.8</v>
      </c>
      <c r="H10" s="33"/>
      <c r="I10" s="33"/>
      <c r="J10" s="33"/>
      <c r="K10" s="33"/>
      <c r="L10" s="33"/>
    </row>
    <row r="11" spans="1:13">
      <c r="B11" s="31" t="s">
        <v>111</v>
      </c>
      <c r="C11" s="47">
        <v>1050.7</v>
      </c>
      <c r="D11" s="47">
        <v>114.2</v>
      </c>
      <c r="E11" s="47">
        <v>49.2</v>
      </c>
      <c r="F11" s="47">
        <v>-75.2</v>
      </c>
      <c r="G11" s="47">
        <v>-339.1</v>
      </c>
      <c r="H11" s="33">
        <f>'Other Assets and Liabilities'!G4-'Other Assets and Liabilities'!H4+'Other Assets and Liabilities'!G5-'Other Assets and Liabilities'!H5+'Other Assets and Liabilities'!G6-'Other Assets and Liabilities'!H6+'Other Assets and Liabilities'!G9-'Other Assets and Liabilities'!H9+'Other Assets and Liabilities'!H12-'Other Assets and Liabilities'!G12+'Other Assets and Liabilities'!H13-'Other Assets and Liabilities'!G13+'Other Assets and Liabilities'!H14-'Other Assets and Liabilities'!G14+'Other Assets and Liabilities'!H15-'Other Assets and Liabilities'!G15+'Other Assets and Liabilities'!H16-'Other Assets and Liabilities'!G16</f>
        <v>0</v>
      </c>
      <c r="I11" s="33">
        <f>'Other Assets and Liabilities'!H4-'Other Assets and Liabilities'!I4+'Other Assets and Liabilities'!H5-'Other Assets and Liabilities'!I5+'Other Assets and Liabilities'!H6-'Other Assets and Liabilities'!I6+'Other Assets and Liabilities'!H9-'Other Assets and Liabilities'!I9+'Other Assets and Liabilities'!I12-'Other Assets and Liabilities'!H12+'Other Assets and Liabilities'!I13-'Other Assets and Liabilities'!H13+'Other Assets and Liabilities'!I14-'Other Assets and Liabilities'!H14+'Other Assets and Liabilities'!I15-'Other Assets and Liabilities'!H15+'Other Assets and Liabilities'!I16-'Other Assets and Liabilities'!H16</f>
        <v>0</v>
      </c>
      <c r="J11" s="33">
        <f>'Other Assets and Liabilities'!I4-'Other Assets and Liabilities'!J4+'Other Assets and Liabilities'!I5-'Other Assets and Liabilities'!J5+'Other Assets and Liabilities'!I6-'Other Assets and Liabilities'!J6+'Other Assets and Liabilities'!I9-'Other Assets and Liabilities'!J9+'Other Assets and Liabilities'!J12-'Other Assets and Liabilities'!I12+'Other Assets and Liabilities'!J13-'Other Assets and Liabilities'!I13+'Other Assets and Liabilities'!J14-'Other Assets and Liabilities'!I14+'Other Assets and Liabilities'!J15-'Other Assets and Liabilities'!I15+'Other Assets and Liabilities'!J16-'Other Assets and Liabilities'!I16</f>
        <v>0</v>
      </c>
      <c r="K11" s="33">
        <f>'Other Assets and Liabilities'!J4-'Other Assets and Liabilities'!K4+'Other Assets and Liabilities'!J5-'Other Assets and Liabilities'!K5+'Other Assets and Liabilities'!J6-'Other Assets and Liabilities'!K6+'Other Assets and Liabilities'!J9-'Other Assets and Liabilities'!K9+'Other Assets and Liabilities'!K12-'Other Assets and Liabilities'!J12+'Other Assets and Liabilities'!K13-'Other Assets and Liabilities'!J13+'Other Assets and Liabilities'!K14-'Other Assets and Liabilities'!J14+'Other Assets and Liabilities'!K15-'Other Assets and Liabilities'!J15+'Other Assets and Liabilities'!K16-'Other Assets and Liabilities'!J16</f>
        <v>0</v>
      </c>
      <c r="L11" s="33">
        <f>'Other Assets and Liabilities'!K4-'Other Assets and Liabilities'!L4+'Other Assets and Liabilities'!K5-'Other Assets and Liabilities'!L5+'Other Assets and Liabilities'!K6-'Other Assets and Liabilities'!L6+'Other Assets and Liabilities'!K9-'Other Assets and Liabilities'!L9+'Other Assets and Liabilities'!L12-'Other Assets and Liabilities'!K12+'Other Assets and Liabilities'!L13-'Other Assets and Liabilities'!K13+'Other Assets and Liabilities'!L14-'Other Assets and Liabilities'!K14+'Other Assets and Liabilities'!L15-'Other Assets and Liabilities'!K15+'Other Assets and Liabilities'!L16-'Other Assets and Liabilities'!K16</f>
        <v>0</v>
      </c>
    </row>
    <row r="12" spans="1:13">
      <c r="B12" s="454" t="s">
        <v>164</v>
      </c>
      <c r="C12" s="478"/>
      <c r="D12" s="478"/>
      <c r="E12" s="478"/>
      <c r="F12" s="478"/>
      <c r="G12" s="478"/>
      <c r="H12" s="33"/>
      <c r="I12" s="33"/>
      <c r="J12" s="33"/>
      <c r="K12" s="33"/>
      <c r="L12" s="33"/>
    </row>
    <row r="13" spans="1:13">
      <c r="B13" s="31" t="s">
        <v>43</v>
      </c>
      <c r="C13" s="47">
        <v>-340.7</v>
      </c>
      <c r="D13" s="47">
        <v>-479.4</v>
      </c>
      <c r="E13" s="47">
        <v>27</v>
      </c>
      <c r="F13" s="47">
        <v>-6.8</v>
      </c>
      <c r="G13" s="47">
        <v>309.89999999999998</v>
      </c>
      <c r="H13" s="33">
        <f>'Working Capital'!G16-'Working Capital'!H16</f>
        <v>-408.62898142501354</v>
      </c>
      <c r="I13" s="33">
        <f>'Working Capital'!H16-'Working Capital'!I16</f>
        <v>-70.382611317858391</v>
      </c>
      <c r="J13" s="33">
        <f>'Working Capital'!I16-'Working Capital'!J16</f>
        <v>-100.58820962974005</v>
      </c>
      <c r="K13" s="33">
        <f>'Working Capital'!J16-'Working Capital'!K16</f>
        <v>-133.89104676949273</v>
      </c>
      <c r="L13" s="33">
        <f>'Working Capital'!K16-'Working Capital'!L16</f>
        <v>-171.53457423583586</v>
      </c>
    </row>
    <row r="14" spans="1:13">
      <c r="B14" s="31" t="s">
        <v>165</v>
      </c>
      <c r="C14" s="47">
        <v>-37.299999999999997</v>
      </c>
      <c r="D14" s="47">
        <v>-1.9</v>
      </c>
      <c r="E14" s="47">
        <v>128.80000000000001</v>
      </c>
      <c r="F14" s="47">
        <v>-68.599999999999994</v>
      </c>
      <c r="G14" s="47">
        <v>-62.2</v>
      </c>
      <c r="H14" s="33">
        <f>'Working Capital'!G17-'Working Capital'!H17+'Working Capital'!G18-'Working Capital'!H18</f>
        <v>-129.16370749804514</v>
      </c>
      <c r="I14" s="33">
        <f>'Working Capital'!H17-'Working Capital'!I17+'Working Capital'!H18-'Working Capital'!I18</f>
        <v>-21.778140821473585</v>
      </c>
      <c r="J14" s="33">
        <f>'Working Capital'!I17-'Working Capital'!J17+'Working Capital'!I18-'Working Capital'!J18</f>
        <v>-30.951320807065372</v>
      </c>
      <c r="K14" s="33">
        <f>'Working Capital'!J17-'Working Capital'!K17+'Working Capital'!J18-'Working Capital'!K18</f>
        <v>-41.075008479303847</v>
      </c>
      <c r="L14" s="33">
        <f>'Working Capital'!K17-'Working Capital'!L17+'Working Capital'!K18-'Working Capital'!L18</f>
        <v>-52.525857708837066</v>
      </c>
    </row>
    <row r="15" spans="1:13">
      <c r="B15" s="31" t="s">
        <v>141</v>
      </c>
      <c r="C15" s="47">
        <v>-59.7</v>
      </c>
      <c r="D15" s="47">
        <v>129.4</v>
      </c>
      <c r="E15" s="47">
        <v>-26.8</v>
      </c>
      <c r="F15" s="47">
        <v>-137.5</v>
      </c>
      <c r="G15" s="47">
        <v>225</v>
      </c>
      <c r="H15" s="33">
        <f>'Working Capital'!H21-'Working Capital'!G21</f>
        <v>11.001880268415562</v>
      </c>
      <c r="I15" s="33">
        <f>'Working Capital'!I21-'Working Capital'!H21</f>
        <v>39.125963778047662</v>
      </c>
      <c r="J15" s="33">
        <f>'Working Capital'!J21-'Working Capital'!I21</f>
        <v>50.166902597521357</v>
      </c>
      <c r="K15" s="33">
        <f>'Working Capital'!K21-'Working Capital'!J21</f>
        <v>64.310258086029535</v>
      </c>
      <c r="L15" s="33">
        <f>'Working Capital'!L21-'Working Capital'!K21</f>
        <v>80.451753857821814</v>
      </c>
    </row>
    <row r="16" spans="1:13">
      <c r="B16" s="31" t="s">
        <v>143</v>
      </c>
      <c r="C16" s="47">
        <v>-396.4</v>
      </c>
      <c r="D16" s="47">
        <v>-33.4</v>
      </c>
      <c r="E16" s="47">
        <v>173.4</v>
      </c>
      <c r="F16" s="47">
        <v>-43.6</v>
      </c>
      <c r="G16" s="47">
        <v>-302.5</v>
      </c>
      <c r="H16" s="33">
        <f>'Working Capital'!H23-'Working Capital'!G23</f>
        <v>0</v>
      </c>
      <c r="I16" s="33">
        <f>'Working Capital'!I23-'Working Capital'!H23</f>
        <v>0</v>
      </c>
      <c r="J16" s="33">
        <f>'Working Capital'!J23-'Working Capital'!I23</f>
        <v>0</v>
      </c>
      <c r="K16" s="33">
        <f>'Working Capital'!K23-'Working Capital'!J23</f>
        <v>0</v>
      </c>
      <c r="L16" s="33">
        <f>'Working Capital'!L23-'Working Capital'!K23</f>
        <v>0</v>
      </c>
    </row>
    <row r="17" spans="2:12">
      <c r="B17" s="31" t="s">
        <v>166</v>
      </c>
      <c r="C17" s="47">
        <v>-146.4</v>
      </c>
      <c r="D17" s="47">
        <v>-87.4</v>
      </c>
      <c r="E17" s="47">
        <v>-3.9</v>
      </c>
      <c r="F17" s="47">
        <v>44.4</v>
      </c>
      <c r="G17" s="47">
        <v>284</v>
      </c>
      <c r="H17" s="33">
        <f>'Working Capital'!H26-'Working Capital'!G26+'Working Capital'!H25-'Working Capital'!G25+'Working Capital'!H24-'Working Capital'!G24+'Working Capital'!H22-'Working Capital'!G22</f>
        <v>-199.23105071108694</v>
      </c>
      <c r="I17" s="33">
        <f>'Working Capital'!I26-'Working Capital'!H26+'Working Capital'!I25-'Working Capital'!H25+'Working Capital'!I24-'Working Capital'!H24+'Working Capital'!I22-'Working Capital'!H22</f>
        <v>39.274756848330753</v>
      </c>
      <c r="J17" s="33">
        <f>'Working Capital'!J26-'Working Capital'!I26+'Working Capital'!J25-'Working Capital'!I25+'Working Capital'!J24-'Working Capital'!I24+'Working Capital'!J22-'Working Capital'!I22</f>
        <v>53.906705694536868</v>
      </c>
      <c r="K17" s="33">
        <f>'Working Capital'!K26-'Working Capital'!J26+'Working Capital'!K25-'Working Capital'!J25+'Working Capital'!K24-'Working Capital'!J24+'Working Capital'!K22-'Working Capital'!J22</f>
        <v>70.166123556748062</v>
      </c>
      <c r="L17" s="33">
        <f>'Working Capital'!L26-'Working Capital'!K26+'Working Capital'!L25-'Working Capital'!K25+'Working Capital'!L24-'Working Capital'!K24+'Working Capital'!L22-'Working Capital'!K22</f>
        <v>88.642879552039176</v>
      </c>
    </row>
    <row r="18" spans="2:12" ht="15">
      <c r="B18" s="79" t="s">
        <v>167</v>
      </c>
      <c r="C18" s="479">
        <f>C4+SUM(C7:C11)+SUM(C13:C17)</f>
        <v>5551.2000000000007</v>
      </c>
      <c r="D18" s="479">
        <f>D4+SUM(D7:D11)+SUM(D13:D17)</f>
        <v>6966.7</v>
      </c>
      <c r="E18" s="479">
        <f>E4+SUM(E7:E11)+SUM(E13:E17)</f>
        <v>8122.0999999999995</v>
      </c>
      <c r="F18" s="479">
        <f>F4+SUM(F7:F11)+SUM(F13:F17)</f>
        <v>6265.2</v>
      </c>
      <c r="G18" s="479">
        <f>G4+SUM(G7:G11)+SUM(G13:G17)</f>
        <v>9141.5</v>
      </c>
      <c r="H18" s="479">
        <f t="shared" ref="H18:L18" ca="1" si="2">H4+SUM(H7:H11)+SUM(H13:H17)</f>
        <v>8287.1649500219737</v>
      </c>
      <c r="I18" s="479">
        <f t="shared" ca="1" si="2"/>
        <v>9402.5887335014486</v>
      </c>
      <c r="J18" s="479">
        <f t="shared" ca="1" si="2"/>
        <v>9961.7713693543537</v>
      </c>
      <c r="K18" s="479">
        <f t="shared" ca="1" si="2"/>
        <v>10652.979808968881</v>
      </c>
      <c r="L18" s="479">
        <f t="shared" ca="1" si="2"/>
        <v>11487.330788196303</v>
      </c>
    </row>
    <row r="19" spans="2:12" ht="15">
      <c r="B19" s="30" t="s">
        <v>168</v>
      </c>
      <c r="C19" s="478"/>
      <c r="D19" s="478"/>
      <c r="E19" s="478"/>
      <c r="F19" s="478"/>
      <c r="G19" s="478"/>
      <c r="H19" s="46"/>
      <c r="I19" s="46"/>
      <c r="J19" s="46"/>
      <c r="K19" s="46"/>
      <c r="L19" s="46"/>
    </row>
    <row r="20" spans="2:12">
      <c r="B20" s="31" t="s">
        <v>169</v>
      </c>
      <c r="C20" s="47">
        <v>-1853.7</v>
      </c>
      <c r="D20" s="47">
        <v>-2741.7</v>
      </c>
      <c r="E20" s="47">
        <v>-2393.6999999999998</v>
      </c>
      <c r="F20" s="47">
        <v>-1640.8</v>
      </c>
      <c r="G20" s="47">
        <v>-2040</v>
      </c>
      <c r="H20" s="33">
        <f>-'Dep Capex'!H9</f>
        <v>-2300</v>
      </c>
      <c r="I20" s="33">
        <f>-'Dep Capex'!I9</f>
        <v>-2500</v>
      </c>
      <c r="J20" s="33">
        <f>-'Dep Capex'!J9</f>
        <v>-2700</v>
      </c>
      <c r="K20" s="33">
        <f>-'Dep Capex'!K9</f>
        <v>-2900</v>
      </c>
      <c r="L20" s="33">
        <f>-'Dep Capex'!L9</f>
        <v>-3100</v>
      </c>
    </row>
    <row r="21" spans="2:12">
      <c r="B21" s="31" t="s">
        <v>170</v>
      </c>
      <c r="C21" s="47">
        <v>-77</v>
      </c>
      <c r="D21" s="47">
        <v>-101.7</v>
      </c>
      <c r="E21" s="47">
        <v>-540.9</v>
      </c>
      <c r="F21" s="47">
        <v>-66.099999999999994</v>
      </c>
      <c r="G21" s="47">
        <v>-374.2</v>
      </c>
      <c r="H21" s="33"/>
      <c r="I21" s="33"/>
      <c r="J21" s="33"/>
      <c r="K21" s="33"/>
      <c r="L21" s="33"/>
    </row>
    <row r="22" spans="2:12">
      <c r="B22" s="31" t="s">
        <v>171</v>
      </c>
      <c r="C22" s="47">
        <v>974.8</v>
      </c>
      <c r="D22" s="47">
        <v>530.79999999999995</v>
      </c>
      <c r="E22" s="47">
        <v>340.8</v>
      </c>
      <c r="F22" s="47">
        <v>76.3</v>
      </c>
      <c r="G22" s="47">
        <v>196.2</v>
      </c>
      <c r="H22" s="33"/>
      <c r="I22" s="33"/>
      <c r="J22" s="33"/>
      <c r="K22" s="33"/>
      <c r="L22" s="33"/>
    </row>
    <row r="23" spans="2:12">
      <c r="B23" s="31" t="s">
        <v>189</v>
      </c>
      <c r="C23" s="47">
        <v>1597</v>
      </c>
      <c r="D23" s="478">
        <v>0</v>
      </c>
      <c r="E23" s="478">
        <v>0</v>
      </c>
      <c r="F23" s="478">
        <v>0</v>
      </c>
      <c r="G23" s="49">
        <v>0</v>
      </c>
      <c r="H23" s="33"/>
      <c r="I23" s="33"/>
      <c r="J23" s="33"/>
      <c r="K23" s="33"/>
      <c r="L23" s="33"/>
    </row>
    <row r="24" spans="2:12">
      <c r="B24" s="31" t="s">
        <v>172</v>
      </c>
      <c r="C24" s="47">
        <v>166.8</v>
      </c>
      <c r="D24" s="47">
        <v>160.4</v>
      </c>
      <c r="E24" s="47">
        <v>151.19999999999999</v>
      </c>
      <c r="F24" s="47">
        <v>27.4</v>
      </c>
      <c r="G24" s="47">
        <v>106.2</v>
      </c>
      <c r="H24" s="33"/>
      <c r="I24" s="33"/>
      <c r="J24" s="33"/>
      <c r="K24" s="33"/>
      <c r="L24" s="33"/>
    </row>
    <row r="25" spans="2:12">
      <c r="B25" s="31" t="s">
        <v>111</v>
      </c>
      <c r="C25" s="47">
        <v>-245.9</v>
      </c>
      <c r="D25" s="47">
        <v>-302.89999999999998</v>
      </c>
      <c r="E25" s="47">
        <v>-628.5</v>
      </c>
      <c r="F25" s="47">
        <v>57.4</v>
      </c>
      <c r="G25" s="47">
        <v>-53.9</v>
      </c>
      <c r="H25" s="33">
        <f>-Amortization!H12</f>
        <v>-330</v>
      </c>
      <c r="I25" s="33">
        <f>-Amortization!I12</f>
        <v>-430</v>
      </c>
      <c r="J25" s="33">
        <f>-Amortization!J12</f>
        <v>-530</v>
      </c>
      <c r="K25" s="33">
        <f>-Amortization!K12</f>
        <v>-630</v>
      </c>
      <c r="L25" s="33">
        <f>-Amortization!L12</f>
        <v>-730</v>
      </c>
    </row>
    <row r="26" spans="2:12" ht="15">
      <c r="B26" s="79" t="s">
        <v>173</v>
      </c>
      <c r="C26" s="479">
        <f>SUM(C20:C25)</f>
        <v>561.99999999999989</v>
      </c>
      <c r="D26" s="479">
        <f>SUM(D20:D25)</f>
        <v>-2455.0999999999995</v>
      </c>
      <c r="E26" s="479">
        <f>SUM(E20:E25)</f>
        <v>-3071.1</v>
      </c>
      <c r="F26" s="479">
        <f>SUM(F20:F25)</f>
        <v>-1545.7999999999997</v>
      </c>
      <c r="G26" s="479">
        <f>SUM(G20:G25)</f>
        <v>-2165.7000000000003</v>
      </c>
      <c r="H26" s="479">
        <f t="shared" ref="H26:L26" si="3">SUM(H20:H25)</f>
        <v>-2630</v>
      </c>
      <c r="I26" s="479">
        <f t="shared" si="3"/>
        <v>-2930</v>
      </c>
      <c r="J26" s="479">
        <f t="shared" si="3"/>
        <v>-3230</v>
      </c>
      <c r="K26" s="479">
        <f t="shared" si="3"/>
        <v>-3530</v>
      </c>
      <c r="L26" s="479">
        <f t="shared" si="3"/>
        <v>-3830</v>
      </c>
    </row>
    <row r="27" spans="2:12" ht="15">
      <c r="B27" s="30" t="s">
        <v>174</v>
      </c>
      <c r="C27" s="478"/>
      <c r="D27" s="478"/>
      <c r="E27" s="478"/>
      <c r="F27" s="478"/>
      <c r="G27" s="478"/>
      <c r="H27" s="46"/>
      <c r="I27" s="46"/>
      <c r="J27" s="46"/>
      <c r="K27" s="46"/>
      <c r="L27" s="46"/>
    </row>
    <row r="28" spans="2:12">
      <c r="B28" s="327" t="s">
        <v>432</v>
      </c>
      <c r="C28" s="478"/>
      <c r="D28" s="478"/>
      <c r="E28" s="478"/>
      <c r="F28" s="478"/>
      <c r="G28" s="478"/>
      <c r="H28" s="33">
        <f ca="1">Debt!H17</f>
        <v>0</v>
      </c>
      <c r="I28" s="33">
        <f ca="1">Debt!I17</f>
        <v>0</v>
      </c>
      <c r="J28" s="33">
        <f ca="1">Debt!J17</f>
        <v>3953.1048209737264</v>
      </c>
      <c r="K28" s="33">
        <f ca="1">Debt!K17</f>
        <v>2750.9059926363666</v>
      </c>
      <c r="L28" s="33">
        <f ca="1">Debt!L17</f>
        <v>1903.1651395931231</v>
      </c>
    </row>
    <row r="29" spans="2:12">
      <c r="B29" s="31" t="s">
        <v>175</v>
      </c>
      <c r="C29" s="47">
        <v>-1050.3</v>
      </c>
      <c r="D29" s="47">
        <v>95.9</v>
      </c>
      <c r="E29" s="47">
        <v>799.2</v>
      </c>
      <c r="F29" s="47">
        <v>-893.1</v>
      </c>
      <c r="G29" s="47">
        <v>15.1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</row>
    <row r="30" spans="2:12">
      <c r="B30" s="31" t="s">
        <v>176</v>
      </c>
      <c r="C30" s="47">
        <v>4727.5</v>
      </c>
      <c r="D30" s="47">
        <v>3794.5</v>
      </c>
      <c r="E30" s="47">
        <v>4499</v>
      </c>
      <c r="F30" s="47">
        <v>5543</v>
      </c>
      <c r="G30" s="47">
        <v>1154.4000000000001</v>
      </c>
      <c r="H30" s="33">
        <f>Debt!H27</f>
        <v>0</v>
      </c>
      <c r="I30" s="33">
        <f>Debt!I27</f>
        <v>0</v>
      </c>
      <c r="J30" s="33">
        <f>Debt!J27</f>
        <v>0</v>
      </c>
      <c r="K30" s="33">
        <f>Debt!K27</f>
        <v>0</v>
      </c>
      <c r="L30" s="33">
        <f>Debt!L27</f>
        <v>0</v>
      </c>
    </row>
    <row r="31" spans="2:12">
      <c r="B31" s="31" t="s">
        <v>177</v>
      </c>
      <c r="C31" s="47">
        <v>-1649.4</v>
      </c>
      <c r="D31" s="47">
        <v>-1759.6</v>
      </c>
      <c r="E31" s="47">
        <v>-2061.9</v>
      </c>
      <c r="F31" s="47">
        <v>-2411.6999999999998</v>
      </c>
      <c r="G31" s="47">
        <v>-2240</v>
      </c>
      <c r="H31" s="33">
        <f>Debt!H28</f>
        <v>0</v>
      </c>
      <c r="I31" s="33">
        <f>Debt!I28</f>
        <v>-2535.6999999999998</v>
      </c>
      <c r="J31" s="33">
        <f>Debt!J28</f>
        <v>-5400.5</v>
      </c>
      <c r="K31" s="33">
        <f>Debt!K28</f>
        <v>-3136.4</v>
      </c>
      <c r="L31" s="33">
        <f>Debt!L28</f>
        <v>-2460</v>
      </c>
    </row>
    <row r="32" spans="2:12">
      <c r="B32" s="31" t="s">
        <v>178</v>
      </c>
      <c r="C32" s="47">
        <v>-4685.7</v>
      </c>
      <c r="D32" s="47">
        <v>-5207.7</v>
      </c>
      <c r="E32" s="47">
        <v>-4976.2</v>
      </c>
      <c r="F32" s="47">
        <v>-907.8</v>
      </c>
      <c r="G32" s="47">
        <v>-845.5</v>
      </c>
      <c r="H32" s="33">
        <f>-'Shareholder''s Equity'!H9</f>
        <v>-2000</v>
      </c>
      <c r="I32" s="33">
        <f>-'Shareholder''s Equity'!I9</f>
        <v>-2000</v>
      </c>
      <c r="J32" s="33">
        <f>-'Shareholder''s Equity'!J9</f>
        <v>-2000</v>
      </c>
      <c r="K32" s="33">
        <f>-'Shareholder''s Equity'!K9</f>
        <v>-2000</v>
      </c>
      <c r="L32" s="33">
        <f>-'Shareholder''s Equity'!L9</f>
        <v>-2000</v>
      </c>
    </row>
    <row r="33" spans="2:12">
      <c r="B33" s="31" t="s">
        <v>179</v>
      </c>
      <c r="C33" s="47">
        <v>-3089.2</v>
      </c>
      <c r="D33" s="47">
        <v>-3255.9</v>
      </c>
      <c r="E33" s="47">
        <v>-3581.9</v>
      </c>
      <c r="F33" s="47">
        <v>-3752.9</v>
      </c>
      <c r="G33" s="47">
        <v>-3918.6</v>
      </c>
      <c r="H33" s="33">
        <f ca="1">-'Shareholder''s Equity'!H6</f>
        <v>-4278.8028307912746</v>
      </c>
      <c r="I33" s="33">
        <f ca="1">-'Shareholder''s Equity'!I6</f>
        <v>-4420.9200975978711</v>
      </c>
      <c r="J33" s="33">
        <f ca="1">-'Shareholder''s Equity'!J6</f>
        <v>-4649.582945450049</v>
      </c>
      <c r="K33" s="33">
        <f ca="1">-'Shareholder''s Equity'!K6</f>
        <v>-4941.377801513765</v>
      </c>
      <c r="L33" s="33">
        <f ca="1">-'Shareholder''s Equity'!L6</f>
        <v>-5304.3879273326702</v>
      </c>
    </row>
    <row r="34" spans="2:12">
      <c r="B34" s="31" t="s">
        <v>180</v>
      </c>
      <c r="C34" s="47">
        <v>456.8</v>
      </c>
      <c r="D34" s="47">
        <v>403.2</v>
      </c>
      <c r="E34" s="47">
        <v>350.5</v>
      </c>
      <c r="F34" s="47">
        <v>295.5</v>
      </c>
      <c r="G34" s="47">
        <v>285.7</v>
      </c>
      <c r="H34" s="33">
        <f>'Shareholder''s Equity'!H8</f>
        <v>203.892</v>
      </c>
      <c r="I34" s="33">
        <f>'Shareholder''s Equity'!I8</f>
        <v>203.892</v>
      </c>
      <c r="J34" s="33">
        <f>'Shareholder''s Equity'!J8</f>
        <v>203.892</v>
      </c>
      <c r="K34" s="33">
        <f>'Shareholder''s Equity'!K8</f>
        <v>203.892</v>
      </c>
      <c r="L34" s="33">
        <f>'Shareholder''s Equity'!L8</f>
        <v>203.892</v>
      </c>
    </row>
    <row r="35" spans="2:12">
      <c r="B35" s="31" t="s">
        <v>111</v>
      </c>
      <c r="C35" s="47">
        <v>-20.5</v>
      </c>
      <c r="D35" s="47">
        <v>-20</v>
      </c>
      <c r="E35" s="47">
        <v>-23.5</v>
      </c>
      <c r="F35" s="47">
        <v>-122</v>
      </c>
      <c r="G35" s="47">
        <v>-46.7</v>
      </c>
      <c r="H35" s="33"/>
      <c r="I35" s="33"/>
      <c r="J35" s="33"/>
      <c r="K35" s="33"/>
      <c r="L35" s="33"/>
    </row>
    <row r="36" spans="2:12" ht="15">
      <c r="B36" s="79" t="s">
        <v>181</v>
      </c>
      <c r="C36" s="479">
        <f>SUM(C29:C35)</f>
        <v>-5310.8</v>
      </c>
      <c r="D36" s="479">
        <f>SUM(D29:D35)</f>
        <v>-5949.5999999999995</v>
      </c>
      <c r="E36" s="479">
        <f>SUM(E29:E35)</f>
        <v>-4994.8</v>
      </c>
      <c r="F36" s="479">
        <f>SUM(F29:F35)</f>
        <v>-2249</v>
      </c>
      <c r="G36" s="479">
        <f>SUM(G29:G35)</f>
        <v>-5595.6</v>
      </c>
      <c r="H36" s="479">
        <f ca="1">SUM(H28:H35)</f>
        <v>-6074.9108307912747</v>
      </c>
      <c r="I36" s="479">
        <f t="shared" ref="I36:L36" ca="1" si="4">SUM(I28:I35)</f>
        <v>-8752.728097597872</v>
      </c>
      <c r="J36" s="479">
        <f t="shared" ca="1" si="4"/>
        <v>-7893.0861244763228</v>
      </c>
      <c r="K36" s="479">
        <f t="shared" ca="1" si="4"/>
        <v>-7122.9798088773987</v>
      </c>
      <c r="L36" s="479">
        <f t="shared" ca="1" si="4"/>
        <v>-7657.3307877395473</v>
      </c>
    </row>
    <row r="37" spans="2:12">
      <c r="B37" s="31" t="s">
        <v>182</v>
      </c>
      <c r="C37" s="47">
        <v>264</v>
      </c>
      <c r="D37" s="47">
        <v>-159.80000000000001</v>
      </c>
      <c r="E37" s="47">
        <v>-23.7</v>
      </c>
      <c r="F37" s="47">
        <v>80.2</v>
      </c>
      <c r="G37" s="47">
        <v>-120.1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</row>
    <row r="38" spans="2:12">
      <c r="B38" s="163" t="s">
        <v>183</v>
      </c>
      <c r="C38" s="480">
        <f t="shared" ref="C38:F38" si="5">C18+C26+C36+C37</f>
        <v>1066.4000000000005</v>
      </c>
      <c r="D38" s="480">
        <f t="shared" si="5"/>
        <v>-1597.799999999999</v>
      </c>
      <c r="E38" s="480">
        <f t="shared" si="5"/>
        <v>32.499999999999815</v>
      </c>
      <c r="F38" s="480">
        <f t="shared" si="5"/>
        <v>2550.5999999999995</v>
      </c>
      <c r="G38" s="480">
        <f>G18+G26+G36+G37</f>
        <v>1260.099999999999</v>
      </c>
      <c r="H38" s="480">
        <f t="shared" ref="H38:L38" ca="1" si="6">H18+H26+H36+H37</f>
        <v>-417.74588076930104</v>
      </c>
      <c r="I38" s="480">
        <f t="shared" ca="1" si="6"/>
        <v>-2280.1393640964234</v>
      </c>
      <c r="J38" s="480">
        <f t="shared" ca="1" si="6"/>
        <v>-1161.314755121969</v>
      </c>
      <c r="K38" s="480">
        <f t="shared" ca="1" si="6"/>
        <v>9.148243407253176E-8</v>
      </c>
      <c r="L38" s="480">
        <f t="shared" ca="1" si="6"/>
        <v>4.5675551518797874E-7</v>
      </c>
    </row>
    <row r="39" spans="2:12">
      <c r="B39" s="31" t="s">
        <v>190</v>
      </c>
      <c r="C39" s="47">
        <v>174</v>
      </c>
      <c r="D39" s="478"/>
      <c r="E39" s="478"/>
      <c r="F39" s="478"/>
      <c r="G39" s="478"/>
      <c r="H39" s="46"/>
      <c r="I39" s="46"/>
      <c r="J39" s="46"/>
      <c r="K39" s="46"/>
      <c r="L39" s="46"/>
    </row>
    <row r="40" spans="2:12">
      <c r="B40" s="255" t="s">
        <v>184</v>
      </c>
      <c r="C40" s="481">
        <v>1223.4000000000001</v>
      </c>
      <c r="D40" s="481">
        <v>2463.8000000000002</v>
      </c>
      <c r="E40" s="481">
        <v>866</v>
      </c>
      <c r="F40" s="481">
        <v>898.5</v>
      </c>
      <c r="G40" s="481">
        <v>3449.1</v>
      </c>
      <c r="H40" s="276">
        <f>G41</f>
        <v>4709.1999999999989</v>
      </c>
      <c r="I40" s="276">
        <f t="shared" ref="I40:L40" ca="1" si="7">H41</f>
        <v>4291.4541192306979</v>
      </c>
      <c r="J40" s="276">
        <f t="shared" ca="1" si="7"/>
        <v>2011.3147551342745</v>
      </c>
      <c r="K40" s="276">
        <f t="shared" ca="1" si="7"/>
        <v>850.00000001777607</v>
      </c>
      <c r="L40" s="276">
        <f t="shared" ca="1" si="7"/>
        <v>850.00000022200493</v>
      </c>
    </row>
    <row r="41" spans="2:12" ht="15" customHeight="1" thickBot="1">
      <c r="B41" s="268" t="s">
        <v>185</v>
      </c>
      <c r="C41" s="482">
        <f>SUM(C38:C40)</f>
        <v>2463.8000000000006</v>
      </c>
      <c r="D41" s="482">
        <f>D40+D38</f>
        <v>866.00000000000114</v>
      </c>
      <c r="E41" s="482">
        <f>E40+E38</f>
        <v>898.49999999999977</v>
      </c>
      <c r="F41" s="482">
        <f>F40+F38</f>
        <v>3449.0999999999995</v>
      </c>
      <c r="G41" s="482">
        <f>G40+G38</f>
        <v>4709.1999999999989</v>
      </c>
      <c r="H41" s="482">
        <f ca="1">H40+H38</f>
        <v>4291.4541192306979</v>
      </c>
      <c r="I41" s="482">
        <f t="shared" ref="I41:L41" ca="1" si="8">I40+I38</f>
        <v>2011.3147551342745</v>
      </c>
      <c r="J41" s="482">
        <f t="shared" ca="1" si="8"/>
        <v>850.00000001230546</v>
      </c>
      <c r="K41" s="482">
        <f t="shared" ca="1" si="8"/>
        <v>850.00000010925851</v>
      </c>
      <c r="L41" s="482">
        <f t="shared" ca="1" si="8"/>
        <v>850.00000067876044</v>
      </c>
    </row>
    <row r="42" spans="2:12" ht="15" thickTop="1">
      <c r="B42" s="258" t="s">
        <v>186</v>
      </c>
      <c r="C42" s="277"/>
      <c r="D42" s="277"/>
      <c r="E42" s="277"/>
      <c r="F42" s="277"/>
      <c r="G42" s="277"/>
      <c r="H42" s="277"/>
      <c r="I42" s="277"/>
      <c r="J42" s="277"/>
      <c r="K42" s="277"/>
      <c r="L42" s="277"/>
    </row>
    <row r="43" spans="2:12">
      <c r="B43" s="31" t="s">
        <v>187</v>
      </c>
      <c r="C43" s="20">
        <v>885.2</v>
      </c>
      <c r="D43" s="32">
        <v>959.6</v>
      </c>
      <c r="E43" s="32">
        <v>1066.5</v>
      </c>
      <c r="F43" s="32">
        <v>1136</v>
      </c>
      <c r="G43" s="32">
        <v>1197.3</v>
      </c>
      <c r="H43" s="46"/>
      <c r="I43" s="46"/>
      <c r="J43" s="46"/>
      <c r="K43" s="46"/>
      <c r="L43" s="46"/>
    </row>
    <row r="44" spans="2:12">
      <c r="B44" s="31" t="s">
        <v>188</v>
      </c>
      <c r="C44" s="32">
        <v>2786.3</v>
      </c>
      <c r="D44" s="32">
        <v>1734.4</v>
      </c>
      <c r="E44" s="32">
        <v>1589.7</v>
      </c>
      <c r="F44" s="32">
        <v>1441.9</v>
      </c>
      <c r="G44" s="32">
        <v>2403.9</v>
      </c>
      <c r="H44" s="46"/>
      <c r="I44" s="46"/>
      <c r="J44" s="46"/>
      <c r="K44" s="46"/>
      <c r="L44" s="46"/>
    </row>
    <row r="45" spans="2:12"/>
    <row r="46" spans="2:12"/>
    <row r="47" spans="2:12"/>
    <row r="48" spans="2:1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</sheetData>
  <mergeCells count="2">
    <mergeCell ref="H1:L1"/>
    <mergeCell ref="C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7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6" sqref="F26"/>
    </sheetView>
  </sheetViews>
  <sheetFormatPr defaultColWidth="8.7109375" defaultRowHeight="14.25" zeroHeight="1"/>
  <cols>
    <col min="1" max="1" width="3.5703125" style="20" customWidth="1"/>
    <col min="2" max="2" width="59.5703125" style="20" customWidth="1"/>
    <col min="3" max="5" width="12.5703125" style="20" customWidth="1"/>
    <col min="6" max="7" width="12.5703125" style="49" customWidth="1"/>
    <col min="8" max="12" width="12.5703125" style="20" customWidth="1"/>
    <col min="13" max="16384" width="8.7109375" style="20"/>
  </cols>
  <sheetData>
    <row r="1" spans="1:12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</row>
    <row r="2" spans="1:12">
      <c r="A2" s="22" t="s">
        <v>89</v>
      </c>
      <c r="B2" s="23"/>
      <c r="C2" s="19">
        <v>2017</v>
      </c>
      <c r="D2" s="19">
        <v>2018</v>
      </c>
      <c r="E2" s="19">
        <v>2019</v>
      </c>
      <c r="F2" s="19">
        <v>2020</v>
      </c>
      <c r="G2" s="19">
        <v>2021</v>
      </c>
      <c r="H2" s="19">
        <v>2022</v>
      </c>
      <c r="I2" s="19">
        <f t="shared" ref="I2:L2" si="0">H2+1</f>
        <v>2023</v>
      </c>
      <c r="J2" s="19">
        <f t="shared" si="0"/>
        <v>2024</v>
      </c>
      <c r="K2" s="19">
        <f t="shared" si="0"/>
        <v>2025</v>
      </c>
      <c r="L2" s="19">
        <f t="shared" si="0"/>
        <v>2026</v>
      </c>
    </row>
    <row r="3" spans="1:12">
      <c r="B3" s="31"/>
      <c r="C3" s="31"/>
      <c r="D3" s="82"/>
      <c r="E3" s="82"/>
      <c r="F3" s="82"/>
      <c r="G3" s="82"/>
      <c r="H3" s="82"/>
      <c r="I3" s="82"/>
      <c r="J3" s="82"/>
      <c r="K3" s="82"/>
      <c r="L3" s="82"/>
    </row>
    <row r="4" spans="1:12" ht="15.75">
      <c r="B4" s="289" t="s">
        <v>360</v>
      </c>
      <c r="C4" s="31"/>
      <c r="D4" s="82"/>
      <c r="E4" s="82"/>
      <c r="F4" s="82"/>
      <c r="G4" s="82"/>
      <c r="H4" s="82"/>
      <c r="I4" s="82"/>
      <c r="J4" s="82"/>
      <c r="K4" s="82"/>
      <c r="L4" s="82"/>
    </row>
    <row r="5" spans="1:12">
      <c r="B5" s="31"/>
      <c r="C5" s="31"/>
      <c r="D5" s="82"/>
      <c r="E5" s="82"/>
      <c r="F5" s="82"/>
      <c r="G5" s="82"/>
      <c r="H5" s="82"/>
      <c r="I5" s="82"/>
      <c r="J5" s="82"/>
      <c r="K5" s="82"/>
      <c r="L5" s="82"/>
    </row>
    <row r="6" spans="1:12" ht="15">
      <c r="B6" s="83" t="s">
        <v>199</v>
      </c>
      <c r="E6" s="76"/>
      <c r="F6" s="76"/>
      <c r="G6" s="455"/>
    </row>
    <row r="7" spans="1:12">
      <c r="B7" s="31" t="s">
        <v>200</v>
      </c>
      <c r="C7" s="32">
        <v>3260</v>
      </c>
      <c r="D7" s="32">
        <v>2665</v>
      </c>
      <c r="E7" s="32">
        <v>2490</v>
      </c>
      <c r="F7" s="32">
        <v>2395</v>
      </c>
      <c r="G7" s="32">
        <v>2617</v>
      </c>
      <c r="H7" s="75">
        <f>H30*H46</f>
        <v>2557.6339668174965</v>
      </c>
      <c r="I7" s="75">
        <f t="shared" ref="I7:L7" si="1">I30*I46</f>
        <v>2525.2423749622926</v>
      </c>
      <c r="J7" s="75">
        <f t="shared" si="1"/>
        <v>2518.5634278190046</v>
      </c>
      <c r="K7" s="75">
        <f t="shared" si="1"/>
        <v>2537.1369044253393</v>
      </c>
      <c r="L7" s="75">
        <f t="shared" si="1"/>
        <v>2581.2674848419911</v>
      </c>
    </row>
    <row r="8" spans="1:12">
      <c r="B8" s="31" t="s">
        <v>201</v>
      </c>
      <c r="C8" s="32">
        <v>6845</v>
      </c>
      <c r="D8" s="32">
        <v>6668</v>
      </c>
      <c r="E8" s="32">
        <v>6334</v>
      </c>
      <c r="F8" s="32">
        <v>5114</v>
      </c>
      <c r="G8" s="32">
        <v>6456</v>
      </c>
      <c r="H8" s="75">
        <f>H31*H49</f>
        <v>6404.2422662889512</v>
      </c>
      <c r="I8" s="75">
        <f t="shared" ref="I8:L8" si="2">I31*I49</f>
        <v>6742.5494685552403</v>
      </c>
      <c r="J8" s="75">
        <f t="shared" si="2"/>
        <v>7164.2785789461759</v>
      </c>
      <c r="K8" s="75">
        <f t="shared" si="2"/>
        <v>7682.1209961246468</v>
      </c>
      <c r="L8" s="75">
        <f t="shared" si="2"/>
        <v>8312.2544534171575</v>
      </c>
    </row>
    <row r="9" spans="1:12">
      <c r="B9" s="31" t="s">
        <v>205</v>
      </c>
      <c r="C9" s="32">
        <v>2614</v>
      </c>
      <c r="D9" s="32">
        <v>680</v>
      </c>
      <c r="E9" s="32">
        <v>597</v>
      </c>
      <c r="F9" s="32">
        <v>630</v>
      </c>
      <c r="G9" s="32">
        <v>715</v>
      </c>
      <c r="H9" s="75">
        <f>H32*H52</f>
        <v>741.13928571428573</v>
      </c>
      <c r="I9" s="75">
        <f t="shared" ref="I9:L9" si="3">I32*I52</f>
        <v>790.62750000000005</v>
      </c>
      <c r="J9" s="75">
        <f t="shared" si="3"/>
        <v>851.24227500000006</v>
      </c>
      <c r="K9" s="75">
        <f t="shared" si="3"/>
        <v>924.92875800000013</v>
      </c>
      <c r="L9" s="75">
        <f t="shared" si="3"/>
        <v>1014.1505442900002</v>
      </c>
    </row>
    <row r="10" spans="1:12" ht="15">
      <c r="B10" s="79" t="s">
        <v>4</v>
      </c>
      <c r="C10" s="43">
        <f t="shared" ref="C10:H10" si="4">SUM(C7:C9)</f>
        <v>12719</v>
      </c>
      <c r="D10" s="43">
        <f t="shared" si="4"/>
        <v>10013</v>
      </c>
      <c r="E10" s="43">
        <f t="shared" si="4"/>
        <v>9421</v>
      </c>
      <c r="F10" s="43">
        <f t="shared" si="4"/>
        <v>8139</v>
      </c>
      <c r="G10" s="43">
        <f t="shared" si="4"/>
        <v>9788</v>
      </c>
      <c r="H10" s="43">
        <f t="shared" si="4"/>
        <v>9703.0155188207336</v>
      </c>
      <c r="I10" s="43">
        <f t="shared" ref="I10:L10" si="5">SUM(I7:I9)</f>
        <v>10058.419343517533</v>
      </c>
      <c r="J10" s="43">
        <f t="shared" si="5"/>
        <v>10534.084281765181</v>
      </c>
      <c r="K10" s="43">
        <f t="shared" si="5"/>
        <v>11144.186658549987</v>
      </c>
      <c r="L10" s="43">
        <f t="shared" si="5"/>
        <v>11907.672482549149</v>
      </c>
    </row>
    <row r="11" spans="1:12"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spans="1:12" ht="15">
      <c r="B12" s="83" t="s">
        <v>202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spans="1:12">
      <c r="B13" s="31" t="s">
        <v>200</v>
      </c>
      <c r="C13" s="32">
        <v>4746</v>
      </c>
      <c r="D13" s="32">
        <v>5001</v>
      </c>
      <c r="E13" s="32">
        <v>5353</v>
      </c>
      <c r="F13" s="32">
        <v>5261</v>
      </c>
      <c r="G13" s="32">
        <v>6094</v>
      </c>
      <c r="H13" s="75">
        <f>H36*H57</f>
        <v>5749.2298630136993</v>
      </c>
      <c r="I13" s="75">
        <f t="shared" ref="I13:L13" si="6">I36*I57</f>
        <v>5475.5341315068499</v>
      </c>
      <c r="J13" s="75">
        <f t="shared" si="6"/>
        <v>5263.6547672876713</v>
      </c>
      <c r="K13" s="75">
        <f t="shared" si="6"/>
        <v>5106.5307443835618</v>
      </c>
      <c r="L13" s="75">
        <f t="shared" si="6"/>
        <v>4998.9007886942472</v>
      </c>
    </row>
    <row r="14" spans="1:12">
      <c r="B14" s="31" t="s">
        <v>201</v>
      </c>
      <c r="C14" s="32">
        <v>4271</v>
      </c>
      <c r="D14" s="32">
        <v>4839</v>
      </c>
      <c r="E14" s="32">
        <v>5064</v>
      </c>
      <c r="F14" s="32">
        <v>4348</v>
      </c>
      <c r="G14" s="32">
        <v>5638</v>
      </c>
      <c r="H14" s="75">
        <f>H37*H60</f>
        <v>5711.3815077605323</v>
      </c>
      <c r="I14" s="75">
        <f t="shared" ref="I14:L14" si="7">I37*I60</f>
        <v>6132.5201059866968</v>
      </c>
      <c r="J14" s="75">
        <f t="shared" si="7"/>
        <v>6637.6099493392467</v>
      </c>
      <c r="K14" s="75">
        <f t="shared" si="7"/>
        <v>7242.2689378749455</v>
      </c>
      <c r="L14" s="75">
        <f t="shared" si="7"/>
        <v>7965.9502746803028</v>
      </c>
    </row>
    <row r="15" spans="1:12">
      <c r="B15" s="31" t="s">
        <v>205</v>
      </c>
      <c r="C15" s="32">
        <v>1084</v>
      </c>
      <c r="D15" s="32">
        <v>1172</v>
      </c>
      <c r="E15" s="32">
        <v>1239</v>
      </c>
      <c r="F15" s="32">
        <v>1117</v>
      </c>
      <c r="G15" s="32">
        <v>1353</v>
      </c>
      <c r="H15" s="75">
        <f>H38*H63</f>
        <v>1495.8069677419355</v>
      </c>
      <c r="I15" s="75">
        <f t="shared" ref="I15:L15" si="8">I38*I63</f>
        <v>1692.1316322580644</v>
      </c>
      <c r="J15" s="75">
        <f t="shared" si="8"/>
        <v>1922.4859052903228</v>
      </c>
      <c r="K15" s="75">
        <f t="shared" si="8"/>
        <v>2194.9041400141937</v>
      </c>
      <c r="L15" s="75">
        <f t="shared" si="8"/>
        <v>2519.3682302771617</v>
      </c>
    </row>
    <row r="16" spans="1:12" ht="15">
      <c r="B16" s="79" t="s">
        <v>4</v>
      </c>
      <c r="C16" s="43">
        <f t="shared" ref="C16:H16" si="9">SUM(C13:C15)</f>
        <v>10101</v>
      </c>
      <c r="D16" s="43">
        <f t="shared" si="9"/>
        <v>11012</v>
      </c>
      <c r="E16" s="43">
        <f t="shared" si="9"/>
        <v>11656</v>
      </c>
      <c r="F16" s="43">
        <f t="shared" si="9"/>
        <v>10726</v>
      </c>
      <c r="G16" s="43">
        <f t="shared" si="9"/>
        <v>13085</v>
      </c>
      <c r="H16" s="43">
        <f t="shared" si="9"/>
        <v>12956.418338516167</v>
      </c>
      <c r="I16" s="43">
        <f t="shared" ref="I16:L16" si="10">SUM(I13:I15)</f>
        <v>13300.185869751611</v>
      </c>
      <c r="J16" s="43">
        <f t="shared" si="10"/>
        <v>13823.750621917241</v>
      </c>
      <c r="K16" s="43">
        <f t="shared" si="10"/>
        <v>14543.703822272702</v>
      </c>
      <c r="L16" s="43">
        <f t="shared" si="10"/>
        <v>15484.219293651711</v>
      </c>
    </row>
    <row r="17" spans="1:12"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1:12" ht="15">
      <c r="B18" s="83" t="s">
        <v>206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spans="1:12">
      <c r="B19" s="31" t="s">
        <v>200</v>
      </c>
      <c r="C19" s="40">
        <f t="shared" ref="C19:F19" si="11">C7+C13</f>
        <v>8006</v>
      </c>
      <c r="D19" s="40">
        <f t="shared" si="11"/>
        <v>7666</v>
      </c>
      <c r="E19" s="40">
        <f t="shared" si="11"/>
        <v>7843</v>
      </c>
      <c r="F19" s="40">
        <f t="shared" si="11"/>
        <v>7656</v>
      </c>
      <c r="G19" s="40">
        <f>G7+G13</f>
        <v>8711</v>
      </c>
      <c r="H19" s="40">
        <f t="shared" ref="H19:L19" si="12">H7+H13</f>
        <v>8306.8638298311962</v>
      </c>
      <c r="I19" s="40">
        <f t="shared" si="12"/>
        <v>8000.776506469143</v>
      </c>
      <c r="J19" s="40">
        <f t="shared" si="12"/>
        <v>7782.2181951066759</v>
      </c>
      <c r="K19" s="40">
        <f t="shared" si="12"/>
        <v>7643.6676488089015</v>
      </c>
      <c r="L19" s="40">
        <f t="shared" si="12"/>
        <v>7580.1682735362383</v>
      </c>
    </row>
    <row r="20" spans="1:12">
      <c r="B20" s="31" t="s">
        <v>201</v>
      </c>
      <c r="C20" s="40">
        <f t="shared" ref="C20:F20" si="13">C8+C14</f>
        <v>11116</v>
      </c>
      <c r="D20" s="40">
        <f t="shared" si="13"/>
        <v>11507</v>
      </c>
      <c r="E20" s="40">
        <f t="shared" si="13"/>
        <v>11398</v>
      </c>
      <c r="F20" s="40">
        <f t="shared" si="13"/>
        <v>9462</v>
      </c>
      <c r="G20" s="40">
        <f>G8+G14</f>
        <v>12094</v>
      </c>
      <c r="H20" s="40">
        <f t="shared" ref="H20:L20" si="14">H8+H14</f>
        <v>12115.623774049483</v>
      </c>
      <c r="I20" s="40">
        <f t="shared" si="14"/>
        <v>12875.069574541936</v>
      </c>
      <c r="J20" s="40">
        <f t="shared" si="14"/>
        <v>13801.888528285423</v>
      </c>
      <c r="K20" s="40">
        <f t="shared" si="14"/>
        <v>14924.389933999591</v>
      </c>
      <c r="L20" s="40">
        <f t="shared" si="14"/>
        <v>16278.20472809746</v>
      </c>
    </row>
    <row r="21" spans="1:12">
      <c r="B21" s="255" t="s">
        <v>205</v>
      </c>
      <c r="C21" s="40">
        <f t="shared" ref="C21:F21" si="15">C9+C15</f>
        <v>3698</v>
      </c>
      <c r="D21" s="40">
        <f t="shared" si="15"/>
        <v>1852</v>
      </c>
      <c r="E21" s="40">
        <f t="shared" si="15"/>
        <v>1836</v>
      </c>
      <c r="F21" s="40">
        <f t="shared" si="15"/>
        <v>1747</v>
      </c>
      <c r="G21" s="40">
        <f>G9+G15</f>
        <v>2068</v>
      </c>
      <c r="H21" s="40">
        <f t="shared" ref="H21:L21" si="16">H9+H15</f>
        <v>2236.9462534562213</v>
      </c>
      <c r="I21" s="40">
        <f t="shared" si="16"/>
        <v>2482.7591322580647</v>
      </c>
      <c r="J21" s="40">
        <f t="shared" si="16"/>
        <v>2773.7281802903226</v>
      </c>
      <c r="K21" s="40">
        <f t="shared" si="16"/>
        <v>3119.8328980141937</v>
      </c>
      <c r="L21" s="40">
        <f t="shared" si="16"/>
        <v>3533.5187745671619</v>
      </c>
    </row>
    <row r="22" spans="1:12" ht="15">
      <c r="A22" s="283"/>
      <c r="B22" s="285" t="s">
        <v>4</v>
      </c>
      <c r="C22" s="286">
        <f t="shared" ref="C22:F22" si="17">SUM(C19:C21)</f>
        <v>22820</v>
      </c>
      <c r="D22" s="286">
        <f t="shared" si="17"/>
        <v>21025</v>
      </c>
      <c r="E22" s="286">
        <f t="shared" si="17"/>
        <v>21077</v>
      </c>
      <c r="F22" s="286">
        <f t="shared" si="17"/>
        <v>18865</v>
      </c>
      <c r="G22" s="286">
        <f>SUM(G19:G21)</f>
        <v>22873</v>
      </c>
      <c r="H22" s="286">
        <f t="shared" ref="H22:L22" si="18">SUM(H19:H21)</f>
        <v>22659.433857336902</v>
      </c>
      <c r="I22" s="286">
        <f t="shared" si="18"/>
        <v>23358.60521326914</v>
      </c>
      <c r="J22" s="286">
        <f t="shared" si="18"/>
        <v>24357.834903682422</v>
      </c>
      <c r="K22" s="286">
        <f t="shared" si="18"/>
        <v>25687.890480822683</v>
      </c>
      <c r="L22" s="286">
        <f t="shared" si="18"/>
        <v>27391.89177620086</v>
      </c>
    </row>
    <row r="23" spans="1:12">
      <c r="B23" s="279" t="s">
        <v>203</v>
      </c>
      <c r="C23" s="280">
        <v>0</v>
      </c>
      <c r="D23" s="281">
        <v>233</v>
      </c>
      <c r="E23" s="281">
        <v>288</v>
      </c>
      <c r="F23" s="281">
        <v>343</v>
      </c>
      <c r="G23" s="281">
        <v>350</v>
      </c>
      <c r="H23" s="282">
        <f>H22*H66</f>
        <v>339.89150786005354</v>
      </c>
      <c r="I23" s="282">
        <f t="shared" ref="I23:L23" si="19">I22*I66</f>
        <v>350.37907819903711</v>
      </c>
      <c r="J23" s="282">
        <f t="shared" si="19"/>
        <v>365.36752355523629</v>
      </c>
      <c r="K23" s="282">
        <f t="shared" si="19"/>
        <v>385.31835721234023</v>
      </c>
      <c r="L23" s="282">
        <f t="shared" si="19"/>
        <v>410.87837664301287</v>
      </c>
    </row>
    <row r="24" spans="1:12" ht="15.75" thickBot="1">
      <c r="B24" s="268" t="s">
        <v>204</v>
      </c>
      <c r="C24" s="269">
        <f t="shared" ref="C24:F24" si="20">C22+C23</f>
        <v>22820</v>
      </c>
      <c r="D24" s="269">
        <f t="shared" si="20"/>
        <v>21258</v>
      </c>
      <c r="E24" s="269">
        <f t="shared" si="20"/>
        <v>21365</v>
      </c>
      <c r="F24" s="269">
        <f t="shared" si="20"/>
        <v>19208</v>
      </c>
      <c r="G24" s="269">
        <f>G22+G23</f>
        <v>23223</v>
      </c>
      <c r="H24" s="269">
        <f t="shared" ref="H24:L24" si="21">H22+H23</f>
        <v>22999.325365196957</v>
      </c>
      <c r="I24" s="269">
        <f t="shared" si="21"/>
        <v>23708.984291468176</v>
      </c>
      <c r="J24" s="269">
        <f t="shared" si="21"/>
        <v>24723.202427237658</v>
      </c>
      <c r="K24" s="269">
        <f t="shared" si="21"/>
        <v>26073.208838035025</v>
      </c>
      <c r="L24" s="269">
        <f t="shared" si="21"/>
        <v>27802.770152843874</v>
      </c>
    </row>
    <row r="25" spans="1:12" ht="15" thickTop="1">
      <c r="B25" s="270"/>
      <c r="C25" s="278"/>
      <c r="D25" s="278"/>
      <c r="E25" s="278"/>
      <c r="F25" s="278"/>
      <c r="G25" s="278"/>
      <c r="H25" s="278"/>
      <c r="I25" s="278"/>
      <c r="J25" s="278"/>
      <c r="K25" s="278"/>
      <c r="L25" s="278"/>
    </row>
    <row r="26" spans="1:12" ht="15">
      <c r="B26" s="83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ht="15.75">
      <c r="B27" s="289" t="s">
        <v>361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spans="1:12" ht="15">
      <c r="B28" s="83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spans="1:12" ht="15">
      <c r="B29" s="83" t="s">
        <v>250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spans="1:12">
      <c r="B30" s="31" t="s">
        <v>207</v>
      </c>
      <c r="C30" s="46"/>
      <c r="D30" s="32">
        <v>685</v>
      </c>
      <c r="E30" s="32">
        <v>661</v>
      </c>
      <c r="F30" s="32">
        <v>657</v>
      </c>
      <c r="G30" s="32">
        <v>663</v>
      </c>
      <c r="H30" s="40">
        <f>G30+H73</f>
        <v>668</v>
      </c>
      <c r="I30" s="40">
        <f t="shared" ref="I30:L30" si="22">H30+I73</f>
        <v>673</v>
      </c>
      <c r="J30" s="40">
        <f t="shared" si="22"/>
        <v>678</v>
      </c>
      <c r="K30" s="40">
        <f t="shared" si="22"/>
        <v>683</v>
      </c>
      <c r="L30" s="40">
        <f t="shared" si="22"/>
        <v>688</v>
      </c>
    </row>
    <row r="31" spans="1:12">
      <c r="B31" s="31" t="s">
        <v>208</v>
      </c>
      <c r="C31" s="46"/>
      <c r="D31" s="32">
        <v>1754</v>
      </c>
      <c r="E31" s="32">
        <v>1678</v>
      </c>
      <c r="F31" s="32">
        <v>1719</v>
      </c>
      <c r="G31" s="32">
        <v>1765</v>
      </c>
      <c r="H31" s="40">
        <f>G31+H74</f>
        <v>1805</v>
      </c>
      <c r="I31" s="40">
        <f t="shared" ref="I31:L31" si="23">H31+I74</f>
        <v>1845</v>
      </c>
      <c r="J31" s="40">
        <f t="shared" si="23"/>
        <v>1885</v>
      </c>
      <c r="K31" s="40">
        <f t="shared" si="23"/>
        <v>1925</v>
      </c>
      <c r="L31" s="40">
        <f t="shared" si="23"/>
        <v>1965</v>
      </c>
    </row>
    <row r="32" spans="1:12">
      <c r="B32" s="31" t="s">
        <v>209</v>
      </c>
      <c r="C32" s="46"/>
      <c r="D32" s="32">
        <v>331</v>
      </c>
      <c r="E32" s="32">
        <v>297</v>
      </c>
      <c r="F32" s="32">
        <v>301</v>
      </c>
      <c r="G32" s="32">
        <v>308</v>
      </c>
      <c r="H32" s="40">
        <f>G32+H75</f>
        <v>313</v>
      </c>
      <c r="I32" s="40">
        <f t="shared" ref="I32:L32" si="24">H32+I75</f>
        <v>318</v>
      </c>
      <c r="J32" s="40">
        <f t="shared" si="24"/>
        <v>323</v>
      </c>
      <c r="K32" s="40">
        <f t="shared" si="24"/>
        <v>328</v>
      </c>
      <c r="L32" s="40">
        <f t="shared" si="24"/>
        <v>333</v>
      </c>
    </row>
    <row r="33" spans="2:12" ht="15">
      <c r="B33" s="287" t="s">
        <v>4</v>
      </c>
      <c r="C33" s="288"/>
      <c r="D33" s="43">
        <f>SUM(D30:D32)</f>
        <v>2770</v>
      </c>
      <c r="E33" s="43">
        <f t="shared" ref="E33:G33" si="25">SUM(E30:E32)</f>
        <v>2636</v>
      </c>
      <c r="F33" s="43">
        <f t="shared" si="25"/>
        <v>2677</v>
      </c>
      <c r="G33" s="43">
        <f t="shared" si="25"/>
        <v>2736</v>
      </c>
      <c r="H33" s="43">
        <f t="shared" ref="H33" si="26">SUM(H30:H32)</f>
        <v>2786</v>
      </c>
      <c r="I33" s="43">
        <f t="shared" ref="I33" si="27">SUM(I30:I32)</f>
        <v>2836</v>
      </c>
      <c r="J33" s="43">
        <f t="shared" ref="J33" si="28">SUM(J30:J32)</f>
        <v>2886</v>
      </c>
      <c r="K33" s="43">
        <f t="shared" ref="K33" si="29">SUM(K30:K32)</f>
        <v>2936</v>
      </c>
      <c r="L33" s="43">
        <f t="shared" ref="L33" si="30">SUM(L30:L32)</f>
        <v>2986</v>
      </c>
    </row>
    <row r="34" spans="2:12">
      <c r="C34" s="46"/>
      <c r="D34" s="35"/>
      <c r="E34" s="35"/>
      <c r="F34" s="35"/>
      <c r="G34" s="35"/>
      <c r="H34" s="35"/>
      <c r="I34" s="35"/>
      <c r="J34" s="35"/>
      <c r="K34" s="35"/>
      <c r="L34" s="35"/>
    </row>
    <row r="35" spans="2:12" ht="15">
      <c r="B35" s="83" t="s">
        <v>251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spans="2:12">
      <c r="B36" s="31" t="s">
        <v>207</v>
      </c>
      <c r="C36" s="46"/>
      <c r="D36" s="32">
        <v>13229</v>
      </c>
      <c r="E36" s="32">
        <v>13185</v>
      </c>
      <c r="F36" s="32">
        <v>13025</v>
      </c>
      <c r="G36" s="32">
        <v>12775</v>
      </c>
      <c r="H36" s="40">
        <f>G36+H78</f>
        <v>12425</v>
      </c>
      <c r="I36" s="40">
        <f t="shared" ref="I36:L36" si="31">H36+I78</f>
        <v>12075</v>
      </c>
      <c r="J36" s="40">
        <f t="shared" si="31"/>
        <v>11725</v>
      </c>
      <c r="K36" s="40">
        <f t="shared" si="31"/>
        <v>11375</v>
      </c>
      <c r="L36" s="40">
        <f t="shared" si="31"/>
        <v>11025</v>
      </c>
    </row>
    <row r="37" spans="2:12">
      <c r="B37" s="31" t="s">
        <v>208</v>
      </c>
      <c r="C37" s="46"/>
      <c r="D37" s="32">
        <v>8509</v>
      </c>
      <c r="E37" s="32">
        <v>8787</v>
      </c>
      <c r="F37" s="32">
        <v>8841</v>
      </c>
      <c r="G37" s="32">
        <v>9020</v>
      </c>
      <c r="H37" s="40">
        <f>G37+H79</f>
        <v>9420</v>
      </c>
      <c r="I37" s="40">
        <f t="shared" ref="I37:L37" si="32">H37+I79</f>
        <v>9820</v>
      </c>
      <c r="J37" s="40">
        <f t="shared" si="32"/>
        <v>10220</v>
      </c>
      <c r="K37" s="40">
        <f t="shared" si="32"/>
        <v>10620</v>
      </c>
      <c r="L37" s="40">
        <f t="shared" si="32"/>
        <v>11020</v>
      </c>
    </row>
    <row r="38" spans="2:12">
      <c r="B38" s="31" t="s">
        <v>209</v>
      </c>
      <c r="C38" s="46"/>
      <c r="D38" s="32">
        <v>13347</v>
      </c>
      <c r="E38" s="32">
        <v>14087</v>
      </c>
      <c r="F38" s="32">
        <v>14655</v>
      </c>
      <c r="G38" s="32">
        <v>15500</v>
      </c>
      <c r="H38" s="40">
        <f>G38+H80</f>
        <v>16800</v>
      </c>
      <c r="I38" s="40">
        <f t="shared" ref="I38:L38" si="33">H38+I80</f>
        <v>18100</v>
      </c>
      <c r="J38" s="40">
        <f t="shared" si="33"/>
        <v>19400</v>
      </c>
      <c r="K38" s="40">
        <f t="shared" si="33"/>
        <v>20700</v>
      </c>
      <c r="L38" s="40">
        <f t="shared" si="33"/>
        <v>22000</v>
      </c>
    </row>
    <row r="39" spans="2:12" ht="15">
      <c r="B39" s="287" t="s">
        <v>4</v>
      </c>
      <c r="C39" s="288"/>
      <c r="D39" s="43">
        <f>SUM(D36:D38)</f>
        <v>35085</v>
      </c>
      <c r="E39" s="43">
        <f t="shared" ref="E39:G39" si="34">SUM(E36:E38)</f>
        <v>36059</v>
      </c>
      <c r="F39" s="43">
        <f t="shared" si="34"/>
        <v>36521</v>
      </c>
      <c r="G39" s="43">
        <f t="shared" si="34"/>
        <v>37295</v>
      </c>
      <c r="H39" s="43">
        <f t="shared" ref="H39" si="35">SUM(H36:H38)</f>
        <v>38645</v>
      </c>
      <c r="I39" s="43">
        <f t="shared" ref="I39" si="36">SUM(I36:I38)</f>
        <v>39995</v>
      </c>
      <c r="J39" s="43">
        <f t="shared" ref="J39" si="37">SUM(J36:J38)</f>
        <v>41345</v>
      </c>
      <c r="K39" s="43">
        <f t="shared" ref="K39" si="38">SUM(K36:K38)</f>
        <v>42695</v>
      </c>
      <c r="L39" s="43">
        <f t="shared" ref="L39" si="39">SUM(L36:L38)</f>
        <v>44045</v>
      </c>
    </row>
    <row r="40" spans="2:12"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2:12" ht="15">
      <c r="B41" s="65"/>
      <c r="C41" s="46"/>
      <c r="D41" s="84">
        <f>D39/(D39+D33)</f>
        <v>0.92682604675736358</v>
      </c>
      <c r="E41" s="84">
        <f t="shared" ref="E41:L41" si="40">E39/(E39+E33)</f>
        <v>0.93187750355343069</v>
      </c>
      <c r="F41" s="84">
        <f t="shared" si="40"/>
        <v>0.93170569927037095</v>
      </c>
      <c r="G41" s="84">
        <f t="shared" si="40"/>
        <v>0.93165296894906446</v>
      </c>
      <c r="H41" s="84">
        <f t="shared" si="40"/>
        <v>0.93275566604716276</v>
      </c>
      <c r="I41" s="84">
        <f t="shared" si="40"/>
        <v>0.93378627629520672</v>
      </c>
      <c r="J41" s="84">
        <f t="shared" si="40"/>
        <v>0.93475164477402728</v>
      </c>
      <c r="K41" s="84">
        <f t="shared" si="40"/>
        <v>0.935657776511582</v>
      </c>
      <c r="L41" s="84">
        <f t="shared" si="40"/>
        <v>0.93650996151474564</v>
      </c>
    </row>
    <row r="42" spans="2:12" ht="15">
      <c r="B42" s="65"/>
      <c r="C42" s="46"/>
      <c r="D42" s="46"/>
      <c r="E42" s="46"/>
      <c r="F42" s="46"/>
      <c r="G42" s="46"/>
      <c r="H42" s="46"/>
      <c r="I42" s="46"/>
      <c r="J42" s="46"/>
      <c r="K42" s="46"/>
      <c r="L42" s="46"/>
    </row>
    <row r="43" spans="2:12" ht="15.75">
      <c r="B43" s="289" t="s">
        <v>362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</row>
    <row r="44" spans="2:12" ht="15">
      <c r="B44" s="65"/>
      <c r="C44" s="46"/>
      <c r="D44" s="46"/>
      <c r="E44" s="46"/>
      <c r="F44" s="46"/>
      <c r="G44" s="46"/>
      <c r="H44" s="46"/>
      <c r="I44" s="46"/>
      <c r="J44" s="46"/>
      <c r="K44" s="46"/>
      <c r="L44" s="46"/>
    </row>
    <row r="45" spans="2:12" ht="15">
      <c r="B45" s="83" t="s">
        <v>363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2:12">
      <c r="B46" s="31" t="s">
        <v>200</v>
      </c>
      <c r="C46" s="46"/>
      <c r="D46" s="75">
        <f t="shared" ref="D46:F46" si="41">D7/D30</f>
        <v>3.8905109489051095</v>
      </c>
      <c r="E46" s="75">
        <f t="shared" si="41"/>
        <v>3.767019667170953</v>
      </c>
      <c r="F46" s="75">
        <f t="shared" si="41"/>
        <v>3.6453576864535768</v>
      </c>
      <c r="G46" s="75">
        <f>G7/G30</f>
        <v>3.9472096530920062</v>
      </c>
      <c r="H46" s="59">
        <f>G46*(1+H47)</f>
        <v>3.8287933634992459</v>
      </c>
      <c r="I46" s="59">
        <f t="shared" ref="I46:L46" si="42">H46*(1+I47)</f>
        <v>3.7522174962292612</v>
      </c>
      <c r="J46" s="59">
        <f t="shared" si="42"/>
        <v>3.7146953212669684</v>
      </c>
      <c r="K46" s="59">
        <f t="shared" si="42"/>
        <v>3.7146953212669684</v>
      </c>
      <c r="L46" s="59">
        <f t="shared" si="42"/>
        <v>3.751842274479638</v>
      </c>
    </row>
    <row r="47" spans="2:12">
      <c r="B47" s="31" t="s">
        <v>359</v>
      </c>
      <c r="C47" s="46"/>
      <c r="D47" s="75"/>
      <c r="E47" s="68">
        <f>E46/D46 - 1</f>
        <v>-3.1741661533920107E-2</v>
      </c>
      <c r="F47" s="68">
        <f t="shared" ref="F47:G47" si="43">F46/E46 - 1</f>
        <v>-3.2296614158307535E-2</v>
      </c>
      <c r="G47" s="68">
        <f t="shared" si="43"/>
        <v>8.2804485211460666E-2</v>
      </c>
      <c r="H47" s="87">
        <v>-0.03</v>
      </c>
      <c r="I47" s="87">
        <v>-0.02</v>
      </c>
      <c r="J47" s="87">
        <v>-0.01</v>
      </c>
      <c r="K47" s="87">
        <v>0</v>
      </c>
      <c r="L47" s="87">
        <v>0.01</v>
      </c>
    </row>
    <row r="48" spans="2:12">
      <c r="B48" s="31"/>
      <c r="C48" s="46"/>
      <c r="D48" s="75"/>
      <c r="E48" s="75"/>
      <c r="F48" s="75"/>
      <c r="G48" s="75"/>
      <c r="H48" s="46"/>
      <c r="I48" s="46"/>
      <c r="J48" s="46"/>
      <c r="K48" s="46"/>
      <c r="L48" s="46"/>
    </row>
    <row r="49" spans="2:12">
      <c r="B49" s="31" t="s">
        <v>201</v>
      </c>
      <c r="C49" s="46"/>
      <c r="D49" s="75">
        <f t="shared" ref="D49:F49" si="44">D8/D31</f>
        <v>3.8015963511972632</v>
      </c>
      <c r="E49" s="75">
        <f t="shared" si="44"/>
        <v>3.7747318235995233</v>
      </c>
      <c r="F49" s="75">
        <f t="shared" si="44"/>
        <v>2.9749854566608493</v>
      </c>
      <c r="G49" s="75">
        <f>G8/G31</f>
        <v>3.6577903682719546</v>
      </c>
      <c r="H49" s="59">
        <f t="shared" ref="H49" si="45">G49*(1+H50)</f>
        <v>3.5480566572237957</v>
      </c>
      <c r="I49" s="59">
        <f t="shared" ref="I49" si="46">H49*(1+I50)</f>
        <v>3.6544983569405098</v>
      </c>
      <c r="J49" s="59">
        <f t="shared" ref="J49" si="47">I49*(1+J50)</f>
        <v>3.8006782912181305</v>
      </c>
      <c r="K49" s="59">
        <f t="shared" ref="K49" si="48">J49*(1+K50)</f>
        <v>3.9907122057790372</v>
      </c>
      <c r="L49" s="59">
        <f t="shared" ref="L49" si="49">K49*(1+L50)</f>
        <v>4.2301549381257795</v>
      </c>
    </row>
    <row r="50" spans="2:12">
      <c r="B50" s="31" t="s">
        <v>359</v>
      </c>
      <c r="C50" s="46"/>
      <c r="D50" s="75"/>
      <c r="E50" s="68">
        <f>E49/D49 - 1</f>
        <v>-7.0666438821889166E-3</v>
      </c>
      <c r="F50" s="68">
        <f t="shared" ref="F50" si="50">F49/E49 - 1</f>
        <v>-0.21186839338855301</v>
      </c>
      <c r="G50" s="68">
        <f t="shared" ref="G50" si="51">G49/F49 - 1</f>
        <v>0.22951537799364297</v>
      </c>
      <c r="H50" s="87">
        <v>-0.03</v>
      </c>
      <c r="I50" s="87">
        <v>0.03</v>
      </c>
      <c r="J50" s="87">
        <v>0.04</v>
      </c>
      <c r="K50" s="87">
        <v>0.05</v>
      </c>
      <c r="L50" s="87">
        <v>0.06</v>
      </c>
    </row>
    <row r="51" spans="2:12">
      <c r="B51" s="31"/>
      <c r="C51" s="46"/>
      <c r="D51" s="75"/>
      <c r="E51" s="75"/>
      <c r="F51" s="75"/>
      <c r="G51" s="75"/>
      <c r="H51" s="46"/>
      <c r="I51" s="46"/>
      <c r="J51" s="46"/>
      <c r="K51" s="46"/>
      <c r="L51" s="46"/>
    </row>
    <row r="52" spans="2:12">
      <c r="B52" s="31" t="s">
        <v>205</v>
      </c>
      <c r="C52" s="46"/>
      <c r="D52" s="75">
        <f t="shared" ref="D52:F52" si="52">D9/D32</f>
        <v>2.0543806646525682</v>
      </c>
      <c r="E52" s="75">
        <f t="shared" si="52"/>
        <v>2.0101010101010099</v>
      </c>
      <c r="F52" s="75">
        <f t="shared" si="52"/>
        <v>2.0930232558139537</v>
      </c>
      <c r="G52" s="75">
        <f>G9/G32</f>
        <v>2.3214285714285716</v>
      </c>
      <c r="H52" s="59">
        <f t="shared" ref="H52" si="53">G52*(1+H53)</f>
        <v>2.3678571428571429</v>
      </c>
      <c r="I52" s="59">
        <f t="shared" ref="I52" si="54">H52*(1+I53)</f>
        <v>2.4862500000000001</v>
      </c>
      <c r="J52" s="59">
        <f t="shared" ref="J52" si="55">I52*(1+J53)</f>
        <v>2.6354250000000001</v>
      </c>
      <c r="K52" s="59">
        <f t="shared" ref="K52" si="56">J52*(1+K53)</f>
        <v>2.8199047500000005</v>
      </c>
      <c r="L52" s="59">
        <f t="shared" ref="L52" si="57">K52*(1+L53)</f>
        <v>3.0454971300000007</v>
      </c>
    </row>
    <row r="53" spans="2:12">
      <c r="B53" s="31" t="s">
        <v>359</v>
      </c>
      <c r="C53" s="46"/>
      <c r="D53" s="75"/>
      <c r="E53" s="68">
        <f>E52/D52 - 1</f>
        <v>-2.1553773024361456E-2</v>
      </c>
      <c r="F53" s="68">
        <f t="shared" ref="F53" si="58">F52/E52 - 1</f>
        <v>4.125277550543438E-2</v>
      </c>
      <c r="G53" s="68">
        <f t="shared" ref="G53" si="59">G52/F52 - 1</f>
        <v>0.10912698412698418</v>
      </c>
      <c r="H53" s="87">
        <v>0.02</v>
      </c>
      <c r="I53" s="87">
        <v>0.05</v>
      </c>
      <c r="J53" s="87">
        <v>0.06</v>
      </c>
      <c r="K53" s="87">
        <v>7.0000000000000007E-2</v>
      </c>
      <c r="L53" s="87">
        <v>0.08</v>
      </c>
    </row>
    <row r="54" spans="2:12">
      <c r="B54" s="31"/>
      <c r="C54" s="46"/>
      <c r="D54" s="75"/>
      <c r="E54" s="75"/>
      <c r="F54" s="75"/>
      <c r="G54" s="75"/>
      <c r="H54" s="46"/>
      <c r="I54" s="46"/>
      <c r="J54" s="46"/>
      <c r="K54" s="46"/>
      <c r="L54" s="46"/>
    </row>
    <row r="55" spans="2:12"/>
    <row r="56" spans="2:12" ht="15">
      <c r="B56" s="83" t="s">
        <v>364</v>
      </c>
    </row>
    <row r="57" spans="2:12">
      <c r="B57" s="31" t="s">
        <v>200</v>
      </c>
      <c r="D57" s="34">
        <f t="shared" ref="D57:F57" si="60">D13/D36</f>
        <v>0.3780331090785396</v>
      </c>
      <c r="E57" s="34">
        <f t="shared" si="60"/>
        <v>0.40599165718619645</v>
      </c>
      <c r="F57" s="34">
        <f t="shared" si="60"/>
        <v>0.40391554702495203</v>
      </c>
      <c r="G57" s="34">
        <f>G13/G36</f>
        <v>0.47702544031311156</v>
      </c>
      <c r="H57" s="59">
        <f t="shared" ref="H57" si="61">G57*(1+H58)</f>
        <v>0.46271467710371822</v>
      </c>
      <c r="I57" s="59">
        <f t="shared" ref="I57" si="62">H57*(1+I58)</f>
        <v>0.45346038356164386</v>
      </c>
      <c r="J57" s="59">
        <f t="shared" ref="J57" si="63">I57*(1+J58)</f>
        <v>0.44892577972602743</v>
      </c>
      <c r="K57" s="59">
        <f t="shared" ref="K57" si="64">J57*(1+K58)</f>
        <v>0.44892577972602743</v>
      </c>
      <c r="L57" s="59">
        <f t="shared" ref="L57" si="65">K57*(1+L58)</f>
        <v>0.45341503752328771</v>
      </c>
    </row>
    <row r="58" spans="2:12">
      <c r="B58" s="31" t="s">
        <v>73</v>
      </c>
      <c r="C58" s="46"/>
      <c r="D58" s="75"/>
      <c r="E58" s="68">
        <f>E57/D57 - 1</f>
        <v>7.395793499623915E-2</v>
      </c>
      <c r="F58" s="68">
        <f t="shared" ref="F58" si="66">F57/E57 - 1</f>
        <v>-5.1136769056617792E-3</v>
      </c>
      <c r="G58" s="68">
        <f t="shared" ref="G58" si="67">G57/F57 - 1</f>
        <v>0.18100291961191362</v>
      </c>
      <c r="H58" s="87">
        <v>-0.03</v>
      </c>
      <c r="I58" s="87">
        <v>-0.02</v>
      </c>
      <c r="J58" s="87">
        <v>-0.01</v>
      </c>
      <c r="K58" s="87">
        <v>0</v>
      </c>
      <c r="L58" s="87">
        <v>0.01</v>
      </c>
    </row>
    <row r="59" spans="2:12">
      <c r="B59" s="31"/>
      <c r="D59" s="34"/>
      <c r="E59" s="34"/>
      <c r="F59" s="34"/>
      <c r="G59" s="34"/>
      <c r="H59" s="88"/>
      <c r="I59" s="88"/>
      <c r="J59" s="88"/>
      <c r="K59" s="88"/>
      <c r="L59" s="88"/>
    </row>
    <row r="60" spans="2:12">
      <c r="B60" s="31" t="s">
        <v>201</v>
      </c>
      <c r="D60" s="34">
        <f t="shared" ref="D60:F60" si="68">D14/D37</f>
        <v>0.56869197320484188</v>
      </c>
      <c r="E60" s="34">
        <f t="shared" si="68"/>
        <v>0.57630590645271429</v>
      </c>
      <c r="F60" s="34">
        <f t="shared" si="68"/>
        <v>0.49179957018436826</v>
      </c>
      <c r="G60" s="34">
        <f>G14/G37</f>
        <v>0.62505543237250549</v>
      </c>
      <c r="H60" s="59">
        <f t="shared" ref="H60" si="69">G60*(1+H61)</f>
        <v>0.60630376940133035</v>
      </c>
      <c r="I60" s="59">
        <f t="shared" ref="I60" si="70">H60*(1+I61)</f>
        <v>0.62449288248337032</v>
      </c>
      <c r="J60" s="59">
        <f t="shared" ref="J60" si="71">I60*(1+J61)</f>
        <v>0.64947259778270516</v>
      </c>
      <c r="K60" s="59">
        <f t="shared" ref="K60" si="72">J60*(1+K61)</f>
        <v>0.68194622767184043</v>
      </c>
      <c r="L60" s="59">
        <f t="shared" ref="L60" si="73">K60*(1+L61)</f>
        <v>0.72286300133215087</v>
      </c>
    </row>
    <row r="61" spans="2:12">
      <c r="B61" s="31" t="s">
        <v>73</v>
      </c>
      <c r="C61" s="46"/>
      <c r="D61" s="75"/>
      <c r="E61" s="68">
        <f>E60/D60 - 1</f>
        <v>1.3388501344522963E-2</v>
      </c>
      <c r="F61" s="68">
        <f t="shared" ref="F61" si="74">F60/E60 - 1</f>
        <v>-0.14663451358411461</v>
      </c>
      <c r="G61" s="68">
        <f t="shared" ref="G61" si="75">G60/F60 - 1</f>
        <v>0.27095562962403896</v>
      </c>
      <c r="H61" s="87">
        <v>-0.03</v>
      </c>
      <c r="I61" s="87">
        <v>0.03</v>
      </c>
      <c r="J61" s="87">
        <v>0.04</v>
      </c>
      <c r="K61" s="87">
        <v>0.05</v>
      </c>
      <c r="L61" s="87">
        <v>0.06</v>
      </c>
    </row>
    <row r="62" spans="2:12">
      <c r="B62" s="31"/>
      <c r="D62" s="34"/>
      <c r="E62" s="34"/>
      <c r="F62" s="34"/>
      <c r="G62" s="34"/>
      <c r="H62" s="88"/>
      <c r="I62" s="88"/>
      <c r="J62" s="88"/>
      <c r="K62" s="88"/>
      <c r="L62" s="88"/>
    </row>
    <row r="63" spans="2:12">
      <c r="B63" s="31" t="s">
        <v>205</v>
      </c>
      <c r="D63" s="34">
        <f t="shared" ref="D63:F63" si="76">D15/D38</f>
        <v>8.7809994755375737E-2</v>
      </c>
      <c r="E63" s="34">
        <f t="shared" si="76"/>
        <v>8.7953432242493079E-2</v>
      </c>
      <c r="F63" s="34">
        <f t="shared" si="76"/>
        <v>7.6219720232002727E-2</v>
      </c>
      <c r="G63" s="34">
        <f>G15/G38</f>
        <v>8.729032258064516E-2</v>
      </c>
      <c r="H63" s="59">
        <f t="shared" ref="H63" si="77">G63*(1+H64)</f>
        <v>8.9036129032258063E-2</v>
      </c>
      <c r="I63" s="59">
        <f t="shared" ref="I63" si="78">H63*(1+I64)</f>
        <v>9.3487935483870965E-2</v>
      </c>
      <c r="J63" s="59">
        <f t="shared" ref="J63" si="79">I63*(1+J64)</f>
        <v>9.9097211612903233E-2</v>
      </c>
      <c r="K63" s="59">
        <f t="shared" ref="K63" si="80">J63*(1+K64)</f>
        <v>0.10603401642580647</v>
      </c>
      <c r="L63" s="59">
        <f t="shared" ref="L63" si="81">K63*(1+L64)</f>
        <v>0.11451673773987099</v>
      </c>
    </row>
    <row r="64" spans="2:12">
      <c r="B64" s="31" t="s">
        <v>73</v>
      </c>
      <c r="C64" s="46"/>
      <c r="D64" s="75"/>
      <c r="E64" s="68">
        <f>E63/D63 - 1</f>
        <v>1.6334984134429575E-3</v>
      </c>
      <c r="F64" s="68">
        <f t="shared" ref="F64" si="82">F63/E63 - 1</f>
        <v>-0.13340823332669705</v>
      </c>
      <c r="G64" s="68">
        <f t="shared" ref="G64" si="83">G63/F63 - 1</f>
        <v>0.1452459063736391</v>
      </c>
      <c r="H64" s="87">
        <v>0.02</v>
      </c>
      <c r="I64" s="87">
        <v>0.05</v>
      </c>
      <c r="J64" s="87">
        <v>0.06</v>
      </c>
      <c r="K64" s="87">
        <v>7.0000000000000007E-2</v>
      </c>
      <c r="L64" s="87">
        <v>0.08</v>
      </c>
    </row>
    <row r="65" spans="2:12">
      <c r="B65" s="31"/>
      <c r="C65" s="46"/>
      <c r="D65" s="75"/>
      <c r="E65" s="86"/>
      <c r="F65" s="86"/>
      <c r="G65" s="86"/>
      <c r="H65" s="85"/>
      <c r="I65" s="85"/>
      <c r="J65" s="85"/>
      <c r="K65" s="85"/>
      <c r="L65" s="85"/>
    </row>
    <row r="66" spans="2:12">
      <c r="B66" s="31" t="s">
        <v>210</v>
      </c>
      <c r="D66" s="89">
        <f>D23/D22</f>
        <v>1.10820451843044E-2</v>
      </c>
      <c r="E66" s="89">
        <f t="shared" ref="E66:G66" si="84">E23/E22</f>
        <v>1.3664183707358732E-2</v>
      </c>
      <c r="F66" s="89">
        <f t="shared" si="84"/>
        <v>1.8181818181818181E-2</v>
      </c>
      <c r="G66" s="89">
        <f t="shared" si="84"/>
        <v>1.5301884317754557E-2</v>
      </c>
      <c r="H66" s="87">
        <v>1.4999999999999999E-2</v>
      </c>
      <c r="I66" s="87">
        <v>1.4999999999999999E-2</v>
      </c>
      <c r="J66" s="87">
        <v>1.4999999999999999E-2</v>
      </c>
      <c r="K66" s="87">
        <v>1.4999999999999999E-2</v>
      </c>
      <c r="L66" s="87">
        <v>1.4999999999999999E-2</v>
      </c>
    </row>
    <row r="67" spans="2:12"/>
    <row r="68" spans="2:12"/>
    <row r="69" spans="2:12"/>
    <row r="70" spans="2:12" ht="15.75">
      <c r="B70" s="289" t="s">
        <v>365</v>
      </c>
    </row>
    <row r="71" spans="2:12"/>
    <row r="72" spans="2:12" ht="15">
      <c r="B72" s="83" t="s">
        <v>250</v>
      </c>
    </row>
    <row r="73" spans="2:12">
      <c r="B73" s="31" t="s">
        <v>207</v>
      </c>
      <c r="C73" s="183"/>
      <c r="E73" s="183">
        <f>E30-D30</f>
        <v>-24</v>
      </c>
      <c r="F73" s="183">
        <f t="shared" ref="F73:G73" si="85">F30-E30</f>
        <v>-4</v>
      </c>
      <c r="G73" s="183">
        <f t="shared" si="85"/>
        <v>6</v>
      </c>
      <c r="H73" s="290">
        <v>5</v>
      </c>
      <c r="I73" s="290">
        <v>5</v>
      </c>
      <c r="J73" s="290">
        <v>5</v>
      </c>
      <c r="K73" s="290">
        <v>5</v>
      </c>
      <c r="L73" s="290">
        <v>5</v>
      </c>
    </row>
    <row r="74" spans="2:12">
      <c r="B74" s="31" t="s">
        <v>208</v>
      </c>
      <c r="C74" s="183"/>
      <c r="D74" s="183"/>
      <c r="E74" s="183">
        <f t="shared" ref="E74:G74" si="86">E31-D31</f>
        <v>-76</v>
      </c>
      <c r="F74" s="183">
        <f t="shared" si="86"/>
        <v>41</v>
      </c>
      <c r="G74" s="183">
        <f t="shared" si="86"/>
        <v>46</v>
      </c>
      <c r="H74" s="290">
        <v>40</v>
      </c>
      <c r="I74" s="290">
        <v>40</v>
      </c>
      <c r="J74" s="290">
        <v>40</v>
      </c>
      <c r="K74" s="290">
        <v>40</v>
      </c>
      <c r="L74" s="290">
        <v>40</v>
      </c>
    </row>
    <row r="75" spans="2:12">
      <c r="B75" s="31" t="s">
        <v>209</v>
      </c>
      <c r="C75" s="183"/>
      <c r="D75" s="183"/>
      <c r="E75" s="183">
        <f t="shared" ref="E75:G75" si="87">E32-D32</f>
        <v>-34</v>
      </c>
      <c r="F75" s="183">
        <f t="shared" si="87"/>
        <v>4</v>
      </c>
      <c r="G75" s="183">
        <f t="shared" si="87"/>
        <v>7</v>
      </c>
      <c r="H75" s="290">
        <v>5</v>
      </c>
      <c r="I75" s="290">
        <v>5</v>
      </c>
      <c r="J75" s="290">
        <v>5</v>
      </c>
      <c r="K75" s="290">
        <v>5</v>
      </c>
      <c r="L75" s="290">
        <v>5</v>
      </c>
    </row>
    <row r="76" spans="2:12">
      <c r="C76" s="183"/>
      <c r="D76" s="183"/>
      <c r="E76" s="183"/>
      <c r="F76" s="184"/>
      <c r="G76" s="184"/>
      <c r="H76" s="183"/>
      <c r="I76" s="183"/>
      <c r="J76" s="183"/>
      <c r="K76" s="183"/>
      <c r="L76" s="183"/>
    </row>
    <row r="77" spans="2:12" ht="15">
      <c r="B77" s="83" t="s">
        <v>251</v>
      </c>
      <c r="C77" s="183"/>
      <c r="D77" s="183"/>
      <c r="E77" s="183"/>
      <c r="F77" s="184"/>
      <c r="G77" s="184"/>
      <c r="H77" s="183"/>
      <c r="I77" s="183"/>
      <c r="J77" s="183"/>
      <c r="K77" s="183"/>
      <c r="L77" s="183"/>
    </row>
    <row r="78" spans="2:12">
      <c r="B78" s="31" t="s">
        <v>207</v>
      </c>
      <c r="C78" s="183"/>
      <c r="D78" s="183"/>
      <c r="E78" s="183">
        <f>E36-D36</f>
        <v>-44</v>
      </c>
      <c r="F78" s="183">
        <f t="shared" ref="F78:G78" si="88">F36-E36</f>
        <v>-160</v>
      </c>
      <c r="G78" s="183">
        <f t="shared" si="88"/>
        <v>-250</v>
      </c>
      <c r="H78" s="290">
        <v>-350</v>
      </c>
      <c r="I78" s="290">
        <v>-350</v>
      </c>
      <c r="J78" s="290">
        <v>-350</v>
      </c>
      <c r="K78" s="290">
        <v>-350</v>
      </c>
      <c r="L78" s="290">
        <v>-350</v>
      </c>
    </row>
    <row r="79" spans="2:12">
      <c r="B79" s="31" t="s">
        <v>208</v>
      </c>
      <c r="C79" s="183"/>
      <c r="D79" s="183"/>
      <c r="E79" s="183">
        <f t="shared" ref="E79:G79" si="89">E37-D37</f>
        <v>278</v>
      </c>
      <c r="F79" s="183">
        <f t="shared" si="89"/>
        <v>54</v>
      </c>
      <c r="G79" s="183">
        <f t="shared" si="89"/>
        <v>179</v>
      </c>
      <c r="H79" s="290">
        <v>400</v>
      </c>
      <c r="I79" s="290">
        <v>400</v>
      </c>
      <c r="J79" s="290">
        <v>400</v>
      </c>
      <c r="K79" s="290">
        <v>400</v>
      </c>
      <c r="L79" s="290">
        <v>400</v>
      </c>
    </row>
    <row r="80" spans="2:12">
      <c r="B80" s="31" t="s">
        <v>209</v>
      </c>
      <c r="C80" s="183"/>
      <c r="D80" s="183"/>
      <c r="E80" s="183">
        <f t="shared" ref="E80:G80" si="90">E38-D38</f>
        <v>740</v>
      </c>
      <c r="F80" s="183">
        <f t="shared" si="90"/>
        <v>568</v>
      </c>
      <c r="G80" s="183">
        <f t="shared" si="90"/>
        <v>845</v>
      </c>
      <c r="H80" s="20">
        <v>1300</v>
      </c>
      <c r="I80" s="20">
        <v>1300</v>
      </c>
      <c r="J80" s="20">
        <v>1300</v>
      </c>
      <c r="K80" s="20">
        <v>1300</v>
      </c>
      <c r="L80" s="20">
        <v>1300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</sheetData>
  <mergeCells count="2">
    <mergeCell ref="H1:L1"/>
    <mergeCell ref="C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3"/>
  <sheetViews>
    <sheetView showGridLines="0"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I36" sqref="I36:L36"/>
    </sheetView>
  </sheetViews>
  <sheetFormatPr defaultColWidth="8.7109375" defaultRowHeight="14.25" zeroHeight="1"/>
  <cols>
    <col min="1" max="1" width="3.5703125" style="20" customWidth="1"/>
    <col min="2" max="2" width="49" style="20" customWidth="1"/>
    <col min="3" max="5" width="12.5703125" style="20" customWidth="1"/>
    <col min="6" max="7" width="12.5703125" style="49" customWidth="1"/>
    <col min="8" max="12" width="12.5703125" style="20" customWidth="1"/>
    <col min="13" max="16382" width="8.7109375" style="20" customWidth="1"/>
    <col min="16383" max="16384" width="8.7109375" style="20"/>
  </cols>
  <sheetData>
    <row r="1" spans="1:14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4">
      <c r="A2" s="22" t="s">
        <v>89</v>
      </c>
      <c r="B2" s="19"/>
      <c r="C2" s="19">
        <v>2017</v>
      </c>
      <c r="D2" s="19">
        <v>2018</v>
      </c>
      <c r="E2" s="19">
        <v>2019</v>
      </c>
      <c r="F2" s="19">
        <v>2020</v>
      </c>
      <c r="G2" s="19">
        <v>2021</v>
      </c>
      <c r="H2" s="19">
        <f t="shared" ref="H2:L2" si="0">G2+1</f>
        <v>2022</v>
      </c>
      <c r="I2" s="19">
        <f t="shared" si="0"/>
        <v>2023</v>
      </c>
      <c r="J2" s="19">
        <f t="shared" si="0"/>
        <v>2024</v>
      </c>
      <c r="K2" s="19">
        <f t="shared" si="0"/>
        <v>2025</v>
      </c>
      <c r="L2" s="19">
        <f t="shared" si="0"/>
        <v>2026</v>
      </c>
      <c r="M2" s="72"/>
    </row>
    <row r="3" spans="1:14">
      <c r="B3" s="31"/>
      <c r="C3" s="31"/>
      <c r="D3" s="31"/>
      <c r="E3" s="31"/>
      <c r="F3" s="73"/>
      <c r="G3" s="73"/>
      <c r="H3" s="73"/>
      <c r="I3" s="73"/>
      <c r="J3" s="73"/>
      <c r="K3" s="74"/>
      <c r="L3" s="74"/>
    </row>
    <row r="4" spans="1:14" ht="15">
      <c r="B4" s="90" t="s">
        <v>6</v>
      </c>
      <c r="C4" s="31"/>
      <c r="D4" s="31"/>
      <c r="E4" s="31"/>
      <c r="F4" s="91"/>
      <c r="G4" s="91"/>
      <c r="H4" s="91"/>
      <c r="I4" s="91"/>
      <c r="J4" s="91"/>
      <c r="K4" s="91"/>
      <c r="L4" s="91"/>
    </row>
    <row r="5" spans="1:14">
      <c r="B5" s="31" t="s">
        <v>100</v>
      </c>
      <c r="C5" s="92">
        <f>'Income Statement'!C5</f>
        <v>12719</v>
      </c>
      <c r="D5" s="92">
        <f>'Income Statement'!D5</f>
        <v>10013</v>
      </c>
      <c r="E5" s="92">
        <f>'Income Statement'!E5</f>
        <v>9421</v>
      </c>
      <c r="F5" s="92">
        <f>'Income Statement'!F5</f>
        <v>8139</v>
      </c>
      <c r="G5" s="92">
        <f>'Income Statement'!G5</f>
        <v>9787</v>
      </c>
      <c r="H5" s="92">
        <f>'Income Statement'!H5</f>
        <v>9703.0155188207336</v>
      </c>
      <c r="I5" s="92">
        <f>'Income Statement'!I5</f>
        <v>10058.419343517533</v>
      </c>
      <c r="J5" s="92">
        <f>'Income Statement'!J5</f>
        <v>10534.084281765181</v>
      </c>
      <c r="K5" s="92">
        <f>'Income Statement'!K5</f>
        <v>11144.186658549987</v>
      </c>
      <c r="L5" s="92">
        <f>'Income Statement'!L5</f>
        <v>11907.672482549149</v>
      </c>
    </row>
    <row r="6" spans="1:14">
      <c r="B6" s="31" t="s">
        <v>101</v>
      </c>
      <c r="C6" s="92">
        <f>'Income Statement'!C6</f>
        <v>10101</v>
      </c>
      <c r="D6" s="92">
        <f>'Income Statement'!D6</f>
        <v>11012</v>
      </c>
      <c r="E6" s="92">
        <f>'Income Statement'!E6</f>
        <v>11656</v>
      </c>
      <c r="F6" s="92">
        <f>'Income Statement'!F6</f>
        <v>10726</v>
      </c>
      <c r="G6" s="92">
        <f>'Income Statement'!G6</f>
        <v>13085</v>
      </c>
      <c r="H6" s="92">
        <f>'Income Statement'!H6</f>
        <v>12956.418338516167</v>
      </c>
      <c r="I6" s="92">
        <f>'Income Statement'!I6</f>
        <v>13300.185869751611</v>
      </c>
      <c r="J6" s="92">
        <f>'Income Statement'!J6</f>
        <v>13823.750621917241</v>
      </c>
      <c r="K6" s="92">
        <f>'Income Statement'!K6</f>
        <v>14543.703822272702</v>
      </c>
      <c r="L6" s="92">
        <f>'Income Statement'!L6</f>
        <v>15484.219293651711</v>
      </c>
    </row>
    <row r="7" spans="1:14">
      <c r="B7" s="255" t="s">
        <v>102</v>
      </c>
      <c r="C7" s="92">
        <f>'Income Statement'!C7</f>
        <v>0</v>
      </c>
      <c r="D7" s="92">
        <f>'Income Statement'!D7</f>
        <v>233</v>
      </c>
      <c r="E7" s="92">
        <f>'Income Statement'!E7</f>
        <v>288</v>
      </c>
      <c r="F7" s="92">
        <f>'Income Statement'!F7</f>
        <v>343</v>
      </c>
      <c r="G7" s="92">
        <f>'Income Statement'!G7</f>
        <v>351</v>
      </c>
      <c r="H7" s="92">
        <f>'Income Statement'!H7</f>
        <v>339.89150786005354</v>
      </c>
      <c r="I7" s="92">
        <f>'Income Statement'!I7</f>
        <v>350.37907819903711</v>
      </c>
      <c r="J7" s="92">
        <f>'Income Statement'!J7</f>
        <v>365.36752355523629</v>
      </c>
      <c r="K7" s="92">
        <f>'Income Statement'!K7</f>
        <v>385.31835721234023</v>
      </c>
      <c r="L7" s="92">
        <f>'Income Statement'!L7</f>
        <v>410.87837664301287</v>
      </c>
    </row>
    <row r="8" spans="1:14" ht="15.75" thickBot="1">
      <c r="A8" s="283"/>
      <c r="B8" s="300" t="s">
        <v>228</v>
      </c>
      <c r="C8" s="301">
        <f>SUM(C5:C7)</f>
        <v>22820</v>
      </c>
      <c r="D8" s="301">
        <f t="shared" ref="D8:L8" si="1">SUM(D5:D7)</f>
        <v>21258</v>
      </c>
      <c r="E8" s="301">
        <f t="shared" si="1"/>
        <v>21365</v>
      </c>
      <c r="F8" s="301">
        <f t="shared" si="1"/>
        <v>19208</v>
      </c>
      <c r="G8" s="301">
        <f t="shared" si="1"/>
        <v>23223</v>
      </c>
      <c r="H8" s="301">
        <f t="shared" si="1"/>
        <v>22999.325365196957</v>
      </c>
      <c r="I8" s="301">
        <f t="shared" si="1"/>
        <v>23708.984291468179</v>
      </c>
      <c r="J8" s="301">
        <f t="shared" si="1"/>
        <v>24723.202427237658</v>
      </c>
      <c r="K8" s="301">
        <f t="shared" si="1"/>
        <v>26073.208838035029</v>
      </c>
      <c r="L8" s="301">
        <f t="shared" si="1"/>
        <v>27802.770152843874</v>
      </c>
      <c r="M8" s="284"/>
    </row>
    <row r="9" spans="1:14" ht="15" thickTop="1">
      <c r="B9" s="258"/>
      <c r="C9" s="295"/>
      <c r="D9" s="295"/>
      <c r="E9" s="295"/>
      <c r="F9" s="296"/>
      <c r="G9" s="297"/>
      <c r="H9" s="298"/>
      <c r="I9" s="298"/>
      <c r="J9" s="298"/>
      <c r="K9" s="298"/>
      <c r="L9" s="298"/>
    </row>
    <row r="10" spans="1:14" ht="15">
      <c r="B10" s="90" t="s">
        <v>47</v>
      </c>
      <c r="C10" s="55"/>
      <c r="D10" s="55"/>
      <c r="E10" s="55"/>
      <c r="F10" s="97"/>
      <c r="G10" s="82"/>
      <c r="H10" s="74"/>
      <c r="I10" s="74"/>
      <c r="J10" s="74"/>
      <c r="K10" s="74"/>
      <c r="L10" s="74"/>
    </row>
    <row r="11" spans="1:14">
      <c r="B11" s="31" t="s">
        <v>105</v>
      </c>
      <c r="C11" s="102">
        <f>'Income Statement'!C11</f>
        <v>4033.5</v>
      </c>
      <c r="D11" s="102">
        <f>'Income Statement'!D11</f>
        <v>3153.8</v>
      </c>
      <c r="E11" s="102">
        <f>'Income Statement'!E11</f>
        <v>2980.3</v>
      </c>
      <c r="F11" s="102">
        <f>'Income Statement'!F11</f>
        <v>2564.1999999999998</v>
      </c>
      <c r="G11" s="102">
        <f>'Income Statement'!G11</f>
        <v>3096.8</v>
      </c>
      <c r="H11" s="103">
        <f>H5*H12</f>
        <v>3066.1529039473517</v>
      </c>
      <c r="I11" s="103">
        <f t="shared" ref="I11:L11" si="2">I5*I12</f>
        <v>3178.4605125515404</v>
      </c>
      <c r="J11" s="103">
        <f t="shared" si="2"/>
        <v>3328.7706330377973</v>
      </c>
      <c r="K11" s="103">
        <f t="shared" si="2"/>
        <v>3521.5629841017958</v>
      </c>
      <c r="L11" s="103">
        <f t="shared" si="2"/>
        <v>3762.8245044855312</v>
      </c>
      <c r="N11" s="98"/>
    </row>
    <row r="12" spans="1:14">
      <c r="B12" s="31" t="s">
        <v>211</v>
      </c>
      <c r="C12" s="99">
        <f>C11/C5</f>
        <v>0.31712398773488482</v>
      </c>
      <c r="D12" s="99">
        <f t="shared" ref="D12:G12" si="3">D11/D5</f>
        <v>0.31497053830020977</v>
      </c>
      <c r="E12" s="99">
        <f t="shared" si="3"/>
        <v>0.31634646003608963</v>
      </c>
      <c r="F12" s="99">
        <f t="shared" si="3"/>
        <v>0.31505098906499568</v>
      </c>
      <c r="G12" s="99">
        <f t="shared" si="3"/>
        <v>0.31641974047205479</v>
      </c>
      <c r="H12" s="100">
        <v>0.316</v>
      </c>
      <c r="I12" s="100">
        <v>0.316</v>
      </c>
      <c r="J12" s="100">
        <v>0.316</v>
      </c>
      <c r="K12" s="100">
        <v>0.316</v>
      </c>
      <c r="L12" s="100">
        <v>0.316</v>
      </c>
    </row>
    <row r="13" spans="1:14">
      <c r="B13" s="31"/>
      <c r="C13" s="55"/>
      <c r="D13" s="55"/>
      <c r="E13" s="55"/>
      <c r="F13" s="94"/>
      <c r="G13" s="95"/>
      <c r="H13" s="96"/>
      <c r="I13" s="96"/>
      <c r="J13" s="96"/>
      <c r="K13" s="96"/>
      <c r="L13" s="96"/>
    </row>
    <row r="14" spans="1:14">
      <c r="B14" s="31" t="s">
        <v>106</v>
      </c>
      <c r="C14" s="102">
        <f>'Income Statement'!C12</f>
        <v>3528.5</v>
      </c>
      <c r="D14" s="102">
        <f>'Income Statement'!D12</f>
        <v>2937.9</v>
      </c>
      <c r="E14" s="102">
        <f>'Income Statement'!E12</f>
        <v>2704.4</v>
      </c>
      <c r="F14" s="102">
        <f>'Income Statement'!F12</f>
        <v>2416.4</v>
      </c>
      <c r="G14" s="102">
        <f>'Income Statement'!G12</f>
        <v>2677.2</v>
      </c>
      <c r="H14" s="103">
        <f>H15*H5</f>
        <v>2775.0624383827294</v>
      </c>
      <c r="I14" s="103">
        <f t="shared" ref="I14:L14" si="4">I15*I5</f>
        <v>2876.707932246014</v>
      </c>
      <c r="J14" s="103">
        <f t="shared" si="4"/>
        <v>3012.7481045848417</v>
      </c>
      <c r="K14" s="103">
        <f t="shared" si="4"/>
        <v>3187.2373843452961</v>
      </c>
      <c r="L14" s="103">
        <f t="shared" si="4"/>
        <v>3405.5943300090562</v>
      </c>
    </row>
    <row r="15" spans="1:14">
      <c r="B15" s="31" t="s">
        <v>211</v>
      </c>
      <c r="C15" s="99">
        <f>C14/C5</f>
        <v>0.27741960845978458</v>
      </c>
      <c r="D15" s="99">
        <f t="shared" ref="D15:G15" si="5">D14/D5</f>
        <v>0.29340856886048139</v>
      </c>
      <c r="E15" s="99">
        <f t="shared" si="5"/>
        <v>0.28706082156883561</v>
      </c>
      <c r="F15" s="99">
        <f t="shared" si="5"/>
        <v>0.29689151001351516</v>
      </c>
      <c r="G15" s="99">
        <f t="shared" si="5"/>
        <v>0.27354654133033612</v>
      </c>
      <c r="H15" s="101">
        <v>0.28599999999999998</v>
      </c>
      <c r="I15" s="101">
        <v>0.28599999999999998</v>
      </c>
      <c r="J15" s="101">
        <v>0.28599999999999998</v>
      </c>
      <c r="K15" s="101">
        <v>0.28599999999999998</v>
      </c>
      <c r="L15" s="101">
        <v>0.28599999999999998</v>
      </c>
    </row>
    <row r="16" spans="1:14">
      <c r="B16" s="31"/>
      <c r="C16" s="55"/>
      <c r="D16" s="55"/>
      <c r="E16" s="55"/>
      <c r="F16" s="94"/>
      <c r="G16" s="95"/>
      <c r="H16" s="96"/>
      <c r="I16" s="96"/>
      <c r="J16" s="96"/>
      <c r="K16" s="96"/>
      <c r="L16" s="96"/>
    </row>
    <row r="17" spans="2:12">
      <c r="B17" s="31" t="s">
        <v>107</v>
      </c>
      <c r="C17" s="102">
        <f>'Income Statement'!C13</f>
        <v>2847.6</v>
      </c>
      <c r="D17" s="102">
        <f>'Income Statement'!D13</f>
        <v>2174.1999999999998</v>
      </c>
      <c r="E17" s="102">
        <f>'Income Statement'!E13</f>
        <v>2075.9</v>
      </c>
      <c r="F17" s="102">
        <f>'Income Statement'!F13</f>
        <v>2000.6</v>
      </c>
      <c r="G17" s="102">
        <f>'Income Statement'!G13</f>
        <v>2273.3000000000002</v>
      </c>
      <c r="H17" s="103">
        <f>H18*H5</f>
        <v>2212.2875382911275</v>
      </c>
      <c r="I17" s="103">
        <f t="shared" ref="I17:L17" si="6">I18*I5</f>
        <v>2293.3196103219975</v>
      </c>
      <c r="J17" s="103">
        <f t="shared" si="6"/>
        <v>2401.7712162424614</v>
      </c>
      <c r="K17" s="103">
        <f t="shared" si="6"/>
        <v>2540.8745581493972</v>
      </c>
      <c r="L17" s="103">
        <f t="shared" si="6"/>
        <v>2714.9493260212062</v>
      </c>
    </row>
    <row r="18" spans="2:12">
      <c r="B18" s="31" t="s">
        <v>211</v>
      </c>
      <c r="C18" s="99">
        <f>C17/C5</f>
        <v>0.22388552559163455</v>
      </c>
      <c r="D18" s="99">
        <f t="shared" ref="D18:G18" si="7">D17/D5</f>
        <v>0.21713772096274842</v>
      </c>
      <c r="E18" s="99">
        <f t="shared" si="7"/>
        <v>0.22034815836959984</v>
      </c>
      <c r="F18" s="99">
        <f t="shared" si="7"/>
        <v>0.24580415284432977</v>
      </c>
      <c r="G18" s="99">
        <f t="shared" si="7"/>
        <v>0.23227751098395832</v>
      </c>
      <c r="H18" s="101">
        <v>0.22800000000000001</v>
      </c>
      <c r="I18" s="101">
        <v>0.22800000000000001</v>
      </c>
      <c r="J18" s="101">
        <v>0.22800000000000001</v>
      </c>
      <c r="K18" s="101">
        <v>0.22800000000000001</v>
      </c>
      <c r="L18" s="101">
        <v>0.22800000000000001</v>
      </c>
    </row>
    <row r="19" spans="2:12">
      <c r="F19" s="20"/>
      <c r="G19" s="20"/>
    </row>
    <row r="20" spans="2:12">
      <c r="B20" s="31" t="s">
        <v>108</v>
      </c>
      <c r="C20" s="102">
        <f>'Income Statement'!C14</f>
        <v>1790</v>
      </c>
      <c r="D20" s="102">
        <f>'Income Statement'!D14</f>
        <v>1973.3</v>
      </c>
      <c r="E20" s="102">
        <f>'Income Statement'!E14</f>
        <v>2200.6</v>
      </c>
      <c r="F20" s="102">
        <f>'Income Statement'!F14</f>
        <v>2207.5</v>
      </c>
      <c r="G20" s="102">
        <f>'Income Statement'!G14</f>
        <v>2335</v>
      </c>
      <c r="H20" s="103">
        <f>H21*H6</f>
        <v>2409.8938109640071</v>
      </c>
      <c r="I20" s="103">
        <f t="shared" ref="I20:L20" si="8">I21*I6</f>
        <v>2473.8345717737998</v>
      </c>
      <c r="J20" s="103">
        <f t="shared" si="8"/>
        <v>2571.2176156766068</v>
      </c>
      <c r="K20" s="103">
        <f t="shared" si="8"/>
        <v>2705.1289109427225</v>
      </c>
      <c r="L20" s="103">
        <f t="shared" si="8"/>
        <v>2880.0647886192182</v>
      </c>
    </row>
    <row r="21" spans="2:12">
      <c r="B21" s="31" t="s">
        <v>212</v>
      </c>
      <c r="C21" s="99">
        <f>C20/C6</f>
        <v>0.17721017721017721</v>
      </c>
      <c r="D21" s="99">
        <f t="shared" ref="D21:G21" si="9">D20/D6</f>
        <v>0.17919542317471848</v>
      </c>
      <c r="E21" s="99">
        <f t="shared" si="9"/>
        <v>0.18879547014413178</v>
      </c>
      <c r="F21" s="99">
        <f t="shared" si="9"/>
        <v>0.20580831624090995</v>
      </c>
      <c r="G21" s="99">
        <f t="shared" si="9"/>
        <v>0.1784486052732136</v>
      </c>
      <c r="H21" s="101">
        <v>0.186</v>
      </c>
      <c r="I21" s="101">
        <v>0.186</v>
      </c>
      <c r="J21" s="101">
        <v>0.186</v>
      </c>
      <c r="K21" s="101">
        <v>0.186</v>
      </c>
      <c r="L21" s="101">
        <v>0.186</v>
      </c>
    </row>
    <row r="22" spans="2:12">
      <c r="F22" s="20"/>
    </row>
    <row r="23" spans="2:12">
      <c r="B23" s="31" t="s">
        <v>109</v>
      </c>
      <c r="C23" s="102">
        <f>'Income Statement'!C15</f>
        <v>0</v>
      </c>
      <c r="D23" s="102">
        <f>'Income Statement'!D15</f>
        <v>186.1</v>
      </c>
      <c r="E23" s="102">
        <f>'Income Statement'!E15</f>
        <v>223.8</v>
      </c>
      <c r="F23" s="102">
        <f>'Income Statement'!F15</f>
        <v>267</v>
      </c>
      <c r="G23" s="102">
        <f>'Income Statement'!G15</f>
        <v>260.39999999999998</v>
      </c>
      <c r="H23" s="103">
        <f>H24*H7</f>
        <v>263.41591859154153</v>
      </c>
      <c r="I23" s="103">
        <f t="shared" ref="I23:L23" si="10">I24*I7</f>
        <v>271.54378560425374</v>
      </c>
      <c r="J23" s="103">
        <f t="shared" si="10"/>
        <v>283.15983075530812</v>
      </c>
      <c r="K23" s="103">
        <f t="shared" si="10"/>
        <v>298.62172683956368</v>
      </c>
      <c r="L23" s="103">
        <f t="shared" si="10"/>
        <v>318.43074189833499</v>
      </c>
    </row>
    <row r="24" spans="2:12">
      <c r="B24" s="31" t="s">
        <v>213</v>
      </c>
      <c r="C24" s="104"/>
      <c r="D24" s="99">
        <f>D23/D7</f>
        <v>0.79871244635193128</v>
      </c>
      <c r="E24" s="99">
        <f t="shared" ref="E24:G24" si="11">E23/E7</f>
        <v>0.77708333333333335</v>
      </c>
      <c r="F24" s="99">
        <f t="shared" si="11"/>
        <v>0.77842565597667635</v>
      </c>
      <c r="G24" s="99">
        <f t="shared" si="11"/>
        <v>0.7418803418803418</v>
      </c>
      <c r="H24" s="101">
        <v>0.77500000000000002</v>
      </c>
      <c r="I24" s="101">
        <v>0.77500000000000002</v>
      </c>
      <c r="J24" s="101">
        <v>0.77500000000000002</v>
      </c>
      <c r="K24" s="101">
        <v>0.77500000000000002</v>
      </c>
      <c r="L24" s="101">
        <v>0.77500000000000002</v>
      </c>
    </row>
    <row r="25" spans="2:12">
      <c r="F25" s="20"/>
    </row>
    <row r="26" spans="2:12" ht="15">
      <c r="B26" s="30" t="s">
        <v>110</v>
      </c>
      <c r="F26" s="20"/>
    </row>
    <row r="27" spans="2:12">
      <c r="B27" s="31" t="s">
        <v>111</v>
      </c>
      <c r="C27" s="102">
        <f>'Income Statement'!C18</f>
        <v>0</v>
      </c>
      <c r="D27" s="102">
        <f>'Income Statement'!D18</f>
        <v>1985.4</v>
      </c>
      <c r="E27" s="102">
        <f>'Income Statement'!E18</f>
        <v>1966.9</v>
      </c>
      <c r="F27" s="102">
        <f>'Income Statement'!F18</f>
        <v>2245</v>
      </c>
      <c r="G27" s="102">
        <f>'Income Statement'!G18</f>
        <v>2377.8000000000002</v>
      </c>
      <c r="H27" s="103">
        <f>H28*H8</f>
        <v>2322.9318618848929</v>
      </c>
      <c r="I27" s="103">
        <f t="shared" ref="I27:L27" si="12">I28*I8</f>
        <v>2394.6074134382861</v>
      </c>
      <c r="J27" s="103">
        <f t="shared" si="12"/>
        <v>2497.0434451510037</v>
      </c>
      <c r="K27" s="103">
        <f t="shared" si="12"/>
        <v>2633.394092641538</v>
      </c>
      <c r="L27" s="103">
        <f t="shared" si="12"/>
        <v>2808.0797854372313</v>
      </c>
    </row>
    <row r="28" spans="2:12">
      <c r="B28" s="31" t="s">
        <v>244</v>
      </c>
      <c r="C28" s="99"/>
      <c r="D28" s="99">
        <f>D27/D8</f>
        <v>9.3395427603725656E-2</v>
      </c>
      <c r="E28" s="99">
        <f t="shared" ref="E28:G28" si="13">E27/E8</f>
        <v>9.2061783290428273E-2</v>
      </c>
      <c r="F28" s="99">
        <f t="shared" si="13"/>
        <v>0.11687838400666389</v>
      </c>
      <c r="G28" s="99">
        <f t="shared" si="13"/>
        <v>0.10238987210954657</v>
      </c>
      <c r="H28" s="101">
        <v>0.10100000000000001</v>
      </c>
      <c r="I28" s="101">
        <v>0.10100000000000001</v>
      </c>
      <c r="J28" s="101">
        <v>0.10100000000000001</v>
      </c>
      <c r="K28" s="101">
        <v>0.10100000000000001</v>
      </c>
      <c r="L28" s="101">
        <v>0.10100000000000001</v>
      </c>
    </row>
    <row r="29" spans="2:12">
      <c r="B29" s="31"/>
      <c r="F29" s="20"/>
      <c r="G29" s="20"/>
    </row>
    <row r="30" spans="2:12">
      <c r="B30" s="31" t="s">
        <v>112</v>
      </c>
      <c r="C30" s="102">
        <f>'Income Statement'!C19</f>
        <v>0</v>
      </c>
      <c r="D30" s="102">
        <f>'Income Statement'!D19</f>
        <v>-190.2</v>
      </c>
      <c r="E30" s="102">
        <f>'Income Statement'!E19</f>
        <v>-119.8</v>
      </c>
      <c r="F30" s="102">
        <f>'Income Statement'!F19</f>
        <v>-117.5</v>
      </c>
      <c r="G30" s="102">
        <f>'Income Statement'!G19</f>
        <v>-483.3</v>
      </c>
      <c r="H30" s="103">
        <f>H31*H8</f>
        <v>-413.98785657354517</v>
      </c>
      <c r="I30" s="103">
        <f t="shared" ref="I30:L30" si="14">I31*I8</f>
        <v>-426.76171724642722</v>
      </c>
      <c r="J30" s="103">
        <f t="shared" si="14"/>
        <v>-445.01764369027779</v>
      </c>
      <c r="K30" s="103">
        <f t="shared" si="14"/>
        <v>-469.3177590846305</v>
      </c>
      <c r="L30" s="103">
        <f t="shared" si="14"/>
        <v>-500.4498627511897</v>
      </c>
    </row>
    <row r="31" spans="2:12">
      <c r="B31" s="31" t="s">
        <v>244</v>
      </c>
      <c r="C31" s="99"/>
      <c r="D31" s="99">
        <f>D30/D8</f>
        <v>-8.947219870166525E-3</v>
      </c>
      <c r="E31" s="99">
        <f t="shared" ref="E31:G31" si="15">E30/E8</f>
        <v>-5.6073016615960682E-3</v>
      </c>
      <c r="F31" s="99">
        <f t="shared" si="15"/>
        <v>-6.1172428154935444E-3</v>
      </c>
      <c r="G31" s="99">
        <f t="shared" si="15"/>
        <v>-2.0811264694483918E-2</v>
      </c>
      <c r="H31" s="101">
        <v>-1.7999999999999999E-2</v>
      </c>
      <c r="I31" s="101">
        <v>-1.7999999999999999E-2</v>
      </c>
      <c r="J31" s="101">
        <v>-1.7999999999999999E-2</v>
      </c>
      <c r="K31" s="101">
        <v>-1.7999999999999999E-2</v>
      </c>
      <c r="L31" s="101">
        <v>-1.7999999999999999E-2</v>
      </c>
    </row>
    <row r="32" spans="2:12">
      <c r="B32" s="31"/>
      <c r="C32" s="102"/>
      <c r="D32" s="102"/>
      <c r="E32" s="102"/>
      <c r="F32" s="102"/>
      <c r="G32" s="102"/>
      <c r="H32" s="103"/>
      <c r="I32" s="103"/>
      <c r="J32" s="103"/>
      <c r="K32" s="103"/>
      <c r="L32" s="103"/>
    </row>
    <row r="33" spans="2:13">
      <c r="B33" s="31" t="s">
        <v>115</v>
      </c>
      <c r="C33" s="105">
        <f>'Income Statement'!C23</f>
        <v>0</v>
      </c>
      <c r="D33" s="105">
        <f>'Income Statement'!D23</f>
        <v>25.3</v>
      </c>
      <c r="E33" s="105">
        <f>'Income Statement'!E23</f>
        <v>-70.2</v>
      </c>
      <c r="F33" s="105">
        <f>'Income Statement'!F23</f>
        <v>-34.799999999999997</v>
      </c>
      <c r="G33" s="105">
        <f>'Income Statement'!G23</f>
        <v>42.3</v>
      </c>
      <c r="H33" s="103">
        <f>H34*H8</f>
        <v>0</v>
      </c>
      <c r="I33" s="103">
        <f t="shared" ref="I33:L33" si="16">I34*I8</f>
        <v>0</v>
      </c>
      <c r="J33" s="103">
        <f t="shared" si="16"/>
        <v>0</v>
      </c>
      <c r="K33" s="103">
        <f t="shared" si="16"/>
        <v>0</v>
      </c>
      <c r="L33" s="103">
        <f t="shared" si="16"/>
        <v>0</v>
      </c>
    </row>
    <row r="34" spans="2:13">
      <c r="B34" s="31" t="s">
        <v>244</v>
      </c>
      <c r="C34" s="99"/>
      <c r="D34" s="99">
        <f>D33/D8</f>
        <v>1.1901401825195222E-3</v>
      </c>
      <c r="E34" s="99">
        <f t="shared" ref="E34:G34" si="17">E33/E8</f>
        <v>-3.2857477182307512E-3</v>
      </c>
      <c r="F34" s="99">
        <f t="shared" si="17"/>
        <v>-1.8117451062057476E-3</v>
      </c>
      <c r="G34" s="99">
        <f t="shared" si="17"/>
        <v>1.8214700943030614E-3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</row>
    <row r="35" spans="2:13">
      <c r="F35" s="20"/>
      <c r="G35" s="20"/>
    </row>
    <row r="36" spans="2:13">
      <c r="B36" s="31" t="s">
        <v>117</v>
      </c>
      <c r="C36" s="102">
        <f>'Income Statement'!C25</f>
        <v>0</v>
      </c>
      <c r="D36" s="102">
        <f>'Income Statement'!D25</f>
        <v>1891.8</v>
      </c>
      <c r="E36" s="102">
        <f>'Income Statement'!E25</f>
        <v>1992.7</v>
      </c>
      <c r="F36" s="102">
        <f>'Income Statement'!F25</f>
        <v>1410.2</v>
      </c>
      <c r="G36" s="102">
        <f>'Income Statement'!G25</f>
        <v>1582.7</v>
      </c>
      <c r="H36" s="103">
        <f ca="1">H38*H37</f>
        <v>1864.5955477612938</v>
      </c>
      <c r="I36" s="103">
        <f t="shared" ref="I36:L36" ca="1" si="18">I38*I37</f>
        <v>1926.5267078139716</v>
      </c>
      <c r="J36" s="103">
        <f t="shared" ca="1" si="18"/>
        <v>2026.1722733858269</v>
      </c>
      <c r="K36" s="103">
        <f t="shared" ca="1" si="18"/>
        <v>2153.3291934430135</v>
      </c>
      <c r="L36" s="103">
        <f t="shared" ca="1" si="18"/>
        <v>2311.5199517582587</v>
      </c>
    </row>
    <row r="37" spans="2:13">
      <c r="B37" s="31" t="s">
        <v>116</v>
      </c>
      <c r="C37" s="102">
        <f>'Income Statement'!C24</f>
        <v>0</v>
      </c>
      <c r="D37" s="102">
        <f>'Income Statement'!D24</f>
        <v>7816.1999999999971</v>
      </c>
      <c r="E37" s="102">
        <f>'Income Statement'!E24</f>
        <v>8018.7</v>
      </c>
      <c r="F37" s="102">
        <f>'Income Statement'!F24</f>
        <v>6140.8999999999987</v>
      </c>
      <c r="G37" s="102">
        <f>'Income Statement'!G24</f>
        <v>9128</v>
      </c>
      <c r="H37" s="103">
        <f ca="1">'Income Statement'!H24</f>
        <v>8879.0264179109236</v>
      </c>
      <c r="I37" s="103">
        <f ca="1">'Income Statement'!I24</f>
        <v>9173.9367038760556</v>
      </c>
      <c r="J37" s="103">
        <f ca="1">'Income Statement'!J24</f>
        <v>9648.4393970757992</v>
      </c>
      <c r="K37" s="103">
        <f ca="1">'Income Statement'!K24</f>
        <v>10253.948540210706</v>
      </c>
      <c r="L37" s="103">
        <f ca="1">'Income Statement'!L24</f>
        <v>11007.237865551122</v>
      </c>
    </row>
    <row r="38" spans="2:13" ht="15">
      <c r="B38" s="291" t="s">
        <v>245</v>
      </c>
      <c r="C38" s="89"/>
      <c r="D38" s="89">
        <f>D36/D37</f>
        <v>0.24203577185844793</v>
      </c>
      <c r="E38" s="89">
        <f t="shared" ref="E38:G38" si="19">E36/E37</f>
        <v>0.24850661578560118</v>
      </c>
      <c r="F38" s="89">
        <f t="shared" si="19"/>
        <v>0.22964060642576825</v>
      </c>
      <c r="G38" s="89">
        <f t="shared" si="19"/>
        <v>0.17338957055214724</v>
      </c>
      <c r="H38" s="106">
        <v>0.21</v>
      </c>
      <c r="I38" s="106">
        <v>0.21</v>
      </c>
      <c r="J38" s="106">
        <v>0.21</v>
      </c>
      <c r="K38" s="106">
        <v>0.21</v>
      </c>
      <c r="L38" s="106">
        <v>0.21</v>
      </c>
      <c r="M38" s="65"/>
    </row>
    <row r="39" spans="2:13">
      <c r="F39" s="20"/>
      <c r="G39" s="20"/>
    </row>
    <row r="40" spans="2:13">
      <c r="F40" s="20"/>
      <c r="G40" s="20"/>
      <c r="H40" s="34"/>
    </row>
    <row r="41" spans="2:13">
      <c r="F41" s="20"/>
      <c r="G41" s="20"/>
      <c r="H41" s="89"/>
    </row>
    <row r="42" spans="2:13">
      <c r="F42" s="20"/>
      <c r="G42" s="20"/>
    </row>
    <row r="43" spans="2:13">
      <c r="F43" s="20"/>
      <c r="G43" s="20"/>
    </row>
    <row r="44" spans="2:13">
      <c r="F44" s="20"/>
      <c r="G44" s="20"/>
    </row>
    <row r="45" spans="2:13">
      <c r="F45" s="20"/>
      <c r="G45" s="20"/>
    </row>
    <row r="46" spans="2:13"/>
    <row r="47" spans="2:13"/>
    <row r="48" spans="2:13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mergeCells count="2">
    <mergeCell ref="H1:L1"/>
    <mergeCell ref="C1:G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EC5B-F448-455A-B4CB-15E640084F4C}">
  <dimension ref="A1:S10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2" sqref="B22"/>
    </sheetView>
  </sheetViews>
  <sheetFormatPr defaultRowHeight="14.25"/>
  <cols>
    <col min="1" max="1" width="3.5703125" style="20" customWidth="1"/>
    <col min="2" max="2" width="50.5703125" style="20" customWidth="1"/>
    <col min="3" max="12" width="12.5703125" style="49" customWidth="1"/>
    <col min="13" max="13" width="8.7109375" style="20" customWidth="1"/>
    <col min="14" max="16384" width="9.140625" style="20"/>
  </cols>
  <sheetData>
    <row r="1" spans="1:13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>
      <c r="A2" s="22" t="s">
        <v>89</v>
      </c>
      <c r="B2" s="23"/>
      <c r="C2" s="19">
        <v>2017</v>
      </c>
      <c r="D2" s="19">
        <v>2018</v>
      </c>
      <c r="E2" s="19">
        <v>2019</v>
      </c>
      <c r="F2" s="19">
        <v>2020</v>
      </c>
      <c r="G2" s="19">
        <v>2021</v>
      </c>
      <c r="H2" s="19">
        <f>G2+1</f>
        <v>2022</v>
      </c>
      <c r="I2" s="107">
        <f>H2+1</f>
        <v>2023</v>
      </c>
      <c r="J2" s="107">
        <f>I2+1</f>
        <v>2024</v>
      </c>
      <c r="K2" s="107">
        <f>J2+1</f>
        <v>2025</v>
      </c>
      <c r="L2" s="107">
        <f>K2+1</f>
        <v>2026</v>
      </c>
      <c r="M2" s="72"/>
    </row>
    <row r="3" spans="1:13">
      <c r="A3" s="55"/>
      <c r="B3" s="31" t="s">
        <v>356</v>
      </c>
      <c r="C3" s="92">
        <f>'Income Statement'!C5</f>
        <v>12719</v>
      </c>
      <c r="D3" s="92">
        <f>'Income Statement'!D5</f>
        <v>10013</v>
      </c>
      <c r="E3" s="92">
        <f>'Income Statement'!E5</f>
        <v>9421</v>
      </c>
      <c r="F3" s="92">
        <f>'Income Statement'!F5</f>
        <v>8139</v>
      </c>
      <c r="G3" s="92">
        <f>'Income Statement'!G5</f>
        <v>9787</v>
      </c>
      <c r="H3" s="92">
        <f>'Income Statement'!H5</f>
        <v>9703.0155188207336</v>
      </c>
      <c r="I3" s="92">
        <f>'Income Statement'!I5</f>
        <v>10058.419343517533</v>
      </c>
      <c r="J3" s="92">
        <f>'Income Statement'!J5</f>
        <v>10534.084281765181</v>
      </c>
      <c r="K3" s="92">
        <f>'Income Statement'!K5</f>
        <v>11144.186658549987</v>
      </c>
      <c r="L3" s="92">
        <f>'Income Statement'!L5</f>
        <v>11907.672482549149</v>
      </c>
    </row>
    <row r="4" spans="1:13">
      <c r="A4" s="55"/>
      <c r="B4" s="31" t="str">
        <f>'Income Statement'!B6</f>
        <v>Revenues from franchised restaurants</v>
      </c>
      <c r="C4" s="92">
        <f>'Income Statement'!C6</f>
        <v>10101</v>
      </c>
      <c r="D4" s="92">
        <f>'Income Statement'!D6</f>
        <v>11012</v>
      </c>
      <c r="E4" s="92">
        <f>'Income Statement'!E6</f>
        <v>11656</v>
      </c>
      <c r="F4" s="92">
        <f>'Income Statement'!F6</f>
        <v>10726</v>
      </c>
      <c r="G4" s="92">
        <f>'Income Statement'!G6</f>
        <v>13085</v>
      </c>
      <c r="H4" s="92">
        <f>'Income Statement'!H6</f>
        <v>12956.418338516167</v>
      </c>
      <c r="I4" s="92">
        <f>'Income Statement'!I6</f>
        <v>13300.185869751611</v>
      </c>
      <c r="J4" s="92">
        <f>'Income Statement'!J6</f>
        <v>13823.750621917241</v>
      </c>
      <c r="K4" s="92">
        <f>'Income Statement'!K6</f>
        <v>14543.703822272702</v>
      </c>
      <c r="L4" s="92">
        <f>'Income Statement'!L6</f>
        <v>15484.219293651711</v>
      </c>
    </row>
    <row r="5" spans="1:13">
      <c r="A5" s="55"/>
      <c r="B5" s="255" t="str">
        <f>'Income Statement'!B7</f>
        <v>Other revenues</v>
      </c>
      <c r="C5" s="92">
        <f>'Income Statement'!C7</f>
        <v>0</v>
      </c>
      <c r="D5" s="92">
        <f>'Income Statement'!D7</f>
        <v>233</v>
      </c>
      <c r="E5" s="92">
        <f>'Income Statement'!E7</f>
        <v>288</v>
      </c>
      <c r="F5" s="92">
        <f>'Income Statement'!F7</f>
        <v>343</v>
      </c>
      <c r="G5" s="92">
        <f>'Income Statement'!G7</f>
        <v>351</v>
      </c>
      <c r="H5" s="92">
        <f>'Income Statement'!H7</f>
        <v>339.89150786005354</v>
      </c>
      <c r="I5" s="92">
        <f>'Income Statement'!I7</f>
        <v>350.37907819903711</v>
      </c>
      <c r="J5" s="92">
        <f>'Income Statement'!J7</f>
        <v>365.36752355523629</v>
      </c>
      <c r="K5" s="92">
        <f>'Income Statement'!K7</f>
        <v>385.31835721234023</v>
      </c>
      <c r="L5" s="92">
        <f>'Income Statement'!L7</f>
        <v>410.87837664301287</v>
      </c>
    </row>
    <row r="6" spans="1:13" ht="15.75" thickBot="1">
      <c r="A6" s="55"/>
      <c r="B6" s="259" t="s">
        <v>228</v>
      </c>
      <c r="C6" s="301">
        <f>SUM(C3:C5)</f>
        <v>22820</v>
      </c>
      <c r="D6" s="301">
        <f t="shared" ref="D6:G6" si="0">SUM(D3:D5)</f>
        <v>21258</v>
      </c>
      <c r="E6" s="301">
        <f t="shared" si="0"/>
        <v>21365</v>
      </c>
      <c r="F6" s="301">
        <f t="shared" si="0"/>
        <v>19208</v>
      </c>
      <c r="G6" s="301">
        <f t="shared" si="0"/>
        <v>23223</v>
      </c>
      <c r="H6" s="301">
        <f t="shared" ref="H6" si="1">SUM(H3:H5)</f>
        <v>22999.325365196957</v>
      </c>
      <c r="I6" s="301">
        <f t="shared" ref="I6" si="2">SUM(I3:I5)</f>
        <v>23708.984291468179</v>
      </c>
      <c r="J6" s="301">
        <f t="shared" ref="J6" si="3">SUM(J3:J5)</f>
        <v>24723.202427237658</v>
      </c>
      <c r="K6" s="301">
        <f t="shared" ref="K6" si="4">SUM(K3:K5)</f>
        <v>26073.208838035029</v>
      </c>
      <c r="L6" s="301">
        <f t="shared" ref="L6" si="5">SUM(L3:L5)</f>
        <v>27802.770152843874</v>
      </c>
    </row>
    <row r="7" spans="1:13" ht="15.75" thickTop="1">
      <c r="A7" s="55"/>
      <c r="B7" s="302"/>
      <c r="C7" s="303"/>
      <c r="D7" s="303"/>
      <c r="E7" s="303"/>
      <c r="F7" s="303"/>
      <c r="G7" s="303"/>
      <c r="H7" s="303"/>
      <c r="I7" s="303"/>
      <c r="J7" s="303"/>
      <c r="K7" s="303"/>
      <c r="L7" s="303"/>
    </row>
    <row r="8" spans="1:13" ht="15">
      <c r="A8" s="55"/>
      <c r="B8" s="78" t="s">
        <v>366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</row>
    <row r="9" spans="1:13">
      <c r="A9" s="55"/>
      <c r="B9" s="31" t="s">
        <v>368</v>
      </c>
      <c r="C9" s="92">
        <f>'Income Statement'!C11</f>
        <v>4033.5</v>
      </c>
      <c r="D9" s="92">
        <f>'Income Statement'!D11</f>
        <v>3153.8</v>
      </c>
      <c r="E9" s="92">
        <f>'Income Statement'!E11</f>
        <v>2980.3</v>
      </c>
      <c r="F9" s="92">
        <f>'Income Statement'!F11</f>
        <v>2564.1999999999998</v>
      </c>
      <c r="G9" s="92">
        <f>'Income Statement'!G11</f>
        <v>3096.8</v>
      </c>
      <c r="H9" s="92">
        <f>'Income Statement'!H11</f>
        <v>3066.1529039473517</v>
      </c>
      <c r="I9" s="92">
        <f>'Income Statement'!I11</f>
        <v>3178.4605125515404</v>
      </c>
      <c r="J9" s="92">
        <f>'Income Statement'!J11</f>
        <v>3328.7706330377973</v>
      </c>
      <c r="K9" s="92">
        <f>'Income Statement'!K11</f>
        <v>3521.5629841017958</v>
      </c>
      <c r="L9" s="92">
        <f>'Income Statement'!L11</f>
        <v>3762.8245044855312</v>
      </c>
    </row>
    <row r="10" spans="1:13">
      <c r="A10" s="55"/>
      <c r="B10" s="31" t="str">
        <f>'Income Statement'!B12</f>
        <v>Payroll &amp; employee benefits</v>
      </c>
      <c r="C10" s="92">
        <f>'Income Statement'!C12</f>
        <v>3528.5</v>
      </c>
      <c r="D10" s="92">
        <f>'Income Statement'!D12</f>
        <v>2937.9</v>
      </c>
      <c r="E10" s="92">
        <f>'Income Statement'!E12</f>
        <v>2704.4</v>
      </c>
      <c r="F10" s="92">
        <f>'Income Statement'!F12</f>
        <v>2416.4</v>
      </c>
      <c r="G10" s="92">
        <f>'Income Statement'!G12</f>
        <v>2677.2</v>
      </c>
      <c r="H10" s="92">
        <f>'Income Statement'!H12</f>
        <v>2775.0624383827294</v>
      </c>
      <c r="I10" s="92">
        <f>'Income Statement'!I12</f>
        <v>2876.707932246014</v>
      </c>
      <c r="J10" s="92">
        <f>'Income Statement'!J12</f>
        <v>3012.7481045848417</v>
      </c>
      <c r="K10" s="92">
        <f>'Income Statement'!K12</f>
        <v>3187.2373843452961</v>
      </c>
      <c r="L10" s="92">
        <f>'Income Statement'!L12</f>
        <v>3405.5943300090562</v>
      </c>
    </row>
    <row r="11" spans="1:13">
      <c r="A11" s="55"/>
      <c r="B11" s="31" t="str">
        <f>'Income Statement'!B13</f>
        <v>Occupancy &amp; other operating expenses</v>
      </c>
      <c r="C11" s="92">
        <f>'Income Statement'!C13</f>
        <v>2847.6</v>
      </c>
      <c r="D11" s="92">
        <f>'Income Statement'!D13</f>
        <v>2174.1999999999998</v>
      </c>
      <c r="E11" s="92">
        <f>'Income Statement'!E13</f>
        <v>2075.9</v>
      </c>
      <c r="F11" s="92">
        <f>'Income Statement'!F13</f>
        <v>2000.6</v>
      </c>
      <c r="G11" s="92">
        <f>'Income Statement'!G13</f>
        <v>2273.3000000000002</v>
      </c>
      <c r="H11" s="92">
        <f>'Income Statement'!H13</f>
        <v>2212.2875382911275</v>
      </c>
      <c r="I11" s="92">
        <f>'Income Statement'!I13</f>
        <v>2293.3196103219975</v>
      </c>
      <c r="J11" s="92">
        <f>'Income Statement'!J13</f>
        <v>2401.7712162424614</v>
      </c>
      <c r="K11" s="92">
        <f>'Income Statement'!K13</f>
        <v>2540.8745581493972</v>
      </c>
      <c r="L11" s="92">
        <f>'Income Statement'!L13</f>
        <v>2714.9493260212062</v>
      </c>
    </row>
    <row r="12" spans="1:13">
      <c r="A12" s="55"/>
      <c r="B12" s="31" t="str">
        <f>'Income Statement'!B14</f>
        <v>Franchised restaurants-occupancy expenses</v>
      </c>
      <c r="C12" s="92">
        <f>'Income Statement'!C14</f>
        <v>1790</v>
      </c>
      <c r="D12" s="92">
        <f>'Income Statement'!D14</f>
        <v>1973.3</v>
      </c>
      <c r="E12" s="92">
        <f>'Income Statement'!E14</f>
        <v>2200.6</v>
      </c>
      <c r="F12" s="92">
        <f>'Income Statement'!F14</f>
        <v>2207.5</v>
      </c>
      <c r="G12" s="92">
        <f>'Income Statement'!G14</f>
        <v>2335</v>
      </c>
      <c r="H12" s="92">
        <f>'Income Statement'!H14</f>
        <v>2409.8938109640071</v>
      </c>
      <c r="I12" s="92">
        <f>'Income Statement'!I14</f>
        <v>2473.8345717737998</v>
      </c>
      <c r="J12" s="92">
        <f>'Income Statement'!J14</f>
        <v>2571.2176156766068</v>
      </c>
      <c r="K12" s="92">
        <f>'Income Statement'!K14</f>
        <v>2705.1289109427225</v>
      </c>
      <c r="L12" s="92">
        <f>'Income Statement'!L14</f>
        <v>2880.0647886192182</v>
      </c>
    </row>
    <row r="13" spans="1:13">
      <c r="A13" s="55"/>
      <c r="B13" s="31" t="str">
        <f>'Income Statement'!B15</f>
        <v>Other restaurant expenses</v>
      </c>
      <c r="C13" s="92">
        <f>'Income Statement'!C15</f>
        <v>0</v>
      </c>
      <c r="D13" s="92">
        <f>'Income Statement'!D15</f>
        <v>186.1</v>
      </c>
      <c r="E13" s="92">
        <f>'Income Statement'!E15</f>
        <v>223.8</v>
      </c>
      <c r="F13" s="92">
        <f>'Income Statement'!F15</f>
        <v>267</v>
      </c>
      <c r="G13" s="92">
        <f>'Income Statement'!G15</f>
        <v>260.39999999999998</v>
      </c>
      <c r="H13" s="92">
        <f>'Income Statement'!H15</f>
        <v>263.41591859154153</v>
      </c>
      <c r="I13" s="92">
        <f>'Income Statement'!I15</f>
        <v>271.54378560425374</v>
      </c>
      <c r="J13" s="92">
        <f>'Income Statement'!J15</f>
        <v>283.15983075530812</v>
      </c>
      <c r="K13" s="92">
        <f>'Income Statement'!K15</f>
        <v>298.62172683956368</v>
      </c>
      <c r="L13" s="92">
        <f>'Income Statement'!L15</f>
        <v>318.43074189833499</v>
      </c>
    </row>
    <row r="14" spans="1:13" ht="15">
      <c r="A14" s="55"/>
      <c r="B14" s="109" t="s">
        <v>367</v>
      </c>
      <c r="C14" s="126">
        <f>SUM(C9:C13)</f>
        <v>12199.6</v>
      </c>
      <c r="D14" s="126">
        <f t="shared" ref="D14:L14" si="6">SUM(D9:D13)</f>
        <v>10425.300000000001</v>
      </c>
      <c r="E14" s="126">
        <f t="shared" si="6"/>
        <v>10185</v>
      </c>
      <c r="F14" s="126">
        <f t="shared" si="6"/>
        <v>9455.7000000000007</v>
      </c>
      <c r="G14" s="126">
        <f t="shared" si="6"/>
        <v>10642.699999999999</v>
      </c>
      <c r="H14" s="126">
        <f t="shared" si="6"/>
        <v>10726.812610176758</v>
      </c>
      <c r="I14" s="126">
        <f t="shared" si="6"/>
        <v>11093.866412497606</v>
      </c>
      <c r="J14" s="126">
        <f t="shared" si="6"/>
        <v>11597.667400297016</v>
      </c>
      <c r="K14" s="126">
        <f t="shared" si="6"/>
        <v>12253.425564378773</v>
      </c>
      <c r="L14" s="126">
        <f t="shared" si="6"/>
        <v>13081.863691033346</v>
      </c>
    </row>
    <row r="15" spans="1:13">
      <c r="A15" s="55"/>
      <c r="B15" s="55"/>
      <c r="C15" s="110"/>
      <c r="D15" s="110"/>
      <c r="E15" s="110"/>
      <c r="F15" s="110"/>
      <c r="G15" s="110"/>
      <c r="H15" s="110"/>
      <c r="I15" s="110"/>
      <c r="J15" s="110"/>
      <c r="K15" s="110"/>
      <c r="L15" s="110"/>
    </row>
    <row r="16" spans="1:13" ht="15">
      <c r="A16" s="55"/>
      <c r="B16" s="31" t="s">
        <v>129</v>
      </c>
      <c r="C16" s="92">
        <f>'Balance Sheet'!C7</f>
        <v>1976.2</v>
      </c>
      <c r="D16" s="92">
        <f>'Balance Sheet'!D7</f>
        <v>2441.5</v>
      </c>
      <c r="E16" s="92">
        <f>'Balance Sheet'!E7</f>
        <v>2224.1999999999998</v>
      </c>
      <c r="F16" s="92">
        <f>'Balance Sheet'!F7</f>
        <v>2110.3000000000002</v>
      </c>
      <c r="G16" s="92">
        <f>'Balance Sheet'!G7</f>
        <v>1872.4</v>
      </c>
      <c r="H16" s="167">
        <f>H6/H36</f>
        <v>2281.0289814250136</v>
      </c>
      <c r="I16" s="167">
        <f t="shared" ref="I16:L16" si="7">I6/I36</f>
        <v>2351.411592742872</v>
      </c>
      <c r="J16" s="167">
        <f t="shared" si="7"/>
        <v>2451.9998023726121</v>
      </c>
      <c r="K16" s="167">
        <f t="shared" si="7"/>
        <v>2585.8908491421048</v>
      </c>
      <c r="L16" s="167">
        <f t="shared" si="7"/>
        <v>2757.4254233779407</v>
      </c>
      <c r="M16" s="456"/>
    </row>
    <row r="17" spans="1:13" ht="15">
      <c r="A17" s="55"/>
      <c r="B17" s="31" t="s">
        <v>130</v>
      </c>
      <c r="C17" s="92">
        <f>'Balance Sheet'!C8</f>
        <v>58.8</v>
      </c>
      <c r="D17" s="92">
        <f>'Balance Sheet'!D8</f>
        <v>51.1</v>
      </c>
      <c r="E17" s="92">
        <f>'Balance Sheet'!E8</f>
        <v>50.2</v>
      </c>
      <c r="F17" s="92">
        <f>'Balance Sheet'!F8</f>
        <v>51.1</v>
      </c>
      <c r="G17" s="92">
        <f>'Balance Sheet'!G8</f>
        <v>55.6</v>
      </c>
      <c r="H17" s="167">
        <f>H9/H37</f>
        <v>52.082597272530357</v>
      </c>
      <c r="I17" s="167">
        <f t="shared" ref="I17:L17" si="8">I9/I37</f>
        <v>53.990288158409733</v>
      </c>
      <c r="J17" s="167">
        <f t="shared" si="8"/>
        <v>56.543501163929712</v>
      </c>
      <c r="K17" s="167">
        <f t="shared" si="8"/>
        <v>59.818330140907221</v>
      </c>
      <c r="L17" s="167">
        <f t="shared" si="8"/>
        <v>63.916471035096698</v>
      </c>
      <c r="M17" s="292"/>
    </row>
    <row r="18" spans="1:13">
      <c r="A18" s="55"/>
      <c r="B18" s="31" t="s">
        <v>42</v>
      </c>
      <c r="C18" s="92">
        <f>'Balance Sheet'!C9</f>
        <v>828.4</v>
      </c>
      <c r="D18" s="92">
        <f>'Balance Sheet'!D9</f>
        <v>694.6</v>
      </c>
      <c r="E18" s="92">
        <f>'Balance Sheet'!E9</f>
        <v>385</v>
      </c>
      <c r="F18" s="92">
        <f>'Balance Sheet'!F9</f>
        <v>632.70000000000005</v>
      </c>
      <c r="G18" s="92">
        <f>'Balance Sheet'!G9</f>
        <v>511.3</v>
      </c>
      <c r="H18" s="167">
        <f>H45</f>
        <v>643.98111022551484</v>
      </c>
      <c r="I18" s="167">
        <f t="shared" ref="I18:L18" si="9">I45</f>
        <v>663.85156016110909</v>
      </c>
      <c r="J18" s="167">
        <f t="shared" si="9"/>
        <v>692.24966796265448</v>
      </c>
      <c r="K18" s="167">
        <f t="shared" si="9"/>
        <v>730.04984746498087</v>
      </c>
      <c r="L18" s="167">
        <f t="shared" si="9"/>
        <v>778.4775642796285</v>
      </c>
    </row>
    <row r="19" spans="1:13" ht="15">
      <c r="A19" s="55"/>
      <c r="B19" s="474" t="s">
        <v>48</v>
      </c>
      <c r="C19" s="111">
        <f>SUM(C16:C18)</f>
        <v>2863.4</v>
      </c>
      <c r="D19" s="111">
        <f t="shared" ref="D19:G19" si="10">SUM(D16:D18)</f>
        <v>3187.2</v>
      </c>
      <c r="E19" s="111">
        <f t="shared" si="10"/>
        <v>2659.3999999999996</v>
      </c>
      <c r="F19" s="111">
        <f t="shared" si="10"/>
        <v>2794.1000000000004</v>
      </c>
      <c r="G19" s="111">
        <f t="shared" si="10"/>
        <v>2439.3000000000002</v>
      </c>
      <c r="H19" s="111">
        <f t="shared" ref="H19" si="11">SUM(H16:H18)</f>
        <v>2977.0926889230586</v>
      </c>
      <c r="I19" s="111">
        <f t="shared" ref="I19" si="12">SUM(I16:I18)</f>
        <v>3069.2534410623912</v>
      </c>
      <c r="J19" s="111">
        <f t="shared" ref="J19" si="13">SUM(J16:J18)</f>
        <v>3200.792971499196</v>
      </c>
      <c r="K19" s="111">
        <f t="shared" ref="K19" si="14">SUM(K16:K18)</f>
        <v>3375.7590267479927</v>
      </c>
      <c r="L19" s="111">
        <f t="shared" ref="L19" si="15">SUM(L16:L18)</f>
        <v>3599.8194586926656</v>
      </c>
    </row>
    <row r="20" spans="1:13">
      <c r="A20" s="55"/>
      <c r="B20" s="70"/>
      <c r="C20" s="110"/>
      <c r="D20" s="110"/>
      <c r="E20" s="110"/>
      <c r="F20" s="110"/>
      <c r="G20" s="110"/>
      <c r="H20" s="110"/>
      <c r="I20" s="110"/>
      <c r="J20" s="110"/>
      <c r="K20" s="112"/>
      <c r="L20" s="112"/>
    </row>
    <row r="21" spans="1:13" ht="15">
      <c r="A21" s="55"/>
      <c r="B21" s="44" t="s">
        <v>141</v>
      </c>
      <c r="C21" s="92">
        <f>'Balance Sheet'!C25</f>
        <v>924.8</v>
      </c>
      <c r="D21" s="92">
        <f>'Balance Sheet'!D25</f>
        <v>1207.9000000000001</v>
      </c>
      <c r="E21" s="92">
        <f>'Balance Sheet'!E25</f>
        <v>988.2</v>
      </c>
      <c r="F21" s="92">
        <f>'Balance Sheet'!F25</f>
        <v>741.3</v>
      </c>
      <c r="G21" s="92">
        <f>'Balance Sheet'!G25</f>
        <v>1006.8</v>
      </c>
      <c r="H21" s="310">
        <f>H32/H38</f>
        <v>1017.8018802684155</v>
      </c>
      <c r="I21" s="310">
        <f t="shared" ref="I21:L21" si="16">I32/I38</f>
        <v>1056.9278440464632</v>
      </c>
      <c r="J21" s="310">
        <f t="shared" si="16"/>
        <v>1107.0947466439845</v>
      </c>
      <c r="K21" s="310">
        <f t="shared" si="16"/>
        <v>1171.4050047300141</v>
      </c>
      <c r="L21" s="310">
        <f t="shared" si="16"/>
        <v>1251.8567585878359</v>
      </c>
      <c r="M21" s="292"/>
    </row>
    <row r="22" spans="1:13">
      <c r="A22" s="55"/>
      <c r="B22" s="486" t="s">
        <v>142</v>
      </c>
      <c r="C22" s="92">
        <f>'Balance Sheet'!C26</f>
        <v>0</v>
      </c>
      <c r="D22" s="92">
        <f>'Balance Sheet'!D26</f>
        <v>0</v>
      </c>
      <c r="E22" s="92">
        <f>'Balance Sheet'!E26</f>
        <v>621</v>
      </c>
      <c r="F22" s="92">
        <f>'Balance Sheet'!F26</f>
        <v>701.5</v>
      </c>
      <c r="G22" s="92">
        <f>'Balance Sheet'!G26</f>
        <v>705.5</v>
      </c>
      <c r="H22" s="112">
        <v>705.5</v>
      </c>
      <c r="I22" s="112">
        <v>705.5</v>
      </c>
      <c r="J22" s="112">
        <v>705.5</v>
      </c>
      <c r="K22" s="112">
        <v>705.5</v>
      </c>
      <c r="L22" s="112">
        <v>705.5</v>
      </c>
    </row>
    <row r="23" spans="1:13">
      <c r="A23" s="55"/>
      <c r="B23" s="44" t="s">
        <v>143</v>
      </c>
      <c r="C23" s="92">
        <f>'Balance Sheet'!C27</f>
        <v>265.8</v>
      </c>
      <c r="D23" s="92">
        <f>'Balance Sheet'!D27</f>
        <v>228.3</v>
      </c>
      <c r="E23" s="92">
        <f>'Balance Sheet'!E27</f>
        <v>331.7</v>
      </c>
      <c r="F23" s="92">
        <f>'Balance Sheet'!F27</f>
        <v>741.1</v>
      </c>
      <c r="G23" s="92">
        <f>'Balance Sheet'!G27</f>
        <v>360.7</v>
      </c>
      <c r="H23" s="112">
        <v>360.7</v>
      </c>
      <c r="I23" s="112">
        <v>360.7</v>
      </c>
      <c r="J23" s="112">
        <v>360.7</v>
      </c>
      <c r="K23" s="112">
        <v>360.7</v>
      </c>
      <c r="L23" s="112">
        <v>360.7</v>
      </c>
    </row>
    <row r="24" spans="1:13">
      <c r="A24" s="55"/>
      <c r="B24" s="486" t="s">
        <v>144</v>
      </c>
      <c r="C24" s="92">
        <f>'Balance Sheet'!C28</f>
        <v>275.39999999999998</v>
      </c>
      <c r="D24" s="92">
        <f>'Balance Sheet'!D28</f>
        <v>253.7</v>
      </c>
      <c r="E24" s="92">
        <f>'Balance Sheet'!E28</f>
        <v>247.5</v>
      </c>
      <c r="F24" s="92">
        <f>'Balance Sheet'!F28</f>
        <v>227</v>
      </c>
      <c r="G24" s="92">
        <f>'Balance Sheet'!G28</f>
        <v>236.7</v>
      </c>
      <c r="H24" s="112">
        <v>236.7</v>
      </c>
      <c r="I24" s="112">
        <v>236.7</v>
      </c>
      <c r="J24" s="112">
        <v>236.7</v>
      </c>
      <c r="K24" s="112">
        <v>236.7</v>
      </c>
      <c r="L24" s="112">
        <v>236.7</v>
      </c>
    </row>
    <row r="25" spans="1:13">
      <c r="A25" s="55"/>
      <c r="B25" s="486" t="s">
        <v>145</v>
      </c>
      <c r="C25" s="92">
        <f>'Balance Sheet'!C29</f>
        <v>278.39999999999998</v>
      </c>
      <c r="D25" s="92">
        <f>'Balance Sheet'!D29</f>
        <v>297</v>
      </c>
      <c r="E25" s="92">
        <f>'Balance Sheet'!E29</f>
        <v>337.8</v>
      </c>
      <c r="F25" s="92">
        <f>'Balance Sheet'!F29</f>
        <v>388.4</v>
      </c>
      <c r="G25" s="92">
        <f>'Balance Sheet'!G29</f>
        <v>363.3</v>
      </c>
      <c r="H25" s="112">
        <v>363.3</v>
      </c>
      <c r="I25" s="112">
        <v>363.3</v>
      </c>
      <c r="J25" s="112">
        <v>363.3</v>
      </c>
      <c r="K25" s="112">
        <v>363.3</v>
      </c>
      <c r="L25" s="112">
        <v>363.3</v>
      </c>
    </row>
    <row r="26" spans="1:13">
      <c r="A26" s="55"/>
      <c r="B26" s="44" t="s">
        <v>146</v>
      </c>
      <c r="C26" s="92">
        <f>'Balance Sheet'!C30</f>
        <v>1146.2</v>
      </c>
      <c r="D26" s="92">
        <f>'Balance Sheet'!D30</f>
        <v>986.6</v>
      </c>
      <c r="E26" s="92">
        <f>'Balance Sheet'!E30</f>
        <v>1035.7</v>
      </c>
      <c r="F26" s="92">
        <f>'Balance Sheet'!F30</f>
        <v>1138.3</v>
      </c>
      <c r="G26" s="92">
        <f>'Balance Sheet'!G30</f>
        <v>1347</v>
      </c>
      <c r="H26" s="112">
        <f>H48</f>
        <v>1147.7689492889131</v>
      </c>
      <c r="I26" s="112">
        <f t="shared" ref="I26:L26" si="17">I48</f>
        <v>1187.0437061372438</v>
      </c>
      <c r="J26" s="112">
        <f t="shared" si="17"/>
        <v>1240.9504118317807</v>
      </c>
      <c r="K26" s="112">
        <f t="shared" si="17"/>
        <v>1311.1165353885287</v>
      </c>
      <c r="L26" s="112">
        <f t="shared" si="17"/>
        <v>1399.7594149405679</v>
      </c>
    </row>
    <row r="27" spans="1:13" ht="15">
      <c r="A27" s="55"/>
      <c r="B27" s="474" t="s">
        <v>222</v>
      </c>
      <c r="C27" s="111">
        <f>SUM(C21:C26)</f>
        <v>2890.6000000000004</v>
      </c>
      <c r="D27" s="111">
        <f t="shared" ref="D27:L27" si="18">SUM(D21:D26)</f>
        <v>2973.5</v>
      </c>
      <c r="E27" s="111">
        <f t="shared" si="18"/>
        <v>3561.9000000000005</v>
      </c>
      <c r="F27" s="111">
        <f t="shared" si="18"/>
        <v>3937.6000000000004</v>
      </c>
      <c r="G27" s="111">
        <f t="shared" si="18"/>
        <v>4020</v>
      </c>
      <c r="H27" s="111">
        <f t="shared" si="18"/>
        <v>3831.7708295573284</v>
      </c>
      <c r="I27" s="111">
        <f t="shared" si="18"/>
        <v>3910.171550183707</v>
      </c>
      <c r="J27" s="111">
        <f t="shared" si="18"/>
        <v>4014.2451584757655</v>
      </c>
      <c r="K27" s="111">
        <f t="shared" si="18"/>
        <v>4148.7215401185431</v>
      </c>
      <c r="L27" s="111">
        <f t="shared" si="18"/>
        <v>4317.8161735284039</v>
      </c>
    </row>
    <row r="28" spans="1:13">
      <c r="A28" s="55"/>
      <c r="B28" s="55"/>
      <c r="C28" s="110"/>
      <c r="D28" s="110"/>
      <c r="E28" s="110"/>
      <c r="F28" s="110"/>
      <c r="G28" s="110"/>
      <c r="H28" s="110"/>
      <c r="I28" s="110"/>
      <c r="J28" s="110"/>
      <c r="K28" s="112"/>
      <c r="L28" s="112"/>
    </row>
    <row r="29" spans="1:13">
      <c r="A29" s="55"/>
      <c r="B29" s="58" t="s">
        <v>49</v>
      </c>
      <c r="C29" s="112">
        <f>C19-C27</f>
        <v>-27.200000000000273</v>
      </c>
      <c r="D29" s="112">
        <f t="shared" ref="D29:L29" si="19">D19-D27</f>
        <v>213.69999999999982</v>
      </c>
      <c r="E29" s="112">
        <f t="shared" si="19"/>
        <v>-902.50000000000091</v>
      </c>
      <c r="F29" s="112">
        <f t="shared" si="19"/>
        <v>-1143.5</v>
      </c>
      <c r="G29" s="112">
        <f t="shared" si="19"/>
        <v>-1580.6999999999998</v>
      </c>
      <c r="H29" s="112">
        <f t="shared" si="19"/>
        <v>-854.67814063426977</v>
      </c>
      <c r="I29" s="112">
        <f t="shared" si="19"/>
        <v>-840.91810912131587</v>
      </c>
      <c r="J29" s="112">
        <f t="shared" si="19"/>
        <v>-813.45218697656946</v>
      </c>
      <c r="K29" s="112">
        <f t="shared" si="19"/>
        <v>-772.96251337055037</v>
      </c>
      <c r="L29" s="112">
        <f t="shared" si="19"/>
        <v>-717.9967148357382</v>
      </c>
    </row>
    <row r="30" spans="1:13">
      <c r="A30" s="55"/>
      <c r="B30" s="309" t="s">
        <v>50</v>
      </c>
      <c r="C30" s="164"/>
      <c r="D30" s="164"/>
      <c r="E30" s="164"/>
      <c r="F30" s="164"/>
      <c r="G30" s="164"/>
      <c r="H30" s="164"/>
      <c r="I30" s="164"/>
      <c r="J30" s="164"/>
      <c r="K30" s="164"/>
      <c r="L30" s="164"/>
    </row>
    <row r="31" spans="1:13">
      <c r="A31" s="55"/>
      <c r="B31" s="31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3" ht="15">
      <c r="A32" s="55"/>
      <c r="B32" s="41" t="s">
        <v>195</v>
      </c>
      <c r="C32" s="78"/>
      <c r="D32" s="308">
        <f>D9+D17-C17</f>
        <v>3146.1</v>
      </c>
      <c r="E32" s="308">
        <f t="shared" ref="E32:L32" si="20">E9+E17-D17</f>
        <v>2979.4</v>
      </c>
      <c r="F32" s="308">
        <f t="shared" si="20"/>
        <v>2565.1</v>
      </c>
      <c r="G32" s="308">
        <f t="shared" si="20"/>
        <v>3101.3</v>
      </c>
      <c r="H32" s="308">
        <f t="shared" si="20"/>
        <v>3062.6355012198819</v>
      </c>
      <c r="I32" s="308">
        <f t="shared" si="20"/>
        <v>3180.3682034374201</v>
      </c>
      <c r="J32" s="308">
        <f t="shared" si="20"/>
        <v>3331.3238460433172</v>
      </c>
      <c r="K32" s="308">
        <f t="shared" si="20"/>
        <v>3524.8378130787733</v>
      </c>
      <c r="L32" s="308">
        <f t="shared" si="20"/>
        <v>3766.9226453797205</v>
      </c>
    </row>
    <row r="33" spans="1:13">
      <c r="A33" s="55"/>
      <c r="B33" s="31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3" ht="15">
      <c r="A34" s="55"/>
      <c r="B34" s="113" t="s">
        <v>0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1:13">
      <c r="A35" s="55"/>
      <c r="B35" s="31" t="s">
        <v>197</v>
      </c>
      <c r="C35" s="114"/>
      <c r="D35" s="114"/>
      <c r="E35" s="114"/>
      <c r="F35" s="114"/>
      <c r="G35" s="114"/>
      <c r="H35" s="114"/>
      <c r="I35" s="114"/>
      <c r="J35" s="114"/>
      <c r="K35" s="114"/>
      <c r="L35" s="114"/>
    </row>
    <row r="36" spans="1:13">
      <c r="A36" s="55"/>
      <c r="B36" s="31" t="s">
        <v>226</v>
      </c>
      <c r="C36" s="115">
        <f>C6/C16</f>
        <v>11.547414229329014</v>
      </c>
      <c r="D36" s="115">
        <f t="shared" ref="D36:G36" si="21">D6/D16</f>
        <v>8.7069424534097895</v>
      </c>
      <c r="E36" s="115">
        <f t="shared" si="21"/>
        <v>9.6057009261757038</v>
      </c>
      <c r="F36" s="115">
        <f t="shared" si="21"/>
        <v>9.1020234089939809</v>
      </c>
      <c r="G36" s="115">
        <f t="shared" si="21"/>
        <v>12.402798547318948</v>
      </c>
      <c r="H36" s="115">
        <f>365/H40</f>
        <v>10.082872928176794</v>
      </c>
      <c r="I36" s="115">
        <f t="shared" ref="I36:L36" si="22">365/I40</f>
        <v>10.082872928176794</v>
      </c>
      <c r="J36" s="115">
        <f t="shared" si="22"/>
        <v>10.082872928176794</v>
      </c>
      <c r="K36" s="115">
        <f t="shared" si="22"/>
        <v>10.082872928176794</v>
      </c>
      <c r="L36" s="115">
        <f t="shared" si="22"/>
        <v>10.082872928176794</v>
      </c>
      <c r="M36" s="55"/>
    </row>
    <row r="37" spans="1:13">
      <c r="A37" s="55"/>
      <c r="B37" s="31" t="s">
        <v>196</v>
      </c>
      <c r="C37" s="115">
        <f>C9/C17</f>
        <v>68.59693877551021</v>
      </c>
      <c r="D37" s="115">
        <f t="shared" ref="D37:G37" si="23">D9/D17</f>
        <v>61.718199608610568</v>
      </c>
      <c r="E37" s="115">
        <f t="shared" si="23"/>
        <v>59.36852589641434</v>
      </c>
      <c r="F37" s="115">
        <f t="shared" si="23"/>
        <v>50.180039138943243</v>
      </c>
      <c r="G37" s="115">
        <f t="shared" si="23"/>
        <v>55.697841726618705</v>
      </c>
      <c r="H37" s="115">
        <f>365/H41</f>
        <v>58.87096774193548</v>
      </c>
      <c r="I37" s="115">
        <f t="shared" ref="I37:L37" si="24">365/I41</f>
        <v>58.87096774193548</v>
      </c>
      <c r="J37" s="115">
        <f t="shared" si="24"/>
        <v>58.87096774193548</v>
      </c>
      <c r="K37" s="115">
        <f t="shared" si="24"/>
        <v>58.87096774193548</v>
      </c>
      <c r="L37" s="115">
        <f t="shared" si="24"/>
        <v>58.87096774193548</v>
      </c>
      <c r="M37" s="136"/>
    </row>
    <row r="38" spans="1:13">
      <c r="A38" s="55"/>
      <c r="B38" s="31" t="s">
        <v>227</v>
      </c>
      <c r="C38" s="115"/>
      <c r="D38" s="115">
        <f>D32/D21</f>
        <v>2.6046030300521563</v>
      </c>
      <c r="E38" s="115">
        <f t="shared" ref="E38:G38" si="25">E32/E21</f>
        <v>3.0149767253592388</v>
      </c>
      <c r="F38" s="115">
        <f t="shared" si="25"/>
        <v>3.4602724942668286</v>
      </c>
      <c r="G38" s="115">
        <f t="shared" si="25"/>
        <v>3.0803535955502586</v>
      </c>
      <c r="H38" s="115">
        <f>365/H42</f>
        <v>3.0090684253915914</v>
      </c>
      <c r="I38" s="115">
        <f t="shared" ref="I38:L38" si="26">365/I42</f>
        <v>3.0090684253915914</v>
      </c>
      <c r="J38" s="115">
        <f t="shared" si="26"/>
        <v>3.0090684253915914</v>
      </c>
      <c r="K38" s="115">
        <f t="shared" si="26"/>
        <v>3.0090684253915914</v>
      </c>
      <c r="L38" s="115">
        <f t="shared" si="26"/>
        <v>3.0090684253915914</v>
      </c>
    </row>
    <row r="39" spans="1:13">
      <c r="A39" s="55"/>
      <c r="B39" s="116"/>
      <c r="D39" s="117"/>
      <c r="E39" s="117"/>
      <c r="F39" s="117"/>
      <c r="G39" s="117"/>
      <c r="H39" s="117"/>
      <c r="I39" s="117"/>
      <c r="J39" s="117"/>
      <c r="K39" s="117"/>
      <c r="L39" s="117"/>
    </row>
    <row r="40" spans="1:13">
      <c r="A40" s="55"/>
      <c r="B40" s="31" t="s">
        <v>223</v>
      </c>
      <c r="C40" s="115">
        <f>365/C36</f>
        <v>31.608808063102543</v>
      </c>
      <c r="D40" s="115">
        <f t="shared" ref="D40:G40" si="27">365/D36</f>
        <v>41.92057107912315</v>
      </c>
      <c r="E40" s="115">
        <f t="shared" si="27"/>
        <v>37.998268195647086</v>
      </c>
      <c r="F40" s="115">
        <f t="shared" si="27"/>
        <v>40.100973552686384</v>
      </c>
      <c r="G40" s="115">
        <f t="shared" si="27"/>
        <v>29.428842096197737</v>
      </c>
      <c r="H40" s="118">
        <v>36.200000000000003</v>
      </c>
      <c r="I40" s="118">
        <v>36.200000000000003</v>
      </c>
      <c r="J40" s="118">
        <v>36.200000000000003</v>
      </c>
      <c r="K40" s="118">
        <v>36.200000000000003</v>
      </c>
      <c r="L40" s="118">
        <v>36.200000000000003</v>
      </c>
      <c r="M40" s="457"/>
    </row>
    <row r="41" spans="1:13">
      <c r="A41" s="55"/>
      <c r="B41" s="31" t="s">
        <v>224</v>
      </c>
      <c r="C41" s="112">
        <f>365/C37</f>
        <v>5.3209371513573815</v>
      </c>
      <c r="D41" s="112">
        <f t="shared" ref="D41:G41" si="28">365/D37</f>
        <v>5.9139767899042424</v>
      </c>
      <c r="E41" s="112">
        <f t="shared" si="28"/>
        <v>6.1480387880414726</v>
      </c>
      <c r="F41" s="112">
        <f t="shared" si="28"/>
        <v>7.2738085952733806</v>
      </c>
      <c r="G41" s="112">
        <f t="shared" si="28"/>
        <v>6.5532162231981399</v>
      </c>
      <c r="H41" s="118">
        <v>6.2</v>
      </c>
      <c r="I41" s="118">
        <v>6.2</v>
      </c>
      <c r="J41" s="118">
        <v>6.2</v>
      </c>
      <c r="K41" s="118">
        <v>6.2</v>
      </c>
      <c r="L41" s="118">
        <v>6.2</v>
      </c>
      <c r="M41" s="457"/>
    </row>
    <row r="42" spans="1:13">
      <c r="A42" s="55"/>
      <c r="B42" s="255" t="s">
        <v>225</v>
      </c>
      <c r="C42" s="304"/>
      <c r="D42" s="304">
        <f>365/D38</f>
        <v>140.13651822891836</v>
      </c>
      <c r="E42" s="304">
        <f t="shared" ref="E42:G42" si="29">365/E38</f>
        <v>121.06229442169565</v>
      </c>
      <c r="F42" s="304">
        <f t="shared" si="29"/>
        <v>105.48302210440139</v>
      </c>
      <c r="G42" s="304">
        <f t="shared" si="29"/>
        <v>118.49289007835422</v>
      </c>
      <c r="H42" s="305">
        <v>121.3</v>
      </c>
      <c r="I42" s="305">
        <v>121.3</v>
      </c>
      <c r="J42" s="305">
        <v>121.3</v>
      </c>
      <c r="K42" s="305">
        <v>121.3</v>
      </c>
      <c r="L42" s="305">
        <v>121.3</v>
      </c>
      <c r="M42" s="457"/>
    </row>
    <row r="43" spans="1:13" ht="15.75" thickBot="1">
      <c r="A43" s="55"/>
      <c r="B43" s="274" t="s">
        <v>369</v>
      </c>
      <c r="C43" s="307"/>
      <c r="D43" s="307">
        <f>D40+D41-D42</f>
        <v>-92.301970359890973</v>
      </c>
      <c r="E43" s="307">
        <f t="shared" ref="E43:G43" si="30">E40+E41-E42</f>
        <v>-76.915987438007093</v>
      </c>
      <c r="F43" s="307">
        <f t="shared" si="30"/>
        <v>-58.108239956441622</v>
      </c>
      <c r="G43" s="307">
        <f t="shared" si="30"/>
        <v>-82.510831758958346</v>
      </c>
      <c r="H43" s="307">
        <f t="shared" ref="H43" si="31">H40+H41-H42</f>
        <v>-78.899999999999991</v>
      </c>
      <c r="I43" s="307">
        <f t="shared" ref="I43" si="32">I40+I41-I42</f>
        <v>-78.899999999999991</v>
      </c>
      <c r="J43" s="307">
        <f t="shared" ref="J43" si="33">J40+J41-J42</f>
        <v>-78.899999999999991</v>
      </c>
      <c r="K43" s="307">
        <f t="shared" ref="K43" si="34">K40+K41-K42</f>
        <v>-78.899999999999991</v>
      </c>
      <c r="L43" s="307">
        <f t="shared" ref="L43" si="35">L40+L41-L42</f>
        <v>-78.899999999999991</v>
      </c>
    </row>
    <row r="44" spans="1:13" ht="15" thickTop="1">
      <c r="A44" s="55"/>
      <c r="B44" s="258"/>
      <c r="C44" s="306"/>
      <c r="D44" s="306"/>
      <c r="E44" s="306"/>
      <c r="F44" s="306"/>
      <c r="G44" s="306"/>
      <c r="H44" s="306"/>
      <c r="I44" s="306"/>
      <c r="J44" s="306"/>
      <c r="K44" s="306"/>
      <c r="L44" s="306"/>
    </row>
    <row r="45" spans="1:13">
      <c r="A45" s="55"/>
      <c r="B45" s="31" t="s">
        <v>42</v>
      </c>
      <c r="C45" s="112">
        <f>C18</f>
        <v>828.4</v>
      </c>
      <c r="D45" s="112">
        <f t="shared" ref="D45:G45" si="36">D18</f>
        <v>694.6</v>
      </c>
      <c r="E45" s="112">
        <f t="shared" si="36"/>
        <v>385</v>
      </c>
      <c r="F45" s="112">
        <f t="shared" si="36"/>
        <v>632.70000000000005</v>
      </c>
      <c r="G45" s="112">
        <f t="shared" si="36"/>
        <v>511.3</v>
      </c>
      <c r="H45" s="112">
        <f>H6*H46</f>
        <v>643.98111022551484</v>
      </c>
      <c r="I45" s="112">
        <f t="shared" ref="I45:L45" si="37">I6*I46</f>
        <v>663.85156016110909</v>
      </c>
      <c r="J45" s="112">
        <f t="shared" si="37"/>
        <v>692.24966796265448</v>
      </c>
      <c r="K45" s="112">
        <f t="shared" si="37"/>
        <v>730.04984746498087</v>
      </c>
      <c r="L45" s="112">
        <f t="shared" si="37"/>
        <v>778.4775642796285</v>
      </c>
    </row>
    <row r="46" spans="1:13">
      <c r="A46" s="55"/>
      <c r="B46" s="31" t="s">
        <v>7</v>
      </c>
      <c r="C46" s="442">
        <f>C45/C6</f>
        <v>3.6301489921121824E-2</v>
      </c>
      <c r="D46" s="442">
        <f t="shared" ref="D46:G46" si="38">D45/D6</f>
        <v>3.2674757738263241E-2</v>
      </c>
      <c r="E46" s="442">
        <f t="shared" si="38"/>
        <v>1.8020126374912241E-2</v>
      </c>
      <c r="F46" s="442">
        <f t="shared" si="38"/>
        <v>3.2939400249895882E-2</v>
      </c>
      <c r="G46" s="442">
        <f t="shared" si="38"/>
        <v>2.2016965938939845E-2</v>
      </c>
      <c r="H46" s="119">
        <v>2.8000000000000001E-2</v>
      </c>
      <c r="I46" s="119">
        <v>2.8000000000000001E-2</v>
      </c>
      <c r="J46" s="119">
        <v>2.8000000000000001E-2</v>
      </c>
      <c r="K46" s="119">
        <v>2.8000000000000001E-2</v>
      </c>
      <c r="L46" s="119">
        <v>2.8000000000000001E-2</v>
      </c>
    </row>
    <row r="47" spans="1:13">
      <c r="A47" s="55"/>
      <c r="B47" s="31"/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3">
      <c r="A48" s="55"/>
      <c r="B48" s="31" t="s">
        <v>146</v>
      </c>
      <c r="C48" s="120">
        <f>C26</f>
        <v>1146.2</v>
      </c>
      <c r="D48" s="120">
        <f t="shared" ref="D48:G48" si="39">D26</f>
        <v>986.6</v>
      </c>
      <c r="E48" s="120">
        <f t="shared" si="39"/>
        <v>1035.7</v>
      </c>
      <c r="F48" s="120">
        <f t="shared" si="39"/>
        <v>1138.3</v>
      </c>
      <c r="G48" s="120">
        <f t="shared" si="39"/>
        <v>1347</v>
      </c>
      <c r="H48" s="121">
        <f>H49*H14</f>
        <v>1147.7689492889131</v>
      </c>
      <c r="I48" s="121">
        <f t="shared" ref="I48:L48" si="40">I49*I14</f>
        <v>1187.0437061372438</v>
      </c>
      <c r="J48" s="121">
        <f t="shared" si="40"/>
        <v>1240.9504118317807</v>
      </c>
      <c r="K48" s="121">
        <f t="shared" si="40"/>
        <v>1311.1165353885287</v>
      </c>
      <c r="L48" s="121">
        <f t="shared" si="40"/>
        <v>1399.7594149405679</v>
      </c>
    </row>
    <row r="49" spans="1:19">
      <c r="A49" s="55"/>
      <c r="B49" s="31" t="s">
        <v>396</v>
      </c>
      <c r="C49" s="122">
        <f>C48/C14</f>
        <v>9.3953900127873052E-2</v>
      </c>
      <c r="D49" s="122">
        <f t="shared" ref="D49:G49" si="41">D48/D14</f>
        <v>9.4635166374109125E-2</v>
      </c>
      <c r="E49" s="122">
        <f t="shared" si="41"/>
        <v>0.10168875797741778</v>
      </c>
      <c r="F49" s="122">
        <f t="shared" si="41"/>
        <v>0.12038241483972628</v>
      </c>
      <c r="G49" s="122">
        <f t="shared" si="41"/>
        <v>0.12656562714348804</v>
      </c>
      <c r="H49" s="119">
        <v>0.107</v>
      </c>
      <c r="I49" s="119">
        <v>0.107</v>
      </c>
      <c r="J49" s="119">
        <v>0.107</v>
      </c>
      <c r="K49" s="119">
        <v>0.107</v>
      </c>
      <c r="L49" s="119">
        <v>0.107</v>
      </c>
    </row>
    <row r="50" spans="1:19">
      <c r="A50" s="55"/>
      <c r="B50" s="31"/>
      <c r="C50" s="55"/>
      <c r="D50" s="55"/>
      <c r="E50" s="55"/>
      <c r="G50" s="55"/>
      <c r="H50" s="55"/>
      <c r="I50" s="55"/>
      <c r="J50" s="55"/>
      <c r="K50" s="55"/>
      <c r="L50" s="55"/>
    </row>
    <row r="51" spans="1:19" ht="15">
      <c r="A51" s="55"/>
      <c r="B51" s="31"/>
      <c r="C51" s="55"/>
      <c r="D51" s="55"/>
      <c r="E51" s="58"/>
      <c r="F51" s="109"/>
      <c r="G51" s="58"/>
      <c r="H51" s="58"/>
      <c r="I51" s="58"/>
      <c r="J51" s="58"/>
      <c r="K51" s="58"/>
      <c r="L51" s="58"/>
      <c r="M51" s="136"/>
      <c r="N51" s="136"/>
      <c r="O51" s="136"/>
      <c r="P51" s="136"/>
    </row>
    <row r="52" spans="1:19" ht="15">
      <c r="A52" s="55"/>
      <c r="B52" s="31"/>
      <c r="C52" s="55"/>
      <c r="D52" s="58"/>
      <c r="E52" s="58"/>
      <c r="F52" s="456"/>
      <c r="G52" s="58"/>
      <c r="H52" s="58"/>
      <c r="I52" s="58"/>
      <c r="J52" s="58"/>
      <c r="K52" s="58"/>
      <c r="L52" s="58"/>
      <c r="M52" s="136"/>
      <c r="N52" s="136"/>
      <c r="O52" s="136"/>
      <c r="P52" s="136"/>
      <c r="Q52" s="136"/>
      <c r="R52" s="136"/>
      <c r="S52" s="136"/>
    </row>
    <row r="53" spans="1:19" ht="15">
      <c r="A53" s="55"/>
      <c r="B53" s="31"/>
      <c r="C53" s="456"/>
      <c r="D53" s="58"/>
      <c r="E53" s="136"/>
      <c r="F53" s="58"/>
      <c r="G53" s="58"/>
      <c r="H53" s="58"/>
      <c r="I53" s="58"/>
      <c r="J53" s="58"/>
      <c r="K53" s="58"/>
      <c r="L53" s="58"/>
      <c r="M53" s="136"/>
      <c r="N53" s="136"/>
      <c r="O53" s="136"/>
      <c r="P53" s="136"/>
      <c r="Q53" s="136"/>
      <c r="R53" s="136"/>
      <c r="S53" s="136"/>
    </row>
    <row r="54" spans="1:19">
      <c r="A54" s="55"/>
      <c r="B54" s="31"/>
      <c r="C54" s="123"/>
      <c r="D54" s="458"/>
      <c r="E54" s="58"/>
      <c r="F54" s="458"/>
      <c r="G54" s="458"/>
      <c r="H54" s="458"/>
      <c r="I54" s="458"/>
      <c r="J54" s="458"/>
      <c r="K54" s="458"/>
      <c r="L54" s="458"/>
      <c r="M54" s="136"/>
      <c r="N54" s="136"/>
      <c r="O54" s="136"/>
      <c r="P54" s="136"/>
      <c r="Q54" s="136"/>
      <c r="R54" s="136"/>
      <c r="S54" s="136"/>
    </row>
    <row r="55" spans="1:19"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</row>
    <row r="56" spans="1:19" ht="15">
      <c r="D56" s="136"/>
      <c r="E56" s="457"/>
      <c r="F56" s="136"/>
      <c r="G56" s="136"/>
      <c r="H56" s="136"/>
      <c r="I56" s="292"/>
      <c r="J56" s="457"/>
      <c r="K56" s="136"/>
      <c r="L56" s="136"/>
      <c r="M56" s="136"/>
      <c r="N56" s="136"/>
      <c r="O56" s="136"/>
      <c r="P56" s="136"/>
      <c r="Q56" s="136"/>
      <c r="R56" s="136"/>
      <c r="S56" s="136"/>
    </row>
    <row r="57" spans="1:19"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</row>
    <row r="58" spans="1:19"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</row>
    <row r="59" spans="1:19"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</row>
    <row r="60" spans="1:19" ht="15">
      <c r="D60" s="136"/>
      <c r="E60" s="136"/>
      <c r="F60" s="292"/>
      <c r="G60" s="136"/>
      <c r="H60" s="136"/>
      <c r="I60" s="292"/>
      <c r="J60" s="136"/>
      <c r="K60" s="136"/>
      <c r="L60" s="136"/>
      <c r="M60" s="136"/>
      <c r="N60" s="136"/>
      <c r="O60" s="136"/>
      <c r="P60" s="136"/>
      <c r="Q60" s="136"/>
      <c r="R60" s="136"/>
      <c r="S60" s="136"/>
    </row>
    <row r="61" spans="1:19"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</row>
    <row r="62" spans="1:19" ht="15">
      <c r="D62" s="136"/>
      <c r="E62" s="136"/>
      <c r="F62" s="136"/>
      <c r="G62" s="136"/>
      <c r="H62" s="136"/>
      <c r="I62" s="292"/>
      <c r="J62" s="136"/>
      <c r="K62" s="136"/>
      <c r="L62" s="136"/>
      <c r="M62" s="136"/>
      <c r="N62" s="136"/>
      <c r="O62" s="136"/>
      <c r="P62" s="136"/>
      <c r="Q62" s="136"/>
      <c r="R62" s="136"/>
      <c r="S62" s="136"/>
    </row>
    <row r="63" spans="1:19">
      <c r="B63" s="31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</row>
    <row r="64" spans="1:19"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</row>
    <row r="65" spans="2:19">
      <c r="D65" s="136"/>
      <c r="E65" s="457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</row>
    <row r="66" spans="2:19"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</row>
    <row r="67" spans="2:19" ht="15">
      <c r="D67" s="136"/>
      <c r="E67" s="136"/>
      <c r="F67" s="292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</row>
    <row r="68" spans="2:19"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</row>
    <row r="69" spans="2:19"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</row>
    <row r="70" spans="2:19" ht="15">
      <c r="B70" s="65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</row>
    <row r="71" spans="2:19"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</row>
    <row r="72" spans="2:19"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</row>
    <row r="73" spans="2:19"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</row>
    <row r="74" spans="2:19"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</row>
    <row r="75" spans="2:19">
      <c r="C75" s="20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</row>
    <row r="76" spans="2:19" ht="15">
      <c r="B76" s="65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</row>
    <row r="77" spans="2:19"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</row>
    <row r="78" spans="2:19"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</row>
    <row r="79" spans="2:19"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</row>
    <row r="80" spans="2:19"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</row>
    <row r="81" spans="4:19"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</row>
    <row r="82" spans="4:19"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</row>
    <row r="83" spans="4:19"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</row>
    <row r="84" spans="4:19"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</row>
    <row r="85" spans="4:19"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</row>
    <row r="86" spans="4:19"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</row>
    <row r="87" spans="4:19"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</row>
    <row r="88" spans="4:19"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</row>
    <row r="89" spans="4:19"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</row>
    <row r="90" spans="4:19"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</row>
    <row r="91" spans="4:19"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</row>
    <row r="92" spans="4:19"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</row>
    <row r="93" spans="4:19" ht="15">
      <c r="D93" s="136"/>
      <c r="E93" s="292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</row>
    <row r="94" spans="4:19" ht="15">
      <c r="D94" s="136"/>
      <c r="E94" s="292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</row>
    <row r="95" spans="4:19"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</row>
    <row r="96" spans="4:19"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</row>
    <row r="97" spans="4:19"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</row>
    <row r="98" spans="4:19"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</row>
    <row r="99" spans="4:19" ht="15">
      <c r="D99" s="136"/>
      <c r="E99" s="292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</row>
    <row r="100" spans="4:19" ht="15">
      <c r="E100" s="459"/>
    </row>
  </sheetData>
  <mergeCells count="2">
    <mergeCell ref="H1:L1"/>
    <mergeCell ref="C1:G1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3"/>
  <sheetViews>
    <sheetView zoomScaleNormal="100" workbookViewId="0">
      <pane xSplit="2" ySplit="2" topLeftCell="C68" activePane="bottomRight" state="frozen"/>
      <selection pane="topRight" activeCell="C1" sqref="C1"/>
      <selection pane="bottomLeft" activeCell="A3" sqref="A3"/>
      <selection pane="bottomRight" activeCell="H96" sqref="H96"/>
    </sheetView>
  </sheetViews>
  <sheetFormatPr defaultColWidth="8.7109375" defaultRowHeight="14.25" zeroHeight="1"/>
  <cols>
    <col min="1" max="1" width="3.5703125" style="20" customWidth="1"/>
    <col min="2" max="2" width="51.42578125" style="20" customWidth="1"/>
    <col min="3" max="5" width="12.5703125" style="20" customWidth="1"/>
    <col min="6" max="6" width="13.7109375" style="49" bestFit="1" customWidth="1"/>
    <col min="7" max="7" width="12.5703125" style="49" customWidth="1"/>
    <col min="8" max="12" width="14" style="49" customWidth="1"/>
    <col min="13" max="13" width="8.7109375" style="20" customWidth="1"/>
    <col min="14" max="16384" width="8.7109375" style="27"/>
  </cols>
  <sheetData>
    <row r="1" spans="1:13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>
      <c r="A2" s="22" t="s">
        <v>89</v>
      </c>
      <c r="B2" s="23"/>
      <c r="C2" s="19">
        <v>2017</v>
      </c>
      <c r="D2" s="19">
        <f>C2+1</f>
        <v>2018</v>
      </c>
      <c r="E2" s="19">
        <f t="shared" ref="E2:G2" si="0">D2+1</f>
        <v>2019</v>
      </c>
      <c r="F2" s="19">
        <f t="shared" si="0"/>
        <v>2020</v>
      </c>
      <c r="G2" s="19">
        <f t="shared" si="0"/>
        <v>2021</v>
      </c>
      <c r="H2" s="107">
        <f t="shared" ref="H2:L2" si="1">G2+1</f>
        <v>2022</v>
      </c>
      <c r="I2" s="107">
        <f t="shared" si="1"/>
        <v>2023</v>
      </c>
      <c r="J2" s="107">
        <f t="shared" si="1"/>
        <v>2024</v>
      </c>
      <c r="K2" s="107">
        <f t="shared" si="1"/>
        <v>2025</v>
      </c>
      <c r="L2" s="107">
        <f t="shared" si="1"/>
        <v>2026</v>
      </c>
      <c r="M2" s="72"/>
    </row>
    <row r="3" spans="1:13">
      <c r="A3" s="55"/>
      <c r="C3" s="124"/>
      <c r="D3" s="124"/>
      <c r="E3" s="124"/>
      <c r="F3" s="124"/>
      <c r="G3" s="124"/>
      <c r="H3" s="124"/>
      <c r="I3" s="124"/>
      <c r="J3" s="124"/>
      <c r="K3" s="124"/>
      <c r="L3" s="124"/>
    </row>
    <row r="4" spans="1:13">
      <c r="A4" s="55"/>
      <c r="B4" s="31"/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 spans="1:13" ht="15">
      <c r="A5" s="55"/>
      <c r="B5" s="41" t="s">
        <v>419</v>
      </c>
      <c r="C5" s="124"/>
      <c r="D5" s="124"/>
      <c r="E5" s="124"/>
      <c r="F5" s="124"/>
      <c r="G5" s="124"/>
      <c r="H5" s="124"/>
      <c r="I5" s="124"/>
      <c r="J5" s="124"/>
      <c r="K5" s="124"/>
      <c r="L5" s="124"/>
    </row>
    <row r="6" spans="1:13">
      <c r="A6" s="55"/>
      <c r="B6" s="31" t="s">
        <v>219</v>
      </c>
      <c r="C6" s="125">
        <v>537</v>
      </c>
      <c r="D6" s="125">
        <v>488</v>
      </c>
      <c r="E6" s="125">
        <v>605</v>
      </c>
      <c r="F6" s="125">
        <v>535</v>
      </c>
      <c r="G6" s="125">
        <v>829</v>
      </c>
      <c r="H6" s="124"/>
      <c r="I6" s="124"/>
      <c r="J6" s="124"/>
      <c r="K6" s="124"/>
      <c r="L6" s="124"/>
    </row>
    <row r="7" spans="1:13">
      <c r="A7" s="55"/>
      <c r="B7" s="31" t="s">
        <v>220</v>
      </c>
      <c r="C7" s="125">
        <v>1236</v>
      </c>
      <c r="D7" s="125">
        <v>2111</v>
      </c>
      <c r="E7" s="125">
        <v>1702</v>
      </c>
      <c r="F7" s="125">
        <v>1060</v>
      </c>
      <c r="G7" s="125">
        <v>1167</v>
      </c>
      <c r="H7" s="124"/>
      <c r="I7" s="124"/>
      <c r="J7" s="124"/>
      <c r="K7" s="124"/>
      <c r="L7" s="124"/>
    </row>
    <row r="8" spans="1:13">
      <c r="A8" s="55"/>
      <c r="B8" s="255" t="s">
        <v>221</v>
      </c>
      <c r="C8" s="311">
        <v>81</v>
      </c>
      <c r="D8" s="311">
        <v>143</v>
      </c>
      <c r="E8" s="311">
        <v>87</v>
      </c>
      <c r="F8" s="311">
        <v>46</v>
      </c>
      <c r="G8" s="311">
        <v>44</v>
      </c>
      <c r="H8" s="312"/>
      <c r="I8" s="312"/>
      <c r="J8" s="312"/>
      <c r="K8" s="312"/>
      <c r="L8" s="312"/>
    </row>
    <row r="9" spans="1:13" ht="15" thickBot="1">
      <c r="A9" s="55"/>
      <c r="B9" s="319" t="s">
        <v>5</v>
      </c>
      <c r="C9" s="317">
        <f t="shared" ref="C9:F9" si="2">SUM(C6:C8)</f>
        <v>1854</v>
      </c>
      <c r="D9" s="317">
        <f t="shared" si="2"/>
        <v>2742</v>
      </c>
      <c r="E9" s="317">
        <f t="shared" si="2"/>
        <v>2394</v>
      </c>
      <c r="F9" s="317">
        <f t="shared" si="2"/>
        <v>1641</v>
      </c>
      <c r="G9" s="317">
        <f>SUM(G6:G8)</f>
        <v>2040</v>
      </c>
      <c r="H9" s="318">
        <v>2300</v>
      </c>
      <c r="I9" s="318">
        <f>H9+200</f>
        <v>2500</v>
      </c>
      <c r="J9" s="318">
        <f t="shared" ref="J9:L9" si="3">I9+200</f>
        <v>2700</v>
      </c>
      <c r="K9" s="318">
        <f t="shared" si="3"/>
        <v>2900</v>
      </c>
      <c r="L9" s="318">
        <f t="shared" si="3"/>
        <v>3100</v>
      </c>
    </row>
    <row r="10" spans="1:13" ht="15" thickTop="1">
      <c r="A10" s="55"/>
      <c r="B10" s="313"/>
      <c r="C10" s="314"/>
      <c r="D10" s="315"/>
      <c r="E10" s="315"/>
      <c r="F10" s="315"/>
      <c r="G10" s="315"/>
      <c r="H10" s="316"/>
      <c r="I10" s="316"/>
      <c r="J10" s="316"/>
      <c r="K10" s="316"/>
      <c r="L10" s="316"/>
    </row>
    <row r="11" spans="1:13">
      <c r="A11" s="55" t="s">
        <v>421</v>
      </c>
      <c r="B11" s="31" t="s">
        <v>2</v>
      </c>
      <c r="C11" s="466"/>
      <c r="D11" s="466"/>
      <c r="E11" s="466"/>
      <c r="F11" s="467"/>
      <c r="G11" s="467"/>
      <c r="H11" s="80">
        <f>G14</f>
        <v>24720.6</v>
      </c>
      <c r="I11" s="80">
        <f t="shared" ref="I11:L11" si="4">H14</f>
        <v>25330.544060761924</v>
      </c>
      <c r="J11" s="80">
        <f t="shared" si="4"/>
        <v>26046.305291809607</v>
      </c>
      <c r="K11" s="80">
        <f t="shared" si="4"/>
        <v>26860.035124000195</v>
      </c>
      <c r="L11" s="80">
        <f t="shared" si="4"/>
        <v>27763.884988190832</v>
      </c>
    </row>
    <row r="12" spans="1:13">
      <c r="A12" s="55" t="s">
        <v>422</v>
      </c>
      <c r="B12" s="31" t="s">
        <v>1</v>
      </c>
      <c r="C12" s="466"/>
      <c r="D12" s="466"/>
      <c r="E12" s="466"/>
      <c r="F12" s="467"/>
      <c r="G12" s="467"/>
      <c r="H12" s="80">
        <f>H9</f>
        <v>2300</v>
      </c>
      <c r="I12" s="80">
        <f t="shared" ref="I12:L12" si="5">I9</f>
        <v>2500</v>
      </c>
      <c r="J12" s="80">
        <f t="shared" si="5"/>
        <v>2700</v>
      </c>
      <c r="K12" s="80">
        <f t="shared" si="5"/>
        <v>2900</v>
      </c>
      <c r="L12" s="80">
        <f t="shared" si="5"/>
        <v>3100</v>
      </c>
    </row>
    <row r="13" spans="1:13">
      <c r="A13" s="55" t="s">
        <v>423</v>
      </c>
      <c r="B13" s="255" t="s">
        <v>3</v>
      </c>
      <c r="C13" s="468"/>
      <c r="D13" s="468"/>
      <c r="E13" s="468"/>
      <c r="F13" s="468"/>
      <c r="G13" s="468"/>
      <c r="H13" s="320">
        <f>H92</f>
        <v>1690.0559392380742</v>
      </c>
      <c r="I13" s="320">
        <f t="shared" ref="I13:L13" si="6">I92</f>
        <v>1784.2387689523166</v>
      </c>
      <c r="J13" s="320">
        <f t="shared" si="6"/>
        <v>1886.2701678094122</v>
      </c>
      <c r="K13" s="320">
        <f t="shared" si="6"/>
        <v>1996.1501358093612</v>
      </c>
      <c r="L13" s="320">
        <f t="shared" si="6"/>
        <v>2113.8786729521639</v>
      </c>
    </row>
    <row r="14" spans="1:13" ht="15.75" thickBot="1">
      <c r="A14" s="55" t="s">
        <v>424</v>
      </c>
      <c r="B14" s="336" t="s">
        <v>139</v>
      </c>
      <c r="C14" s="324">
        <f>'Balance Sheet'!C20</f>
        <v>22448.300000000003</v>
      </c>
      <c r="D14" s="324">
        <f>'Balance Sheet'!D20</f>
        <v>22842.699999999997</v>
      </c>
      <c r="E14" s="324">
        <f>'Balance Sheet'!E20</f>
        <v>24160</v>
      </c>
      <c r="F14" s="324">
        <f>'Balance Sheet'!F20</f>
        <v>24958.2</v>
      </c>
      <c r="G14" s="324">
        <f>'Balance Sheet'!G20</f>
        <v>24720.6</v>
      </c>
      <c r="H14" s="325">
        <f>H11+H12-H13</f>
        <v>25330.544060761924</v>
      </c>
      <c r="I14" s="325">
        <f t="shared" ref="I14:L14" si="7">I11+I12-I13</f>
        <v>26046.305291809607</v>
      </c>
      <c r="J14" s="325">
        <f t="shared" si="7"/>
        <v>26860.035124000195</v>
      </c>
      <c r="K14" s="325">
        <f t="shared" si="7"/>
        <v>27763.884988190832</v>
      </c>
      <c r="L14" s="325">
        <f t="shared" si="7"/>
        <v>28750.006315238668</v>
      </c>
    </row>
    <row r="15" spans="1:13" ht="15" thickTop="1">
      <c r="A15" s="55"/>
      <c r="B15" s="258"/>
      <c r="C15" s="321"/>
      <c r="D15" s="321"/>
      <c r="E15" s="321"/>
      <c r="F15" s="322"/>
      <c r="G15" s="322"/>
      <c r="H15" s="322"/>
      <c r="I15" s="322"/>
      <c r="J15" s="322"/>
      <c r="K15" s="322"/>
      <c r="L15" s="322"/>
    </row>
    <row r="16" spans="1:13" ht="14.25" customHeight="1">
      <c r="A16" s="55"/>
      <c r="B16" s="326" t="s">
        <v>218</v>
      </c>
      <c r="C16" s="77"/>
      <c r="D16" s="77"/>
      <c r="E16" s="127"/>
      <c r="F16" s="77"/>
      <c r="G16" s="354"/>
      <c r="H16" s="292" t="s">
        <v>434</v>
      </c>
      <c r="I16" s="292" t="s">
        <v>435</v>
      </c>
      <c r="K16" s="80"/>
      <c r="L16" s="80"/>
    </row>
    <row r="17" spans="1:12">
      <c r="A17" s="55"/>
      <c r="B17" s="20" t="s">
        <v>214</v>
      </c>
      <c r="C17" s="77"/>
      <c r="D17" s="77"/>
      <c r="E17" s="127"/>
      <c r="F17" s="129">
        <v>6349.1</v>
      </c>
      <c r="G17" s="129">
        <v>6487.6</v>
      </c>
      <c r="H17" s="137">
        <f>G17/G$22</f>
        <v>0.1547740036167056</v>
      </c>
      <c r="I17" s="49" t="s">
        <v>436</v>
      </c>
      <c r="K17" s="80"/>
      <c r="L17" s="80"/>
    </row>
    <row r="18" spans="1:12">
      <c r="A18" s="55"/>
      <c r="B18" s="20" t="s">
        <v>215</v>
      </c>
      <c r="C18" s="77"/>
      <c r="D18" s="77"/>
      <c r="E18" s="127"/>
      <c r="F18" s="129">
        <v>18218.900000000001</v>
      </c>
      <c r="G18" s="129">
        <v>18666</v>
      </c>
      <c r="H18" s="137">
        <f t="shared" ref="H18:H21" si="8">G18/G$22</f>
        <v>0.44531283548761119</v>
      </c>
      <c r="I18" s="334">
        <v>30</v>
      </c>
      <c r="K18" s="80"/>
      <c r="L18" s="80"/>
    </row>
    <row r="19" spans="1:12">
      <c r="A19" s="55"/>
      <c r="B19" s="20" t="s">
        <v>216</v>
      </c>
      <c r="C19" s="77"/>
      <c r="D19" s="77"/>
      <c r="E19" s="127"/>
      <c r="F19" s="129">
        <v>13364.5</v>
      </c>
      <c r="G19" s="129">
        <v>13283.3</v>
      </c>
      <c r="H19" s="137">
        <f t="shared" si="8"/>
        <v>0.31689831713450045</v>
      </c>
      <c r="I19" s="334">
        <v>30</v>
      </c>
      <c r="K19" s="80"/>
      <c r="L19" s="80"/>
    </row>
    <row r="20" spans="1:12">
      <c r="A20" s="55"/>
      <c r="B20" s="20" t="s">
        <v>217</v>
      </c>
      <c r="C20" s="77"/>
      <c r="D20" s="77"/>
      <c r="E20" s="127"/>
      <c r="F20" s="129">
        <v>3119</v>
      </c>
      <c r="G20" s="129">
        <v>3032</v>
      </c>
      <c r="H20" s="137">
        <f t="shared" si="8"/>
        <v>7.2334111068168713E-2</v>
      </c>
      <c r="I20" s="334">
        <v>6</v>
      </c>
      <c r="K20" s="80"/>
      <c r="L20" s="80"/>
    </row>
    <row r="21" spans="1:12">
      <c r="A21" s="55"/>
      <c r="B21" s="327" t="s">
        <v>111</v>
      </c>
      <c r="C21" s="320"/>
      <c r="D21" s="320"/>
      <c r="E21" s="328"/>
      <c r="F21" s="311">
        <v>425</v>
      </c>
      <c r="G21" s="311">
        <v>447.7</v>
      </c>
      <c r="H21" s="137">
        <f t="shared" si="8"/>
        <v>1.0680732693014226E-2</v>
      </c>
      <c r="I21" s="334">
        <v>6</v>
      </c>
      <c r="K21" s="329"/>
      <c r="L21" s="329"/>
    </row>
    <row r="22" spans="1:12">
      <c r="A22" s="55"/>
      <c r="B22" s="330" t="s">
        <v>137</v>
      </c>
      <c r="C22" s="331"/>
      <c r="D22" s="331"/>
      <c r="E22" s="332"/>
      <c r="F22" s="333">
        <f>SUM(F17:F21)</f>
        <v>41476.5</v>
      </c>
      <c r="G22" s="333">
        <f>SUM(G17:G21)</f>
        <v>41916.599999999991</v>
      </c>
      <c r="H22" s="333">
        <f>G22+H9</f>
        <v>44216.599999999991</v>
      </c>
      <c r="I22" s="333">
        <f t="shared" ref="I22:L22" si="9">H22+I9</f>
        <v>46716.599999999991</v>
      </c>
      <c r="J22" s="333">
        <f t="shared" si="9"/>
        <v>49416.599999999991</v>
      </c>
      <c r="K22" s="333">
        <f t="shared" si="9"/>
        <v>52316.599999999991</v>
      </c>
      <c r="L22" s="333">
        <f t="shared" si="9"/>
        <v>55416.599999999991</v>
      </c>
    </row>
    <row r="23" spans="1:12">
      <c r="A23" s="55"/>
      <c r="B23" s="337" t="s">
        <v>428</v>
      </c>
      <c r="C23" s="338"/>
      <c r="D23" s="338"/>
      <c r="E23" s="339"/>
      <c r="F23" s="340">
        <v>-16518.3</v>
      </c>
      <c r="G23" s="341">
        <v>-17196</v>
      </c>
      <c r="H23" s="342">
        <f>G23-H13</f>
        <v>-18886.055939238075</v>
      </c>
      <c r="I23" s="342">
        <f t="shared" ref="I23:L23" si="10">H23-I13</f>
        <v>-20670.294708190391</v>
      </c>
      <c r="J23" s="342">
        <f t="shared" si="10"/>
        <v>-22556.564875999804</v>
      </c>
      <c r="K23" s="342">
        <f t="shared" si="10"/>
        <v>-24552.715011809167</v>
      </c>
      <c r="L23" s="342">
        <f t="shared" si="10"/>
        <v>-26666.59368476133</v>
      </c>
    </row>
    <row r="24" spans="1:12" ht="15.75" thickBot="1">
      <c r="A24" s="55"/>
      <c r="B24" s="336" t="s">
        <v>139</v>
      </c>
      <c r="C24" s="344"/>
      <c r="D24" s="344"/>
      <c r="E24" s="345"/>
      <c r="F24" s="346">
        <f>SUM(F22:F23)</f>
        <v>24958.2</v>
      </c>
      <c r="G24" s="346">
        <f>SUM(G22:G23)</f>
        <v>24720.599999999991</v>
      </c>
      <c r="H24" s="346">
        <f>SUM(H22:H23)</f>
        <v>25330.544060761917</v>
      </c>
      <c r="I24" s="346">
        <f t="shared" ref="I24:L24" si="11">SUM(I22:I23)</f>
        <v>26046.3052918096</v>
      </c>
      <c r="J24" s="346">
        <f t="shared" si="11"/>
        <v>26860.035124000187</v>
      </c>
      <c r="K24" s="346">
        <f t="shared" si="11"/>
        <v>27763.884988190825</v>
      </c>
      <c r="L24" s="346">
        <f t="shared" si="11"/>
        <v>28750.006315238661</v>
      </c>
    </row>
    <row r="25" spans="1:12" ht="15" thickTop="1">
      <c r="A25" s="55"/>
      <c r="B25" s="270" t="s">
        <v>370</v>
      </c>
      <c r="C25" s="258"/>
      <c r="D25" s="258"/>
      <c r="E25" s="258"/>
      <c r="F25" s="343"/>
      <c r="G25" s="343"/>
      <c r="H25" s="343"/>
      <c r="I25" s="343"/>
      <c r="J25" s="343"/>
      <c r="K25" s="343"/>
      <c r="L25" s="343"/>
    </row>
    <row r="26" spans="1:12">
      <c r="A26" s="55"/>
      <c r="C26" s="31"/>
      <c r="D26" s="31"/>
      <c r="E26" s="31"/>
      <c r="F26" s="132"/>
      <c r="G26" s="132"/>
      <c r="H26" s="132"/>
      <c r="I26" s="132"/>
      <c r="J26" s="132"/>
      <c r="K26" s="132"/>
      <c r="L26" s="132"/>
    </row>
    <row r="27" spans="1:12" ht="15">
      <c r="B27" s="135" t="s">
        <v>371</v>
      </c>
      <c r="C27" s="135"/>
      <c r="D27" s="135"/>
      <c r="E27" s="135"/>
      <c r="F27" s="138"/>
      <c r="G27" s="138"/>
      <c r="H27" s="138"/>
      <c r="I27" s="138"/>
      <c r="J27" s="138"/>
      <c r="K27" s="138"/>
      <c r="L27" s="138"/>
    </row>
    <row r="28" spans="1:12">
      <c r="B28" s="139" t="s">
        <v>214</v>
      </c>
      <c r="F28" s="140"/>
      <c r="G28" s="140"/>
      <c r="H28" s="140">
        <f>H$9*$H$17</f>
        <v>355.98020831842285</v>
      </c>
      <c r="I28" s="140">
        <f>I$9*$H$17</f>
        <v>386.93500904176398</v>
      </c>
      <c r="J28" s="140">
        <f t="shared" ref="J28:L28" si="12">J$9*$H$17</f>
        <v>417.8898097651051</v>
      </c>
      <c r="K28" s="140">
        <f t="shared" si="12"/>
        <v>448.84461048844622</v>
      </c>
      <c r="L28" s="140">
        <f t="shared" si="12"/>
        <v>479.79941121178734</v>
      </c>
    </row>
    <row r="29" spans="1:12">
      <c r="B29" s="139" t="s">
        <v>215</v>
      </c>
      <c r="F29" s="140"/>
      <c r="G29" s="140"/>
      <c r="H29" s="140">
        <f>H$9*$H18</f>
        <v>1024.2195216215057</v>
      </c>
      <c r="I29" s="140">
        <f>I$9*$H18</f>
        <v>1113.282088719028</v>
      </c>
      <c r="J29" s="140">
        <f t="shared" ref="J29:L29" si="13">J$9*$H18</f>
        <v>1202.3446558165501</v>
      </c>
      <c r="K29" s="140">
        <f t="shared" si="13"/>
        <v>1291.4072229140725</v>
      </c>
      <c r="L29" s="140">
        <f t="shared" si="13"/>
        <v>1380.4697900115948</v>
      </c>
    </row>
    <row r="30" spans="1:12">
      <c r="B30" s="139" t="s">
        <v>216</v>
      </c>
      <c r="F30" s="140"/>
      <c r="G30" s="140"/>
      <c r="H30" s="140">
        <f>H$9*$H$19</f>
        <v>728.86612940935106</v>
      </c>
      <c r="I30" s="140">
        <f>I$9*$H$19</f>
        <v>792.2457928362511</v>
      </c>
      <c r="J30" s="140">
        <f t="shared" ref="J30:L30" si="14">J$9*$H$19</f>
        <v>855.62545626315125</v>
      </c>
      <c r="K30" s="140">
        <f t="shared" si="14"/>
        <v>919.00511969005129</v>
      </c>
      <c r="L30" s="140">
        <f t="shared" si="14"/>
        <v>982.38478311695144</v>
      </c>
    </row>
    <row r="31" spans="1:12">
      <c r="B31" s="139" t="s">
        <v>217</v>
      </c>
      <c r="F31" s="140"/>
      <c r="G31" s="140"/>
      <c r="H31" s="140">
        <f>H$9*$H$20</f>
        <v>166.36845545678804</v>
      </c>
      <c r="I31" s="140">
        <f>I$9*$H$20</f>
        <v>180.83527767042179</v>
      </c>
      <c r="J31" s="140">
        <f t="shared" ref="J31:L31" si="15">J$9*$H$20</f>
        <v>195.30209988405554</v>
      </c>
      <c r="K31" s="140">
        <f t="shared" si="15"/>
        <v>209.76892209768926</v>
      </c>
      <c r="L31" s="140">
        <f t="shared" si="15"/>
        <v>224.235744311323</v>
      </c>
    </row>
    <row r="32" spans="1:12">
      <c r="B32" s="139" t="s">
        <v>111</v>
      </c>
      <c r="F32" s="140"/>
      <c r="G32" s="140"/>
      <c r="H32" s="140">
        <f>H$9*$H$21</f>
        <v>24.565685193932719</v>
      </c>
      <c r="I32" s="140">
        <f>I$9*$H$21</f>
        <v>26.701831732535563</v>
      </c>
      <c r="J32" s="140">
        <f t="shared" ref="J32:L32" si="16">J$9*$H$21</f>
        <v>28.837978271138411</v>
      </c>
      <c r="K32" s="140">
        <f t="shared" si="16"/>
        <v>30.974124809741255</v>
      </c>
      <c r="L32" s="140">
        <f t="shared" si="16"/>
        <v>33.110271348344099</v>
      </c>
    </row>
    <row r="33" spans="2:12">
      <c r="F33" s="20"/>
      <c r="G33" s="20"/>
      <c r="H33" s="20"/>
      <c r="I33" s="20"/>
      <c r="J33" s="20"/>
      <c r="K33" s="20"/>
      <c r="L33" s="20"/>
    </row>
    <row r="34" spans="2:12" ht="15">
      <c r="B34" s="62" t="s">
        <v>372</v>
      </c>
      <c r="F34" s="20"/>
      <c r="G34" s="20"/>
      <c r="H34" s="20"/>
      <c r="I34" s="20"/>
      <c r="J34" s="20"/>
      <c r="K34" s="20"/>
      <c r="L34" s="20"/>
    </row>
    <row r="35" spans="2:12">
      <c r="F35" s="20"/>
      <c r="G35" s="20"/>
      <c r="H35" s="20"/>
      <c r="I35" s="20"/>
      <c r="J35" s="20"/>
      <c r="K35" s="20"/>
      <c r="L35" s="20"/>
    </row>
    <row r="36" spans="2:12" ht="15">
      <c r="B36" s="335" t="s">
        <v>328</v>
      </c>
      <c r="C36" s="335"/>
      <c r="D36" s="335"/>
      <c r="E36" s="335"/>
      <c r="F36" s="335"/>
      <c r="G36" s="335"/>
      <c r="H36" s="335"/>
      <c r="I36" s="335"/>
      <c r="J36" s="335"/>
      <c r="K36" s="335"/>
      <c r="L36" s="335"/>
    </row>
    <row r="37" spans="2:12">
      <c r="B37" s="136" t="s">
        <v>322</v>
      </c>
      <c r="C37" s="64">
        <f>I18</f>
        <v>30</v>
      </c>
      <c r="F37" s="20"/>
      <c r="G37" s="20"/>
      <c r="H37" s="20"/>
      <c r="I37" s="20"/>
      <c r="J37" s="20"/>
      <c r="K37" s="20"/>
      <c r="L37" s="20"/>
    </row>
    <row r="38" spans="2:12">
      <c r="B38" s="136" t="s">
        <v>324</v>
      </c>
      <c r="C38" s="64">
        <f>G18</f>
        <v>18666</v>
      </c>
      <c r="F38" s="67"/>
      <c r="G38" s="20"/>
    </row>
    <row r="39" spans="2:12">
      <c r="B39" s="136" t="s">
        <v>325</v>
      </c>
      <c r="C39" s="64"/>
      <c r="F39" s="140"/>
      <c r="G39" s="140"/>
      <c r="H39" s="127">
        <f>$C$38/$C$37</f>
        <v>622.20000000000005</v>
      </c>
      <c r="I39" s="127">
        <f t="shared" ref="I39:L39" si="17">$C$38/$C$37</f>
        <v>622.20000000000005</v>
      </c>
      <c r="J39" s="127">
        <f t="shared" si="17"/>
        <v>622.20000000000005</v>
      </c>
      <c r="K39" s="127">
        <f t="shared" si="17"/>
        <v>622.20000000000005</v>
      </c>
      <c r="L39" s="127">
        <f t="shared" si="17"/>
        <v>622.20000000000005</v>
      </c>
    </row>
    <row r="40" spans="2:12">
      <c r="B40" s="136"/>
      <c r="C40" s="64"/>
      <c r="F40" s="20"/>
      <c r="G40" s="20"/>
      <c r="H40" s="20"/>
      <c r="I40" s="20"/>
      <c r="J40" s="20"/>
      <c r="K40" s="20"/>
      <c r="L40" s="20"/>
    </row>
    <row r="41" spans="2:12" ht="15">
      <c r="C41" s="141" t="s">
        <v>326</v>
      </c>
      <c r="D41" s="142" t="s">
        <v>322</v>
      </c>
      <c r="E41" s="142"/>
      <c r="F41" s="20"/>
      <c r="G41" s="20"/>
      <c r="H41" s="20"/>
      <c r="I41" s="144"/>
      <c r="J41" s="144"/>
      <c r="K41" s="144"/>
      <c r="L41" s="144"/>
    </row>
    <row r="42" spans="2:12">
      <c r="B42" s="98">
        <v>2022</v>
      </c>
      <c r="C42" s="140">
        <f t="array" ref="C42:C46">TRANSPOSE(H29:L29)</f>
        <v>1024.2195216215057</v>
      </c>
      <c r="D42" s="64">
        <f>$C$37</f>
        <v>30</v>
      </c>
      <c r="F42" s="143"/>
      <c r="G42" s="143"/>
      <c r="H42" s="144">
        <f xml:space="preserve"> $C$42/$D$42/2</f>
        <v>17.070325360358428</v>
      </c>
      <c r="I42" s="144">
        <f t="shared" ref="I42:L42" si="18" xml:space="preserve"> $C$42/$D$42</f>
        <v>34.140650720716856</v>
      </c>
      <c r="J42" s="144">
        <f t="shared" si="18"/>
        <v>34.140650720716856</v>
      </c>
      <c r="K42" s="144">
        <f t="shared" si="18"/>
        <v>34.140650720716856</v>
      </c>
      <c r="L42" s="144">
        <f t="shared" si="18"/>
        <v>34.140650720716856</v>
      </c>
    </row>
    <row r="43" spans="2:12">
      <c r="B43" s="20">
        <f t="shared" ref="B43:B46" si="19">B42+1</f>
        <v>2023</v>
      </c>
      <c r="C43" s="140">
        <v>1113.282088719028</v>
      </c>
      <c r="D43" s="64">
        <f t="shared" ref="D43:D46" si="20">$C$37</f>
        <v>30</v>
      </c>
      <c r="F43" s="143"/>
      <c r="G43" s="143"/>
      <c r="H43" s="144"/>
      <c r="I43" s="144">
        <f>$C$43/$D$43/2</f>
        <v>18.554701478650468</v>
      </c>
      <c r="J43" s="144">
        <f t="shared" ref="J43:L43" si="21">$C$43/$D$43</f>
        <v>37.109402957300937</v>
      </c>
      <c r="K43" s="144">
        <f t="shared" si="21"/>
        <v>37.109402957300937</v>
      </c>
      <c r="L43" s="144">
        <f t="shared" si="21"/>
        <v>37.109402957300937</v>
      </c>
    </row>
    <row r="44" spans="2:12">
      <c r="B44" s="20">
        <f t="shared" si="19"/>
        <v>2024</v>
      </c>
      <c r="C44" s="140">
        <v>1202.3446558165501</v>
      </c>
      <c r="D44" s="64">
        <f t="shared" si="20"/>
        <v>30</v>
      </c>
      <c r="F44" s="143"/>
      <c r="G44" s="143"/>
      <c r="H44" s="144"/>
      <c r="I44" s="144"/>
      <c r="J44" s="144">
        <f>$C$44/$D$44/2</f>
        <v>20.039077596942501</v>
      </c>
      <c r="K44" s="144">
        <f t="shared" ref="K44:L44" si="22">$C$44/$D$44</f>
        <v>40.078155193885003</v>
      </c>
      <c r="L44" s="144">
        <f t="shared" si="22"/>
        <v>40.078155193885003</v>
      </c>
    </row>
    <row r="45" spans="2:12">
      <c r="B45" s="20">
        <f t="shared" si="19"/>
        <v>2025</v>
      </c>
      <c r="C45" s="140">
        <v>1291.4072229140725</v>
      </c>
      <c r="D45" s="64">
        <f t="shared" si="20"/>
        <v>30</v>
      </c>
      <c r="F45" s="143"/>
      <c r="G45" s="143"/>
      <c r="H45" s="144"/>
      <c r="I45" s="144"/>
      <c r="J45" s="144"/>
      <c r="K45" s="144">
        <f>$C$45/$D$45/2</f>
        <v>21.523453715234542</v>
      </c>
      <c r="L45" s="144">
        <f>$C$45/$D$45</f>
        <v>43.046907430469084</v>
      </c>
    </row>
    <row r="46" spans="2:12">
      <c r="B46" s="20">
        <f t="shared" si="19"/>
        <v>2026</v>
      </c>
      <c r="C46" s="140">
        <v>1380.4697900115948</v>
      </c>
      <c r="D46" s="64">
        <f t="shared" si="20"/>
        <v>30</v>
      </c>
      <c r="F46" s="143"/>
      <c r="G46" s="143"/>
      <c r="H46" s="144"/>
      <c r="I46" s="144"/>
      <c r="J46" s="144"/>
      <c r="K46" s="144"/>
      <c r="L46" s="144">
        <f>C46/D46/2</f>
        <v>23.007829833526579</v>
      </c>
    </row>
    <row r="47" spans="2:12">
      <c r="B47" s="327"/>
      <c r="C47" s="327"/>
      <c r="D47" s="327"/>
      <c r="E47" s="327"/>
      <c r="F47" s="327"/>
      <c r="G47" s="327"/>
      <c r="H47" s="487"/>
      <c r="I47" s="327"/>
      <c r="J47" s="327"/>
      <c r="K47" s="327"/>
      <c r="L47" s="327"/>
    </row>
    <row r="48" spans="2:12" ht="15.75" thickBot="1">
      <c r="B48" s="347" t="s">
        <v>330</v>
      </c>
      <c r="C48" s="347"/>
      <c r="D48" s="347"/>
      <c r="E48" s="347"/>
      <c r="F48" s="348"/>
      <c r="G48" s="348"/>
      <c r="H48" s="348">
        <f>SUM(H42:H46)+H39</f>
        <v>639.27032536035847</v>
      </c>
      <c r="I48" s="348">
        <f t="shared" ref="I48:L48" si="23">SUM(I42:I46)+I39</f>
        <v>674.89535219936738</v>
      </c>
      <c r="J48" s="348">
        <f t="shared" si="23"/>
        <v>713.4891312749603</v>
      </c>
      <c r="K48" s="348">
        <f t="shared" si="23"/>
        <v>755.05166258713734</v>
      </c>
      <c r="L48" s="348">
        <f t="shared" si="23"/>
        <v>799.58294613589851</v>
      </c>
    </row>
    <row r="49" spans="2:12" ht="15" thickTop="1">
      <c r="B49" s="270"/>
      <c r="C49" s="270"/>
      <c r="D49" s="270"/>
      <c r="E49" s="270"/>
      <c r="F49" s="270"/>
      <c r="G49" s="270"/>
      <c r="H49" s="270"/>
      <c r="I49" s="270"/>
      <c r="J49" s="270"/>
      <c r="K49" s="270"/>
      <c r="L49" s="270"/>
    </row>
    <row r="50" spans="2:12" ht="15">
      <c r="B50" s="335" t="s">
        <v>329</v>
      </c>
      <c r="C50" s="335"/>
      <c r="D50" s="335"/>
      <c r="E50" s="335"/>
      <c r="F50" s="335"/>
      <c r="G50" s="335"/>
      <c r="H50" s="335"/>
      <c r="I50" s="335"/>
      <c r="J50" s="335"/>
      <c r="K50" s="335"/>
      <c r="L50" s="335"/>
    </row>
    <row r="51" spans="2:12">
      <c r="B51" s="136" t="s">
        <v>322</v>
      </c>
      <c r="C51" s="64">
        <f>I19</f>
        <v>30</v>
      </c>
      <c r="F51" s="20"/>
      <c r="G51" s="20"/>
      <c r="H51" s="20"/>
      <c r="I51" s="20"/>
      <c r="J51" s="20"/>
      <c r="K51" s="20"/>
      <c r="L51" s="20"/>
    </row>
    <row r="52" spans="2:12">
      <c r="B52" s="136" t="s">
        <v>216</v>
      </c>
      <c r="C52" s="67">
        <f>G19</f>
        <v>13283.3</v>
      </c>
      <c r="F52" s="20"/>
      <c r="G52" s="20"/>
      <c r="H52" s="20"/>
      <c r="I52" s="20"/>
      <c r="J52" s="20"/>
      <c r="K52" s="20"/>
      <c r="L52" s="20"/>
    </row>
    <row r="53" spans="2:12">
      <c r="B53" s="136" t="s">
        <v>325</v>
      </c>
      <c r="C53" s="64"/>
      <c r="F53" s="140"/>
      <c r="G53" s="140"/>
      <c r="H53" s="127">
        <f>$C$52/$C$51</f>
        <v>442.77666666666664</v>
      </c>
      <c r="I53" s="127">
        <f t="shared" ref="I53:L53" si="24">$C$52/$C$51</f>
        <v>442.77666666666664</v>
      </c>
      <c r="J53" s="127">
        <f t="shared" si="24"/>
        <v>442.77666666666664</v>
      </c>
      <c r="K53" s="127">
        <f t="shared" si="24"/>
        <v>442.77666666666664</v>
      </c>
      <c r="L53" s="127">
        <f t="shared" si="24"/>
        <v>442.77666666666664</v>
      </c>
    </row>
    <row r="54" spans="2:12">
      <c r="F54" s="20"/>
      <c r="G54" s="20"/>
      <c r="H54" s="140"/>
      <c r="I54" s="140"/>
      <c r="J54" s="140"/>
      <c r="K54" s="140"/>
      <c r="L54" s="140"/>
    </row>
    <row r="55" spans="2:12" ht="15">
      <c r="C55" s="148" t="s">
        <v>326</v>
      </c>
      <c r="D55" s="142" t="s">
        <v>322</v>
      </c>
      <c r="E55" s="142"/>
      <c r="F55" s="20"/>
      <c r="G55" s="20"/>
      <c r="H55" s="20"/>
      <c r="I55" s="20"/>
      <c r="J55" s="20"/>
      <c r="K55" s="20"/>
      <c r="L55" s="20"/>
    </row>
    <row r="56" spans="2:12">
      <c r="B56" s="98">
        <v>2022</v>
      </c>
      <c r="C56" s="145">
        <f t="array" ref="C56:C60">TRANSPOSE(H30:L30)</f>
        <v>728.86612940935106</v>
      </c>
      <c r="D56" s="64">
        <f>$C$51</f>
        <v>30</v>
      </c>
      <c r="F56" s="143"/>
      <c r="G56" s="143"/>
      <c r="H56" s="144">
        <f>$C56/$D56/2</f>
        <v>12.147768823489184</v>
      </c>
      <c r="I56" s="144">
        <f t="shared" ref="I56:L59" si="25">$C56/$D56</f>
        <v>24.295537646978367</v>
      </c>
      <c r="J56" s="144">
        <f t="shared" si="25"/>
        <v>24.295537646978367</v>
      </c>
      <c r="K56" s="144">
        <f t="shared" si="25"/>
        <v>24.295537646978367</v>
      </c>
      <c r="L56" s="144">
        <f t="shared" si="25"/>
        <v>24.295537646978367</v>
      </c>
    </row>
    <row r="57" spans="2:12">
      <c r="B57" s="20">
        <f t="shared" ref="B57:B60" si="26">B56+1</f>
        <v>2023</v>
      </c>
      <c r="C57" s="146">
        <v>792.2457928362511</v>
      </c>
      <c r="D57" s="64">
        <f t="shared" ref="D57:D60" si="27">$C$51</f>
        <v>30</v>
      </c>
      <c r="F57" s="143"/>
      <c r="G57" s="143"/>
      <c r="H57" s="144"/>
      <c r="I57" s="144">
        <f>$C57/$D57/2</f>
        <v>13.204096547270852</v>
      </c>
      <c r="J57" s="144">
        <f t="shared" si="25"/>
        <v>26.408193094541705</v>
      </c>
      <c r="K57" s="144">
        <f t="shared" si="25"/>
        <v>26.408193094541705</v>
      </c>
      <c r="L57" s="144">
        <f t="shared" si="25"/>
        <v>26.408193094541705</v>
      </c>
    </row>
    <row r="58" spans="2:12">
      <c r="B58" s="20">
        <f t="shared" si="26"/>
        <v>2024</v>
      </c>
      <c r="C58" s="147">
        <v>855.62545626315125</v>
      </c>
      <c r="D58" s="64">
        <f t="shared" si="27"/>
        <v>30</v>
      </c>
      <c r="F58" s="143"/>
      <c r="G58" s="143"/>
      <c r="H58" s="144"/>
      <c r="I58" s="144"/>
      <c r="J58" s="144">
        <f>$C58/$D58/2</f>
        <v>14.260424271052521</v>
      </c>
      <c r="K58" s="144">
        <f t="shared" si="25"/>
        <v>28.520848542105043</v>
      </c>
      <c r="L58" s="144">
        <f t="shared" si="25"/>
        <v>28.520848542105043</v>
      </c>
    </row>
    <row r="59" spans="2:12">
      <c r="B59" s="20">
        <f t="shared" si="26"/>
        <v>2025</v>
      </c>
      <c r="C59" s="147">
        <v>919.00511969005129</v>
      </c>
      <c r="D59" s="64">
        <f t="shared" si="27"/>
        <v>30</v>
      </c>
      <c r="F59" s="143"/>
      <c r="G59" s="143"/>
      <c r="H59" s="144"/>
      <c r="I59" s="144"/>
      <c r="J59" s="144"/>
      <c r="K59" s="144">
        <f>$C59/$D59/2</f>
        <v>15.316751994834188</v>
      </c>
      <c r="L59" s="144">
        <f t="shared" si="25"/>
        <v>30.633503989668377</v>
      </c>
    </row>
    <row r="60" spans="2:12">
      <c r="B60" s="20">
        <f t="shared" si="26"/>
        <v>2026</v>
      </c>
      <c r="C60" s="147">
        <v>982.38478311695144</v>
      </c>
      <c r="D60" s="64">
        <f t="shared" si="27"/>
        <v>30</v>
      </c>
      <c r="F60" s="143"/>
      <c r="G60" s="143"/>
      <c r="H60" s="144"/>
      <c r="I60" s="144"/>
      <c r="J60" s="144"/>
      <c r="K60" s="144"/>
      <c r="L60" s="144">
        <f>$C60/$D60/2</f>
        <v>16.373079718615859</v>
      </c>
    </row>
    <row r="61" spans="2:12">
      <c r="C61" s="147"/>
      <c r="D61" s="64"/>
      <c r="F61" s="143"/>
      <c r="G61" s="143"/>
      <c r="H61" s="327"/>
      <c r="I61" s="327"/>
      <c r="J61" s="327"/>
      <c r="K61" s="327"/>
      <c r="L61" s="327"/>
    </row>
    <row r="62" spans="2:12" ht="15.75" thickBot="1">
      <c r="B62" s="347" t="s">
        <v>331</v>
      </c>
      <c r="C62" s="347"/>
      <c r="D62" s="347"/>
      <c r="E62" s="347"/>
      <c r="F62" s="348"/>
      <c r="G62" s="348"/>
      <c r="H62" s="476">
        <f>SUM(H56:H60)+H53</f>
        <v>454.92443549015582</v>
      </c>
      <c r="I62" s="476">
        <f t="shared" ref="I62:L62" si="28">SUM(I56:I60)+I53</f>
        <v>480.27630086091585</v>
      </c>
      <c r="J62" s="476">
        <f t="shared" si="28"/>
        <v>507.74082167923927</v>
      </c>
      <c r="K62" s="476">
        <f t="shared" si="28"/>
        <v>537.31799794512597</v>
      </c>
      <c r="L62" s="476">
        <f t="shared" si="28"/>
        <v>569.00782965857593</v>
      </c>
    </row>
    <row r="63" spans="2:12" ht="15" thickTop="1">
      <c r="C63" s="143"/>
      <c r="D63" s="143"/>
      <c r="E63" s="143"/>
      <c r="F63" s="143"/>
      <c r="G63" s="143"/>
      <c r="H63" s="143"/>
      <c r="I63" s="143"/>
      <c r="J63" s="143"/>
      <c r="K63" s="143"/>
      <c r="L63" s="143"/>
    </row>
    <row r="64" spans="2:12" ht="15">
      <c r="B64" s="335" t="s">
        <v>217</v>
      </c>
      <c r="C64" s="335"/>
      <c r="D64" s="335"/>
      <c r="E64" s="335"/>
      <c r="F64" s="335"/>
      <c r="G64" s="335"/>
      <c r="H64" s="335"/>
      <c r="I64" s="335"/>
      <c r="J64" s="335"/>
      <c r="K64" s="335"/>
      <c r="L64" s="335"/>
    </row>
    <row r="65" spans="2:12">
      <c r="B65" s="136" t="s">
        <v>322</v>
      </c>
      <c r="C65" s="64">
        <f>I20</f>
        <v>6</v>
      </c>
      <c r="D65" s="20" t="s">
        <v>323</v>
      </c>
      <c r="F65" s="20"/>
      <c r="G65" s="20"/>
      <c r="H65" s="20"/>
      <c r="I65" s="20"/>
      <c r="J65" s="20"/>
      <c r="K65" s="20"/>
      <c r="L65" s="20"/>
    </row>
    <row r="66" spans="2:12">
      <c r="B66" s="136" t="s">
        <v>217</v>
      </c>
      <c r="C66" s="64">
        <f>G20</f>
        <v>3032</v>
      </c>
      <c r="F66" s="20"/>
      <c r="G66" s="20"/>
      <c r="H66" s="20"/>
      <c r="I66" s="20"/>
      <c r="J66" s="20"/>
      <c r="K66" s="20"/>
      <c r="L66" s="20"/>
    </row>
    <row r="67" spans="2:12">
      <c r="B67" s="136" t="s">
        <v>325</v>
      </c>
      <c r="C67" s="64"/>
      <c r="F67" s="140"/>
      <c r="G67" s="140"/>
      <c r="H67" s="413">
        <f>$C$66/$C$65</f>
        <v>505.33333333333331</v>
      </c>
      <c r="I67" s="413">
        <f t="shared" ref="I67:L67" si="29">$C$66/$C$65</f>
        <v>505.33333333333331</v>
      </c>
      <c r="J67" s="413">
        <f t="shared" si="29"/>
        <v>505.33333333333331</v>
      </c>
      <c r="K67" s="413">
        <f t="shared" si="29"/>
        <v>505.33333333333331</v>
      </c>
      <c r="L67" s="413">
        <f t="shared" si="29"/>
        <v>505.33333333333331</v>
      </c>
    </row>
    <row r="68" spans="2:12">
      <c r="F68" s="20"/>
      <c r="G68" s="20"/>
      <c r="H68" s="20"/>
      <c r="I68" s="20"/>
      <c r="J68" s="20"/>
      <c r="K68" s="20"/>
      <c r="L68" s="20"/>
    </row>
    <row r="69" spans="2:12" ht="15">
      <c r="C69" s="148" t="s">
        <v>326</v>
      </c>
      <c r="D69" s="142" t="s">
        <v>322</v>
      </c>
      <c r="E69" s="142"/>
      <c r="F69" s="20"/>
      <c r="G69" s="20"/>
      <c r="H69" s="20"/>
      <c r="I69" s="20"/>
      <c r="J69" s="20"/>
      <c r="K69" s="20"/>
      <c r="L69" s="20"/>
    </row>
    <row r="70" spans="2:12">
      <c r="B70" s="98">
        <v>2022</v>
      </c>
      <c r="C70" s="145">
        <f t="array" ref="C70:C74">TRANSPOSE(H31:L31)</f>
        <v>166.36845545678804</v>
      </c>
      <c r="D70" s="64">
        <f>$C$65</f>
        <v>6</v>
      </c>
      <c r="F70" s="143"/>
      <c r="G70" s="143"/>
      <c r="H70" s="144">
        <f>$C70/$D70/2</f>
        <v>13.864037954732337</v>
      </c>
      <c r="I70" s="144">
        <f t="shared" ref="I70:L73" si="30">$C70/$D70</f>
        <v>27.728075909464675</v>
      </c>
      <c r="J70" s="144">
        <f t="shared" si="30"/>
        <v>27.728075909464675</v>
      </c>
      <c r="K70" s="144">
        <f t="shared" si="30"/>
        <v>27.728075909464675</v>
      </c>
      <c r="L70" s="144">
        <f t="shared" si="30"/>
        <v>27.728075909464675</v>
      </c>
    </row>
    <row r="71" spans="2:12">
      <c r="B71" s="20">
        <f t="shared" ref="B71:B74" si="31">B70+1</f>
        <v>2023</v>
      </c>
      <c r="C71" s="146">
        <v>180.83527767042179</v>
      </c>
      <c r="D71" s="64">
        <f t="shared" ref="D71:D74" si="32">$C$65</f>
        <v>6</v>
      </c>
      <c r="F71" s="143"/>
      <c r="G71" s="143"/>
      <c r="H71" s="144"/>
      <c r="I71" s="144">
        <f>$C71/$D71/2</f>
        <v>15.069606472535149</v>
      </c>
      <c r="J71" s="144">
        <f t="shared" si="30"/>
        <v>30.139212945070298</v>
      </c>
      <c r="K71" s="144">
        <f t="shared" si="30"/>
        <v>30.139212945070298</v>
      </c>
      <c r="L71" s="144">
        <f t="shared" si="30"/>
        <v>30.139212945070298</v>
      </c>
    </row>
    <row r="72" spans="2:12">
      <c r="B72" s="20">
        <f t="shared" si="31"/>
        <v>2024</v>
      </c>
      <c r="C72" s="147">
        <v>195.30209988405554</v>
      </c>
      <c r="D72" s="64">
        <f t="shared" si="32"/>
        <v>6</v>
      </c>
      <c r="F72" s="143"/>
      <c r="G72" s="143"/>
      <c r="H72" s="144"/>
      <c r="I72" s="144"/>
      <c r="J72" s="144">
        <f>$C72/$D72/2</f>
        <v>16.275174990337963</v>
      </c>
      <c r="K72" s="144">
        <f t="shared" si="30"/>
        <v>32.550349980675925</v>
      </c>
      <c r="L72" s="144">
        <f t="shared" si="30"/>
        <v>32.550349980675925</v>
      </c>
    </row>
    <row r="73" spans="2:12">
      <c r="B73" s="20">
        <f t="shared" si="31"/>
        <v>2025</v>
      </c>
      <c r="C73" s="147">
        <v>209.76892209768926</v>
      </c>
      <c r="D73" s="64">
        <f t="shared" si="32"/>
        <v>6</v>
      </c>
      <c r="F73" s="143"/>
      <c r="G73" s="143"/>
      <c r="H73" s="144"/>
      <c r="I73" s="144"/>
      <c r="J73" s="144"/>
      <c r="K73" s="144">
        <f>$C73/$D73/2</f>
        <v>17.480743508140772</v>
      </c>
      <c r="L73" s="144">
        <f t="shared" si="30"/>
        <v>34.961487016281545</v>
      </c>
    </row>
    <row r="74" spans="2:12">
      <c r="B74" s="20">
        <f t="shared" si="31"/>
        <v>2026</v>
      </c>
      <c r="C74" s="147">
        <v>224.235744311323</v>
      </c>
      <c r="D74" s="64">
        <f t="shared" si="32"/>
        <v>6</v>
      </c>
      <c r="F74" s="143"/>
      <c r="G74" s="143"/>
      <c r="H74" s="144"/>
      <c r="I74" s="144"/>
      <c r="J74" s="144"/>
      <c r="K74" s="144"/>
      <c r="L74" s="144">
        <f>$C74/$D74/2</f>
        <v>18.686312025943582</v>
      </c>
    </row>
    <row r="75" spans="2:12">
      <c r="C75" s="147"/>
      <c r="D75" s="64"/>
      <c r="F75" s="143"/>
      <c r="G75" s="143"/>
      <c r="H75" s="327"/>
      <c r="I75" s="327"/>
      <c r="J75" s="327"/>
      <c r="K75" s="327"/>
      <c r="L75" s="327"/>
    </row>
    <row r="76" spans="2:12" ht="15.75" thickBot="1">
      <c r="B76" s="347" t="s">
        <v>332</v>
      </c>
      <c r="C76" s="347"/>
      <c r="D76" s="347"/>
      <c r="E76" s="347"/>
      <c r="F76" s="348"/>
      <c r="G76" s="348"/>
      <c r="H76" s="476">
        <f>SUM(H70:H74)+H67</f>
        <v>519.1973712880656</v>
      </c>
      <c r="I76" s="476">
        <f t="shared" ref="I76:L76" si="33">SUM(I70:I74)+I67</f>
        <v>548.13101571533309</v>
      </c>
      <c r="J76" s="476">
        <f t="shared" si="33"/>
        <v>579.47579717820622</v>
      </c>
      <c r="K76" s="476">
        <f t="shared" si="33"/>
        <v>613.23171567668498</v>
      </c>
      <c r="L76" s="476">
        <f t="shared" si="33"/>
        <v>649.39877121076938</v>
      </c>
    </row>
    <row r="77" spans="2:12" ht="15" thickTop="1">
      <c r="C77" s="147"/>
      <c r="D77" s="64"/>
      <c r="F77" s="143"/>
      <c r="G77" s="143"/>
      <c r="H77" s="143"/>
      <c r="I77" s="143"/>
      <c r="J77" s="143"/>
      <c r="K77" s="143"/>
      <c r="L77" s="143"/>
    </row>
    <row r="78" spans="2:12" ht="15">
      <c r="B78" s="335" t="s">
        <v>221</v>
      </c>
      <c r="C78" s="335"/>
      <c r="D78" s="335"/>
      <c r="E78" s="335"/>
      <c r="F78" s="335"/>
      <c r="G78" s="335"/>
      <c r="H78" s="335"/>
      <c r="I78" s="335"/>
      <c r="J78" s="335"/>
      <c r="K78" s="335"/>
      <c r="L78" s="335"/>
    </row>
    <row r="79" spans="2:12">
      <c r="B79" s="136" t="s">
        <v>322</v>
      </c>
      <c r="C79" s="64">
        <f>I21</f>
        <v>6</v>
      </c>
      <c r="D79" s="20" t="s">
        <v>323</v>
      </c>
      <c r="F79" s="20"/>
      <c r="G79" s="20"/>
      <c r="H79" s="20"/>
      <c r="I79" s="20"/>
      <c r="J79" s="20"/>
      <c r="K79" s="20"/>
      <c r="L79" s="20"/>
    </row>
    <row r="80" spans="2:12">
      <c r="B80" s="136" t="s">
        <v>111</v>
      </c>
      <c r="C80" s="64">
        <f>G21</f>
        <v>447.7</v>
      </c>
      <c r="F80" s="20"/>
      <c r="G80" s="20"/>
      <c r="H80" s="20"/>
      <c r="I80" s="20"/>
      <c r="J80" s="20"/>
      <c r="K80" s="20"/>
      <c r="L80" s="20"/>
    </row>
    <row r="81" spans="1:13">
      <c r="B81" s="136" t="s">
        <v>325</v>
      </c>
      <c r="C81" s="64"/>
      <c r="F81" s="140"/>
      <c r="G81" s="140"/>
      <c r="H81" s="413">
        <f>$C$80/$C$79</f>
        <v>74.61666666666666</v>
      </c>
      <c r="I81" s="413">
        <f t="shared" ref="I81:L81" si="34">$C$80/$C$79</f>
        <v>74.61666666666666</v>
      </c>
      <c r="J81" s="413">
        <f t="shared" si="34"/>
        <v>74.61666666666666</v>
      </c>
      <c r="K81" s="413">
        <f t="shared" si="34"/>
        <v>74.61666666666666</v>
      </c>
      <c r="L81" s="413">
        <f t="shared" si="34"/>
        <v>74.61666666666666</v>
      </c>
    </row>
    <row r="82" spans="1:13">
      <c r="F82" s="20"/>
      <c r="G82" s="20"/>
      <c r="H82" s="20"/>
      <c r="I82" s="20"/>
      <c r="J82" s="20"/>
      <c r="K82" s="20"/>
      <c r="L82" s="20"/>
    </row>
    <row r="83" spans="1:13" ht="15">
      <c r="C83" s="148" t="s">
        <v>326</v>
      </c>
      <c r="D83" s="142" t="s">
        <v>322</v>
      </c>
      <c r="E83" s="142"/>
      <c r="F83" s="20"/>
      <c r="G83" s="20"/>
      <c r="H83" s="20"/>
      <c r="I83" s="20"/>
      <c r="J83" s="20"/>
      <c r="K83" s="20"/>
      <c r="L83" s="20"/>
    </row>
    <row r="84" spans="1:13">
      <c r="B84" s="98">
        <v>2022</v>
      </c>
      <c r="C84" s="145">
        <f t="array" ref="C84:C88">TRANSPOSE(H32:L32)</f>
        <v>24.565685193932719</v>
      </c>
      <c r="D84" s="64">
        <f>$C$79</f>
        <v>6</v>
      </c>
      <c r="F84" s="143"/>
      <c r="G84" s="143"/>
      <c r="H84" s="144">
        <f>$C84/$D84/2</f>
        <v>2.0471404328277267</v>
      </c>
      <c r="I84" s="144">
        <f t="shared" ref="I84:L87" si="35">$C84/$D84</f>
        <v>4.0942808656554535</v>
      </c>
      <c r="J84" s="144">
        <f t="shared" si="35"/>
        <v>4.0942808656554535</v>
      </c>
      <c r="K84" s="144">
        <f t="shared" si="35"/>
        <v>4.0942808656554535</v>
      </c>
      <c r="L84" s="144">
        <f t="shared" si="35"/>
        <v>4.0942808656554535</v>
      </c>
    </row>
    <row r="85" spans="1:13">
      <c r="B85" s="20">
        <f t="shared" ref="B85:B88" si="36">B84+1</f>
        <v>2023</v>
      </c>
      <c r="C85" s="146">
        <v>26.701831732535563</v>
      </c>
      <c r="D85" s="64">
        <f t="shared" ref="D85:D88" si="37">$C$79</f>
        <v>6</v>
      </c>
      <c r="F85" s="143"/>
      <c r="G85" s="143"/>
      <c r="H85" s="144"/>
      <c r="I85" s="144">
        <f>$C85/$D85/2</f>
        <v>2.2251526443779635</v>
      </c>
      <c r="J85" s="144">
        <f t="shared" si="35"/>
        <v>4.4503052887559269</v>
      </c>
      <c r="K85" s="144">
        <f t="shared" si="35"/>
        <v>4.4503052887559269</v>
      </c>
      <c r="L85" s="144">
        <f t="shared" si="35"/>
        <v>4.4503052887559269</v>
      </c>
    </row>
    <row r="86" spans="1:13">
      <c r="B86" s="20">
        <f t="shared" si="36"/>
        <v>2024</v>
      </c>
      <c r="C86" s="147">
        <v>28.837978271138411</v>
      </c>
      <c r="D86" s="64">
        <f t="shared" si="37"/>
        <v>6</v>
      </c>
      <c r="F86" s="143"/>
      <c r="G86" s="143"/>
      <c r="H86" s="144"/>
      <c r="I86" s="144"/>
      <c r="J86" s="144">
        <f>$C86/$D86/2</f>
        <v>2.4031648559282011</v>
      </c>
      <c r="K86" s="144">
        <f t="shared" si="35"/>
        <v>4.8063297118564021</v>
      </c>
      <c r="L86" s="144">
        <f t="shared" si="35"/>
        <v>4.8063297118564021</v>
      </c>
    </row>
    <row r="87" spans="1:13">
      <c r="B87" s="20">
        <f t="shared" si="36"/>
        <v>2025</v>
      </c>
      <c r="C87" s="147">
        <v>30.974124809741255</v>
      </c>
      <c r="D87" s="64">
        <f t="shared" si="37"/>
        <v>6</v>
      </c>
      <c r="F87" s="143"/>
      <c r="G87" s="143"/>
      <c r="H87" s="144"/>
      <c r="I87" s="144"/>
      <c r="J87" s="144"/>
      <c r="K87" s="144">
        <f>$C87/$D87/2</f>
        <v>2.5811770674784378</v>
      </c>
      <c r="L87" s="144">
        <f t="shared" si="35"/>
        <v>5.1623541349568756</v>
      </c>
    </row>
    <row r="88" spans="1:13">
      <c r="B88" s="20">
        <f t="shared" si="36"/>
        <v>2026</v>
      </c>
      <c r="C88" s="147">
        <v>33.110271348344099</v>
      </c>
      <c r="D88" s="64">
        <f t="shared" si="37"/>
        <v>6</v>
      </c>
      <c r="F88" s="143"/>
      <c r="G88" s="143"/>
      <c r="H88" s="144"/>
      <c r="I88" s="144"/>
      <c r="J88" s="144"/>
      <c r="K88" s="144"/>
      <c r="L88" s="144">
        <f>$C88/$D88/2</f>
        <v>2.7591892790286749</v>
      </c>
    </row>
    <row r="89" spans="1:13">
      <c r="C89" s="147"/>
      <c r="D89" s="64"/>
      <c r="F89" s="143"/>
      <c r="G89" s="143"/>
      <c r="H89" s="327"/>
      <c r="I89" s="327"/>
      <c r="J89" s="327"/>
      <c r="K89" s="327"/>
      <c r="L89" s="327"/>
    </row>
    <row r="90" spans="1:13" ht="15.75" thickBot="1">
      <c r="B90" s="347" t="s">
        <v>327</v>
      </c>
      <c r="C90" s="347"/>
      <c r="D90" s="347"/>
      <c r="E90" s="347"/>
      <c r="F90" s="348"/>
      <c r="G90" s="348"/>
      <c r="H90" s="476">
        <f>SUM(H84:H88)+H81</f>
        <v>76.663807099494392</v>
      </c>
      <c r="I90" s="476">
        <f t="shared" ref="I90:L90" si="38">SUM(I84:I88)+I81</f>
        <v>80.93610017670008</v>
      </c>
      <c r="J90" s="476">
        <f t="shared" si="38"/>
        <v>85.564417677006247</v>
      </c>
      <c r="K90" s="476">
        <f t="shared" si="38"/>
        <v>90.548759600412879</v>
      </c>
      <c r="L90" s="476">
        <f t="shared" si="38"/>
        <v>95.889125946919989</v>
      </c>
    </row>
    <row r="91" spans="1:13" ht="15.75" thickTop="1">
      <c r="B91" s="349"/>
      <c r="C91" s="349"/>
      <c r="D91" s="349"/>
      <c r="E91" s="349"/>
      <c r="F91" s="350"/>
      <c r="G91" s="350"/>
      <c r="H91" s="350"/>
      <c r="I91" s="350"/>
      <c r="J91" s="350"/>
      <c r="K91" s="350"/>
      <c r="L91" s="350"/>
    </row>
    <row r="92" spans="1:13" ht="15.75" thickBot="1">
      <c r="B92" s="351" t="s">
        <v>420</v>
      </c>
      <c r="C92" s="352"/>
      <c r="D92" s="352"/>
      <c r="E92" s="352"/>
      <c r="F92" s="352"/>
      <c r="G92" s="352"/>
      <c r="H92" s="477">
        <f>H48+H62+H76+H90</f>
        <v>1690.0559392380742</v>
      </c>
      <c r="I92" s="477">
        <f t="shared" ref="I92:L92" si="39">I48+I62+I76+I90</f>
        <v>1784.2387689523166</v>
      </c>
      <c r="J92" s="477">
        <f t="shared" si="39"/>
        <v>1886.2701678094122</v>
      </c>
      <c r="K92" s="477">
        <f t="shared" si="39"/>
        <v>1996.1501358093612</v>
      </c>
      <c r="L92" s="477">
        <f t="shared" si="39"/>
        <v>2113.8786729521639</v>
      </c>
    </row>
    <row r="93" spans="1:13" ht="15" thickTop="1">
      <c r="B93" s="270"/>
      <c r="C93" s="270"/>
      <c r="D93" s="270"/>
      <c r="E93" s="270"/>
      <c r="F93" s="271"/>
      <c r="G93" s="271"/>
      <c r="H93" s="271"/>
      <c r="I93" s="271"/>
      <c r="J93" s="271"/>
      <c r="K93" s="271"/>
      <c r="L93" s="271"/>
    </row>
    <row r="94" spans="1:13" s="21" customFormat="1">
      <c r="A94" s="55"/>
      <c r="B94" s="20" t="s">
        <v>405</v>
      </c>
      <c r="C94" s="460">
        <f>'Cash Flows'!C7</f>
        <v>1363.4</v>
      </c>
      <c r="D94" s="460">
        <f>'Cash Flows'!D7</f>
        <v>1482</v>
      </c>
      <c r="E94" s="460">
        <f>'Cash Flows'!E7</f>
        <v>1617.9</v>
      </c>
      <c r="F94" s="460">
        <f>'Cash Flows'!F7</f>
        <v>1751.4</v>
      </c>
      <c r="G94" s="460">
        <f>'Cash Flows'!G7</f>
        <v>1868.1</v>
      </c>
      <c r="H94" s="460">
        <f>'Cash Flows'!H7</f>
        <v>1882.0559392380742</v>
      </c>
      <c r="I94" s="460">
        <f>'Cash Flows'!I7</f>
        <v>2052.2387689523166</v>
      </c>
      <c r="J94" s="460">
        <f>'Cash Flows'!J7</f>
        <v>2250.2701678094122</v>
      </c>
      <c r="K94" s="460">
        <f>'Cash Flows'!K7</f>
        <v>2476.150135809361</v>
      </c>
      <c r="L94" s="460">
        <f>'Cash Flows'!L7</f>
        <v>2729.8786729521639</v>
      </c>
      <c r="M94" s="20"/>
    </row>
    <row r="95" spans="1:13" s="21" customFormat="1">
      <c r="A95" s="55"/>
      <c r="B95" s="20"/>
      <c r="C95" s="31"/>
      <c r="D95" s="133"/>
      <c r="E95" s="133"/>
      <c r="F95" s="133"/>
      <c r="G95" s="133"/>
      <c r="H95" s="133"/>
      <c r="I95" s="133"/>
      <c r="J95" s="133"/>
      <c r="K95" s="133"/>
      <c r="L95" s="133"/>
      <c r="M95" s="20"/>
    </row>
    <row r="96" spans="1:13" s="21" customFormat="1">
      <c r="A96" s="55"/>
      <c r="B96" s="20" t="s">
        <v>406</v>
      </c>
      <c r="C96" s="488">
        <f>'Income Statement'!C17</f>
        <v>0</v>
      </c>
      <c r="D96" s="488">
        <f>'Income Statement'!D17</f>
        <v>214.8</v>
      </c>
      <c r="E96" s="488">
        <f>'Income Statement'!E17</f>
        <v>262.5</v>
      </c>
      <c r="F96" s="488">
        <f>'Income Statement'!F17</f>
        <v>300.60000000000002</v>
      </c>
      <c r="G96" s="488">
        <f>'Income Statement'!G17</f>
        <v>329.7</v>
      </c>
      <c r="H96" s="488">
        <f>H97*H94</f>
        <v>308.65717403504419</v>
      </c>
      <c r="I96" s="488">
        <f t="shared" ref="I96:L96" si="40">I97*I94</f>
        <v>336.56715810817991</v>
      </c>
      <c r="J96" s="488">
        <f t="shared" si="40"/>
        <v>369.04430752074364</v>
      </c>
      <c r="K96" s="488">
        <f t="shared" si="40"/>
        <v>406.08862227273522</v>
      </c>
      <c r="L96" s="488">
        <f t="shared" si="40"/>
        <v>447.70010236415493</v>
      </c>
      <c r="M96" s="20"/>
    </row>
    <row r="97" spans="1:13" s="21" customFormat="1">
      <c r="A97" s="55"/>
      <c r="B97" s="20" t="s">
        <v>407</v>
      </c>
      <c r="C97" s="31"/>
      <c r="D97" s="133">
        <f t="shared" ref="D97:F97" si="41">D96/D94</f>
        <v>0.14493927125506073</v>
      </c>
      <c r="E97" s="133">
        <f t="shared" si="41"/>
        <v>0.1622473576858891</v>
      </c>
      <c r="F97" s="133">
        <f t="shared" si="41"/>
        <v>0.17163412127440905</v>
      </c>
      <c r="G97" s="133">
        <f>G96/G94</f>
        <v>0.17648948129115144</v>
      </c>
      <c r="H97" s="353">
        <v>0.16400000000000001</v>
      </c>
      <c r="I97" s="353">
        <v>0.16400000000000001</v>
      </c>
      <c r="J97" s="353">
        <v>0.16400000000000001</v>
      </c>
      <c r="K97" s="353">
        <v>0.16400000000000001</v>
      </c>
      <c r="L97" s="353">
        <v>0.16400000000000001</v>
      </c>
      <c r="M97" s="20"/>
    </row>
    <row r="98" spans="1:13">
      <c r="A98" s="55"/>
      <c r="C98" s="31"/>
      <c r="D98" s="133"/>
      <c r="E98" s="133"/>
      <c r="F98" s="133"/>
      <c r="G98" s="133"/>
      <c r="H98" s="353"/>
      <c r="I98" s="353"/>
      <c r="J98" s="353"/>
      <c r="K98" s="353"/>
      <c r="L98" s="353"/>
    </row>
    <row r="99" spans="1:13">
      <c r="A99" s="55"/>
      <c r="C99" s="31"/>
      <c r="D99" s="31"/>
      <c r="E99" s="31"/>
      <c r="F99" s="132"/>
      <c r="G99" s="132"/>
      <c r="H99" s="132"/>
      <c r="I99" s="132"/>
      <c r="J99" s="132"/>
      <c r="K99" s="132"/>
      <c r="L99" s="132"/>
    </row>
    <row r="100" spans="1:13">
      <c r="A100" s="55"/>
      <c r="C100" s="31"/>
      <c r="D100" s="31"/>
      <c r="E100" s="31"/>
      <c r="F100" s="132"/>
      <c r="G100" s="132"/>
      <c r="H100" s="132"/>
      <c r="I100" s="132"/>
      <c r="J100" s="132"/>
      <c r="K100" s="132"/>
      <c r="L100" s="132"/>
    </row>
    <row r="101" spans="1:13"/>
    <row r="102" spans="1:13"/>
    <row r="103" spans="1:13"/>
    <row r="104" spans="1:13"/>
    <row r="105" spans="1:13"/>
    <row r="106" spans="1:13"/>
    <row r="107" spans="1:13"/>
    <row r="108" spans="1:13"/>
    <row r="109" spans="1:13"/>
    <row r="110" spans="1:13"/>
    <row r="111" spans="1:13"/>
    <row r="112" spans="1:13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</sheetData>
  <mergeCells count="2">
    <mergeCell ref="H1:L1"/>
    <mergeCell ref="C1:G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F335-F2D7-40FA-9399-C36C6AFD920D}">
  <dimension ref="A1:M17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4" sqref="M14"/>
    </sheetView>
  </sheetViews>
  <sheetFormatPr defaultColWidth="8.7109375" defaultRowHeight="0" customHeight="1" zeroHeight="1"/>
  <cols>
    <col min="1" max="1" width="3.5703125" style="20" customWidth="1"/>
    <col min="2" max="2" width="55.140625" style="20" customWidth="1"/>
    <col min="3" max="5" width="12.5703125" style="20" customWidth="1"/>
    <col min="6" max="6" width="13.7109375" style="49" bestFit="1" customWidth="1"/>
    <col min="7" max="7" width="12.5703125" style="49" customWidth="1"/>
    <col min="8" max="12" width="14" style="49" customWidth="1"/>
    <col min="13" max="13" width="8.7109375" style="20" customWidth="1"/>
    <col min="14" max="16384" width="8.7109375" style="21"/>
  </cols>
  <sheetData>
    <row r="1" spans="1:13" ht="30">
      <c r="A1" s="18" t="s">
        <v>99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 ht="14.25">
      <c r="A2" s="22" t="s">
        <v>89</v>
      </c>
      <c r="B2" s="23"/>
      <c r="C2" s="19">
        <v>2017</v>
      </c>
      <c r="D2" s="19">
        <f>C2+1</f>
        <v>2018</v>
      </c>
      <c r="E2" s="19">
        <f t="shared" ref="E2:L2" si="0">D2+1</f>
        <v>2019</v>
      </c>
      <c r="F2" s="19">
        <f t="shared" si="0"/>
        <v>2020</v>
      </c>
      <c r="G2" s="19">
        <f t="shared" si="0"/>
        <v>2021</v>
      </c>
      <c r="H2" s="107">
        <f t="shared" si="0"/>
        <v>2022</v>
      </c>
      <c r="I2" s="107">
        <f t="shared" si="0"/>
        <v>2023</v>
      </c>
      <c r="J2" s="107">
        <f t="shared" si="0"/>
        <v>2024</v>
      </c>
      <c r="K2" s="107">
        <f t="shared" si="0"/>
        <v>2025</v>
      </c>
      <c r="L2" s="107">
        <f t="shared" si="0"/>
        <v>2026</v>
      </c>
      <c r="M2" s="72"/>
    </row>
    <row r="3" spans="1:13" ht="14.25">
      <c r="A3" s="55"/>
      <c r="C3" s="124"/>
      <c r="D3" s="124"/>
      <c r="E3" s="124"/>
      <c r="F3" s="124"/>
      <c r="G3" s="124"/>
      <c r="H3" s="124"/>
      <c r="I3" s="124"/>
      <c r="J3" s="124"/>
      <c r="K3" s="124"/>
      <c r="L3" s="124"/>
    </row>
    <row r="4" spans="1:13" ht="14.25">
      <c r="A4" s="55"/>
      <c r="B4" s="31"/>
      <c r="C4" s="124"/>
      <c r="D4" s="124"/>
      <c r="E4" s="124"/>
      <c r="F4" s="124"/>
      <c r="G4" s="124"/>
      <c r="H4" s="124"/>
      <c r="I4" s="124"/>
      <c r="J4" s="124"/>
      <c r="K4" s="124"/>
      <c r="L4" s="124"/>
    </row>
    <row r="5" spans="1:13" ht="14.25">
      <c r="A5" s="55"/>
      <c r="B5" s="313"/>
      <c r="C5" s="314"/>
      <c r="D5" s="315"/>
      <c r="E5" s="315"/>
      <c r="F5" s="315"/>
      <c r="G5" s="315"/>
      <c r="H5" s="316"/>
      <c r="I5" s="316"/>
      <c r="J5" s="316"/>
      <c r="K5" s="316"/>
      <c r="L5" s="316"/>
    </row>
    <row r="6" spans="1:13" ht="14.25">
      <c r="A6" s="55"/>
      <c r="B6" s="31" t="s">
        <v>425</v>
      </c>
      <c r="C6" s="461">
        <f>'Cash Flows'!C7</f>
        <v>1363.4</v>
      </c>
      <c r="D6" s="461">
        <f>'Cash Flows'!D7</f>
        <v>1482</v>
      </c>
      <c r="E6" s="461">
        <f>'Cash Flows'!E7</f>
        <v>1617.9</v>
      </c>
      <c r="F6" s="461">
        <f>'Cash Flows'!F7</f>
        <v>1751.4</v>
      </c>
      <c r="G6" s="461">
        <f>'Cash Flows'!G7</f>
        <v>1868.1</v>
      </c>
      <c r="H6" s="316"/>
      <c r="I6" s="316"/>
      <c r="J6" s="316"/>
      <c r="K6" s="316"/>
      <c r="L6" s="316"/>
    </row>
    <row r="7" spans="1:13" ht="14.25">
      <c r="A7" s="55"/>
      <c r="B7" s="31" t="s">
        <v>427</v>
      </c>
      <c r="C7" s="462">
        <v>1227.5</v>
      </c>
      <c r="D7" s="462">
        <v>1302.9000000000001</v>
      </c>
      <c r="E7" s="462">
        <v>1392.2</v>
      </c>
      <c r="F7" s="462">
        <v>1469.4</v>
      </c>
      <c r="G7" s="462">
        <v>1530.7</v>
      </c>
      <c r="H7" s="316"/>
      <c r="I7" s="316"/>
      <c r="J7" s="316"/>
      <c r="K7" s="316"/>
      <c r="L7" s="316"/>
    </row>
    <row r="8" spans="1:13" ht="15.75" thickBot="1">
      <c r="A8" s="55"/>
      <c r="B8" s="336" t="s">
        <v>426</v>
      </c>
      <c r="C8" s="324">
        <f t="shared" ref="C8:F8" si="1">C6-C7</f>
        <v>135.90000000000009</v>
      </c>
      <c r="D8" s="324">
        <f t="shared" si="1"/>
        <v>179.09999999999991</v>
      </c>
      <c r="E8" s="324">
        <f t="shared" si="1"/>
        <v>225.70000000000005</v>
      </c>
      <c r="F8" s="324">
        <f t="shared" si="1"/>
        <v>282</v>
      </c>
      <c r="G8" s="324">
        <f>G6-G7</f>
        <v>337.39999999999986</v>
      </c>
      <c r="H8" s="316"/>
      <c r="I8" s="316"/>
      <c r="J8" s="316"/>
      <c r="K8" s="316"/>
      <c r="L8" s="316"/>
    </row>
    <row r="9" spans="1:13" ht="15" thickTop="1">
      <c r="A9" s="55"/>
      <c r="B9" s="313"/>
      <c r="C9" s="314"/>
      <c r="D9" s="315"/>
      <c r="E9" s="315"/>
      <c r="F9" s="315"/>
      <c r="G9" s="315"/>
      <c r="H9" s="316"/>
      <c r="I9" s="316"/>
      <c r="J9" s="316"/>
      <c r="K9" s="316"/>
      <c r="L9" s="316"/>
    </row>
    <row r="10" spans="1:13" s="80" customFormat="1" ht="14.25"/>
    <row r="11" spans="1:13" ht="14.25">
      <c r="A11" s="55"/>
      <c r="B11" s="31" t="s">
        <v>408</v>
      </c>
      <c r="C11" s="80"/>
      <c r="D11" s="80">
        <f>C15</f>
        <v>535.6</v>
      </c>
      <c r="E11" s="80">
        <f t="shared" ref="E11:G11" si="2">D15</f>
        <v>609.70000000000005</v>
      </c>
      <c r="F11" s="80">
        <f t="shared" si="2"/>
        <v>665.4</v>
      </c>
      <c r="G11" s="80">
        <f t="shared" si="2"/>
        <v>691.2</v>
      </c>
      <c r="H11" s="80">
        <f>G15</f>
        <v>795</v>
      </c>
      <c r="I11" s="80">
        <f t="shared" ref="I11:L11" si="3">H15</f>
        <v>933</v>
      </c>
      <c r="J11" s="80">
        <f t="shared" si="3"/>
        <v>1095</v>
      </c>
      <c r="K11" s="80">
        <f t="shared" si="3"/>
        <v>1261</v>
      </c>
      <c r="L11" s="80">
        <f t="shared" si="3"/>
        <v>1411</v>
      </c>
      <c r="M11" s="80"/>
    </row>
    <row r="12" spans="1:13" ht="15">
      <c r="A12" s="55"/>
      <c r="B12" s="31" t="s">
        <v>409</v>
      </c>
      <c r="C12" s="475"/>
      <c r="D12" s="475">
        <f t="shared" ref="D12:E12" si="4">D13+D15-D11+D14</f>
        <v>253.19999999999993</v>
      </c>
      <c r="E12" s="475">
        <f t="shared" si="4"/>
        <v>281.39999999999998</v>
      </c>
      <c r="F12" s="475">
        <f>F13+F15-F11+F14</f>
        <v>334.10000000000008</v>
      </c>
      <c r="G12" s="475">
        <f>G13+G15-G11+G14</f>
        <v>441.19999999999982</v>
      </c>
      <c r="H12" s="462">
        <v>330</v>
      </c>
      <c r="I12" s="462">
        <f>H12+100</f>
        <v>430</v>
      </c>
      <c r="J12" s="462">
        <f t="shared" ref="J12:L12" si="5">I12+100</f>
        <v>530</v>
      </c>
      <c r="K12" s="462">
        <f t="shared" si="5"/>
        <v>630</v>
      </c>
      <c r="L12" s="462">
        <f t="shared" si="5"/>
        <v>730</v>
      </c>
      <c r="M12" s="80"/>
    </row>
    <row r="13" spans="1:13" ht="14.25">
      <c r="A13" s="55"/>
      <c r="B13" s="255" t="s">
        <v>410</v>
      </c>
      <c r="C13" s="320">
        <f>C8</f>
        <v>135.90000000000009</v>
      </c>
      <c r="D13" s="320">
        <f t="shared" ref="D13:G13" si="6">D8</f>
        <v>179.09999999999991</v>
      </c>
      <c r="E13" s="320">
        <f t="shared" si="6"/>
        <v>225.70000000000005</v>
      </c>
      <c r="F13" s="320">
        <f t="shared" si="6"/>
        <v>282</v>
      </c>
      <c r="G13" s="320">
        <f t="shared" si="6"/>
        <v>337.39999999999986</v>
      </c>
      <c r="H13" s="320">
        <f>H32</f>
        <v>192</v>
      </c>
      <c r="I13" s="320">
        <f t="shared" ref="I13:L13" si="7">I32</f>
        <v>268</v>
      </c>
      <c r="J13" s="320">
        <f t="shared" si="7"/>
        <v>364</v>
      </c>
      <c r="K13" s="320">
        <f t="shared" si="7"/>
        <v>480</v>
      </c>
      <c r="L13" s="320">
        <f t="shared" si="7"/>
        <v>616</v>
      </c>
      <c r="M13" s="320"/>
    </row>
    <row r="14" spans="1:13" ht="14.25">
      <c r="A14" s="55"/>
      <c r="B14" s="279" t="s">
        <v>411</v>
      </c>
      <c r="C14" s="463"/>
      <c r="D14" s="463"/>
      <c r="E14" s="463"/>
      <c r="F14" s="464">
        <v>26.3</v>
      </c>
      <c r="G14" s="463"/>
      <c r="H14" s="338">
        <v>0</v>
      </c>
      <c r="I14" s="338">
        <v>0</v>
      </c>
      <c r="J14" s="338">
        <v>0</v>
      </c>
      <c r="K14" s="338">
        <v>0</v>
      </c>
      <c r="L14" s="338">
        <v>0</v>
      </c>
      <c r="M14" s="338"/>
    </row>
    <row r="15" spans="1:13" ht="15.75" thickBot="1">
      <c r="A15" s="55"/>
      <c r="B15" s="336" t="s">
        <v>412</v>
      </c>
      <c r="C15" s="465">
        <v>535.6</v>
      </c>
      <c r="D15" s="465">
        <v>609.70000000000005</v>
      </c>
      <c r="E15" s="465">
        <v>665.4</v>
      </c>
      <c r="F15" s="465">
        <v>691.2</v>
      </c>
      <c r="G15" s="465">
        <v>795</v>
      </c>
      <c r="H15" s="325">
        <f>H11+H12-H13-H14</f>
        <v>933</v>
      </c>
      <c r="I15" s="325">
        <f t="shared" ref="I15:L15" si="8">I11+I12-I13-I14</f>
        <v>1095</v>
      </c>
      <c r="J15" s="325">
        <f t="shared" si="8"/>
        <v>1261</v>
      </c>
      <c r="K15" s="325">
        <f t="shared" si="8"/>
        <v>1411</v>
      </c>
      <c r="L15" s="325">
        <f t="shared" si="8"/>
        <v>1525</v>
      </c>
      <c r="M15" s="325"/>
    </row>
    <row r="16" spans="1:13" ht="15" thickTop="1">
      <c r="A16" s="55"/>
      <c r="B16" s="258"/>
      <c r="C16" s="321"/>
      <c r="D16" s="321"/>
      <c r="E16" s="321"/>
      <c r="F16" s="322"/>
      <c r="G16" s="322"/>
      <c r="H16" s="322"/>
      <c r="I16" s="322"/>
      <c r="J16" s="322"/>
      <c r="K16" s="322"/>
      <c r="L16" s="322"/>
    </row>
    <row r="17" spans="2:13" s="20" customFormat="1" ht="15">
      <c r="B17" s="65"/>
    </row>
    <row r="18" spans="2:13" s="20" customFormat="1" ht="15">
      <c r="B18" s="62" t="s">
        <v>413</v>
      </c>
    </row>
    <row r="19" spans="2:13" s="20" customFormat="1" ht="14.25"/>
    <row r="20" spans="2:13" s="20" customFormat="1" ht="15">
      <c r="B20" s="335" t="s">
        <v>414</v>
      </c>
      <c r="C20" s="335"/>
      <c r="D20" s="335"/>
      <c r="E20" s="335"/>
      <c r="F20" s="335"/>
      <c r="G20" s="335"/>
      <c r="H20" s="335"/>
      <c r="I20" s="335"/>
      <c r="J20" s="335"/>
      <c r="K20" s="335"/>
      <c r="L20" s="335"/>
    </row>
    <row r="21" spans="2:13" s="20" customFormat="1" ht="14.25">
      <c r="B21" s="136" t="s">
        <v>322</v>
      </c>
      <c r="C21" s="64">
        <v>5</v>
      </c>
    </row>
    <row r="22" spans="2:13" s="20" customFormat="1" ht="14.25">
      <c r="B22" s="136" t="s">
        <v>415</v>
      </c>
      <c r="C22" s="64">
        <f>G15</f>
        <v>795</v>
      </c>
      <c r="F22" s="67"/>
      <c r="H22" s="49"/>
      <c r="I22" s="49"/>
      <c r="J22" s="49"/>
      <c r="K22" s="49"/>
      <c r="L22" s="49"/>
    </row>
    <row r="23" spans="2:13" s="20" customFormat="1" ht="14.25">
      <c r="B23" s="136" t="s">
        <v>416</v>
      </c>
      <c r="C23" s="64"/>
      <c r="F23" s="140"/>
      <c r="G23" s="140"/>
      <c r="H23" s="413">
        <f>$C$22/$C$21</f>
        <v>159</v>
      </c>
      <c r="I23" s="413">
        <f t="shared" ref="I23:L23" si="9">$C$22/$C$21</f>
        <v>159</v>
      </c>
      <c r="J23" s="413">
        <f t="shared" si="9"/>
        <v>159</v>
      </c>
      <c r="K23" s="413">
        <f t="shared" si="9"/>
        <v>159</v>
      </c>
      <c r="L23" s="413">
        <f t="shared" si="9"/>
        <v>159</v>
      </c>
      <c r="M23" s="127"/>
    </row>
    <row r="24" spans="2:13" s="20" customFormat="1" ht="14.25">
      <c r="B24" s="136"/>
      <c r="C24" s="64"/>
    </row>
    <row r="25" spans="2:13" s="20" customFormat="1" ht="15">
      <c r="C25" s="141"/>
      <c r="D25" s="142" t="s">
        <v>322</v>
      </c>
      <c r="E25" s="142"/>
      <c r="I25" s="144"/>
      <c r="J25" s="144"/>
      <c r="K25" s="144"/>
      <c r="L25" s="144"/>
    </row>
    <row r="26" spans="2:13" s="20" customFormat="1" ht="14.25">
      <c r="B26" s="98">
        <v>2022</v>
      </c>
      <c r="C26" s="145">
        <f t="array" ref="C26:C30">TRANSPOSE(H12:L12)</f>
        <v>330</v>
      </c>
      <c r="D26" s="64">
        <f>$C$21</f>
        <v>5</v>
      </c>
      <c r="F26" s="143"/>
      <c r="G26" s="143"/>
      <c r="H26" s="144">
        <f>$C26/$D26/2</f>
        <v>33</v>
      </c>
      <c r="I26" s="144">
        <f t="shared" ref="I26:L29" si="10">$C26/$D26</f>
        <v>66</v>
      </c>
      <c r="J26" s="144">
        <f t="shared" si="10"/>
        <v>66</v>
      </c>
      <c r="K26" s="144">
        <f t="shared" si="10"/>
        <v>66</v>
      </c>
      <c r="L26" s="144">
        <f t="shared" si="10"/>
        <v>66</v>
      </c>
    </row>
    <row r="27" spans="2:13" s="20" customFormat="1" ht="14.25">
      <c r="B27" s="20">
        <f t="shared" ref="B27:B30" si="11">B26+1</f>
        <v>2023</v>
      </c>
      <c r="C27" s="146">
        <v>430</v>
      </c>
      <c r="D27" s="64">
        <f t="shared" ref="D27:D30" si="12">$C$21</f>
        <v>5</v>
      </c>
      <c r="F27" s="143"/>
      <c r="G27" s="143"/>
      <c r="H27" s="144"/>
      <c r="I27" s="144">
        <f>$C27/$D27/2</f>
        <v>43</v>
      </c>
      <c r="J27" s="144">
        <f t="shared" si="10"/>
        <v>86</v>
      </c>
      <c r="K27" s="144">
        <f t="shared" si="10"/>
        <v>86</v>
      </c>
      <c r="L27" s="144">
        <f t="shared" si="10"/>
        <v>86</v>
      </c>
    </row>
    <row r="28" spans="2:13" s="20" customFormat="1" ht="14.25">
      <c r="B28" s="20">
        <f t="shared" si="11"/>
        <v>2024</v>
      </c>
      <c r="C28" s="147">
        <v>530</v>
      </c>
      <c r="D28" s="64">
        <f t="shared" si="12"/>
        <v>5</v>
      </c>
      <c r="F28" s="143"/>
      <c r="G28" s="143"/>
      <c r="H28" s="144"/>
      <c r="I28" s="144"/>
      <c r="J28" s="144">
        <f>$C28/$D28/2</f>
        <v>53</v>
      </c>
      <c r="K28" s="144">
        <f t="shared" si="10"/>
        <v>106</v>
      </c>
      <c r="L28" s="144">
        <f t="shared" si="10"/>
        <v>106</v>
      </c>
    </row>
    <row r="29" spans="2:13" s="20" customFormat="1" ht="14.25">
      <c r="B29" s="20">
        <f t="shared" si="11"/>
        <v>2025</v>
      </c>
      <c r="C29" s="147">
        <v>630</v>
      </c>
      <c r="D29" s="64">
        <f t="shared" si="12"/>
        <v>5</v>
      </c>
      <c r="F29" s="143"/>
      <c r="G29" s="143"/>
      <c r="H29" s="144"/>
      <c r="I29" s="144"/>
      <c r="J29" s="144"/>
      <c r="K29" s="144">
        <f>$C29/$D29/2</f>
        <v>63</v>
      </c>
      <c r="L29" s="144">
        <f t="shared" si="10"/>
        <v>126</v>
      </c>
    </row>
    <row r="30" spans="2:13" s="20" customFormat="1" ht="14.25">
      <c r="B30" s="20">
        <f t="shared" si="11"/>
        <v>2026</v>
      </c>
      <c r="C30" s="147">
        <v>730</v>
      </c>
      <c r="D30" s="64">
        <f t="shared" si="12"/>
        <v>5</v>
      </c>
      <c r="F30" s="143"/>
      <c r="G30" s="143"/>
      <c r="H30" s="144"/>
      <c r="I30" s="144"/>
      <c r="J30" s="144"/>
      <c r="K30" s="144"/>
      <c r="L30" s="144">
        <f>$C30/$D30/2</f>
        <v>73</v>
      </c>
    </row>
    <row r="31" spans="2:13" s="20" customFormat="1" ht="14.25">
      <c r="B31" s="327"/>
      <c r="C31" s="327"/>
      <c r="D31" s="327"/>
      <c r="E31" s="327"/>
      <c r="F31" s="327"/>
      <c r="G31" s="327"/>
      <c r="H31" s="327"/>
      <c r="I31" s="327"/>
      <c r="J31" s="327"/>
      <c r="K31" s="327"/>
      <c r="L31" s="327"/>
    </row>
    <row r="32" spans="2:13" s="20" customFormat="1" ht="15.75" thickBot="1">
      <c r="B32" s="347" t="s">
        <v>417</v>
      </c>
      <c r="C32" s="347"/>
      <c r="D32" s="347"/>
      <c r="E32" s="347"/>
      <c r="F32" s="348"/>
      <c r="G32" s="348"/>
      <c r="H32" s="476">
        <f>SUM(H26:H30)+H23</f>
        <v>192</v>
      </c>
      <c r="I32" s="476">
        <f t="shared" ref="I32:L32" si="13">SUM(I26:I30)+I23</f>
        <v>268</v>
      </c>
      <c r="J32" s="476">
        <f t="shared" si="13"/>
        <v>364</v>
      </c>
      <c r="K32" s="476">
        <f t="shared" si="13"/>
        <v>480</v>
      </c>
      <c r="L32" s="476">
        <f t="shared" si="13"/>
        <v>616</v>
      </c>
    </row>
    <row r="33" spans="2:12" s="20" customFormat="1" ht="15" thickTop="1">
      <c r="B33" s="270"/>
      <c r="C33" s="270"/>
      <c r="D33" s="270"/>
      <c r="E33" s="270"/>
      <c r="F33" s="270"/>
      <c r="G33" s="270"/>
      <c r="H33" s="270"/>
      <c r="I33" s="270"/>
      <c r="J33" s="270"/>
      <c r="K33" s="270"/>
      <c r="L33" s="270"/>
    </row>
    <row r="34" spans="2:12" ht="14.25" customHeight="1"/>
    <row r="35" spans="2:12" ht="14.25" customHeight="1"/>
    <row r="36" spans="2:12" ht="14.25" customHeight="1"/>
    <row r="37" spans="2:12" ht="14.25" customHeight="1"/>
    <row r="38" spans="2:12" ht="14.25" customHeight="1"/>
    <row r="39" spans="2:12" ht="14.25" customHeight="1"/>
    <row r="40" spans="2:12" ht="14.25" customHeight="1"/>
    <row r="41" spans="2:12" ht="14.25" customHeight="1"/>
    <row r="42" spans="2:12" ht="14.25" customHeight="1"/>
    <row r="43" spans="2:12" ht="14.25" customHeight="1"/>
    <row r="44" spans="2:12" ht="14.25" customHeight="1"/>
    <row r="45" spans="2:12" ht="14.25" customHeight="1"/>
    <row r="46" spans="2:12" ht="14.25" customHeight="1"/>
    <row r="47" spans="2:12" ht="14.25" customHeight="1"/>
    <row r="48" spans="2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</sheetData>
  <mergeCells count="2">
    <mergeCell ref="C1:G1"/>
    <mergeCell ref="H1:L1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7BC5-AD95-4BFD-AF6A-F3175FFF6C7C}">
  <dimension ref="A1:M17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:L16"/>
    </sheetView>
  </sheetViews>
  <sheetFormatPr defaultColWidth="12.5703125" defaultRowHeight="21" customHeight="1"/>
  <cols>
    <col min="1" max="1" width="3.5703125" style="20" customWidth="1"/>
    <col min="2" max="2" width="50.5703125" style="20" customWidth="1"/>
    <col min="3" max="12" width="12.5703125" style="49" customWidth="1"/>
    <col min="13" max="13" width="12.5703125" style="20" customWidth="1"/>
    <col min="14" max="14" width="12.5703125" style="27" customWidth="1"/>
    <col min="15" max="16384" width="12.5703125" style="27"/>
  </cols>
  <sheetData>
    <row r="1" spans="1:13" ht="27" customHeight="1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 ht="15" customHeight="1">
      <c r="A2" s="22" t="s">
        <v>89</v>
      </c>
      <c r="B2" s="23"/>
      <c r="C2" s="19">
        <v>2017</v>
      </c>
      <c r="D2" s="19">
        <v>2018</v>
      </c>
      <c r="E2" s="19">
        <v>2019</v>
      </c>
      <c r="F2" s="19">
        <v>2020</v>
      </c>
      <c r="G2" s="19">
        <v>2021</v>
      </c>
      <c r="H2" s="19">
        <f t="shared" ref="H2:L2" si="0">G2+1</f>
        <v>2022</v>
      </c>
      <c r="I2" s="107">
        <f t="shared" si="0"/>
        <v>2023</v>
      </c>
      <c r="J2" s="107">
        <f t="shared" si="0"/>
        <v>2024</v>
      </c>
      <c r="K2" s="107">
        <f t="shared" si="0"/>
        <v>2025</v>
      </c>
      <c r="L2" s="107">
        <f t="shared" si="0"/>
        <v>2026</v>
      </c>
      <c r="M2" s="72"/>
    </row>
    <row r="3" spans="1:13" ht="15">
      <c r="A3" s="55"/>
      <c r="B3" s="165" t="s">
        <v>229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</row>
    <row r="4" spans="1:13" ht="14.25">
      <c r="A4" s="55"/>
      <c r="B4" s="31" t="str">
        <f>'Balance Sheet'!B12</f>
        <v>Investments in and advances to affiliates</v>
      </c>
      <c r="C4" s="92">
        <f>'Balance Sheet'!C12</f>
        <v>1085.7</v>
      </c>
      <c r="D4" s="92">
        <f>'Balance Sheet'!D12</f>
        <v>1202.8</v>
      </c>
      <c r="E4" s="92">
        <f>'Balance Sheet'!E12</f>
        <v>1270.3</v>
      </c>
      <c r="F4" s="92">
        <f>'Balance Sheet'!F12</f>
        <v>1297.2</v>
      </c>
      <c r="G4" s="92">
        <f>'Balance Sheet'!G12</f>
        <v>1201.2</v>
      </c>
      <c r="H4" s="167">
        <f>G4</f>
        <v>1201.2</v>
      </c>
      <c r="I4" s="167">
        <f t="shared" ref="I4:L4" si="1">H4</f>
        <v>1201.2</v>
      </c>
      <c r="J4" s="167">
        <f t="shared" si="1"/>
        <v>1201.2</v>
      </c>
      <c r="K4" s="167">
        <f t="shared" si="1"/>
        <v>1201.2</v>
      </c>
      <c r="L4" s="167">
        <f t="shared" si="1"/>
        <v>1201.2</v>
      </c>
    </row>
    <row r="5" spans="1:13" ht="14.25">
      <c r="A5" s="55"/>
      <c r="B5" s="31" t="str">
        <f>'Balance Sheet'!B13</f>
        <v>Goodwill</v>
      </c>
      <c r="C5" s="92">
        <f>'Balance Sheet'!C13</f>
        <v>2379.6999999999998</v>
      </c>
      <c r="D5" s="92">
        <f>'Balance Sheet'!D13</f>
        <v>2331.5</v>
      </c>
      <c r="E5" s="92">
        <f>'Balance Sheet'!E13</f>
        <v>2677.4</v>
      </c>
      <c r="F5" s="92">
        <f>'Balance Sheet'!F13</f>
        <v>2773.1</v>
      </c>
      <c r="G5" s="92">
        <f>'Balance Sheet'!G13</f>
        <v>2782.5</v>
      </c>
      <c r="H5" s="167">
        <f t="shared" ref="H5:L6" si="2">G5</f>
        <v>2782.5</v>
      </c>
      <c r="I5" s="167">
        <f t="shared" si="2"/>
        <v>2782.5</v>
      </c>
      <c r="J5" s="167">
        <f t="shared" si="2"/>
        <v>2782.5</v>
      </c>
      <c r="K5" s="167">
        <f t="shared" si="2"/>
        <v>2782.5</v>
      </c>
      <c r="L5" s="167">
        <f t="shared" si="2"/>
        <v>2782.5</v>
      </c>
    </row>
    <row r="6" spans="1:13" ht="14.25">
      <c r="A6" s="55"/>
      <c r="B6" s="31" t="s">
        <v>418</v>
      </c>
      <c r="C6" s="93">
        <f>'Balance Sheet'!C14-Amortization!C15</f>
        <v>2027.2000000000003</v>
      </c>
      <c r="D6" s="93">
        <f>'Balance Sheet'!D14-Amortization!D15</f>
        <v>1771.3</v>
      </c>
      <c r="E6" s="93">
        <f>'Balance Sheet'!E14-Amortization!E15</f>
        <v>1918.6</v>
      </c>
      <c r="F6" s="93">
        <f>'Balance Sheet'!F14-Amortization!F15</f>
        <v>2836.2</v>
      </c>
      <c r="G6" s="93">
        <f>'Balance Sheet'!G14-Amortization!G15</f>
        <v>3654.5</v>
      </c>
      <c r="H6" s="167">
        <f t="shared" si="2"/>
        <v>3654.5</v>
      </c>
      <c r="I6" s="167">
        <f t="shared" si="2"/>
        <v>3654.5</v>
      </c>
      <c r="J6" s="167">
        <f t="shared" si="2"/>
        <v>3654.5</v>
      </c>
      <c r="K6" s="167">
        <f t="shared" si="2"/>
        <v>3654.5</v>
      </c>
      <c r="L6" s="167">
        <f t="shared" si="2"/>
        <v>3654.5</v>
      </c>
    </row>
    <row r="7" spans="1:13" ht="15">
      <c r="A7" s="55"/>
      <c r="B7" s="79" t="str">
        <f>'Balance Sheet'!B15</f>
        <v>Total other assets</v>
      </c>
      <c r="C7" s="126">
        <f>SUM(C4:C6)</f>
        <v>5492.6</v>
      </c>
      <c r="D7" s="126">
        <f t="shared" ref="D7:G7" si="3">SUM(D4:D6)</f>
        <v>5305.6</v>
      </c>
      <c r="E7" s="126">
        <f t="shared" si="3"/>
        <v>5866.2999999999993</v>
      </c>
      <c r="F7" s="126">
        <f t="shared" si="3"/>
        <v>6906.5</v>
      </c>
      <c r="G7" s="126">
        <f t="shared" si="3"/>
        <v>7638.2</v>
      </c>
      <c r="H7" s="126"/>
      <c r="I7" s="126"/>
      <c r="J7" s="126"/>
      <c r="K7" s="126"/>
      <c r="L7" s="126"/>
    </row>
    <row r="8" spans="1:13" ht="14.25">
      <c r="A8" s="55"/>
      <c r="B8" s="31"/>
      <c r="C8" s="168"/>
      <c r="D8" s="168"/>
      <c r="E8" s="168"/>
      <c r="F8" s="168"/>
      <c r="G8" s="168"/>
      <c r="H8" s="168"/>
      <c r="I8" s="168"/>
      <c r="J8" s="168"/>
      <c r="K8" s="168"/>
      <c r="L8" s="168"/>
    </row>
    <row r="9" spans="1:13" ht="14.25">
      <c r="A9" s="55"/>
      <c r="B9" s="31" t="str">
        <f>'Balance Sheet'!B16</f>
        <v>Lease right-of-use asset, net</v>
      </c>
      <c r="C9" s="92">
        <f>'Balance Sheet'!C16</f>
        <v>0</v>
      </c>
      <c r="D9" s="92">
        <f>'Balance Sheet'!D16</f>
        <v>0</v>
      </c>
      <c r="E9" s="92">
        <f>'Balance Sheet'!E16</f>
        <v>13261.2</v>
      </c>
      <c r="F9" s="92">
        <f>'Balance Sheet'!F16</f>
        <v>13827.7</v>
      </c>
      <c r="G9" s="92">
        <f>'Balance Sheet'!G16</f>
        <v>13552</v>
      </c>
      <c r="H9" s="167">
        <f>G9</f>
        <v>13552</v>
      </c>
      <c r="I9" s="167">
        <f t="shared" ref="I9:L9" si="4">H9</f>
        <v>13552</v>
      </c>
      <c r="J9" s="167">
        <f t="shared" si="4"/>
        <v>13552</v>
      </c>
      <c r="K9" s="167">
        <f t="shared" si="4"/>
        <v>13552</v>
      </c>
      <c r="L9" s="167">
        <f t="shared" si="4"/>
        <v>13552</v>
      </c>
    </row>
    <row r="10" spans="1:13" ht="14.25">
      <c r="A10" s="55"/>
      <c r="B10" s="31"/>
      <c r="C10" s="169"/>
      <c r="D10" s="169"/>
      <c r="E10" s="169"/>
      <c r="F10" s="169"/>
      <c r="G10" s="169"/>
      <c r="H10" s="169"/>
      <c r="I10" s="169"/>
      <c r="J10" s="169"/>
      <c r="K10" s="169"/>
      <c r="L10" s="169"/>
    </row>
    <row r="11" spans="1:13" ht="15">
      <c r="A11" s="55"/>
      <c r="B11" s="373" t="s">
        <v>230</v>
      </c>
      <c r="C11" s="169"/>
      <c r="D11" s="169"/>
      <c r="E11" s="169"/>
      <c r="F11" s="169"/>
      <c r="G11" s="169"/>
      <c r="H11" s="169"/>
      <c r="I11" s="169"/>
      <c r="J11" s="169"/>
      <c r="K11" s="169"/>
      <c r="L11" s="169"/>
    </row>
    <row r="12" spans="1:13" ht="14.25">
      <c r="A12" s="55"/>
      <c r="B12" s="31" t="str">
        <f>'Balance Sheet'!B35</f>
        <v>Long-term lease liability</v>
      </c>
      <c r="C12" s="92">
        <f>'Balance Sheet'!C35</f>
        <v>0</v>
      </c>
      <c r="D12" s="92">
        <f>'Balance Sheet'!D35</f>
        <v>0</v>
      </c>
      <c r="E12" s="92">
        <f>'Balance Sheet'!E35</f>
        <v>12757.8</v>
      </c>
      <c r="F12" s="92">
        <f>'Balance Sheet'!F35</f>
        <v>13321.3</v>
      </c>
      <c r="G12" s="92">
        <f>'Balance Sheet'!G35</f>
        <v>13020.9</v>
      </c>
      <c r="H12" s="167">
        <f>G12</f>
        <v>13020.9</v>
      </c>
      <c r="I12" s="167">
        <f t="shared" ref="I12:L12" si="5">H12</f>
        <v>13020.9</v>
      </c>
      <c r="J12" s="167">
        <f t="shared" si="5"/>
        <v>13020.9</v>
      </c>
      <c r="K12" s="167">
        <f t="shared" si="5"/>
        <v>13020.9</v>
      </c>
      <c r="L12" s="167">
        <f t="shared" si="5"/>
        <v>13020.9</v>
      </c>
    </row>
    <row r="13" spans="1:13" ht="14.25">
      <c r="A13" s="55"/>
      <c r="B13" s="31" t="str">
        <f>'Balance Sheet'!B36</f>
        <v>Long-term income taxes</v>
      </c>
      <c r="C13" s="92">
        <f>'Balance Sheet'!C36</f>
        <v>2370.9</v>
      </c>
      <c r="D13" s="92">
        <f>'Balance Sheet'!D36</f>
        <v>2081.1999999999998</v>
      </c>
      <c r="E13" s="92">
        <f>'Balance Sheet'!E36</f>
        <v>2265.9</v>
      </c>
      <c r="F13" s="92">
        <f>'Balance Sheet'!F36</f>
        <v>1970.7</v>
      </c>
      <c r="G13" s="92">
        <f>'Balance Sheet'!G36</f>
        <v>1896.8</v>
      </c>
      <c r="H13" s="167">
        <f>G13</f>
        <v>1896.8</v>
      </c>
      <c r="I13" s="167">
        <f t="shared" ref="I13:L13" si="6">H13</f>
        <v>1896.8</v>
      </c>
      <c r="J13" s="167">
        <f t="shared" si="6"/>
        <v>1896.8</v>
      </c>
      <c r="K13" s="167">
        <f t="shared" si="6"/>
        <v>1896.8</v>
      </c>
      <c r="L13" s="167">
        <f t="shared" si="6"/>
        <v>1896.8</v>
      </c>
    </row>
    <row r="14" spans="1:13" ht="14.25">
      <c r="A14" s="55"/>
      <c r="B14" s="31" t="str">
        <f>'Balance Sheet'!B37</f>
        <v>Deferred revenues - initial franchise fees</v>
      </c>
      <c r="C14" s="92">
        <f>'Balance Sheet'!C37</f>
        <v>0</v>
      </c>
      <c r="D14" s="92">
        <f>'Balance Sheet'!D37</f>
        <v>627.79999999999995</v>
      </c>
      <c r="E14" s="92">
        <f>'Balance Sheet'!E37</f>
        <v>660.6</v>
      </c>
      <c r="F14" s="92">
        <f>'Balance Sheet'!F37</f>
        <v>702</v>
      </c>
      <c r="G14" s="92">
        <f>'Balance Sheet'!G37</f>
        <v>738.3</v>
      </c>
      <c r="H14" s="167">
        <f t="shared" ref="H14:L16" si="7">G14</f>
        <v>738.3</v>
      </c>
      <c r="I14" s="167">
        <f t="shared" si="7"/>
        <v>738.3</v>
      </c>
      <c r="J14" s="167">
        <f t="shared" si="7"/>
        <v>738.3</v>
      </c>
      <c r="K14" s="167">
        <f t="shared" si="7"/>
        <v>738.3</v>
      </c>
      <c r="L14" s="167">
        <f t="shared" si="7"/>
        <v>738.3</v>
      </c>
    </row>
    <row r="15" spans="1:13" ht="14.25">
      <c r="A15" s="55"/>
      <c r="B15" s="31" t="str">
        <f>'Balance Sheet'!B38</f>
        <v>Other long-term liabilities</v>
      </c>
      <c r="C15" s="92">
        <f>'Balance Sheet'!C38</f>
        <v>1154.4000000000001</v>
      </c>
      <c r="D15" s="92">
        <f>'Balance Sheet'!D38</f>
        <v>1096.3</v>
      </c>
      <c r="E15" s="92">
        <f>'Balance Sheet'!E38</f>
        <v>979.6</v>
      </c>
      <c r="F15" s="92">
        <f>'Balance Sheet'!F38</f>
        <v>1054.0999999999999</v>
      </c>
      <c r="G15" s="92">
        <f>'Balance Sheet'!G38</f>
        <v>1081</v>
      </c>
      <c r="H15" s="167">
        <f t="shared" si="7"/>
        <v>1081</v>
      </c>
      <c r="I15" s="167">
        <f t="shared" si="7"/>
        <v>1081</v>
      </c>
      <c r="J15" s="167">
        <f t="shared" si="7"/>
        <v>1081</v>
      </c>
      <c r="K15" s="167">
        <f t="shared" si="7"/>
        <v>1081</v>
      </c>
      <c r="L15" s="167">
        <f t="shared" si="7"/>
        <v>1081</v>
      </c>
    </row>
    <row r="16" spans="1:13" ht="14.25">
      <c r="A16" s="55"/>
      <c r="B16" s="31" t="str">
        <f>'Balance Sheet'!B39</f>
        <v>Deferred income taxes</v>
      </c>
      <c r="C16" s="92">
        <f>'Balance Sheet'!C39</f>
        <v>1119.4000000000001</v>
      </c>
      <c r="D16" s="92">
        <f>'Balance Sheet'!D39</f>
        <v>1215.5</v>
      </c>
      <c r="E16" s="92">
        <f>'Balance Sheet'!E39</f>
        <v>1318.1</v>
      </c>
      <c r="F16" s="92">
        <f>'Balance Sheet'!F39</f>
        <v>2025.6</v>
      </c>
      <c r="G16" s="92">
        <f>'Balance Sheet'!G39</f>
        <v>2075.6</v>
      </c>
      <c r="H16" s="167">
        <f t="shared" si="7"/>
        <v>2075.6</v>
      </c>
      <c r="I16" s="167">
        <f t="shared" si="7"/>
        <v>2075.6</v>
      </c>
      <c r="J16" s="167">
        <f t="shared" si="7"/>
        <v>2075.6</v>
      </c>
      <c r="K16" s="167">
        <f t="shared" si="7"/>
        <v>2075.6</v>
      </c>
      <c r="L16" s="167">
        <f t="shared" si="7"/>
        <v>2075.6</v>
      </c>
    </row>
    <row r="17" spans="2:12" ht="21" customHeight="1">
      <c r="B17" s="166"/>
      <c r="C17" s="20"/>
      <c r="D17" s="20"/>
      <c r="E17" s="20"/>
      <c r="F17" s="20"/>
      <c r="G17" s="20"/>
      <c r="H17" s="20"/>
      <c r="I17" s="20"/>
      <c r="J17" s="20"/>
      <c r="K17" s="20"/>
      <c r="L17" s="20"/>
    </row>
  </sheetData>
  <mergeCells count="2">
    <mergeCell ref="C1:G1"/>
    <mergeCell ref="H1:L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5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ColWidth="8.7109375" defaultRowHeight="15"/>
  <cols>
    <col min="1" max="1" width="3.5703125" style="27" customWidth="1"/>
    <col min="2" max="2" width="51.42578125" style="27" customWidth="1"/>
    <col min="3" max="5" width="12.5703125" style="27" customWidth="1"/>
    <col min="6" max="12" width="12.5703125" style="162" customWidth="1"/>
    <col min="13" max="13" width="8.7109375" style="27"/>
    <col min="14" max="14" width="8.7109375" style="372"/>
    <col min="15" max="16384" width="8.7109375" style="27"/>
  </cols>
  <sheetData>
    <row r="1" spans="1:14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  <c r="N1" s="27"/>
    </row>
    <row r="2" spans="1:14" ht="14.25">
      <c r="A2" s="22" t="s">
        <v>89</v>
      </c>
      <c r="B2" s="23"/>
      <c r="C2" s="107">
        <v>2017</v>
      </c>
      <c r="D2" s="107">
        <v>2018</v>
      </c>
      <c r="E2" s="107">
        <v>2019</v>
      </c>
      <c r="F2" s="107">
        <v>2020</v>
      </c>
      <c r="G2" s="107">
        <v>2021</v>
      </c>
      <c r="H2" s="107">
        <f>G2+1</f>
        <v>2022</v>
      </c>
      <c r="I2" s="107">
        <f>H2+1</f>
        <v>2023</v>
      </c>
      <c r="J2" s="107">
        <f>I2+1</f>
        <v>2024</v>
      </c>
      <c r="K2" s="107">
        <f>J2+1</f>
        <v>2025</v>
      </c>
      <c r="L2" s="107">
        <f>K2+1</f>
        <v>2026</v>
      </c>
      <c r="M2" s="72"/>
      <c r="N2" s="27"/>
    </row>
    <row r="3" spans="1:14" ht="14.25">
      <c r="A3" s="55"/>
      <c r="B3" s="31"/>
      <c r="C3" s="31"/>
      <c r="D3" s="31"/>
      <c r="E3" s="55"/>
      <c r="F3" s="73"/>
      <c r="G3" s="73"/>
      <c r="H3" s="73"/>
      <c r="I3" s="73"/>
      <c r="J3" s="73"/>
      <c r="K3" s="73"/>
      <c r="L3" s="73"/>
      <c r="M3" s="20"/>
      <c r="N3" s="27"/>
    </row>
    <row r="4" spans="1:14">
      <c r="A4" s="55"/>
      <c r="B4" s="41" t="s">
        <v>252</v>
      </c>
      <c r="C4" s="31"/>
      <c r="D4" s="31"/>
      <c r="E4" s="31"/>
      <c r="F4" s="150"/>
      <c r="G4" s="150"/>
      <c r="H4" s="151">
        <f>G10</f>
        <v>-4601</v>
      </c>
      <c r="I4" s="151">
        <f t="shared" ref="I4:L4" ca="1" si="0">H10</f>
        <v>-3544.7799606416443</v>
      </c>
      <c r="J4" s="151">
        <f t="shared" ca="1" si="0"/>
        <v>-2397.698062177431</v>
      </c>
      <c r="K4" s="151">
        <f t="shared" ca="1" si="0"/>
        <v>-1104.4218839377913</v>
      </c>
      <c r="L4" s="151">
        <f t="shared" ca="1" si="0"/>
        <v>375.41166130167676</v>
      </c>
      <c r="M4" s="20"/>
      <c r="N4" s="27"/>
    </row>
    <row r="5" spans="1:14" ht="14.25">
      <c r="A5" s="55"/>
      <c r="B5" s="152" t="s">
        <v>253</v>
      </c>
      <c r="C5" s="31"/>
      <c r="D5" s="31"/>
      <c r="E5" s="31"/>
      <c r="F5" s="150"/>
      <c r="G5" s="150"/>
      <c r="H5" s="153">
        <f ca="1">'Income Statement'!H26</f>
        <v>7014.4308701496302</v>
      </c>
      <c r="I5" s="153">
        <f ca="1">'Income Statement'!I26</f>
        <v>7247.4099960620842</v>
      </c>
      <c r="J5" s="153">
        <f ca="1">'Income Statement'!J26</f>
        <v>7622.2671236902361</v>
      </c>
      <c r="K5" s="153">
        <f ca="1">'Income Statement'!K26</f>
        <v>8100.6193467702606</v>
      </c>
      <c r="L5" s="153">
        <f ca="1">'Income Statement'!L26</f>
        <v>8695.7179138097636</v>
      </c>
      <c r="M5" s="20"/>
      <c r="N5" s="27"/>
    </row>
    <row r="6" spans="1:14" ht="14.25">
      <c r="A6" s="55"/>
      <c r="B6" s="152" t="s">
        <v>254</v>
      </c>
      <c r="C6" s="31"/>
      <c r="D6" s="31"/>
      <c r="E6" s="31"/>
      <c r="F6" s="150"/>
      <c r="G6" s="150"/>
      <c r="H6" s="153">
        <f ca="1">H32</f>
        <v>4278.8028307912746</v>
      </c>
      <c r="I6" s="153">
        <f t="shared" ref="I6:L6" ca="1" si="1">I32</f>
        <v>4420.9200975978711</v>
      </c>
      <c r="J6" s="153">
        <f t="shared" ca="1" si="1"/>
        <v>4649.5829454496761</v>
      </c>
      <c r="K6" s="153">
        <f t="shared" ca="1" si="1"/>
        <v>4941.3778015152629</v>
      </c>
      <c r="L6" s="153">
        <f t="shared" ca="1" si="1"/>
        <v>5304.3879273323992</v>
      </c>
      <c r="M6" s="20"/>
      <c r="N6" s="27"/>
    </row>
    <row r="7" spans="1:14" ht="14.25">
      <c r="A7" s="55"/>
      <c r="B7" s="152" t="s">
        <v>429</v>
      </c>
      <c r="C7" s="31">
        <f>'Cash Flows'!C9</f>
        <v>117.5</v>
      </c>
      <c r="D7" s="31">
        <f>'Cash Flows'!D9</f>
        <v>125.1</v>
      </c>
      <c r="E7" s="31">
        <f>'Cash Flows'!E9</f>
        <v>109.6</v>
      </c>
      <c r="F7" s="31">
        <f>'Cash Flows'!F9</f>
        <v>92.4</v>
      </c>
      <c r="G7" s="31">
        <f>'Cash Flows'!G9</f>
        <v>139.19999999999999</v>
      </c>
      <c r="H7" s="471">
        <v>116.7</v>
      </c>
      <c r="I7" s="471">
        <v>116.7</v>
      </c>
      <c r="J7" s="471">
        <v>116.7</v>
      </c>
      <c r="K7" s="471">
        <v>116.7</v>
      </c>
      <c r="L7" s="471">
        <v>116.7</v>
      </c>
      <c r="M7" s="20"/>
      <c r="N7" s="27"/>
    </row>
    <row r="8" spans="1:14" ht="14.25">
      <c r="A8" s="55"/>
      <c r="B8" s="152" t="s">
        <v>255</v>
      </c>
      <c r="C8" s="31"/>
      <c r="D8" s="31"/>
      <c r="E8" s="31"/>
      <c r="F8" s="150"/>
      <c r="G8" s="150"/>
      <c r="H8" s="153">
        <f>H22</f>
        <v>203.892</v>
      </c>
      <c r="I8" s="153">
        <f t="shared" ref="I8:L8" si="2">I22</f>
        <v>203.892</v>
      </c>
      <c r="J8" s="153">
        <f t="shared" si="2"/>
        <v>203.892</v>
      </c>
      <c r="K8" s="153">
        <f t="shared" si="2"/>
        <v>203.892</v>
      </c>
      <c r="L8" s="153">
        <f t="shared" si="2"/>
        <v>203.892</v>
      </c>
      <c r="M8" s="20"/>
      <c r="N8" s="27"/>
    </row>
    <row r="9" spans="1:14" ht="14.25">
      <c r="A9" s="55"/>
      <c r="B9" s="357" t="s">
        <v>256</v>
      </c>
      <c r="C9" s="255"/>
      <c r="D9" s="255"/>
      <c r="E9" s="358"/>
      <c r="F9" s="358"/>
      <c r="G9" s="358"/>
      <c r="H9" s="447">
        <f>H14</f>
        <v>2000</v>
      </c>
      <c r="I9" s="447">
        <f t="shared" ref="I9:L9" si="3">I14</f>
        <v>2000</v>
      </c>
      <c r="J9" s="447">
        <f t="shared" si="3"/>
        <v>2000</v>
      </c>
      <c r="K9" s="447">
        <f t="shared" si="3"/>
        <v>2000</v>
      </c>
      <c r="L9" s="447">
        <f t="shared" si="3"/>
        <v>2000</v>
      </c>
      <c r="M9" s="20"/>
      <c r="N9" s="27"/>
    </row>
    <row r="10" spans="1:14" ht="15.75" thickBot="1">
      <c r="A10" s="55"/>
      <c r="B10" s="274" t="s">
        <v>257</v>
      </c>
      <c r="C10" s="323"/>
      <c r="D10" s="323"/>
      <c r="E10" s="323"/>
      <c r="F10" s="364"/>
      <c r="G10" s="365">
        <f>'Balance Sheet'!G47</f>
        <v>-4601</v>
      </c>
      <c r="H10" s="366">
        <f ca="1">H4+H5-H6+H7+H8-H9</f>
        <v>-3544.7799606416443</v>
      </c>
      <c r="I10" s="366">
        <f t="shared" ref="I10:L10" ca="1" si="4">I4+I5-I6+I7+I8-I9</f>
        <v>-2397.698062177431</v>
      </c>
      <c r="J10" s="366">
        <f t="shared" ca="1" si="4"/>
        <v>-1104.4218839368709</v>
      </c>
      <c r="K10" s="366">
        <f t="shared" ca="1" si="4"/>
        <v>375.41166131720638</v>
      </c>
      <c r="L10" s="366">
        <f t="shared" ca="1" si="4"/>
        <v>2087.3336477790417</v>
      </c>
      <c r="M10" s="20"/>
      <c r="N10" s="27"/>
    </row>
    <row r="11" spans="1:14" ht="15.75" thickTop="1">
      <c r="A11" s="70"/>
      <c r="B11" s="359"/>
      <c r="C11" s="360"/>
      <c r="D11" s="360"/>
      <c r="E11" s="360"/>
      <c r="F11" s="361"/>
      <c r="G11" s="362"/>
      <c r="H11" s="363"/>
      <c r="I11" s="363"/>
      <c r="J11" s="363"/>
      <c r="K11" s="363"/>
      <c r="L11" s="363"/>
      <c r="N11" s="27"/>
    </row>
    <row r="12" spans="1:14">
      <c r="A12" s="55"/>
      <c r="B12" s="81" t="s">
        <v>235</v>
      </c>
      <c r="C12" s="131"/>
      <c r="D12" s="131"/>
      <c r="E12" s="115"/>
      <c r="F12" s="154"/>
      <c r="G12" s="154"/>
      <c r="H12" s="154"/>
      <c r="I12" s="154"/>
      <c r="J12" s="154"/>
      <c r="K12" s="154"/>
      <c r="L12" s="154"/>
      <c r="M12" s="20"/>
      <c r="N12" s="27"/>
    </row>
    <row r="13" spans="1:14" ht="14.25">
      <c r="A13" s="55"/>
      <c r="B13" s="31" t="s">
        <v>375</v>
      </c>
      <c r="C13" s="130">
        <v>31.4</v>
      </c>
      <c r="D13" s="130">
        <v>32.200000000000003</v>
      </c>
      <c r="E13" s="130">
        <v>25</v>
      </c>
      <c r="F13" s="129">
        <v>4.3</v>
      </c>
      <c r="G13" s="129">
        <v>3.4</v>
      </c>
      <c r="H13" s="155">
        <f ca="1">H14/H15</f>
        <v>8.3629289084251326</v>
      </c>
      <c r="I13" s="155">
        <f t="shared" ref="I13:L13" ca="1" si="5">I14/I15</f>
        <v>8.0238624808105481</v>
      </c>
      <c r="J13" s="155">
        <f t="shared" ca="1" si="5"/>
        <v>7.5671991557017666</v>
      </c>
      <c r="K13" s="155">
        <f t="shared" ca="1" si="5"/>
        <v>7.0668183686810346</v>
      </c>
      <c r="L13" s="155">
        <f t="shared" ca="1" si="5"/>
        <v>6.5381177706438258</v>
      </c>
      <c r="M13" s="20"/>
      <c r="N13" s="27"/>
    </row>
    <row r="14" spans="1:14" ht="14.25">
      <c r="A14" s="55"/>
      <c r="B14" s="31" t="s">
        <v>374</v>
      </c>
      <c r="C14" s="130">
        <v>4650.5</v>
      </c>
      <c r="D14" s="130">
        <v>5247.5</v>
      </c>
      <c r="E14" s="493">
        <v>4980.5</v>
      </c>
      <c r="F14" s="129">
        <v>874.1</v>
      </c>
      <c r="G14" s="129">
        <v>845.5</v>
      </c>
      <c r="H14" s="157">
        <v>2000</v>
      </c>
      <c r="I14" s="157">
        <v>2000</v>
      </c>
      <c r="J14" s="157">
        <v>2000</v>
      </c>
      <c r="K14" s="157">
        <v>2000</v>
      </c>
      <c r="L14" s="157">
        <v>2000</v>
      </c>
      <c r="M14" s="20"/>
      <c r="N14" s="27"/>
    </row>
    <row r="15" spans="1:14" ht="14.25">
      <c r="A15" s="55"/>
      <c r="B15" s="31" t="s">
        <v>373</v>
      </c>
      <c r="C15" s="128">
        <f>C14/C13</f>
        <v>148.10509554140128</v>
      </c>
      <c r="D15" s="128">
        <f t="shared" ref="D15:G15" si="6">D14/D13</f>
        <v>162.96583850931677</v>
      </c>
      <c r="E15" s="128">
        <f t="shared" si="6"/>
        <v>199.22</v>
      </c>
      <c r="F15" s="128">
        <f t="shared" si="6"/>
        <v>203.27906976744188</v>
      </c>
      <c r="G15" s="128">
        <f t="shared" si="6"/>
        <v>248.6764705882353</v>
      </c>
      <c r="H15" s="156">
        <f ca="1">H16*H17</f>
        <v>239.15066382844935</v>
      </c>
      <c r="I15" s="156">
        <f t="shared" ref="I15:L15" ca="1" si="7">I16*I17</f>
        <v>249.2565151487947</v>
      </c>
      <c r="J15" s="156">
        <f t="shared" ca="1" si="7"/>
        <v>264.29858113261383</v>
      </c>
      <c r="K15" s="156">
        <f t="shared" ca="1" si="7"/>
        <v>283.01279241372481</v>
      </c>
      <c r="L15" s="156">
        <f t="shared" ca="1" si="7"/>
        <v>305.89843593667484</v>
      </c>
      <c r="M15" s="20"/>
      <c r="N15" s="27"/>
    </row>
    <row r="16" spans="1:14" ht="14.25">
      <c r="A16" s="55"/>
      <c r="B16" s="31" t="s">
        <v>342</v>
      </c>
      <c r="C16" s="134">
        <f>'Income Statement'!C28</f>
        <v>0</v>
      </c>
      <c r="D16" s="134">
        <f>'Income Statement'!D28</f>
        <v>7.54</v>
      </c>
      <c r="E16" s="134">
        <f>'Income Statement'!E28</f>
        <v>7.88</v>
      </c>
      <c r="F16" s="134">
        <f>'Income Statement'!F28</f>
        <v>6.31</v>
      </c>
      <c r="G16" s="134">
        <f>'Income Statement'!G28</f>
        <v>10.039999999999999</v>
      </c>
      <c r="H16" s="134">
        <f ca="1">'Income Statement'!H28</f>
        <v>9.4153804656869831</v>
      </c>
      <c r="I16" s="134">
        <f ca="1">'Income Statement'!I28</f>
        <v>9.8132486279053044</v>
      </c>
      <c r="J16" s="134">
        <f ca="1">'Income Statement'!J28</f>
        <v>10.405455950103839</v>
      </c>
      <c r="K16" s="134">
        <f ca="1">'Income Statement'!K28</f>
        <v>11.142235921810615</v>
      </c>
      <c r="L16" s="134">
        <f ca="1">'Income Statement'!L28</f>
        <v>12.043245509381213</v>
      </c>
      <c r="M16" s="20"/>
      <c r="N16" s="27"/>
    </row>
    <row r="17" spans="1:14" ht="14.25">
      <c r="A17" s="55"/>
      <c r="B17" s="31" t="s">
        <v>343</v>
      </c>
      <c r="C17" s="355"/>
      <c r="D17" s="355">
        <f>D15/D16</f>
        <v>21.613506433596388</v>
      </c>
      <c r="E17" s="355">
        <f t="shared" ref="E17:G17" si="8">E15/E16</f>
        <v>25.281725888324875</v>
      </c>
      <c r="F17" s="355">
        <f t="shared" si="8"/>
        <v>32.215383481369557</v>
      </c>
      <c r="G17" s="355">
        <f t="shared" si="8"/>
        <v>24.768572767752524</v>
      </c>
      <c r="H17" s="356">
        <v>25.4</v>
      </c>
      <c r="I17" s="356">
        <v>25.4</v>
      </c>
      <c r="J17" s="356">
        <v>25.4</v>
      </c>
      <c r="K17" s="356">
        <v>25.4</v>
      </c>
      <c r="L17" s="356">
        <v>25.4</v>
      </c>
      <c r="M17" s="20"/>
      <c r="N17" s="27"/>
    </row>
    <row r="18" spans="1:14">
      <c r="A18" s="55"/>
      <c r="B18" s="31"/>
      <c r="C18" s="160"/>
      <c r="D18" s="160"/>
      <c r="E18" s="158"/>
      <c r="F18" s="159"/>
      <c r="G18" s="160"/>
      <c r="H18" s="160"/>
      <c r="I18" s="160"/>
      <c r="J18" s="160"/>
      <c r="K18" s="160"/>
      <c r="L18" s="160"/>
      <c r="M18" s="20"/>
      <c r="N18" s="27"/>
    </row>
    <row r="19" spans="1:14">
      <c r="A19" s="55"/>
      <c r="B19" s="81" t="s">
        <v>231</v>
      </c>
      <c r="C19" s="160"/>
      <c r="D19" s="160"/>
      <c r="E19" s="158"/>
      <c r="F19" s="159"/>
      <c r="G19" s="160"/>
      <c r="H19" s="160"/>
      <c r="I19" s="160"/>
      <c r="J19" s="160"/>
      <c r="K19" s="160"/>
      <c r="L19" s="160"/>
      <c r="M19" s="20"/>
      <c r="N19" s="27"/>
    </row>
    <row r="20" spans="1:14" ht="14.25">
      <c r="A20" s="55"/>
      <c r="B20" s="31" t="s">
        <v>232</v>
      </c>
      <c r="C20" s="129"/>
      <c r="D20" s="129"/>
      <c r="E20" s="130"/>
      <c r="F20" s="130"/>
      <c r="G20" s="129"/>
      <c r="H20" s="129">
        <f>7.8/5</f>
        <v>1.56</v>
      </c>
      <c r="I20" s="129">
        <f t="shared" ref="I20:L20" si="9">7.8/5</f>
        <v>1.56</v>
      </c>
      <c r="J20" s="129">
        <f t="shared" si="9"/>
        <v>1.56</v>
      </c>
      <c r="K20" s="129">
        <f t="shared" si="9"/>
        <v>1.56</v>
      </c>
      <c r="L20" s="129">
        <f t="shared" si="9"/>
        <v>1.56</v>
      </c>
      <c r="M20" s="20"/>
      <c r="N20" s="27"/>
    </row>
    <row r="21" spans="1:14" ht="14.25">
      <c r="A21" s="55"/>
      <c r="B21" s="31" t="s">
        <v>233</v>
      </c>
      <c r="C21" s="128"/>
      <c r="D21" s="128"/>
      <c r="E21" s="77"/>
      <c r="F21" s="77"/>
      <c r="G21" s="128"/>
      <c r="H21" s="128">
        <v>130.69999999999999</v>
      </c>
      <c r="I21" s="128">
        <v>130.69999999999999</v>
      </c>
      <c r="J21" s="128">
        <v>130.69999999999999</v>
      </c>
      <c r="K21" s="128">
        <v>130.69999999999999</v>
      </c>
      <c r="L21" s="128">
        <v>130.69999999999999</v>
      </c>
      <c r="M21" s="20"/>
      <c r="N21" s="27"/>
    </row>
    <row r="22" spans="1:14" ht="14.25">
      <c r="A22" s="55"/>
      <c r="B22" s="31" t="s">
        <v>234</v>
      </c>
      <c r="C22" s="161"/>
      <c r="D22" s="161"/>
      <c r="E22" s="134"/>
      <c r="F22" s="134"/>
      <c r="G22" s="161"/>
      <c r="H22" s="128">
        <f>H21*H20</f>
        <v>203.892</v>
      </c>
      <c r="I22" s="128">
        <f t="shared" ref="I22:L22" si="10">I21*I20</f>
        <v>203.892</v>
      </c>
      <c r="J22" s="128">
        <f t="shared" si="10"/>
        <v>203.892</v>
      </c>
      <c r="K22" s="128">
        <f t="shared" si="10"/>
        <v>203.892</v>
      </c>
      <c r="L22" s="128">
        <f t="shared" si="10"/>
        <v>203.892</v>
      </c>
      <c r="M22" s="20"/>
      <c r="N22" s="27"/>
    </row>
    <row r="23" spans="1:14" ht="14.25">
      <c r="A23" s="55"/>
      <c r="B23" s="31"/>
      <c r="C23" s="73"/>
      <c r="D23" s="73"/>
      <c r="E23" s="55"/>
      <c r="F23" s="73"/>
      <c r="G23" s="73"/>
      <c r="H23" s="73"/>
      <c r="I23" s="73"/>
      <c r="J23" s="73"/>
      <c r="K23" s="73"/>
      <c r="L23" s="73"/>
      <c r="M23" s="20"/>
      <c r="N23" s="27"/>
    </row>
    <row r="24" spans="1:14" ht="14.25">
      <c r="A24" s="55"/>
      <c r="B24" s="31" t="s">
        <v>239</v>
      </c>
      <c r="C24" s="150"/>
      <c r="D24" s="150"/>
      <c r="E24" s="31"/>
      <c r="F24" s="150"/>
      <c r="G24" s="150"/>
      <c r="H24" s="151">
        <f>H20</f>
        <v>1.56</v>
      </c>
      <c r="I24" s="151">
        <f t="shared" ref="I24:L24" si="11">I20</f>
        <v>1.56</v>
      </c>
      <c r="J24" s="151">
        <f t="shared" si="11"/>
        <v>1.56</v>
      </c>
      <c r="K24" s="151">
        <f t="shared" si="11"/>
        <v>1.56</v>
      </c>
      <c r="L24" s="151">
        <f t="shared" si="11"/>
        <v>1.56</v>
      </c>
      <c r="M24" s="20"/>
      <c r="N24" s="27"/>
    </row>
    <row r="25" spans="1:14" ht="14.25">
      <c r="A25" s="55"/>
      <c r="B25" s="31" t="s">
        <v>240</v>
      </c>
      <c r="C25" s="150"/>
      <c r="D25" s="150"/>
      <c r="E25" s="31"/>
      <c r="F25" s="150"/>
      <c r="G25" s="150"/>
      <c r="H25" s="151">
        <f ca="1">H13</f>
        <v>8.3629289084251326</v>
      </c>
      <c r="I25" s="151">
        <f t="shared" ref="I25:L25" ca="1" si="12">I13</f>
        <v>8.0238624808105481</v>
      </c>
      <c r="J25" s="151">
        <f t="shared" ca="1" si="12"/>
        <v>7.5671991557017666</v>
      </c>
      <c r="K25" s="151">
        <f t="shared" ca="1" si="12"/>
        <v>7.0668183686810346</v>
      </c>
      <c r="L25" s="151">
        <f t="shared" ca="1" si="12"/>
        <v>6.5381177706438258</v>
      </c>
      <c r="M25" s="20"/>
      <c r="N25" s="27"/>
    </row>
    <row r="26" spans="1:14" ht="14.25">
      <c r="A26" s="55"/>
      <c r="B26" s="31" t="s">
        <v>236</v>
      </c>
      <c r="C26" s="150"/>
      <c r="D26" s="150"/>
      <c r="E26" s="31"/>
      <c r="F26" s="150"/>
      <c r="G26" s="150"/>
      <c r="H26" s="151">
        <f ca="1">H24-H25</f>
        <v>-6.8029289084251321</v>
      </c>
      <c r="I26" s="151">
        <f t="shared" ref="I26:L26" ca="1" si="13">I24-I25</f>
        <v>-6.4638624808105476</v>
      </c>
      <c r="J26" s="151">
        <f t="shared" ca="1" si="13"/>
        <v>-6.0071991557017661</v>
      </c>
      <c r="K26" s="151">
        <f t="shared" ca="1" si="13"/>
        <v>-5.506818368681035</v>
      </c>
      <c r="L26" s="151">
        <f t="shared" ca="1" si="13"/>
        <v>-4.9781177706438253</v>
      </c>
      <c r="M26" s="20"/>
      <c r="N26" s="27"/>
    </row>
    <row r="27" spans="1:14" ht="14.25">
      <c r="A27" s="55"/>
      <c r="B27" s="31"/>
      <c r="C27" s="73"/>
      <c r="D27" s="73"/>
      <c r="E27" s="55"/>
      <c r="F27" s="73"/>
      <c r="G27" s="73"/>
      <c r="H27" s="73"/>
      <c r="I27" s="73"/>
      <c r="J27" s="73"/>
      <c r="K27" s="73"/>
      <c r="L27" s="73"/>
      <c r="M27" s="20"/>
      <c r="N27" s="27"/>
    </row>
    <row r="28" spans="1:14">
      <c r="A28" s="55"/>
      <c r="B28" s="41" t="s">
        <v>237</v>
      </c>
      <c r="C28" s="368"/>
      <c r="D28" s="368"/>
      <c r="E28" s="41"/>
      <c r="F28" s="367"/>
      <c r="G28" s="368">
        <f>'Income Statement'!G30</f>
        <v>746.3</v>
      </c>
      <c r="H28" s="369">
        <f ca="1">G28+H26</f>
        <v>739.49707109157487</v>
      </c>
      <c r="I28" s="369">
        <f t="shared" ref="I28:L28" ca="1" si="14">H28+I26</f>
        <v>733.03320861076429</v>
      </c>
      <c r="J28" s="369">
        <f t="shared" ca="1" si="14"/>
        <v>727.02600945506254</v>
      </c>
      <c r="K28" s="369">
        <f t="shared" ca="1" si="14"/>
        <v>721.51919108638151</v>
      </c>
      <c r="L28" s="369">
        <f t="shared" ca="1" si="14"/>
        <v>716.54107331573766</v>
      </c>
      <c r="M28" s="20"/>
      <c r="N28" s="27"/>
    </row>
    <row r="29" spans="1:14">
      <c r="A29" s="55"/>
      <c r="B29" s="41" t="s">
        <v>238</v>
      </c>
      <c r="C29" s="368"/>
      <c r="D29" s="368"/>
      <c r="E29" s="41"/>
      <c r="F29" s="367"/>
      <c r="G29" s="368">
        <f>'Income Statement'!G31</f>
        <v>751.8</v>
      </c>
      <c r="H29" s="369">
        <f ca="1">G29+H26</f>
        <v>744.99707109157487</v>
      </c>
      <c r="I29" s="369">
        <f t="shared" ref="I29:L29" ca="1" si="15">H29+I26</f>
        <v>738.53320861076429</v>
      </c>
      <c r="J29" s="369">
        <f t="shared" ca="1" si="15"/>
        <v>732.52600945506254</v>
      </c>
      <c r="K29" s="369">
        <f t="shared" ca="1" si="15"/>
        <v>727.01919108638151</v>
      </c>
      <c r="L29" s="369">
        <f t="shared" ca="1" si="15"/>
        <v>722.04107331573766</v>
      </c>
      <c r="M29" s="20"/>
      <c r="N29" s="27"/>
    </row>
    <row r="30" spans="1:14" ht="14.25">
      <c r="A30" s="55"/>
      <c r="B30" s="31"/>
      <c r="C30" s="73"/>
      <c r="D30" s="73"/>
      <c r="E30" s="55"/>
      <c r="F30" s="73"/>
      <c r="G30" s="73"/>
      <c r="H30" s="73"/>
      <c r="I30" s="73"/>
      <c r="J30" s="73"/>
      <c r="K30" s="73"/>
      <c r="L30" s="73"/>
      <c r="M30" s="20"/>
      <c r="N30" s="27"/>
    </row>
    <row r="31" spans="1:14" ht="14.25">
      <c r="A31" s="55"/>
      <c r="B31" s="31" t="s">
        <v>258</v>
      </c>
      <c r="C31" s="470">
        <f>'Income Statement'!C29</f>
        <v>0</v>
      </c>
      <c r="D31" s="470">
        <f>'Income Statement'!D29</f>
        <v>4.1900000000000004</v>
      </c>
      <c r="E31" s="470">
        <f>'Income Statement'!E29</f>
        <v>4.7300000000000004</v>
      </c>
      <c r="F31" s="470">
        <f>'Income Statement'!F29</f>
        <v>5.04</v>
      </c>
      <c r="G31" s="470">
        <f>'Income Statement'!G29</f>
        <v>5.25</v>
      </c>
      <c r="H31" s="494">
        <f ca="1">H32/H29</f>
        <v>5.7433820840690597</v>
      </c>
      <c r="I31" s="494">
        <f t="shared" ref="I31:L31" ca="1" si="16">I32/I29</f>
        <v>5.9860816630222349</v>
      </c>
      <c r="J31" s="494">
        <f t="shared" ca="1" si="16"/>
        <v>6.3473281295616699</v>
      </c>
      <c r="K31" s="494">
        <f t="shared" ca="1" si="16"/>
        <v>6.7967639122859804</v>
      </c>
      <c r="L31" s="494">
        <f t="shared" ca="1" si="16"/>
        <v>7.3463797606052124</v>
      </c>
      <c r="M31" s="20"/>
      <c r="N31" s="27"/>
    </row>
    <row r="32" spans="1:14" ht="14.25">
      <c r="A32" s="55"/>
      <c r="B32" s="31" t="s">
        <v>243</v>
      </c>
      <c r="C32" s="161">
        <f>-'Cash Flows'!C33</f>
        <v>3089.2</v>
      </c>
      <c r="D32" s="161">
        <f>-'Cash Flows'!D33</f>
        <v>3255.9</v>
      </c>
      <c r="E32" s="161">
        <f>-'Cash Flows'!E33</f>
        <v>3581.9</v>
      </c>
      <c r="F32" s="161">
        <f>-'Cash Flows'!F33</f>
        <v>3752.9</v>
      </c>
      <c r="G32" s="161">
        <f>-'Cash Flows'!G33</f>
        <v>3918.6</v>
      </c>
      <c r="H32" s="155">
        <f ca="1">H33*H34</f>
        <v>4278.8028307912746</v>
      </c>
      <c r="I32" s="155">
        <f t="shared" ref="I32:L32" ca="1" si="17">I33*I34</f>
        <v>4420.9200975978711</v>
      </c>
      <c r="J32" s="155">
        <f t="shared" ca="1" si="17"/>
        <v>4649.5829454507102</v>
      </c>
      <c r="K32" s="155">
        <f t="shared" ca="1" si="17"/>
        <v>4941.3778015269781</v>
      </c>
      <c r="L32" s="155">
        <f t="shared" ca="1" si="17"/>
        <v>5304.3879274051596</v>
      </c>
      <c r="M32" s="20"/>
      <c r="N32" s="27"/>
    </row>
    <row r="33" spans="1:14" ht="14.25">
      <c r="A33" s="55"/>
      <c r="B33" s="31" t="s">
        <v>242</v>
      </c>
      <c r="C33" s="161">
        <f>'Income Statement'!C26</f>
        <v>0</v>
      </c>
      <c r="D33" s="161">
        <f>'Income Statement'!D26</f>
        <v>5924.3999999999969</v>
      </c>
      <c r="E33" s="161">
        <f>'Income Statement'!E26</f>
        <v>6026</v>
      </c>
      <c r="F33" s="161">
        <f>'Income Statement'!F26</f>
        <v>4730.6999999999989</v>
      </c>
      <c r="G33" s="161">
        <f>'Income Statement'!G26</f>
        <v>7545.3</v>
      </c>
      <c r="H33" s="161">
        <f ca="1">'Income Statement'!H26</f>
        <v>7014.4308701496302</v>
      </c>
      <c r="I33" s="161">
        <f ca="1">'Income Statement'!I26</f>
        <v>7247.4099960620842</v>
      </c>
      <c r="J33" s="161">
        <f ca="1">'Income Statement'!J26</f>
        <v>7622.2671236902361</v>
      </c>
      <c r="K33" s="161">
        <f ca="1">'Income Statement'!K26</f>
        <v>8100.6193467702606</v>
      </c>
      <c r="L33" s="161">
        <f ca="1">'Income Statement'!L26</f>
        <v>8695.7179138097636</v>
      </c>
      <c r="M33" s="20"/>
      <c r="N33" s="27"/>
    </row>
    <row r="34" spans="1:14" ht="14.25">
      <c r="A34" s="55"/>
      <c r="B34" s="31" t="s">
        <v>241</v>
      </c>
      <c r="C34" s="370" t="e">
        <f>C32/C33</f>
        <v>#DIV/0!</v>
      </c>
      <c r="D34" s="370">
        <f t="shared" ref="D34:G34" si="18">D32/D33</f>
        <v>0.54957464046992133</v>
      </c>
      <c r="E34" s="370">
        <f t="shared" si="18"/>
        <v>0.59440756720876209</v>
      </c>
      <c r="F34" s="370">
        <f t="shared" si="18"/>
        <v>0.7933075443380474</v>
      </c>
      <c r="G34" s="370">
        <f t="shared" si="18"/>
        <v>0.51934316726969099</v>
      </c>
      <c r="H34" s="371">
        <v>0.61</v>
      </c>
      <c r="I34" s="371">
        <v>0.61</v>
      </c>
      <c r="J34" s="371">
        <v>0.61</v>
      </c>
      <c r="K34" s="371">
        <v>0.61</v>
      </c>
      <c r="L34" s="371">
        <v>0.61</v>
      </c>
      <c r="M34" s="20"/>
      <c r="N34" s="27"/>
    </row>
    <row r="35" spans="1:14" ht="14.25">
      <c r="A35" s="55"/>
      <c r="B35" s="31"/>
      <c r="C35" s="31"/>
      <c r="D35" s="31"/>
      <c r="E35" s="55"/>
      <c r="F35" s="73"/>
      <c r="G35" s="73"/>
      <c r="H35" s="73"/>
      <c r="I35" s="73"/>
      <c r="J35" s="73"/>
      <c r="K35" s="73"/>
      <c r="L35" s="73"/>
      <c r="M35" s="20"/>
      <c r="N35" s="27"/>
    </row>
  </sheetData>
  <mergeCells count="2">
    <mergeCell ref="H1:L1"/>
    <mergeCell ref="C1:G1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4"/>
  <sheetViews>
    <sheetView showGridLines="0"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1" sqref="H41"/>
    </sheetView>
  </sheetViews>
  <sheetFormatPr defaultRowHeight="14.25"/>
  <cols>
    <col min="1" max="1" width="2.85546875" style="27" customWidth="1"/>
    <col min="2" max="2" width="58.42578125" style="27" customWidth="1"/>
    <col min="3" max="3" width="14.85546875" style="27" bestFit="1" customWidth="1"/>
    <col min="4" max="12" width="12.5703125" style="27" customWidth="1"/>
    <col min="13" max="253" width="9.140625" style="27"/>
    <col min="254" max="254" width="41.28515625" style="27" bestFit="1" customWidth="1"/>
    <col min="255" max="256" width="9.140625" style="27"/>
    <col min="257" max="257" width="7.7109375" style="27" bestFit="1" customWidth="1"/>
    <col min="258" max="258" width="13.140625" style="27" customWidth="1"/>
    <col min="259" max="509" width="9.140625" style="27"/>
    <col min="510" max="510" width="41.28515625" style="27" bestFit="1" customWidth="1"/>
    <col min="511" max="512" width="9.140625" style="27"/>
    <col min="513" max="513" width="7.7109375" style="27" bestFit="1" customWidth="1"/>
    <col min="514" max="514" width="13.140625" style="27" customWidth="1"/>
    <col min="515" max="765" width="9.140625" style="27"/>
    <col min="766" max="766" width="41.28515625" style="27" bestFit="1" customWidth="1"/>
    <col min="767" max="768" width="9.140625" style="27"/>
    <col min="769" max="769" width="7.7109375" style="27" bestFit="1" customWidth="1"/>
    <col min="770" max="770" width="13.140625" style="27" customWidth="1"/>
    <col min="771" max="1021" width="9.140625" style="27"/>
    <col min="1022" max="1022" width="41.28515625" style="27" bestFit="1" customWidth="1"/>
    <col min="1023" max="1024" width="9.140625" style="27"/>
    <col min="1025" max="1025" width="7.7109375" style="27" bestFit="1" customWidth="1"/>
    <col min="1026" max="1026" width="13.140625" style="27" customWidth="1"/>
    <col min="1027" max="1277" width="9.140625" style="27"/>
    <col min="1278" max="1278" width="41.28515625" style="27" bestFit="1" customWidth="1"/>
    <col min="1279" max="1280" width="9.140625" style="27"/>
    <col min="1281" max="1281" width="7.7109375" style="27" bestFit="1" customWidth="1"/>
    <col min="1282" max="1282" width="13.140625" style="27" customWidth="1"/>
    <col min="1283" max="1533" width="9.140625" style="27"/>
    <col min="1534" max="1534" width="41.28515625" style="27" bestFit="1" customWidth="1"/>
    <col min="1535" max="1536" width="9.140625" style="27"/>
    <col min="1537" max="1537" width="7.7109375" style="27" bestFit="1" customWidth="1"/>
    <col min="1538" max="1538" width="13.140625" style="27" customWidth="1"/>
    <col min="1539" max="1789" width="9.140625" style="27"/>
    <col min="1790" max="1790" width="41.28515625" style="27" bestFit="1" customWidth="1"/>
    <col min="1791" max="1792" width="9.140625" style="27"/>
    <col min="1793" max="1793" width="7.7109375" style="27" bestFit="1" customWidth="1"/>
    <col min="1794" max="1794" width="13.140625" style="27" customWidth="1"/>
    <col min="1795" max="2045" width="9.140625" style="27"/>
    <col min="2046" max="2046" width="41.28515625" style="27" bestFit="1" customWidth="1"/>
    <col min="2047" max="2048" width="9.140625" style="27"/>
    <col min="2049" max="2049" width="7.7109375" style="27" bestFit="1" customWidth="1"/>
    <col min="2050" max="2050" width="13.140625" style="27" customWidth="1"/>
    <col min="2051" max="2301" width="9.140625" style="27"/>
    <col min="2302" max="2302" width="41.28515625" style="27" bestFit="1" customWidth="1"/>
    <col min="2303" max="2304" width="9.140625" style="27"/>
    <col min="2305" max="2305" width="7.7109375" style="27" bestFit="1" customWidth="1"/>
    <col min="2306" max="2306" width="13.140625" style="27" customWidth="1"/>
    <col min="2307" max="2557" width="9.140625" style="27"/>
    <col min="2558" max="2558" width="41.28515625" style="27" bestFit="1" customWidth="1"/>
    <col min="2559" max="2560" width="9.140625" style="27"/>
    <col min="2561" max="2561" width="7.7109375" style="27" bestFit="1" customWidth="1"/>
    <col min="2562" max="2562" width="13.140625" style="27" customWidth="1"/>
    <col min="2563" max="2813" width="9.140625" style="27"/>
    <col min="2814" max="2814" width="41.28515625" style="27" bestFit="1" customWidth="1"/>
    <col min="2815" max="2816" width="9.140625" style="27"/>
    <col min="2817" max="2817" width="7.7109375" style="27" bestFit="1" customWidth="1"/>
    <col min="2818" max="2818" width="13.140625" style="27" customWidth="1"/>
    <col min="2819" max="3069" width="9.140625" style="27"/>
    <col min="3070" max="3070" width="41.28515625" style="27" bestFit="1" customWidth="1"/>
    <col min="3071" max="3072" width="9.140625" style="27"/>
    <col min="3073" max="3073" width="7.7109375" style="27" bestFit="1" customWidth="1"/>
    <col min="3074" max="3074" width="13.140625" style="27" customWidth="1"/>
    <col min="3075" max="3325" width="9.140625" style="27"/>
    <col min="3326" max="3326" width="41.28515625" style="27" bestFit="1" customWidth="1"/>
    <col min="3327" max="3328" width="9.140625" style="27"/>
    <col min="3329" max="3329" width="7.7109375" style="27" bestFit="1" customWidth="1"/>
    <col min="3330" max="3330" width="13.140625" style="27" customWidth="1"/>
    <col min="3331" max="3581" width="9.140625" style="27"/>
    <col min="3582" max="3582" width="41.28515625" style="27" bestFit="1" customWidth="1"/>
    <col min="3583" max="3584" width="9.140625" style="27"/>
    <col min="3585" max="3585" width="7.7109375" style="27" bestFit="1" customWidth="1"/>
    <col min="3586" max="3586" width="13.140625" style="27" customWidth="1"/>
    <col min="3587" max="3837" width="9.140625" style="27"/>
    <col min="3838" max="3838" width="41.28515625" style="27" bestFit="1" customWidth="1"/>
    <col min="3839" max="3840" width="9.140625" style="27"/>
    <col min="3841" max="3841" width="7.7109375" style="27" bestFit="1" customWidth="1"/>
    <col min="3842" max="3842" width="13.140625" style="27" customWidth="1"/>
    <col min="3843" max="4093" width="9.140625" style="27"/>
    <col min="4094" max="4094" width="41.28515625" style="27" bestFit="1" customWidth="1"/>
    <col min="4095" max="4096" width="9.140625" style="27"/>
    <col min="4097" max="4097" width="7.7109375" style="27" bestFit="1" customWidth="1"/>
    <col min="4098" max="4098" width="13.140625" style="27" customWidth="1"/>
    <col min="4099" max="4349" width="9.140625" style="27"/>
    <col min="4350" max="4350" width="41.28515625" style="27" bestFit="1" customWidth="1"/>
    <col min="4351" max="4352" width="9.140625" style="27"/>
    <col min="4353" max="4353" width="7.7109375" style="27" bestFit="1" customWidth="1"/>
    <col min="4354" max="4354" width="13.140625" style="27" customWidth="1"/>
    <col min="4355" max="4605" width="9.140625" style="27"/>
    <col min="4606" max="4606" width="41.28515625" style="27" bestFit="1" customWidth="1"/>
    <col min="4607" max="4608" width="9.140625" style="27"/>
    <col min="4609" max="4609" width="7.7109375" style="27" bestFit="1" customWidth="1"/>
    <col min="4610" max="4610" width="13.140625" style="27" customWidth="1"/>
    <col min="4611" max="4861" width="9.140625" style="27"/>
    <col min="4862" max="4862" width="41.28515625" style="27" bestFit="1" customWidth="1"/>
    <col min="4863" max="4864" width="9.140625" style="27"/>
    <col min="4865" max="4865" width="7.7109375" style="27" bestFit="1" customWidth="1"/>
    <col min="4866" max="4866" width="13.140625" style="27" customWidth="1"/>
    <col min="4867" max="5117" width="9.140625" style="27"/>
    <col min="5118" max="5118" width="41.28515625" style="27" bestFit="1" customWidth="1"/>
    <col min="5119" max="5120" width="9.140625" style="27"/>
    <col min="5121" max="5121" width="7.7109375" style="27" bestFit="1" customWidth="1"/>
    <col min="5122" max="5122" width="13.140625" style="27" customWidth="1"/>
    <col min="5123" max="5373" width="9.140625" style="27"/>
    <col min="5374" max="5374" width="41.28515625" style="27" bestFit="1" customWidth="1"/>
    <col min="5375" max="5376" width="9.140625" style="27"/>
    <col min="5377" max="5377" width="7.7109375" style="27" bestFit="1" customWidth="1"/>
    <col min="5378" max="5378" width="13.140625" style="27" customWidth="1"/>
    <col min="5379" max="5629" width="9.140625" style="27"/>
    <col min="5630" max="5630" width="41.28515625" style="27" bestFit="1" customWidth="1"/>
    <col min="5631" max="5632" width="9.140625" style="27"/>
    <col min="5633" max="5633" width="7.7109375" style="27" bestFit="1" customWidth="1"/>
    <col min="5634" max="5634" width="13.140625" style="27" customWidth="1"/>
    <col min="5635" max="5885" width="9.140625" style="27"/>
    <col min="5886" max="5886" width="41.28515625" style="27" bestFit="1" customWidth="1"/>
    <col min="5887" max="5888" width="9.140625" style="27"/>
    <col min="5889" max="5889" width="7.7109375" style="27" bestFit="1" customWidth="1"/>
    <col min="5890" max="5890" width="13.140625" style="27" customWidth="1"/>
    <col min="5891" max="6141" width="9.140625" style="27"/>
    <col min="6142" max="6142" width="41.28515625" style="27" bestFit="1" customWidth="1"/>
    <col min="6143" max="6144" width="9.140625" style="27"/>
    <col min="6145" max="6145" width="7.7109375" style="27" bestFit="1" customWidth="1"/>
    <col min="6146" max="6146" width="13.140625" style="27" customWidth="1"/>
    <col min="6147" max="6397" width="9.140625" style="27"/>
    <col min="6398" max="6398" width="41.28515625" style="27" bestFit="1" customWidth="1"/>
    <col min="6399" max="6400" width="9.140625" style="27"/>
    <col min="6401" max="6401" width="7.7109375" style="27" bestFit="1" customWidth="1"/>
    <col min="6402" max="6402" width="13.140625" style="27" customWidth="1"/>
    <col min="6403" max="6653" width="9.140625" style="27"/>
    <col min="6654" max="6654" width="41.28515625" style="27" bestFit="1" customWidth="1"/>
    <col min="6655" max="6656" width="9.140625" style="27"/>
    <col min="6657" max="6657" width="7.7109375" style="27" bestFit="1" customWidth="1"/>
    <col min="6658" max="6658" width="13.140625" style="27" customWidth="1"/>
    <col min="6659" max="6909" width="9.140625" style="27"/>
    <col min="6910" max="6910" width="41.28515625" style="27" bestFit="1" customWidth="1"/>
    <col min="6911" max="6912" width="9.140625" style="27"/>
    <col min="6913" max="6913" width="7.7109375" style="27" bestFit="1" customWidth="1"/>
    <col min="6914" max="6914" width="13.140625" style="27" customWidth="1"/>
    <col min="6915" max="7165" width="9.140625" style="27"/>
    <col min="7166" max="7166" width="41.28515625" style="27" bestFit="1" customWidth="1"/>
    <col min="7167" max="7168" width="9.140625" style="27"/>
    <col min="7169" max="7169" width="7.7109375" style="27" bestFit="1" customWidth="1"/>
    <col min="7170" max="7170" width="13.140625" style="27" customWidth="1"/>
    <col min="7171" max="7421" width="9.140625" style="27"/>
    <col min="7422" max="7422" width="41.28515625" style="27" bestFit="1" customWidth="1"/>
    <col min="7423" max="7424" width="9.140625" style="27"/>
    <col min="7425" max="7425" width="7.7109375" style="27" bestFit="1" customWidth="1"/>
    <col min="7426" max="7426" width="13.140625" style="27" customWidth="1"/>
    <col min="7427" max="7677" width="9.140625" style="27"/>
    <col min="7678" max="7678" width="41.28515625" style="27" bestFit="1" customWidth="1"/>
    <col min="7679" max="7680" width="9.140625" style="27"/>
    <col min="7681" max="7681" width="7.7109375" style="27" bestFit="1" customWidth="1"/>
    <col min="7682" max="7682" width="13.140625" style="27" customWidth="1"/>
    <col min="7683" max="7933" width="9.140625" style="27"/>
    <col min="7934" max="7934" width="41.28515625" style="27" bestFit="1" customWidth="1"/>
    <col min="7935" max="7936" width="9.140625" style="27"/>
    <col min="7937" max="7937" width="7.7109375" style="27" bestFit="1" customWidth="1"/>
    <col min="7938" max="7938" width="13.140625" style="27" customWidth="1"/>
    <col min="7939" max="8189" width="9.140625" style="27"/>
    <col min="8190" max="8190" width="41.28515625" style="27" bestFit="1" customWidth="1"/>
    <col min="8191" max="8192" width="9.140625" style="27"/>
    <col min="8193" max="8193" width="7.7109375" style="27" bestFit="1" customWidth="1"/>
    <col min="8194" max="8194" width="13.140625" style="27" customWidth="1"/>
    <col min="8195" max="8445" width="9.140625" style="27"/>
    <col min="8446" max="8446" width="41.28515625" style="27" bestFit="1" customWidth="1"/>
    <col min="8447" max="8448" width="9.140625" style="27"/>
    <col min="8449" max="8449" width="7.7109375" style="27" bestFit="1" customWidth="1"/>
    <col min="8450" max="8450" width="13.140625" style="27" customWidth="1"/>
    <col min="8451" max="8701" width="9.140625" style="27"/>
    <col min="8702" max="8702" width="41.28515625" style="27" bestFit="1" customWidth="1"/>
    <col min="8703" max="8704" width="9.140625" style="27"/>
    <col min="8705" max="8705" width="7.7109375" style="27" bestFit="1" customWidth="1"/>
    <col min="8706" max="8706" width="13.140625" style="27" customWidth="1"/>
    <col min="8707" max="8957" width="9.140625" style="27"/>
    <col min="8958" max="8958" width="41.28515625" style="27" bestFit="1" customWidth="1"/>
    <col min="8959" max="8960" width="9.140625" style="27"/>
    <col min="8961" max="8961" width="7.7109375" style="27" bestFit="1" customWidth="1"/>
    <col min="8962" max="8962" width="13.140625" style="27" customWidth="1"/>
    <col min="8963" max="9213" width="9.140625" style="27"/>
    <col min="9214" max="9214" width="41.28515625" style="27" bestFit="1" customWidth="1"/>
    <col min="9215" max="9216" width="9.140625" style="27"/>
    <col min="9217" max="9217" width="7.7109375" style="27" bestFit="1" customWidth="1"/>
    <col min="9218" max="9218" width="13.140625" style="27" customWidth="1"/>
    <col min="9219" max="9469" width="9.140625" style="27"/>
    <col min="9470" max="9470" width="41.28515625" style="27" bestFit="1" customWidth="1"/>
    <col min="9471" max="9472" width="9.140625" style="27"/>
    <col min="9473" max="9473" width="7.7109375" style="27" bestFit="1" customWidth="1"/>
    <col min="9474" max="9474" width="13.140625" style="27" customWidth="1"/>
    <col min="9475" max="9725" width="9.140625" style="27"/>
    <col min="9726" max="9726" width="41.28515625" style="27" bestFit="1" customWidth="1"/>
    <col min="9727" max="9728" width="9.140625" style="27"/>
    <col min="9729" max="9729" width="7.7109375" style="27" bestFit="1" customWidth="1"/>
    <col min="9730" max="9730" width="13.140625" style="27" customWidth="1"/>
    <col min="9731" max="9981" width="9.140625" style="27"/>
    <col min="9982" max="9982" width="41.28515625" style="27" bestFit="1" customWidth="1"/>
    <col min="9983" max="9984" width="9.140625" style="27"/>
    <col min="9985" max="9985" width="7.7109375" style="27" bestFit="1" customWidth="1"/>
    <col min="9986" max="9986" width="13.140625" style="27" customWidth="1"/>
    <col min="9987" max="10237" width="9.140625" style="27"/>
    <col min="10238" max="10238" width="41.28515625" style="27" bestFit="1" customWidth="1"/>
    <col min="10239" max="10240" width="9.140625" style="27"/>
    <col min="10241" max="10241" width="7.7109375" style="27" bestFit="1" customWidth="1"/>
    <col min="10242" max="10242" width="13.140625" style="27" customWidth="1"/>
    <col min="10243" max="10493" width="9.140625" style="27"/>
    <col min="10494" max="10494" width="41.28515625" style="27" bestFit="1" customWidth="1"/>
    <col min="10495" max="10496" width="9.140625" style="27"/>
    <col min="10497" max="10497" width="7.7109375" style="27" bestFit="1" customWidth="1"/>
    <col min="10498" max="10498" width="13.140625" style="27" customWidth="1"/>
    <col min="10499" max="10749" width="9.140625" style="27"/>
    <col min="10750" max="10750" width="41.28515625" style="27" bestFit="1" customWidth="1"/>
    <col min="10751" max="10752" width="9.140625" style="27"/>
    <col min="10753" max="10753" width="7.7109375" style="27" bestFit="1" customWidth="1"/>
    <col min="10754" max="10754" width="13.140625" style="27" customWidth="1"/>
    <col min="10755" max="11005" width="9.140625" style="27"/>
    <col min="11006" max="11006" width="41.28515625" style="27" bestFit="1" customWidth="1"/>
    <col min="11007" max="11008" width="9.140625" style="27"/>
    <col min="11009" max="11009" width="7.7109375" style="27" bestFit="1" customWidth="1"/>
    <col min="11010" max="11010" width="13.140625" style="27" customWidth="1"/>
    <col min="11011" max="11261" width="9.140625" style="27"/>
    <col min="11262" max="11262" width="41.28515625" style="27" bestFit="1" customWidth="1"/>
    <col min="11263" max="11264" width="9.140625" style="27"/>
    <col min="11265" max="11265" width="7.7109375" style="27" bestFit="1" customWidth="1"/>
    <col min="11266" max="11266" width="13.140625" style="27" customWidth="1"/>
    <col min="11267" max="11517" width="9.140625" style="27"/>
    <col min="11518" max="11518" width="41.28515625" style="27" bestFit="1" customWidth="1"/>
    <col min="11519" max="11520" width="9.140625" style="27"/>
    <col min="11521" max="11521" width="7.7109375" style="27" bestFit="1" customWidth="1"/>
    <col min="11522" max="11522" width="13.140625" style="27" customWidth="1"/>
    <col min="11523" max="11773" width="9.140625" style="27"/>
    <col min="11774" max="11774" width="41.28515625" style="27" bestFit="1" customWidth="1"/>
    <col min="11775" max="11776" width="9.140625" style="27"/>
    <col min="11777" max="11777" width="7.7109375" style="27" bestFit="1" customWidth="1"/>
    <col min="11778" max="11778" width="13.140625" style="27" customWidth="1"/>
    <col min="11779" max="12029" width="9.140625" style="27"/>
    <col min="12030" max="12030" width="41.28515625" style="27" bestFit="1" customWidth="1"/>
    <col min="12031" max="12032" width="9.140625" style="27"/>
    <col min="12033" max="12033" width="7.7109375" style="27" bestFit="1" customWidth="1"/>
    <col min="12034" max="12034" width="13.140625" style="27" customWidth="1"/>
    <col min="12035" max="12285" width="9.140625" style="27"/>
    <col min="12286" max="12286" width="41.28515625" style="27" bestFit="1" customWidth="1"/>
    <col min="12287" max="12288" width="9.140625" style="27"/>
    <col min="12289" max="12289" width="7.7109375" style="27" bestFit="1" customWidth="1"/>
    <col min="12290" max="12290" width="13.140625" style="27" customWidth="1"/>
    <col min="12291" max="12541" width="9.140625" style="27"/>
    <col min="12542" max="12542" width="41.28515625" style="27" bestFit="1" customWidth="1"/>
    <col min="12543" max="12544" width="9.140625" style="27"/>
    <col min="12545" max="12545" width="7.7109375" style="27" bestFit="1" customWidth="1"/>
    <col min="12546" max="12546" width="13.140625" style="27" customWidth="1"/>
    <col min="12547" max="12797" width="9.140625" style="27"/>
    <col min="12798" max="12798" width="41.28515625" style="27" bestFit="1" customWidth="1"/>
    <col min="12799" max="12800" width="9.140625" style="27"/>
    <col min="12801" max="12801" width="7.7109375" style="27" bestFit="1" customWidth="1"/>
    <col min="12802" max="12802" width="13.140625" style="27" customWidth="1"/>
    <col min="12803" max="13053" width="9.140625" style="27"/>
    <col min="13054" max="13054" width="41.28515625" style="27" bestFit="1" customWidth="1"/>
    <col min="13055" max="13056" width="9.140625" style="27"/>
    <col min="13057" max="13057" width="7.7109375" style="27" bestFit="1" customWidth="1"/>
    <col min="13058" max="13058" width="13.140625" style="27" customWidth="1"/>
    <col min="13059" max="13309" width="9.140625" style="27"/>
    <col min="13310" max="13310" width="41.28515625" style="27" bestFit="1" customWidth="1"/>
    <col min="13311" max="13312" width="9.140625" style="27"/>
    <col min="13313" max="13313" width="7.7109375" style="27" bestFit="1" customWidth="1"/>
    <col min="13314" max="13314" width="13.140625" style="27" customWidth="1"/>
    <col min="13315" max="13565" width="9.140625" style="27"/>
    <col min="13566" max="13566" width="41.28515625" style="27" bestFit="1" customWidth="1"/>
    <col min="13567" max="13568" width="9.140625" style="27"/>
    <col min="13569" max="13569" width="7.7109375" style="27" bestFit="1" customWidth="1"/>
    <col min="13570" max="13570" width="13.140625" style="27" customWidth="1"/>
    <col min="13571" max="13821" width="9.140625" style="27"/>
    <col min="13822" max="13822" width="41.28515625" style="27" bestFit="1" customWidth="1"/>
    <col min="13823" max="13824" width="9.140625" style="27"/>
    <col min="13825" max="13825" width="7.7109375" style="27" bestFit="1" customWidth="1"/>
    <col min="13826" max="13826" width="13.140625" style="27" customWidth="1"/>
    <col min="13827" max="14077" width="9.140625" style="27"/>
    <col min="14078" max="14078" width="41.28515625" style="27" bestFit="1" customWidth="1"/>
    <col min="14079" max="14080" width="9.140625" style="27"/>
    <col min="14081" max="14081" width="7.7109375" style="27" bestFit="1" customWidth="1"/>
    <col min="14082" max="14082" width="13.140625" style="27" customWidth="1"/>
    <col min="14083" max="14333" width="9.140625" style="27"/>
    <col min="14334" max="14334" width="41.28515625" style="27" bestFit="1" customWidth="1"/>
    <col min="14335" max="14336" width="9.140625" style="27"/>
    <col min="14337" max="14337" width="7.7109375" style="27" bestFit="1" customWidth="1"/>
    <col min="14338" max="14338" width="13.140625" style="27" customWidth="1"/>
    <col min="14339" max="14589" width="9.140625" style="27"/>
    <col min="14590" max="14590" width="41.28515625" style="27" bestFit="1" customWidth="1"/>
    <col min="14591" max="14592" width="9.140625" style="27"/>
    <col min="14593" max="14593" width="7.7109375" style="27" bestFit="1" customWidth="1"/>
    <col min="14594" max="14594" width="13.140625" style="27" customWidth="1"/>
    <col min="14595" max="14845" width="9.140625" style="27"/>
    <col min="14846" max="14846" width="41.28515625" style="27" bestFit="1" customWidth="1"/>
    <col min="14847" max="14848" width="9.140625" style="27"/>
    <col min="14849" max="14849" width="7.7109375" style="27" bestFit="1" customWidth="1"/>
    <col min="14850" max="14850" width="13.140625" style="27" customWidth="1"/>
    <col min="14851" max="15101" width="9.140625" style="27"/>
    <col min="15102" max="15102" width="41.28515625" style="27" bestFit="1" customWidth="1"/>
    <col min="15103" max="15104" width="9.140625" style="27"/>
    <col min="15105" max="15105" width="7.7109375" style="27" bestFit="1" customWidth="1"/>
    <col min="15106" max="15106" width="13.140625" style="27" customWidth="1"/>
    <col min="15107" max="15357" width="9.140625" style="27"/>
    <col min="15358" max="15358" width="41.28515625" style="27" bestFit="1" customWidth="1"/>
    <col min="15359" max="15360" width="9.140625" style="27"/>
    <col min="15361" max="15361" width="7.7109375" style="27" bestFit="1" customWidth="1"/>
    <col min="15362" max="15362" width="13.140625" style="27" customWidth="1"/>
    <col min="15363" max="15613" width="9.140625" style="27"/>
    <col min="15614" max="15614" width="41.28515625" style="27" bestFit="1" customWidth="1"/>
    <col min="15615" max="15616" width="9.140625" style="27"/>
    <col min="15617" max="15617" width="7.7109375" style="27" bestFit="1" customWidth="1"/>
    <col min="15618" max="15618" width="13.140625" style="27" customWidth="1"/>
    <col min="15619" max="15869" width="9.140625" style="27"/>
    <col min="15870" max="15870" width="41.28515625" style="27" bestFit="1" customWidth="1"/>
    <col min="15871" max="15872" width="9.140625" style="27"/>
    <col min="15873" max="15873" width="7.7109375" style="27" bestFit="1" customWidth="1"/>
    <col min="15874" max="15874" width="13.140625" style="27" customWidth="1"/>
    <col min="15875" max="16125" width="9.140625" style="27"/>
    <col min="16126" max="16126" width="41.28515625" style="27" bestFit="1" customWidth="1"/>
    <col min="16127" max="16128" width="9.140625" style="27"/>
    <col min="16129" max="16129" width="7.7109375" style="27" bestFit="1" customWidth="1"/>
    <col min="16130" max="16130" width="13.140625" style="27" customWidth="1"/>
    <col min="16131" max="16384" width="9.140625" style="27"/>
  </cols>
  <sheetData>
    <row r="1" spans="1:13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  <c r="M1" s="72"/>
    </row>
    <row r="2" spans="1:13">
      <c r="A2" s="22" t="s">
        <v>89</v>
      </c>
      <c r="B2" s="23"/>
      <c r="C2" s="107">
        <v>2017</v>
      </c>
      <c r="D2" s="107">
        <f>C2+1</f>
        <v>2018</v>
      </c>
      <c r="E2" s="107">
        <f t="shared" ref="E2:G2" si="0">D2+1</f>
        <v>2019</v>
      </c>
      <c r="F2" s="107">
        <f t="shared" si="0"/>
        <v>2020</v>
      </c>
      <c r="G2" s="107">
        <f t="shared" si="0"/>
        <v>2021</v>
      </c>
      <c r="H2" s="107">
        <f t="shared" ref="H2:L2" si="1">G2+1</f>
        <v>2022</v>
      </c>
      <c r="I2" s="107">
        <f t="shared" si="1"/>
        <v>2023</v>
      </c>
      <c r="J2" s="107">
        <f t="shared" si="1"/>
        <v>2024</v>
      </c>
      <c r="K2" s="107">
        <f t="shared" si="1"/>
        <v>2025</v>
      </c>
      <c r="L2" s="107">
        <f t="shared" si="1"/>
        <v>2026</v>
      </c>
      <c r="M2" s="72"/>
    </row>
    <row r="3" spans="1:13" ht="15.75" customHeight="1">
      <c r="A3" s="20"/>
      <c r="B3" s="30"/>
      <c r="C3" s="30"/>
      <c r="D3" s="30"/>
      <c r="E3" s="31"/>
      <c r="F3" s="29"/>
      <c r="G3" s="29"/>
      <c r="H3" s="170"/>
      <c r="I3" s="170"/>
      <c r="J3" s="170"/>
      <c r="K3" s="170"/>
      <c r="L3" s="170"/>
    </row>
    <row r="4" spans="1:13" ht="15.75" customHeight="1">
      <c r="A4" s="20"/>
      <c r="B4" s="20" t="s">
        <v>344</v>
      </c>
      <c r="C4" s="384"/>
      <c r="D4" s="384"/>
      <c r="E4" s="384"/>
      <c r="F4" s="384"/>
      <c r="G4" s="384"/>
      <c r="H4" s="171">
        <f ca="1">'Cash Flows'!H18+'Cash Flows'!H26</f>
        <v>5657.1649500219737</v>
      </c>
      <c r="I4" s="171">
        <f ca="1">'Cash Flows'!I18+'Cash Flows'!I26</f>
        <v>6472.5887335014486</v>
      </c>
      <c r="J4" s="171">
        <f ca="1">'Cash Flows'!J18+'Cash Flows'!J26</f>
        <v>6731.7713693543537</v>
      </c>
      <c r="K4" s="171">
        <f ca="1">'Cash Flows'!K18+'Cash Flows'!K26</f>
        <v>7122.9798089688811</v>
      </c>
      <c r="L4" s="171">
        <f ca="1">'Cash Flows'!L18+'Cash Flows'!L26</f>
        <v>7657.3307881963028</v>
      </c>
    </row>
    <row r="5" spans="1:13" ht="15.75" customHeight="1">
      <c r="A5" s="20"/>
      <c r="B5" s="152" t="s">
        <v>254</v>
      </c>
      <c r="C5" s="384"/>
      <c r="D5" s="384"/>
      <c r="E5" s="384"/>
      <c r="F5" s="384"/>
      <c r="G5" s="384"/>
      <c r="H5" s="171">
        <f ca="1">-'Shareholder''s Equity'!H6</f>
        <v>-4278.8028307912746</v>
      </c>
      <c r="I5" s="171">
        <f ca="1">-'Shareholder''s Equity'!I6</f>
        <v>-4420.9200975978711</v>
      </c>
      <c r="J5" s="171">
        <f ca="1">-'Shareholder''s Equity'!J6</f>
        <v>-4649.582945450049</v>
      </c>
      <c r="K5" s="171">
        <f ca="1">-'Shareholder''s Equity'!K6</f>
        <v>-4941.377801513765</v>
      </c>
      <c r="L5" s="171">
        <f ca="1">-'Shareholder''s Equity'!L6</f>
        <v>-5304.3879273326702</v>
      </c>
    </row>
    <row r="6" spans="1:13" ht="15.75" customHeight="1">
      <c r="A6" s="20"/>
      <c r="B6" s="152" t="s">
        <v>255</v>
      </c>
      <c r="C6" s="385"/>
      <c r="D6" s="385"/>
      <c r="E6" s="385"/>
      <c r="F6" s="385"/>
      <c r="G6" s="385"/>
      <c r="H6" s="171">
        <f>'Shareholder''s Equity'!H8</f>
        <v>203.892</v>
      </c>
      <c r="I6" s="171">
        <f>'Shareholder''s Equity'!I8</f>
        <v>203.892</v>
      </c>
      <c r="J6" s="171">
        <f>'Shareholder''s Equity'!J8</f>
        <v>203.892</v>
      </c>
      <c r="K6" s="171">
        <f>'Shareholder''s Equity'!K8</f>
        <v>203.892</v>
      </c>
      <c r="L6" s="171">
        <f>'Shareholder''s Equity'!L8</f>
        <v>203.892</v>
      </c>
    </row>
    <row r="7" spans="1:13" ht="15.75" customHeight="1">
      <c r="A7" s="20"/>
      <c r="B7" s="152" t="s">
        <v>256</v>
      </c>
      <c r="C7" s="385"/>
      <c r="D7" s="385"/>
      <c r="E7" s="385"/>
      <c r="F7" s="385"/>
      <c r="G7" s="385"/>
      <c r="H7" s="171">
        <f>-'Shareholder''s Equity'!H9</f>
        <v>-2000</v>
      </c>
      <c r="I7" s="171">
        <f>-'Shareholder''s Equity'!I9</f>
        <v>-2000</v>
      </c>
      <c r="J7" s="171">
        <f>-'Shareholder''s Equity'!J9</f>
        <v>-2000</v>
      </c>
      <c r="K7" s="171">
        <f>-'Shareholder''s Equity'!K9</f>
        <v>-2000</v>
      </c>
      <c r="L7" s="171">
        <f>-'Shareholder''s Equity'!L9</f>
        <v>-2000</v>
      </c>
    </row>
    <row r="8" spans="1:13" ht="15.75" customHeight="1">
      <c r="A8" s="20"/>
      <c r="B8" s="172" t="s">
        <v>333</v>
      </c>
      <c r="C8" s="385"/>
      <c r="D8" s="385"/>
      <c r="E8" s="385"/>
      <c r="F8" s="385"/>
      <c r="G8" s="385"/>
      <c r="H8" s="171">
        <f>'Cash Flows'!G41</f>
        <v>4709.1999999999989</v>
      </c>
      <c r="I8" s="171">
        <f ca="1">'Cash Flows'!H41</f>
        <v>4291.4541192306979</v>
      </c>
      <c r="J8" s="171">
        <f ca="1">'Cash Flows'!I41</f>
        <v>2011.3147551342745</v>
      </c>
      <c r="K8" s="171">
        <f ca="1">'Cash Flows'!J41</f>
        <v>850.00000001230546</v>
      </c>
      <c r="L8" s="171">
        <f ca="1">'Cash Flows'!K41</f>
        <v>850.00000010925851</v>
      </c>
    </row>
    <row r="9" spans="1:13" ht="15.75" customHeight="1">
      <c r="A9" s="20"/>
      <c r="B9" s="172" t="s">
        <v>334</v>
      </c>
      <c r="C9" s="385"/>
      <c r="D9" s="385"/>
      <c r="E9" s="385"/>
      <c r="F9" s="385"/>
      <c r="G9" s="385"/>
      <c r="H9" s="173">
        <v>-850</v>
      </c>
      <c r="I9" s="173">
        <v>-850</v>
      </c>
      <c r="J9" s="173">
        <v>-850</v>
      </c>
      <c r="K9" s="173">
        <v>-850</v>
      </c>
      <c r="L9" s="173">
        <v>-850</v>
      </c>
    </row>
    <row r="10" spans="1:13" ht="15.75" customHeight="1">
      <c r="A10" s="20"/>
      <c r="B10" s="20" t="s">
        <v>335</v>
      </c>
      <c r="C10" s="385"/>
      <c r="D10" s="385"/>
      <c r="E10" s="385"/>
      <c r="F10" s="385"/>
      <c r="G10" s="385"/>
      <c r="H10" s="149">
        <f ca="1">SUM(H4:H9)</f>
        <v>3441.4541192306979</v>
      </c>
      <c r="I10" s="149">
        <f t="shared" ref="I10:L10" ca="1" si="2">SUM(I4:I9)</f>
        <v>3697.0147551342752</v>
      </c>
      <c r="J10" s="149">
        <f t="shared" ca="1" si="2"/>
        <v>1447.395179038579</v>
      </c>
      <c r="K10" s="149">
        <f t="shared" ca="1" si="2"/>
        <v>385.4940074674214</v>
      </c>
      <c r="L10" s="149">
        <f t="shared" ca="1" si="2"/>
        <v>556.83486097289097</v>
      </c>
    </row>
    <row r="11" spans="1:13" ht="15.75" customHeight="1">
      <c r="A11" s="20"/>
      <c r="B11" s="20" t="s">
        <v>336</v>
      </c>
      <c r="C11" s="385"/>
      <c r="D11" s="385"/>
      <c r="E11" s="385"/>
      <c r="F11" s="385"/>
      <c r="G11" s="385"/>
      <c r="H11" s="143">
        <f>H27</f>
        <v>0</v>
      </c>
      <c r="I11" s="143">
        <f t="shared" ref="I11:L11" si="3">I27</f>
        <v>0</v>
      </c>
      <c r="J11" s="143">
        <f t="shared" si="3"/>
        <v>0</v>
      </c>
      <c r="K11" s="143">
        <f t="shared" si="3"/>
        <v>0</v>
      </c>
      <c r="L11" s="143">
        <f t="shared" si="3"/>
        <v>0</v>
      </c>
    </row>
    <row r="12" spans="1:13" ht="15.75" customHeight="1">
      <c r="A12" s="20"/>
      <c r="B12" s="327" t="s">
        <v>337</v>
      </c>
      <c r="C12" s="386"/>
      <c r="D12" s="386"/>
      <c r="E12" s="386"/>
      <c r="F12" s="386"/>
      <c r="G12" s="386"/>
      <c r="H12" s="374">
        <f>H28</f>
        <v>0</v>
      </c>
      <c r="I12" s="374">
        <f t="shared" ref="I12:L12" si="4">I28</f>
        <v>-2535.6999999999998</v>
      </c>
      <c r="J12" s="374">
        <f t="shared" si="4"/>
        <v>-5400.5</v>
      </c>
      <c r="K12" s="374">
        <f t="shared" si="4"/>
        <v>-3136.4</v>
      </c>
      <c r="L12" s="374">
        <f t="shared" si="4"/>
        <v>-2460</v>
      </c>
    </row>
    <row r="13" spans="1:13" ht="15.75" customHeight="1">
      <c r="A13" s="20"/>
      <c r="B13" s="376" t="s">
        <v>430</v>
      </c>
      <c r="C13" s="377"/>
      <c r="D13" s="377"/>
      <c r="E13" s="377"/>
      <c r="F13" s="378"/>
      <c r="G13" s="378"/>
      <c r="H13" s="378">
        <f ca="1">SUM(H10:H12)</f>
        <v>3441.4541192306979</v>
      </c>
      <c r="I13" s="378">
        <f t="shared" ref="I13:L13" ca="1" si="5">SUM(I10:I12)</f>
        <v>1161.3147551342754</v>
      </c>
      <c r="J13" s="378">
        <f t="shared" ca="1" si="5"/>
        <v>-3953.104820961421</v>
      </c>
      <c r="K13" s="378">
        <f t="shared" ca="1" si="5"/>
        <v>-2750.9059925325787</v>
      </c>
      <c r="L13" s="378">
        <f t="shared" ca="1" si="5"/>
        <v>-1903.165139027109</v>
      </c>
    </row>
    <row r="14" spans="1:13" ht="15.75" customHeight="1">
      <c r="A14" s="20"/>
      <c r="B14" s="270"/>
      <c r="C14" s="375"/>
      <c r="D14" s="375"/>
      <c r="E14" s="375"/>
      <c r="F14" s="375"/>
      <c r="G14" s="375"/>
      <c r="H14" s="375"/>
      <c r="I14" s="375"/>
      <c r="J14" s="375"/>
      <c r="K14" s="375"/>
      <c r="L14" s="375"/>
    </row>
    <row r="15" spans="1:13" ht="15.75" customHeight="1">
      <c r="A15" s="20"/>
      <c r="B15" s="174" t="s">
        <v>431</v>
      </c>
      <c r="C15" s="143"/>
      <c r="D15" s="143"/>
      <c r="E15" s="143"/>
      <c r="F15" s="143"/>
      <c r="G15" s="143"/>
      <c r="H15" s="143"/>
      <c r="I15" s="143"/>
      <c r="J15" s="143"/>
      <c r="K15" s="143"/>
      <c r="L15" s="143"/>
    </row>
    <row r="16" spans="1:13" ht="15.75" customHeight="1">
      <c r="A16" s="20"/>
      <c r="B16" s="20" t="s">
        <v>338</v>
      </c>
      <c r="C16" s="143"/>
      <c r="D16" s="143"/>
      <c r="E16" s="143"/>
      <c r="F16" s="143"/>
      <c r="G16" s="143"/>
      <c r="H16" s="143">
        <f>G18</f>
        <v>0</v>
      </c>
      <c r="I16" s="143">
        <f t="shared" ref="I16:L16" ca="1" si="6">H18</f>
        <v>0</v>
      </c>
      <c r="J16" s="143">
        <f t="shared" ca="1" si="6"/>
        <v>0</v>
      </c>
      <c r="K16" s="143">
        <f t="shared" ca="1" si="6"/>
        <v>3953.1048209737264</v>
      </c>
      <c r="L16" s="143">
        <f t="shared" ca="1" si="6"/>
        <v>6704.0108136278686</v>
      </c>
    </row>
    <row r="17" spans="1:13" ht="15.75" customHeight="1">
      <c r="A17" s="20"/>
      <c r="B17" s="327" t="s">
        <v>339</v>
      </c>
      <c r="C17" s="374"/>
      <c r="D17" s="374"/>
      <c r="E17" s="374"/>
      <c r="F17" s="374"/>
      <c r="G17" s="374"/>
      <c r="H17" s="374">
        <f ca="1">IF(H13&lt;0,-H13,-MIN(H13,H16))</f>
        <v>0</v>
      </c>
      <c r="I17" s="374">
        <f t="shared" ref="I17:L17" ca="1" si="7">IF(I13&lt;0,-I13,-MIN(I13,I16))</f>
        <v>0</v>
      </c>
      <c r="J17" s="374">
        <f t="shared" ca="1" si="7"/>
        <v>3953.104820961421</v>
      </c>
      <c r="K17" s="374">
        <f t="shared" ca="1" si="7"/>
        <v>2750.9059925325787</v>
      </c>
      <c r="L17" s="374">
        <f t="shared" ca="1" si="7"/>
        <v>1903.165139027109</v>
      </c>
    </row>
    <row r="18" spans="1:13" ht="15.75" customHeight="1">
      <c r="A18" s="20"/>
      <c r="B18" s="330" t="s">
        <v>11</v>
      </c>
      <c r="C18" s="379"/>
      <c r="D18" s="379"/>
      <c r="E18" s="379"/>
      <c r="F18" s="380"/>
      <c r="G18" s="381">
        <v>0</v>
      </c>
      <c r="H18" s="380">
        <f ca="1">SUM(H16:H17)</f>
        <v>0</v>
      </c>
      <c r="I18" s="380">
        <f t="shared" ref="I18:L18" ca="1" si="8">SUM(I16:I17)</f>
        <v>0</v>
      </c>
      <c r="J18" s="380">
        <f t="shared" ca="1" si="8"/>
        <v>3953.104820961421</v>
      </c>
      <c r="K18" s="380">
        <f t="shared" ca="1" si="8"/>
        <v>6704.0108135063056</v>
      </c>
      <c r="L18" s="380">
        <f t="shared" ca="1" si="8"/>
        <v>8607.1759526549777</v>
      </c>
    </row>
    <row r="19" spans="1:13" ht="15.75" customHeight="1">
      <c r="A19" s="20"/>
      <c r="B19" s="270"/>
      <c r="C19" s="375"/>
      <c r="D19" s="375"/>
      <c r="E19" s="375"/>
      <c r="F19" s="375"/>
      <c r="G19" s="375"/>
      <c r="H19" s="375"/>
      <c r="I19" s="375"/>
      <c r="J19" s="375"/>
      <c r="K19" s="375"/>
      <c r="L19" s="375"/>
    </row>
    <row r="20" spans="1:13" ht="15.75" customHeight="1">
      <c r="A20" s="20"/>
      <c r="B20" s="174" t="s">
        <v>431</v>
      </c>
      <c r="C20" s="20"/>
      <c r="D20" s="20"/>
      <c r="E20" s="20"/>
      <c r="F20" s="20" t="s">
        <v>340</v>
      </c>
      <c r="G20" s="67"/>
      <c r="H20" s="67">
        <f ca="1">AVERAGE(G18:H18)</f>
        <v>0</v>
      </c>
      <c r="I20" s="67">
        <f t="shared" ref="I20:L20" ca="1" si="9">AVERAGE(H18:I18)</f>
        <v>0</v>
      </c>
      <c r="J20" s="67">
        <f t="shared" ca="1" si="9"/>
        <v>1976.5524104807105</v>
      </c>
      <c r="K20" s="67">
        <f t="shared" ca="1" si="9"/>
        <v>5328.5578172338628</v>
      </c>
      <c r="L20" s="67">
        <f t="shared" ca="1" si="9"/>
        <v>7655.5933830806416</v>
      </c>
    </row>
    <row r="21" spans="1:13" ht="15.75" customHeight="1">
      <c r="A21" s="20"/>
      <c r="B21" s="20"/>
      <c r="C21" s="20"/>
      <c r="D21" s="20"/>
      <c r="E21" s="20"/>
      <c r="F21" s="20" t="s">
        <v>30</v>
      </c>
      <c r="G21" s="175"/>
      <c r="H21" s="119">
        <v>2.4E-2</v>
      </c>
      <c r="I21" s="119">
        <v>2.4E-2</v>
      </c>
      <c r="J21" s="119">
        <v>2.4E-2</v>
      </c>
      <c r="K21" s="119">
        <v>2.4E-2</v>
      </c>
      <c r="L21" s="119">
        <v>2.4E-2</v>
      </c>
    </row>
    <row r="22" spans="1:13" ht="15.75" customHeight="1">
      <c r="A22" s="20"/>
      <c r="B22" s="20"/>
      <c r="C22" s="20"/>
      <c r="D22" s="20"/>
      <c r="E22" s="20"/>
      <c r="F22" s="20" t="s">
        <v>198</v>
      </c>
      <c r="G22" s="67"/>
      <c r="H22" s="67">
        <f ca="1">H20*H21</f>
        <v>0</v>
      </c>
      <c r="I22" s="67">
        <f t="shared" ref="I22:L22" ca="1" si="10">I20*I21</f>
        <v>0</v>
      </c>
      <c r="J22" s="67">
        <f t="shared" ca="1" si="10"/>
        <v>47.437257851537055</v>
      </c>
      <c r="K22" s="67">
        <f t="shared" ca="1" si="10"/>
        <v>127.88538761361271</v>
      </c>
      <c r="L22" s="67">
        <f t="shared" ca="1" si="10"/>
        <v>183.73424119393539</v>
      </c>
    </row>
    <row r="23" spans="1:13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3" ht="15.75" customHeight="1">
      <c r="A24" s="20"/>
      <c r="B24" s="31" t="s">
        <v>249</v>
      </c>
      <c r="C24" s="92">
        <f>'Balance Sheet'!C31</f>
        <v>0</v>
      </c>
      <c r="D24" s="92">
        <f>'Balance Sheet'!D31</f>
        <v>0</v>
      </c>
      <c r="E24" s="92">
        <f>'Balance Sheet'!E31</f>
        <v>59.1</v>
      </c>
      <c r="F24" s="92">
        <f>'Balance Sheet'!F31</f>
        <v>2243.6</v>
      </c>
      <c r="G24" s="92">
        <f>'Balance Sheet'!G31</f>
        <v>0</v>
      </c>
      <c r="H24" s="118">
        <v>0</v>
      </c>
      <c r="I24" s="118">
        <v>0</v>
      </c>
      <c r="J24" s="118">
        <v>0</v>
      </c>
      <c r="K24" s="118">
        <v>0</v>
      </c>
      <c r="L24" s="118">
        <v>0</v>
      </c>
    </row>
    <row r="25" spans="1:13" ht="15.75" customHeight="1">
      <c r="A25" s="20"/>
      <c r="B25" s="31"/>
      <c r="C25" s="169"/>
      <c r="D25" s="169"/>
      <c r="E25" s="169"/>
      <c r="F25" s="169"/>
      <c r="G25" s="169"/>
      <c r="H25" s="169"/>
      <c r="I25" s="169"/>
      <c r="J25" s="169"/>
      <c r="K25" s="169"/>
      <c r="L25" s="169"/>
    </row>
    <row r="26" spans="1:13" ht="15.75" customHeight="1">
      <c r="A26" s="20"/>
      <c r="B26" s="41" t="s">
        <v>246</v>
      </c>
      <c r="C26" s="169"/>
      <c r="D26" s="169"/>
      <c r="E26" s="169"/>
      <c r="F26" s="169"/>
      <c r="G26" s="169"/>
      <c r="H26" s="92">
        <f>G29</f>
        <v>35622.699999999997</v>
      </c>
      <c r="I26" s="92">
        <f t="shared" ref="I26:L26" si="11">H29</f>
        <v>35622.699999999997</v>
      </c>
      <c r="J26" s="92">
        <f t="shared" si="11"/>
        <v>33087</v>
      </c>
      <c r="K26" s="92">
        <f t="shared" si="11"/>
        <v>27686.5</v>
      </c>
      <c r="L26" s="92">
        <f t="shared" si="11"/>
        <v>24550.1</v>
      </c>
    </row>
    <row r="27" spans="1:13" ht="15.75" customHeight="1">
      <c r="B27" s="31" t="s">
        <v>12</v>
      </c>
      <c r="C27" s="92"/>
      <c r="D27" s="92"/>
      <c r="E27" s="92"/>
      <c r="F27" s="92"/>
      <c r="G27" s="92"/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20"/>
    </row>
    <row r="28" spans="1:13" ht="15.75" customHeight="1">
      <c r="B28" s="255" t="s">
        <v>247</v>
      </c>
      <c r="C28" s="294"/>
      <c r="D28" s="294"/>
      <c r="E28" s="294"/>
      <c r="F28" s="294"/>
      <c r="G28" s="294"/>
      <c r="H28" s="311">
        <v>0</v>
      </c>
      <c r="I28" s="311">
        <v>-2535.6999999999998</v>
      </c>
      <c r="J28" s="311">
        <v>-5400.5</v>
      </c>
      <c r="K28" s="311">
        <v>-3136.4</v>
      </c>
      <c r="L28" s="311">
        <v>-2460</v>
      </c>
      <c r="M28" s="20"/>
    </row>
    <row r="29" spans="1:13" ht="15.75" customHeight="1">
      <c r="A29" s="20"/>
      <c r="B29" s="383" t="s">
        <v>11</v>
      </c>
      <c r="C29" s="299">
        <f>'Balance Sheet'!C34</f>
        <v>29536.400000000001</v>
      </c>
      <c r="D29" s="299">
        <f>'Balance Sheet'!D34</f>
        <v>31075.3</v>
      </c>
      <c r="E29" s="299">
        <f>'Balance Sheet'!E34</f>
        <v>34118.1</v>
      </c>
      <c r="F29" s="299">
        <f>'Balance Sheet'!F34</f>
        <v>35196.800000000003</v>
      </c>
      <c r="G29" s="299">
        <f>'Balance Sheet'!G34</f>
        <v>35622.699999999997</v>
      </c>
      <c r="H29" s="299">
        <f>SUM(H26:H28)</f>
        <v>35622.699999999997</v>
      </c>
      <c r="I29" s="299">
        <f t="shared" ref="I29:L29" si="12">SUM(I26:I28)</f>
        <v>33087</v>
      </c>
      <c r="J29" s="299">
        <f t="shared" si="12"/>
        <v>27686.5</v>
      </c>
      <c r="K29" s="299">
        <f t="shared" si="12"/>
        <v>24550.1</v>
      </c>
      <c r="L29" s="299">
        <f t="shared" si="12"/>
        <v>22090.1</v>
      </c>
    </row>
    <row r="30" spans="1:13" ht="15.75" customHeight="1">
      <c r="A30" s="20"/>
      <c r="B30" s="258"/>
      <c r="C30" s="382"/>
      <c r="D30" s="382"/>
      <c r="E30" s="382"/>
      <c r="F30" s="382"/>
      <c r="G30" s="382"/>
      <c r="H30" s="382"/>
      <c r="I30" s="382"/>
      <c r="J30" s="382"/>
      <c r="K30" s="382"/>
      <c r="L30" s="382"/>
    </row>
    <row r="31" spans="1:13" ht="15.75" customHeight="1">
      <c r="A31" s="20"/>
      <c r="B31" s="258" t="s">
        <v>340</v>
      </c>
      <c r="C31" s="382"/>
      <c r="D31" s="382">
        <f>AVERAGE(C29:D29)+AVERAGE(C24:D24)</f>
        <v>30305.85</v>
      </c>
      <c r="E31" s="382">
        <f t="shared" ref="E31:L31" si="13">AVERAGE(D29:E29)+AVERAGE(D24:E24)</f>
        <v>32626.249999999996</v>
      </c>
      <c r="F31" s="382">
        <f t="shared" si="13"/>
        <v>35808.799999999996</v>
      </c>
      <c r="G31" s="382">
        <f t="shared" si="13"/>
        <v>36531.550000000003</v>
      </c>
      <c r="H31" s="382">
        <f t="shared" si="13"/>
        <v>35622.699999999997</v>
      </c>
      <c r="I31" s="382">
        <f t="shared" si="13"/>
        <v>34354.85</v>
      </c>
      <c r="J31" s="382">
        <f t="shared" si="13"/>
        <v>30386.75</v>
      </c>
      <c r="K31" s="382">
        <f t="shared" si="13"/>
        <v>26118.3</v>
      </c>
      <c r="L31" s="382">
        <f t="shared" si="13"/>
        <v>23320.1</v>
      </c>
    </row>
    <row r="32" spans="1:13" ht="15.75" customHeight="1">
      <c r="A32" s="20"/>
      <c r="B32" s="31" t="s">
        <v>397</v>
      </c>
      <c r="C32" s="92"/>
      <c r="D32" s="92">
        <f>'Income Statement'!D22</f>
        <v>981.2</v>
      </c>
      <c r="E32" s="92">
        <f>'Income Statement'!E22</f>
        <v>1121.9000000000001</v>
      </c>
      <c r="F32" s="92">
        <f>'Income Statement'!F22</f>
        <v>1218.0999999999999</v>
      </c>
      <c r="G32" s="92">
        <f>'Income Statement'!G22</f>
        <v>1185.8</v>
      </c>
      <c r="H32" s="167">
        <f>H31*H33</f>
        <v>1186.2359100000001</v>
      </c>
      <c r="I32" s="167">
        <f t="shared" ref="I32:L32" si="14">I31*I33</f>
        <v>1144.0165050000001</v>
      </c>
      <c r="J32" s="167">
        <f t="shared" si="14"/>
        <v>1011.8787750000001</v>
      </c>
      <c r="K32" s="167">
        <f t="shared" si="14"/>
        <v>869.73939000000007</v>
      </c>
      <c r="L32" s="167">
        <f t="shared" si="14"/>
        <v>776.55933000000005</v>
      </c>
    </row>
    <row r="33" spans="1:12" ht="15.75" customHeight="1">
      <c r="A33" s="20"/>
      <c r="B33" s="31" t="s">
        <v>248</v>
      </c>
      <c r="C33" s="176"/>
      <c r="D33" s="177">
        <f>D32/D31</f>
        <v>3.2376587358546288E-2</v>
      </c>
      <c r="E33" s="177">
        <f t="shared" ref="E33:G33" si="15">E32/E31</f>
        <v>3.43864219761695E-2</v>
      </c>
      <c r="F33" s="177">
        <f t="shared" si="15"/>
        <v>3.4016777998704228E-2</v>
      </c>
      <c r="G33" s="177">
        <f t="shared" si="15"/>
        <v>3.245961367639752E-2</v>
      </c>
      <c r="H33" s="178">
        <v>3.3300000000000003E-2</v>
      </c>
      <c r="I33" s="178">
        <v>3.3300000000000003E-2</v>
      </c>
      <c r="J33" s="178">
        <v>3.3300000000000003E-2</v>
      </c>
      <c r="K33" s="178">
        <v>3.3300000000000003E-2</v>
      </c>
      <c r="L33" s="178">
        <v>3.3300000000000003E-2</v>
      </c>
    </row>
    <row r="34" spans="1:12" ht="15.75" customHeight="1">
      <c r="A34" s="20"/>
      <c r="B34" s="31"/>
      <c r="C34" s="30"/>
      <c r="D34" s="30"/>
      <c r="E34" s="31"/>
      <c r="F34" s="29"/>
      <c r="G34" s="29"/>
      <c r="H34" s="170"/>
      <c r="I34" s="170"/>
      <c r="J34" s="170"/>
      <c r="K34" s="170"/>
      <c r="L34" s="170"/>
    </row>
    <row r="35" spans="1:12" ht="15.75" customHeight="1">
      <c r="A35" s="20"/>
      <c r="B35" s="79" t="s">
        <v>341</v>
      </c>
      <c r="C35" s="179"/>
      <c r="D35" s="179"/>
      <c r="E35" s="79"/>
      <c r="F35" s="42"/>
      <c r="G35" s="42"/>
      <c r="H35" s="387">
        <f ca="1">H22+H32</f>
        <v>1186.2359100000001</v>
      </c>
      <c r="I35" s="387">
        <f t="shared" ref="I35:L35" ca="1" si="16">I22+I32</f>
        <v>1144.0165050000001</v>
      </c>
      <c r="J35" s="387">
        <f t="shared" ca="1" si="16"/>
        <v>1059.3160328515371</v>
      </c>
      <c r="K35" s="387">
        <f t="shared" ca="1" si="16"/>
        <v>997.62477761361276</v>
      </c>
      <c r="L35" s="387">
        <f t="shared" ca="1" si="16"/>
        <v>960.29357119393546</v>
      </c>
    </row>
    <row r="36" spans="1:12" ht="15.75" customHeight="1">
      <c r="A36" s="20"/>
      <c r="B36" s="31"/>
      <c r="C36" s="30"/>
      <c r="D36" s="30"/>
      <c r="E36" s="31"/>
      <c r="F36" s="29"/>
      <c r="G36" s="29"/>
      <c r="H36" s="170"/>
      <c r="I36" s="170"/>
      <c r="J36" s="170"/>
      <c r="K36" s="170"/>
      <c r="L36" s="170"/>
    </row>
    <row r="37" spans="1:12">
      <c r="A37" s="20"/>
      <c r="B37" s="31" t="s">
        <v>31</v>
      </c>
      <c r="C37" s="31"/>
      <c r="D37" s="382">
        <f>AVERAGE('Balance Sheet'!C6:D6)</f>
        <v>1664.9</v>
      </c>
      <c r="E37" s="382">
        <f>AVERAGE('Balance Sheet'!D6:E6)</f>
        <v>882.25</v>
      </c>
      <c r="F37" s="382">
        <f>AVERAGE('Balance Sheet'!E6:F6)</f>
        <v>2173.8000000000002</v>
      </c>
      <c r="G37" s="382">
        <f>AVERAGE('Balance Sheet'!F6:G6)</f>
        <v>4079.1499999999996</v>
      </c>
      <c r="H37" s="382">
        <f ca="1">AVERAGE('Balance Sheet'!G6:H6)</f>
        <v>4500.3270596153488</v>
      </c>
      <c r="I37" s="382">
        <f ca="1">AVERAGE('Balance Sheet'!H6:I6)</f>
        <v>3151.3844371824862</v>
      </c>
      <c r="J37" s="382">
        <f ca="1">AVERAGE('Balance Sheet'!I6:J6)</f>
        <v>1430.6573775760253</v>
      </c>
      <c r="K37" s="382">
        <f ca="1">AVERAGE('Balance Sheet'!J6:K6)</f>
        <v>850.0000001198905</v>
      </c>
      <c r="L37" s="382">
        <f ca="1">AVERAGE('Balance Sheet'!K6:L6)</f>
        <v>850.00000070718988</v>
      </c>
    </row>
    <row r="38" spans="1:12">
      <c r="A38" s="20"/>
      <c r="B38" s="31" t="s">
        <v>30</v>
      </c>
      <c r="C38" s="31"/>
      <c r="D38" s="472">
        <f t="shared" ref="D38:F38" si="17">D39/D37</f>
        <v>2.4025466995014713E-3</v>
      </c>
      <c r="E38" s="472">
        <f t="shared" si="17"/>
        <v>4.1938226126381414E-2</v>
      </c>
      <c r="F38" s="472">
        <f t="shared" si="17"/>
        <v>8.2804305823902837E-3</v>
      </c>
      <c r="G38" s="472">
        <f>G39/G37</f>
        <v>2.2063420075260779E-3</v>
      </c>
      <c r="H38" s="178">
        <v>2.3E-3</v>
      </c>
      <c r="I38" s="178">
        <v>2.3E-3</v>
      </c>
      <c r="J38" s="178">
        <v>2.3E-3</v>
      </c>
      <c r="K38" s="178">
        <v>2.3E-3</v>
      </c>
      <c r="L38" s="178">
        <v>2.3E-3</v>
      </c>
    </row>
    <row r="39" spans="1:12" ht="15.75" customHeight="1">
      <c r="A39" s="20"/>
      <c r="B39" s="79" t="s">
        <v>376</v>
      </c>
      <c r="C39" s="179"/>
      <c r="D39" s="167">
        <v>4</v>
      </c>
      <c r="E39" s="167">
        <v>37</v>
      </c>
      <c r="F39" s="167">
        <v>18</v>
      </c>
      <c r="G39" s="167">
        <v>9</v>
      </c>
      <c r="H39" s="167">
        <f ca="1">H37*H38</f>
        <v>10.350752237115302</v>
      </c>
      <c r="I39" s="167">
        <f t="shared" ref="I39:L39" ca="1" si="18">I37*I38</f>
        <v>7.2481842055197179</v>
      </c>
      <c r="J39" s="167">
        <f t="shared" ca="1" si="18"/>
        <v>3.290511968424858</v>
      </c>
      <c r="K39" s="167">
        <f t="shared" ca="1" si="18"/>
        <v>1.9550000002757482</v>
      </c>
      <c r="L39" s="167">
        <f t="shared" ca="1" si="18"/>
        <v>1.9550000016265368</v>
      </c>
    </row>
    <row r="40" spans="1:12" ht="15">
      <c r="A40" s="20"/>
      <c r="B40" s="180"/>
      <c r="C40" s="180"/>
      <c r="D40" s="180"/>
      <c r="E40" s="44"/>
      <c r="F40" s="44"/>
      <c r="G40" s="44"/>
      <c r="H40" s="44"/>
      <c r="I40" s="44"/>
      <c r="J40" s="44"/>
      <c r="K40" s="44"/>
      <c r="L40" s="44"/>
    </row>
    <row r="41" spans="1:12" ht="15">
      <c r="A41" s="20"/>
      <c r="B41" s="79" t="s">
        <v>357</v>
      </c>
      <c r="C41" s="388"/>
      <c r="D41" s="388"/>
      <c r="E41" s="79"/>
      <c r="F41" s="79"/>
      <c r="G41" s="79"/>
      <c r="H41" s="387">
        <f ca="1">H35-H39</f>
        <v>1175.8851577628848</v>
      </c>
      <c r="I41" s="387">
        <f t="shared" ref="I41:L41" ca="1" si="19">I35-I39</f>
        <v>1136.7683207944804</v>
      </c>
      <c r="J41" s="387">
        <f t="shared" ca="1" si="19"/>
        <v>1056.0255208831122</v>
      </c>
      <c r="K41" s="387">
        <f t="shared" ca="1" si="19"/>
        <v>995.66977761333703</v>
      </c>
      <c r="L41" s="387">
        <f t="shared" ca="1" si="19"/>
        <v>958.3385711923089</v>
      </c>
    </row>
    <row r="42" spans="1:12" ht="15">
      <c r="A42" s="20"/>
      <c r="B42" s="180"/>
      <c r="C42" s="180"/>
      <c r="D42" s="180"/>
      <c r="E42" s="44"/>
      <c r="F42" s="44"/>
      <c r="G42" s="44"/>
      <c r="H42" s="44"/>
      <c r="I42" s="44"/>
      <c r="J42" s="44"/>
      <c r="K42" s="44"/>
      <c r="L42" s="44"/>
    </row>
    <row r="43" spans="1:12" ht="15">
      <c r="B43" s="180"/>
      <c r="C43" s="180"/>
      <c r="D43" s="180"/>
      <c r="E43" s="44"/>
      <c r="F43" s="44"/>
      <c r="G43" s="44"/>
      <c r="H43" s="44"/>
      <c r="I43" s="44"/>
      <c r="J43" s="44"/>
      <c r="K43" s="44"/>
      <c r="L43" s="44"/>
    </row>
    <row r="44" spans="1:12" ht="15">
      <c r="B44" s="180"/>
      <c r="C44" s="180"/>
      <c r="D44" s="180"/>
      <c r="E44" s="44"/>
      <c r="F44" s="44"/>
      <c r="G44" s="44"/>
      <c r="H44" s="44"/>
      <c r="I44" s="44"/>
      <c r="J44" s="44"/>
      <c r="K44" s="44"/>
      <c r="L44" s="44"/>
    </row>
  </sheetData>
  <mergeCells count="2">
    <mergeCell ref="H1:L1"/>
    <mergeCell ref="C1:G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AF00"/>
  </sheetPr>
  <dimension ref="A1:L76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6" sqref="A6"/>
      <selection pane="bottomRight"/>
    </sheetView>
  </sheetViews>
  <sheetFormatPr defaultRowHeight="14.25"/>
  <cols>
    <col min="1" max="1" width="2.85546875" style="27" customWidth="1"/>
    <col min="2" max="2" width="48" style="27" customWidth="1"/>
    <col min="3" max="12" width="12.5703125" style="27" customWidth="1"/>
    <col min="13" max="16384" width="9.140625" style="27"/>
  </cols>
  <sheetData>
    <row r="1" spans="1:12" ht="30">
      <c r="A1" s="18" t="str">
        <f>Index!A1</f>
        <v xml:space="preserve">McDonalds </v>
      </c>
      <c r="B1" s="19"/>
      <c r="C1" s="490" t="s">
        <v>13</v>
      </c>
      <c r="D1" s="490"/>
      <c r="E1" s="490"/>
      <c r="F1" s="490"/>
      <c r="G1" s="490"/>
      <c r="H1" s="490" t="s">
        <v>14</v>
      </c>
      <c r="I1" s="490"/>
      <c r="J1" s="490"/>
      <c r="K1" s="490"/>
      <c r="L1" s="490"/>
    </row>
    <row r="2" spans="1:12">
      <c r="A2" s="22" t="s">
        <v>89</v>
      </c>
      <c r="B2" s="23"/>
      <c r="C2" s="107">
        <v>2017</v>
      </c>
      <c r="D2" s="107">
        <v>2018</v>
      </c>
      <c r="E2" s="107">
        <v>2019</v>
      </c>
      <c r="F2" s="107">
        <v>2020</v>
      </c>
      <c r="G2" s="107">
        <f t="shared" ref="G2:L2" si="0">F2+1</f>
        <v>2021</v>
      </c>
      <c r="H2" s="107">
        <f t="shared" si="0"/>
        <v>2022</v>
      </c>
      <c r="I2" s="107">
        <f t="shared" si="0"/>
        <v>2023</v>
      </c>
      <c r="J2" s="107">
        <f t="shared" si="0"/>
        <v>2024</v>
      </c>
      <c r="K2" s="107">
        <f t="shared" si="0"/>
        <v>2025</v>
      </c>
      <c r="L2" s="107">
        <f t="shared" si="0"/>
        <v>2026</v>
      </c>
    </row>
    <row r="3" spans="1:1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>
      <c r="A4" s="20"/>
      <c r="B4" s="181" t="s">
        <v>15</v>
      </c>
      <c r="C4" s="194">
        <f>'Income Statement'!C21</f>
        <v>0</v>
      </c>
      <c r="D4" s="194">
        <f>'Income Statement'!D21</f>
        <v>8822.6999999999971</v>
      </c>
      <c r="E4" s="194">
        <f>'Income Statement'!E21</f>
        <v>9070.4</v>
      </c>
      <c r="F4" s="194">
        <f>'Income Statement'!F21</f>
        <v>7324.1999999999989</v>
      </c>
      <c r="G4" s="194">
        <f>'Income Statement'!G21</f>
        <v>10356.099999999999</v>
      </c>
      <c r="H4" s="194">
        <f>'Income Statement'!H21</f>
        <v>10054.911575673808</v>
      </c>
      <c r="I4" s="194">
        <f>'Income Statement'!I21</f>
        <v>10310.705024670535</v>
      </c>
      <c r="J4" s="194">
        <f>'Income Statement'!J21</f>
        <v>10704.464917959174</v>
      </c>
      <c r="K4" s="194">
        <f>'Income Statement'!K21</f>
        <v>11249.618317826611</v>
      </c>
      <c r="L4" s="194">
        <f>'Income Statement'!L21</f>
        <v>11965.576436760331</v>
      </c>
    </row>
    <row r="5" spans="1:12">
      <c r="A5" s="20"/>
      <c r="B5" s="181" t="s">
        <v>245</v>
      </c>
      <c r="C5" s="182">
        <f>'Income Statement'!C73</f>
        <v>0</v>
      </c>
      <c r="D5" s="182">
        <f>'Income Statement'!D73</f>
        <v>8.8992379339542751E-2</v>
      </c>
      <c r="E5" s="182">
        <f>'Income Statement'!E73</f>
        <v>9.326936578516265E-2</v>
      </c>
      <c r="F5" s="182">
        <f>'Income Statement'!F73</f>
        <v>7.3417326114119122E-2</v>
      </c>
      <c r="G5" s="182">
        <f>'Income Statement'!G73</f>
        <v>6.8152262842871292E-2</v>
      </c>
      <c r="H5" s="182">
        <f>'Income Statement'!H73</f>
        <v>0</v>
      </c>
      <c r="I5" s="182">
        <f>'Income Statement'!I73</f>
        <v>0</v>
      </c>
      <c r="J5" s="182">
        <f>'Income Statement'!J73</f>
        <v>0</v>
      </c>
      <c r="K5" s="182">
        <f>'Income Statement'!K73</f>
        <v>0</v>
      </c>
      <c r="L5" s="182">
        <f>'Income Statement'!L73</f>
        <v>0</v>
      </c>
    </row>
    <row r="6" spans="1:12">
      <c r="A6" s="20"/>
      <c r="B6" s="181"/>
      <c r="C6" s="183"/>
      <c r="D6" s="183"/>
      <c r="E6" s="183"/>
      <c r="F6" s="183"/>
      <c r="G6" s="183"/>
      <c r="H6" s="184"/>
      <c r="I6" s="184"/>
      <c r="J6" s="184"/>
      <c r="K6" s="184"/>
      <c r="L6" s="184"/>
    </row>
    <row r="7" spans="1:12">
      <c r="A7" s="20"/>
      <c r="B7" s="181"/>
      <c r="C7" s="183"/>
      <c r="D7" s="183"/>
      <c r="E7" s="183"/>
      <c r="F7" s="183"/>
      <c r="G7" s="183"/>
      <c r="H7" s="184"/>
      <c r="I7" s="184"/>
      <c r="J7" s="184"/>
      <c r="K7" s="184"/>
      <c r="L7" s="184"/>
    </row>
    <row r="8" spans="1:12" ht="15">
      <c r="A8" s="20"/>
      <c r="B8" s="185" t="s">
        <v>97</v>
      </c>
      <c r="C8" s="183"/>
      <c r="D8" s="183"/>
      <c r="E8" s="183"/>
      <c r="F8" s="183"/>
      <c r="G8" s="183"/>
      <c r="H8" s="184"/>
      <c r="I8" s="184"/>
      <c r="J8" s="184"/>
      <c r="K8" s="184"/>
      <c r="L8" s="184"/>
    </row>
    <row r="9" spans="1:12">
      <c r="A9" s="20"/>
      <c r="B9" s="181" t="s">
        <v>16</v>
      </c>
      <c r="C9" s="127">
        <f>C4*(1-C5)</f>
        <v>0</v>
      </c>
      <c r="D9" s="127">
        <f t="shared" ref="D9:L9" si="1">D4*(1-D5)</f>
        <v>8037.5469348010138</v>
      </c>
      <c r="E9" s="127">
        <f t="shared" si="1"/>
        <v>8224.4095445822604</v>
      </c>
      <c r="F9" s="127">
        <f t="shared" si="1"/>
        <v>6786.4768200749677</v>
      </c>
      <c r="G9" s="127">
        <f t="shared" si="1"/>
        <v>9650.3083507729407</v>
      </c>
      <c r="H9" s="127">
        <f t="shared" si="1"/>
        <v>10054.911575673808</v>
      </c>
      <c r="I9" s="127">
        <f t="shared" si="1"/>
        <v>10310.705024670535</v>
      </c>
      <c r="J9" s="127">
        <f t="shared" si="1"/>
        <v>10704.464917959174</v>
      </c>
      <c r="K9" s="127">
        <f t="shared" si="1"/>
        <v>11249.618317826611</v>
      </c>
      <c r="L9" s="127">
        <f t="shared" si="1"/>
        <v>11965.576436760331</v>
      </c>
    </row>
    <row r="10" spans="1:12" ht="15">
      <c r="A10" s="20"/>
      <c r="B10" s="185" t="s">
        <v>20</v>
      </c>
      <c r="C10" s="194">
        <f>'Cash Flows'!C7</f>
        <v>1363.4</v>
      </c>
      <c r="D10" s="194">
        <f>'Cash Flows'!D7</f>
        <v>1482</v>
      </c>
      <c r="E10" s="194">
        <f>'Cash Flows'!E7</f>
        <v>1617.9</v>
      </c>
      <c r="F10" s="194">
        <f>'Cash Flows'!F7</f>
        <v>1751.4</v>
      </c>
      <c r="G10" s="194">
        <f>'Cash Flows'!G7</f>
        <v>1868.1</v>
      </c>
      <c r="H10" s="194">
        <f>'Cash Flows'!H7</f>
        <v>1882.0559392380742</v>
      </c>
      <c r="I10" s="194">
        <f>'Cash Flows'!I7</f>
        <v>2052.2387689523166</v>
      </c>
      <c r="J10" s="194">
        <f>'Cash Flows'!J7</f>
        <v>2250.2701678094122</v>
      </c>
      <c r="K10" s="194">
        <f>'Cash Flows'!K7</f>
        <v>2476.150135809361</v>
      </c>
      <c r="L10" s="194">
        <f>'Cash Flows'!L7</f>
        <v>2729.8786729521639</v>
      </c>
    </row>
    <row r="11" spans="1:12">
      <c r="A11" s="20"/>
      <c r="B11" s="181" t="s">
        <v>17</v>
      </c>
      <c r="C11" s="194"/>
      <c r="D11" s="194"/>
      <c r="E11" s="194">
        <f>-'Dep Capex'!E9</f>
        <v>-2394</v>
      </c>
      <c r="F11" s="194">
        <f>-'Dep Capex'!F9</f>
        <v>-1641</v>
      </c>
      <c r="G11" s="194">
        <f>-'Dep Capex'!G9</f>
        <v>-2040</v>
      </c>
      <c r="H11" s="194">
        <f>-'Dep Capex'!H9</f>
        <v>-2300</v>
      </c>
      <c r="I11" s="194">
        <f>-'Dep Capex'!I9</f>
        <v>-2500</v>
      </c>
      <c r="J11" s="194">
        <f>-'Dep Capex'!J9</f>
        <v>-2700</v>
      </c>
      <c r="K11" s="194">
        <f>-'Dep Capex'!K9</f>
        <v>-2900</v>
      </c>
      <c r="L11" s="194">
        <f>-'Dep Capex'!L9</f>
        <v>-3100</v>
      </c>
    </row>
    <row r="12" spans="1:12">
      <c r="A12" s="20"/>
      <c r="B12" s="389" t="s">
        <v>18</v>
      </c>
      <c r="C12" s="448"/>
      <c r="D12" s="448"/>
      <c r="E12" s="448">
        <f>'Working Capital'!E30</f>
        <v>0</v>
      </c>
      <c r="F12" s="448">
        <f>'Working Capital'!F30</f>
        <v>0</v>
      </c>
      <c r="G12" s="448">
        <f>'Working Capital'!G30</f>
        <v>0</v>
      </c>
      <c r="H12" s="448">
        <f>'Working Capital'!H30</f>
        <v>0</v>
      </c>
      <c r="I12" s="448">
        <f>'Working Capital'!I30</f>
        <v>0</v>
      </c>
      <c r="J12" s="448">
        <f>'Working Capital'!J30</f>
        <v>0</v>
      </c>
      <c r="K12" s="448">
        <f>'Working Capital'!K30</f>
        <v>0</v>
      </c>
      <c r="L12" s="448">
        <f>'Working Capital'!L30</f>
        <v>0</v>
      </c>
    </row>
    <row r="13" spans="1:12" ht="15.75" thickBot="1">
      <c r="A13" s="20"/>
      <c r="B13" s="391" t="s">
        <v>19</v>
      </c>
      <c r="C13" s="392"/>
      <c r="D13" s="392"/>
      <c r="E13" s="393">
        <f t="shared" ref="E13:L13" si="2">SUM(E9:E12)</f>
        <v>7448.3095445822601</v>
      </c>
      <c r="F13" s="393">
        <f t="shared" si="2"/>
        <v>6896.8768200749673</v>
      </c>
      <c r="G13" s="393">
        <f t="shared" si="2"/>
        <v>9478.408350772941</v>
      </c>
      <c r="H13" s="393">
        <f t="shared" si="2"/>
        <v>9636.967514911883</v>
      </c>
      <c r="I13" s="393">
        <f t="shared" si="2"/>
        <v>9862.9437936228514</v>
      </c>
      <c r="J13" s="393">
        <f t="shared" si="2"/>
        <v>10254.735085768587</v>
      </c>
      <c r="K13" s="393">
        <f t="shared" si="2"/>
        <v>10825.768453635972</v>
      </c>
      <c r="L13" s="393">
        <f t="shared" si="2"/>
        <v>11595.455109712495</v>
      </c>
    </row>
    <row r="14" spans="1:12" ht="15" thickTop="1">
      <c r="A14" s="20"/>
      <c r="B14" s="394"/>
      <c r="C14" s="395"/>
      <c r="D14" s="395"/>
      <c r="E14" s="395"/>
      <c r="F14" s="395"/>
      <c r="G14" s="395"/>
      <c r="H14" s="396"/>
      <c r="I14" s="397"/>
      <c r="J14" s="397"/>
      <c r="K14" s="397"/>
      <c r="L14" s="397"/>
    </row>
    <row r="15" spans="1:12" ht="15.75" thickBot="1">
      <c r="A15" s="20"/>
      <c r="B15" s="391" t="s">
        <v>52</v>
      </c>
      <c r="C15" s="398"/>
      <c r="D15" s="398"/>
      <c r="E15" s="398"/>
      <c r="F15" s="398"/>
      <c r="G15" s="398"/>
      <c r="H15" s="399">
        <v>0</v>
      </c>
      <c r="I15" s="399">
        <v>0</v>
      </c>
      <c r="J15" s="399">
        <v>0</v>
      </c>
      <c r="K15" s="399">
        <v>0</v>
      </c>
      <c r="L15" s="414">
        <f>L13*(1+C25)/(C51-C25)</f>
        <v>360633.0866302824</v>
      </c>
    </row>
    <row r="16" spans="1:12" ht="15" thickTop="1">
      <c r="A16" s="20"/>
      <c r="B16" s="270"/>
      <c r="C16" s="390"/>
      <c r="D16" s="390"/>
      <c r="E16" s="390"/>
      <c r="F16" s="390"/>
      <c r="G16" s="390"/>
      <c r="H16" s="390"/>
      <c r="I16" s="390"/>
      <c r="J16" s="390"/>
      <c r="K16" s="390"/>
      <c r="L16" s="390"/>
    </row>
    <row r="17" spans="1:12" ht="15">
      <c r="A17" s="20"/>
      <c r="B17" s="404" t="s">
        <v>53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</row>
    <row r="18" spans="1:12">
      <c r="A18" s="20"/>
      <c r="B18" s="20"/>
      <c r="C18" s="183"/>
      <c r="D18" s="183"/>
      <c r="E18" s="183"/>
      <c r="F18" s="183"/>
      <c r="G18" s="183"/>
      <c r="H18" s="183"/>
      <c r="I18" s="183"/>
      <c r="J18" s="183"/>
      <c r="K18" s="183"/>
      <c r="L18" s="183"/>
    </row>
    <row r="19" spans="1:12" ht="15">
      <c r="A19" s="20"/>
      <c r="B19" s="404" t="s">
        <v>54</v>
      </c>
      <c r="C19" s="183"/>
      <c r="D19" s="183"/>
      <c r="E19" s="183"/>
      <c r="F19" s="183"/>
      <c r="G19" s="183"/>
      <c r="H19" s="183"/>
      <c r="I19" s="183"/>
      <c r="J19" s="183"/>
      <c r="K19" s="183"/>
      <c r="L19" s="183"/>
    </row>
    <row r="20" spans="1:12">
      <c r="A20" s="20"/>
      <c r="B20" s="20"/>
      <c r="C20" s="183"/>
      <c r="D20" s="183"/>
      <c r="E20" s="183"/>
      <c r="F20" s="183"/>
      <c r="G20" s="183"/>
      <c r="H20" s="183"/>
      <c r="I20" s="183"/>
      <c r="J20" s="183"/>
      <c r="K20" s="183"/>
      <c r="L20" s="183"/>
    </row>
    <row r="21" spans="1:12">
      <c r="A21" s="20"/>
      <c r="B21" s="181" t="s">
        <v>55</v>
      </c>
      <c r="C21" s="186">
        <v>3.85E-2</v>
      </c>
      <c r="D21" s="186">
        <v>3.85E-2</v>
      </c>
      <c r="E21" s="53" t="s">
        <v>346</v>
      </c>
      <c r="F21" s="183"/>
      <c r="G21" s="183"/>
      <c r="H21" s="183"/>
      <c r="I21" s="183"/>
      <c r="J21" s="183"/>
      <c r="K21" s="183"/>
      <c r="L21" s="183"/>
    </row>
    <row r="22" spans="1:12">
      <c r="A22" s="20"/>
      <c r="B22" s="181" t="s">
        <v>56</v>
      </c>
      <c r="C22" s="187">
        <v>0.64</v>
      </c>
      <c r="D22" s="187">
        <v>0.65</v>
      </c>
      <c r="E22" s="51" t="s">
        <v>259</v>
      </c>
      <c r="F22" s="183"/>
      <c r="G22" s="183"/>
      <c r="H22" s="183"/>
      <c r="I22" s="183"/>
      <c r="J22" s="183"/>
      <c r="K22" s="183"/>
      <c r="L22" s="183"/>
    </row>
    <row r="23" spans="1:12">
      <c r="A23" s="20"/>
      <c r="B23" s="181" t="s">
        <v>57</v>
      </c>
      <c r="C23" s="186">
        <v>4.24E-2</v>
      </c>
      <c r="D23" s="53"/>
      <c r="E23" s="188">
        <v>4.24E-2</v>
      </c>
      <c r="F23" s="183" t="s">
        <v>345</v>
      </c>
      <c r="G23" s="183"/>
      <c r="H23" s="183"/>
      <c r="I23" s="183"/>
      <c r="J23" s="183"/>
      <c r="K23" s="183"/>
      <c r="L23" s="183"/>
    </row>
    <row r="24" spans="1:12">
      <c r="A24" s="20"/>
      <c r="B24" s="181" t="s">
        <v>58</v>
      </c>
      <c r="C24" s="53">
        <f>C21+C22*C23</f>
        <v>6.5636E-2</v>
      </c>
      <c r="D24" s="53"/>
      <c r="E24" s="53"/>
      <c r="F24" s="183"/>
      <c r="G24" s="183"/>
      <c r="H24" s="183"/>
      <c r="I24" s="183"/>
      <c r="J24" s="183"/>
      <c r="K24" s="183"/>
      <c r="L24" s="183"/>
    </row>
    <row r="25" spans="1:12" ht="15">
      <c r="A25" s="20"/>
      <c r="B25" s="185" t="s">
        <v>59</v>
      </c>
      <c r="C25" s="189">
        <v>2.5000000000000001E-2</v>
      </c>
      <c r="D25" s="66" t="s">
        <v>348</v>
      </c>
      <c r="E25" s="66"/>
      <c r="F25" s="183"/>
      <c r="G25" s="183"/>
      <c r="H25" s="183"/>
      <c r="I25" s="183"/>
      <c r="J25" s="183"/>
      <c r="K25" s="183"/>
      <c r="L25" s="183"/>
    </row>
    <row r="26" spans="1:12">
      <c r="A26" s="20"/>
      <c r="B26" s="20"/>
      <c r="C26" s="183"/>
      <c r="D26" s="183"/>
      <c r="E26" s="183"/>
      <c r="F26" s="183"/>
      <c r="G26" s="183"/>
      <c r="H26" s="183"/>
      <c r="I26" s="183"/>
      <c r="J26" s="183"/>
      <c r="K26" s="183"/>
      <c r="L26" s="183"/>
    </row>
    <row r="27" spans="1:12" ht="15">
      <c r="A27" s="20"/>
      <c r="B27" s="404" t="s">
        <v>60</v>
      </c>
      <c r="C27" s="183"/>
      <c r="D27" s="183"/>
      <c r="E27" s="183"/>
      <c r="F27" s="183"/>
      <c r="G27" s="183"/>
      <c r="H27" s="183"/>
      <c r="I27" s="183"/>
      <c r="J27" s="183"/>
      <c r="K27" s="183"/>
      <c r="L27" s="183"/>
    </row>
    <row r="28" spans="1:12" ht="15">
      <c r="A28" s="20"/>
      <c r="B28" s="181" t="s">
        <v>61</v>
      </c>
      <c r="C28" s="190">
        <v>272.27</v>
      </c>
      <c r="D28" s="191"/>
      <c r="E28" s="191"/>
      <c r="F28" s="443" t="s">
        <v>389</v>
      </c>
      <c r="G28" s="443" t="s">
        <v>390</v>
      </c>
      <c r="H28" s="183"/>
      <c r="I28" s="183"/>
      <c r="J28" s="183"/>
      <c r="K28" s="183"/>
      <c r="L28" s="183"/>
    </row>
    <row r="29" spans="1:12" ht="15">
      <c r="A29" s="20"/>
      <c r="B29" s="181" t="s">
        <v>263</v>
      </c>
      <c r="C29" s="191">
        <f>'Shareholder''s Equity'!G29</f>
        <v>751.8</v>
      </c>
      <c r="D29" s="191"/>
      <c r="E29" s="191"/>
      <c r="F29" t="s">
        <v>391</v>
      </c>
      <c r="G29" t="s">
        <v>392</v>
      </c>
      <c r="H29" s="183"/>
      <c r="I29" s="183"/>
      <c r="J29" s="183"/>
      <c r="K29" s="183"/>
      <c r="L29" s="183"/>
    </row>
    <row r="30" spans="1:12" ht="15">
      <c r="A30" s="20"/>
      <c r="B30" s="185" t="s">
        <v>60</v>
      </c>
      <c r="C30" s="406">
        <f>C29*C28</f>
        <v>204692.58599999998</v>
      </c>
      <c r="D30" s="192"/>
      <c r="E30" s="192"/>
      <c r="F30" s="183"/>
      <c r="G30" s="183"/>
      <c r="H30" s="183"/>
      <c r="I30" s="183"/>
      <c r="J30" s="183"/>
      <c r="K30" s="183"/>
      <c r="L30" s="183"/>
    </row>
    <row r="31" spans="1:12" ht="15">
      <c r="A31" s="20"/>
      <c r="B31" s="20"/>
      <c r="C31" s="183"/>
      <c r="D31" s="183"/>
      <c r="E31" s="183"/>
      <c r="F31"/>
      <c r="G31" t="s">
        <v>384</v>
      </c>
      <c r="H31"/>
      <c r="I31" t="s">
        <v>385</v>
      </c>
      <c r="J31"/>
      <c r="K31"/>
      <c r="L31" s="183"/>
    </row>
    <row r="32" spans="1:12" ht="15">
      <c r="A32" s="20"/>
      <c r="B32" s="404" t="s">
        <v>62</v>
      </c>
      <c r="C32" s="183"/>
      <c r="D32" s="183"/>
      <c r="E32" s="183"/>
      <c r="F32"/>
      <c r="G32"/>
      <c r="H32"/>
      <c r="I32"/>
      <c r="J32"/>
      <c r="K32"/>
      <c r="L32" s="183"/>
    </row>
    <row r="33" spans="1:12" ht="15">
      <c r="A33" s="20"/>
      <c r="B33" s="181" t="s">
        <v>261</v>
      </c>
      <c r="C33" s="193">
        <f>'Balance Sheet'!G31</f>
        <v>0</v>
      </c>
      <c r="D33" s="193"/>
      <c r="E33" s="193"/>
      <c r="F33" t="s">
        <v>386</v>
      </c>
      <c r="G33"/>
      <c r="H33"/>
      <c r="I33"/>
      <c r="J33" t="s">
        <v>387</v>
      </c>
      <c r="K33"/>
      <c r="L33" s="183"/>
    </row>
    <row r="34" spans="1:12" ht="15">
      <c r="A34" s="20"/>
      <c r="B34" s="181" t="s">
        <v>260</v>
      </c>
      <c r="C34" s="194">
        <f>'Balance Sheet'!G34</f>
        <v>35622.699999999997</v>
      </c>
      <c r="D34" s="193"/>
      <c r="E34" s="193"/>
      <c r="F34"/>
      <c r="G34"/>
      <c r="H34"/>
      <c r="I34"/>
      <c r="J34" t="s">
        <v>388</v>
      </c>
      <c r="K34"/>
      <c r="L34" s="183"/>
    </row>
    <row r="35" spans="1:12">
      <c r="A35" s="20"/>
      <c r="B35" s="181" t="s">
        <v>262</v>
      </c>
      <c r="C35" s="194">
        <f>'Balance Sheet'!G35</f>
        <v>13020.9</v>
      </c>
      <c r="D35" s="193"/>
      <c r="E35" s="193"/>
      <c r="F35" s="183"/>
      <c r="G35" s="183"/>
      <c r="H35" s="183"/>
      <c r="I35" s="183"/>
      <c r="J35" s="183"/>
      <c r="K35" s="183"/>
      <c r="L35" s="183"/>
    </row>
    <row r="36" spans="1:12" ht="15">
      <c r="A36" s="20"/>
      <c r="B36" s="185" t="s">
        <v>63</v>
      </c>
      <c r="C36" s="407">
        <f>C33+C34+C35</f>
        <v>48643.6</v>
      </c>
      <c r="D36" s="195"/>
      <c r="E36" s="195"/>
      <c r="F36" s="183"/>
      <c r="G36" s="183"/>
      <c r="H36" s="183"/>
      <c r="I36" s="183"/>
      <c r="J36" s="183"/>
      <c r="K36" s="183"/>
      <c r="L36" s="183"/>
    </row>
    <row r="37" spans="1:12">
      <c r="A37" s="20"/>
      <c r="B37" s="20"/>
      <c r="C37" s="183"/>
      <c r="D37" s="183"/>
      <c r="E37" s="183"/>
      <c r="F37" s="183"/>
      <c r="G37" s="183"/>
      <c r="H37" s="183"/>
      <c r="I37" s="183"/>
      <c r="J37" s="183"/>
      <c r="K37" s="183"/>
      <c r="L37" s="183"/>
    </row>
    <row r="38" spans="1:12" ht="15">
      <c r="A38" s="20"/>
      <c r="B38" s="404" t="s">
        <v>72</v>
      </c>
      <c r="C38" s="183"/>
      <c r="D38" s="183"/>
      <c r="E38" s="183"/>
      <c r="F38" s="183"/>
      <c r="G38" s="183"/>
      <c r="H38" s="183"/>
      <c r="I38" s="183"/>
      <c r="J38" s="183"/>
      <c r="K38" s="183"/>
      <c r="L38" s="183"/>
    </row>
    <row r="39" spans="1:12">
      <c r="A39" s="20"/>
      <c r="B39" s="181" t="s">
        <v>64</v>
      </c>
      <c r="C39" s="89">
        <f>C30/(C30+C36)</f>
        <v>0.80798795163040782</v>
      </c>
      <c r="D39" s="89"/>
      <c r="E39" s="89"/>
      <c r="F39" s="183"/>
      <c r="G39" s="183"/>
      <c r="H39" s="183"/>
      <c r="I39" s="183"/>
      <c r="J39" s="183"/>
      <c r="K39" s="183"/>
      <c r="L39" s="183"/>
    </row>
    <row r="40" spans="1:12">
      <c r="A40" s="20"/>
      <c r="B40" s="181" t="s">
        <v>65</v>
      </c>
      <c r="C40" s="89">
        <f>C36/(C30+C36)</f>
        <v>0.19201204836959218</v>
      </c>
      <c r="D40" s="89"/>
      <c r="E40" s="89"/>
      <c r="F40" s="183"/>
      <c r="G40" s="183"/>
      <c r="H40" s="183"/>
      <c r="I40" s="183"/>
      <c r="J40" s="183"/>
      <c r="K40" s="183"/>
      <c r="L40" s="183"/>
    </row>
    <row r="41" spans="1:12" ht="15">
      <c r="A41" s="20"/>
      <c r="B41" s="185" t="s">
        <v>51</v>
      </c>
      <c r="C41" s="293">
        <f>C36/C30</f>
        <v>0.23764221729066437</v>
      </c>
      <c r="D41" s="196"/>
      <c r="E41" s="196"/>
      <c r="F41" s="183"/>
      <c r="G41" s="183"/>
      <c r="H41" s="183"/>
      <c r="I41" s="183"/>
      <c r="J41" s="183"/>
      <c r="K41" s="183"/>
      <c r="L41" s="183"/>
    </row>
    <row r="42" spans="1:12" ht="15">
      <c r="A42" s="20"/>
      <c r="B42" s="20"/>
      <c r="C42" s="183"/>
      <c r="D42" s="183"/>
      <c r="E42" s="183"/>
      <c r="F42" s="197" t="s">
        <v>264</v>
      </c>
      <c r="G42" s="183"/>
      <c r="H42" s="183"/>
      <c r="I42" s="183"/>
      <c r="J42" s="183"/>
      <c r="K42" s="183"/>
      <c r="L42" s="183"/>
    </row>
    <row r="43" spans="1:12" ht="15">
      <c r="A43" s="20"/>
      <c r="B43" s="404" t="s">
        <v>66</v>
      </c>
      <c r="C43" s="183"/>
      <c r="D43" s="183"/>
      <c r="E43" s="183"/>
      <c r="F43" s="183" t="s">
        <v>265</v>
      </c>
      <c r="G43" s="183"/>
      <c r="H43" s="183"/>
      <c r="I43" s="183"/>
      <c r="J43" s="183"/>
      <c r="K43" s="183"/>
      <c r="L43" s="183"/>
    </row>
    <row r="44" spans="1:12">
      <c r="A44" s="20"/>
      <c r="B44" s="181" t="s">
        <v>67</v>
      </c>
      <c r="C44" s="53">
        <f>C21</f>
        <v>3.85E-2</v>
      </c>
      <c r="D44" s="53"/>
      <c r="E44" s="53"/>
      <c r="F44" s="183"/>
      <c r="G44" s="183"/>
      <c r="H44" s="183"/>
      <c r="I44" s="183"/>
      <c r="J44" s="183"/>
      <c r="K44" s="183"/>
      <c r="L44" s="183"/>
    </row>
    <row r="45" spans="1:12">
      <c r="A45" s="20"/>
      <c r="B45" s="181" t="s">
        <v>68</v>
      </c>
      <c r="C45" s="53">
        <f>C23</f>
        <v>4.24E-2</v>
      </c>
      <c r="D45" s="89"/>
      <c r="E45" s="89"/>
      <c r="F45" s="183" t="s">
        <v>266</v>
      </c>
      <c r="G45" s="183"/>
      <c r="H45" s="183"/>
      <c r="I45" s="183"/>
      <c r="J45" s="183"/>
      <c r="K45" s="183"/>
      <c r="L45" s="183"/>
    </row>
    <row r="46" spans="1:12">
      <c r="A46" s="20"/>
      <c r="B46" s="181" t="s">
        <v>56</v>
      </c>
      <c r="C46" s="51">
        <f>C22</f>
        <v>0.64</v>
      </c>
      <c r="D46" s="51"/>
      <c r="E46" s="51"/>
      <c r="F46" s="183" t="s">
        <v>267</v>
      </c>
      <c r="G46" s="183"/>
      <c r="H46" s="183"/>
      <c r="I46" s="183"/>
      <c r="J46" s="183"/>
      <c r="K46" s="183"/>
      <c r="L46" s="183"/>
    </row>
    <row r="47" spans="1:12">
      <c r="A47" s="20"/>
      <c r="B47" s="181" t="s">
        <v>58</v>
      </c>
      <c r="C47" s="53">
        <f>C24</f>
        <v>6.5636E-2</v>
      </c>
      <c r="D47" s="53"/>
      <c r="E47" s="53"/>
      <c r="F47" s="183" t="s">
        <v>268</v>
      </c>
      <c r="G47" s="183"/>
      <c r="H47" s="183"/>
      <c r="I47" s="183"/>
      <c r="J47" s="183"/>
      <c r="K47" s="183"/>
      <c r="L47" s="183"/>
    </row>
    <row r="48" spans="1:12">
      <c r="A48" s="20"/>
      <c r="B48" s="181" t="s">
        <v>69</v>
      </c>
      <c r="C48" s="198">
        <f>Debt!G33</f>
        <v>3.245961367639752E-2</v>
      </c>
      <c r="D48" s="199"/>
      <c r="E48" s="199"/>
      <c r="F48" s="183" t="s">
        <v>269</v>
      </c>
      <c r="G48" s="183"/>
      <c r="H48" s="183"/>
      <c r="I48" s="183"/>
      <c r="J48" s="183"/>
      <c r="K48" s="183"/>
      <c r="L48" s="183"/>
    </row>
    <row r="49" spans="1:12">
      <c r="A49" s="20"/>
      <c r="B49" s="181" t="s">
        <v>70</v>
      </c>
      <c r="C49" s="186">
        <v>0.21</v>
      </c>
      <c r="D49" s="200" t="s">
        <v>347</v>
      </c>
      <c r="E49" s="200"/>
      <c r="F49" s="183"/>
      <c r="G49" s="183"/>
      <c r="H49" s="183"/>
      <c r="I49" s="183"/>
      <c r="J49" s="183"/>
      <c r="K49" s="183"/>
      <c r="L49" s="183"/>
    </row>
    <row r="50" spans="1:12">
      <c r="A50" s="20"/>
      <c r="B50" s="181" t="s">
        <v>71</v>
      </c>
      <c r="C50" s="53">
        <f>C48*(1-C49)</f>
        <v>2.564309480435404E-2</v>
      </c>
      <c r="D50" s="53"/>
      <c r="E50" s="53"/>
      <c r="F50" s="183"/>
      <c r="G50" s="183"/>
      <c r="H50" s="183"/>
      <c r="I50" s="183"/>
      <c r="J50" s="183"/>
      <c r="K50" s="183"/>
      <c r="L50" s="183"/>
    </row>
    <row r="51" spans="1:12" ht="15">
      <c r="A51" s="20"/>
      <c r="B51" s="185" t="s">
        <v>29</v>
      </c>
      <c r="C51" s="66">
        <f>C47*C39+C50*C40</f>
        <v>5.7956880353133115E-2</v>
      </c>
      <c r="D51" s="66"/>
      <c r="E51" s="66"/>
      <c r="F51" s="183"/>
      <c r="G51" s="183"/>
      <c r="H51" s="183"/>
      <c r="I51" s="183"/>
      <c r="J51" s="183"/>
      <c r="K51" s="183"/>
      <c r="L51" s="183"/>
    </row>
    <row r="52" spans="1:12">
      <c r="A52" s="20"/>
      <c r="B52" s="20"/>
      <c r="C52" s="183"/>
      <c r="D52" s="183"/>
      <c r="E52" s="183"/>
      <c r="F52" s="183"/>
      <c r="G52" s="183"/>
      <c r="H52" s="183"/>
      <c r="I52" s="183"/>
      <c r="J52" s="183"/>
      <c r="K52" s="183"/>
      <c r="L52" s="183"/>
    </row>
    <row r="53" spans="1:12" ht="15">
      <c r="A53" s="20"/>
      <c r="B53" s="405" t="s">
        <v>23</v>
      </c>
      <c r="C53" s="292"/>
      <c r="D53" s="292"/>
      <c r="E53" s="292"/>
      <c r="F53" s="292"/>
      <c r="G53" s="20"/>
      <c r="H53" s="20"/>
      <c r="I53" s="20"/>
      <c r="J53" s="20"/>
      <c r="K53" s="20"/>
      <c r="L53" s="20"/>
    </row>
    <row r="54" spans="1:1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15">
      <c r="A55" s="20"/>
      <c r="B55" s="201" t="s">
        <v>24</v>
      </c>
      <c r="C55" s="203" t="s">
        <v>88</v>
      </c>
      <c r="D55" s="203" t="s">
        <v>90</v>
      </c>
      <c r="E55" s="400"/>
      <c r="H55" s="20"/>
      <c r="I55" s="20"/>
      <c r="J55" s="20"/>
      <c r="K55" s="20"/>
      <c r="L55" s="20"/>
    </row>
    <row r="56" spans="1:12">
      <c r="A56" s="20"/>
      <c r="B56" s="20" t="s">
        <v>21</v>
      </c>
      <c r="C56" s="67">
        <f>NPV(C51,H13:L13)</f>
        <v>43971.254888361393</v>
      </c>
      <c r="D56" s="408">
        <f>NPV(C51,I13:L13)</f>
        <v>36882.724131991396</v>
      </c>
      <c r="E56" s="204"/>
      <c r="G56" s="205"/>
      <c r="H56" s="20"/>
      <c r="I56" s="20"/>
      <c r="J56" s="20"/>
      <c r="K56" s="20"/>
      <c r="L56" s="20"/>
    </row>
    <row r="57" spans="1:12">
      <c r="A57" s="20"/>
      <c r="B57" s="20" t="s">
        <v>22</v>
      </c>
      <c r="C57" s="67">
        <f>NPV(C51,H15:L15)</f>
        <v>272098.23983836692</v>
      </c>
      <c r="D57" s="408">
        <f>NPV(C51,I15:L15)</f>
        <v>287868.20496897737</v>
      </c>
      <c r="E57" s="204"/>
      <c r="G57" s="206"/>
      <c r="H57" s="20"/>
      <c r="I57" s="20"/>
      <c r="J57" s="20"/>
      <c r="K57" s="20"/>
      <c r="L57" s="20"/>
    </row>
    <row r="58" spans="1:12" ht="15">
      <c r="A58" s="20"/>
      <c r="B58" s="20" t="s">
        <v>25</v>
      </c>
      <c r="C58" s="409">
        <f>SUM(C56:C57)</f>
        <v>316069.4947267283</v>
      </c>
      <c r="D58" s="410">
        <f>SUM(D56:D57)</f>
        <v>324750.92910096876</v>
      </c>
      <c r="E58" s="207"/>
      <c r="G58" s="208"/>
      <c r="H58" s="20"/>
      <c r="I58" s="20"/>
      <c r="J58" s="20"/>
      <c r="K58" s="20"/>
      <c r="L58" s="20"/>
    </row>
    <row r="59" spans="1:12">
      <c r="A59" s="20"/>
      <c r="B59" s="172" t="s">
        <v>38</v>
      </c>
      <c r="C59" s="411">
        <f>'Balance Sheet'!G6</f>
        <v>4709.2</v>
      </c>
      <c r="D59" s="411">
        <f ca="1">'Balance Sheet'!H6</f>
        <v>4291.4541192306979</v>
      </c>
      <c r="E59" s="401"/>
      <c r="H59" s="20"/>
      <c r="I59" s="20"/>
      <c r="J59" s="20"/>
      <c r="K59" s="20"/>
      <c r="L59" s="20"/>
    </row>
    <row r="60" spans="1:12">
      <c r="A60" s="20"/>
      <c r="B60" s="172" t="s">
        <v>398</v>
      </c>
      <c r="C60" s="411">
        <f>-C36</f>
        <v>-48643.6</v>
      </c>
      <c r="D60" s="411">
        <f ca="1">-('Balance Sheet'!H31+'Balance Sheet'!H33+'Balance Sheet'!H34+'Balance Sheet'!H35)</f>
        <v>-48643.6</v>
      </c>
      <c r="E60" s="402"/>
      <c r="H60" s="20"/>
      <c r="I60" s="20"/>
      <c r="J60" s="20"/>
      <c r="K60" s="20"/>
      <c r="L60" s="20"/>
    </row>
    <row r="61" spans="1:12" ht="15">
      <c r="A61" s="20"/>
      <c r="B61" s="65" t="s">
        <v>26</v>
      </c>
      <c r="C61" s="409">
        <f>SUM(C58:C60)</f>
        <v>272135.09472672833</v>
      </c>
      <c r="D61" s="410">
        <f ca="1">SUM(D58:D60)</f>
        <v>280398.78322019946</v>
      </c>
      <c r="E61" s="209"/>
      <c r="H61" s="20"/>
      <c r="I61" s="20"/>
      <c r="J61" s="20"/>
      <c r="K61" s="20"/>
      <c r="L61" s="20"/>
    </row>
    <row r="62" spans="1:12" ht="15">
      <c r="A62" s="20"/>
      <c r="B62" s="201" t="s">
        <v>27</v>
      </c>
      <c r="C62" s="412">
        <f>C61/C29</f>
        <v>361.97804565938861</v>
      </c>
      <c r="D62" s="412">
        <f ca="1">D61/'Shareholder''s Equity'!H29</f>
        <v>376.3756853558595</v>
      </c>
      <c r="E62" s="403"/>
      <c r="H62" s="20"/>
      <c r="I62" s="20"/>
      <c r="J62" s="20"/>
      <c r="K62" s="20"/>
      <c r="L62" s="20"/>
    </row>
    <row r="63" spans="1:12" ht="15">
      <c r="A63" s="20"/>
      <c r="B63" s="65"/>
      <c r="C63" s="202"/>
      <c r="D63" s="202"/>
      <c r="E63" s="202"/>
      <c r="F63" s="20"/>
      <c r="G63" s="210"/>
      <c r="H63" s="20"/>
      <c r="I63" s="20"/>
      <c r="J63" s="20"/>
      <c r="K63" s="20"/>
      <c r="L63" s="20"/>
    </row>
    <row r="64" spans="1:12" ht="13.5" customHeight="1">
      <c r="A64" s="20"/>
      <c r="B64" s="65"/>
      <c r="C64" s="20"/>
      <c r="D64" s="20"/>
      <c r="E64" s="20"/>
      <c r="F64" s="62" t="s">
        <v>28</v>
      </c>
      <c r="G64" s="20"/>
      <c r="H64" s="20"/>
      <c r="I64" s="20"/>
      <c r="J64" s="20"/>
      <c r="K64" s="20"/>
      <c r="L64" s="20"/>
    </row>
    <row r="65" spans="1:12" ht="21.75" customHeight="1">
      <c r="A65" s="20"/>
      <c r="B65" s="20"/>
      <c r="C65" s="20"/>
      <c r="D65" s="20"/>
      <c r="E65" s="20"/>
      <c r="F65" s="20"/>
      <c r="G65" s="491" t="s">
        <v>29</v>
      </c>
      <c r="H65" s="491"/>
      <c r="I65" s="491"/>
      <c r="J65" s="491"/>
      <c r="K65" s="491"/>
      <c r="L65" s="20"/>
    </row>
    <row r="66" spans="1:12" ht="15">
      <c r="A66" s="20"/>
      <c r="B66" s="20"/>
      <c r="C66" s="20"/>
      <c r="D66" s="20"/>
      <c r="E66" s="20"/>
      <c r="F66" s="211">
        <f>C62</f>
        <v>361.97804565938861</v>
      </c>
      <c r="G66" s="212">
        <v>0.03</v>
      </c>
      <c r="H66" s="212">
        <v>0.04</v>
      </c>
      <c r="I66" s="212">
        <v>5.45E-2</v>
      </c>
      <c r="J66" s="212">
        <v>0.06</v>
      </c>
      <c r="K66" s="212">
        <v>7.0000000000000007E-2</v>
      </c>
      <c r="L66" s="20"/>
    </row>
    <row r="67" spans="1:12" ht="15" customHeight="1">
      <c r="A67" s="20"/>
      <c r="B67" s="20"/>
      <c r="C67" s="20"/>
      <c r="D67" s="213"/>
      <c r="E67" s="213"/>
      <c r="F67" s="214">
        <v>0.01</v>
      </c>
      <c r="G67" s="413">
        <f t="dataTable" ref="G67:K72" dt2D="1" dtr="1" r1="C51" r2="C25"/>
        <v>676.8320350270692</v>
      </c>
      <c r="H67" s="413">
        <v>429.92269588481196</v>
      </c>
      <c r="I67" s="413">
        <v>269.10406580238947</v>
      </c>
      <c r="J67" s="413">
        <v>232.52712138803909</v>
      </c>
      <c r="K67" s="413">
        <v>183.2294767102656</v>
      </c>
      <c r="L67" s="20"/>
    </row>
    <row r="68" spans="1:12" ht="15">
      <c r="A68" s="20"/>
      <c r="B68" s="20"/>
      <c r="C68" s="20"/>
      <c r="D68" s="213"/>
      <c r="E68" s="213"/>
      <c r="F68" s="214">
        <v>1.4999999999999999E-2</v>
      </c>
      <c r="G68" s="413">
        <v>905.22637039257722</v>
      </c>
      <c r="H68" s="413">
        <v>517.81702615597692</v>
      </c>
      <c r="I68" s="413">
        <v>304.58638830880966</v>
      </c>
      <c r="J68" s="413">
        <v>259.67585040806267</v>
      </c>
      <c r="K68" s="413">
        <v>201.05763294280578</v>
      </c>
      <c r="L68" s="20"/>
    </row>
    <row r="69" spans="1:12" ht="15">
      <c r="A69" s="20"/>
      <c r="B69" s="20"/>
      <c r="C69" s="20"/>
      <c r="D69" s="213"/>
      <c r="E69" s="62" t="s">
        <v>73</v>
      </c>
      <c r="F69" s="214">
        <v>0.02</v>
      </c>
      <c r="G69" s="413">
        <v>1362.0150411235938</v>
      </c>
      <c r="H69" s="413">
        <v>649.65852156272467</v>
      </c>
      <c r="I69" s="413">
        <v>350.35344197651119</v>
      </c>
      <c r="J69" s="413">
        <v>293.61176168309231</v>
      </c>
      <c r="K69" s="413">
        <v>222.45142042185412</v>
      </c>
      <c r="L69" s="20"/>
    </row>
    <row r="70" spans="1:12" ht="15">
      <c r="A70" s="20"/>
      <c r="B70" s="20"/>
      <c r="C70" s="20"/>
      <c r="D70" s="213"/>
      <c r="E70" s="213"/>
      <c r="F70" s="214">
        <v>2.5000000000000001E-2</v>
      </c>
      <c r="G70" s="413">
        <v>2732.3810533166438</v>
      </c>
      <c r="H70" s="413">
        <v>869.39434724063733</v>
      </c>
      <c r="I70" s="413">
        <v>411.63475112478932</v>
      </c>
      <c r="J70" s="413">
        <v>337.24364760813017</v>
      </c>
      <c r="K70" s="413">
        <v>248.5993828962464</v>
      </c>
      <c r="L70" s="20"/>
    </row>
    <row r="71" spans="1:12" ht="15">
      <c r="A71" s="20"/>
      <c r="B71" s="20"/>
      <c r="C71" s="20"/>
      <c r="D71" s="213"/>
      <c r="E71" s="213"/>
      <c r="F71" s="214">
        <v>0.03</v>
      </c>
      <c r="G71" s="413" t="e">
        <v>#DIV/0!</v>
      </c>
      <c r="H71" s="413">
        <v>1308.8659985964628</v>
      </c>
      <c r="I71" s="413">
        <v>497.92883951726282</v>
      </c>
      <c r="J71" s="413">
        <v>395.41949550818089</v>
      </c>
      <c r="K71" s="413">
        <v>281.28433598923687</v>
      </c>
      <c r="L71" s="20"/>
    </row>
    <row r="72" spans="1:12" ht="15">
      <c r="A72" s="20"/>
      <c r="B72" s="20"/>
      <c r="C72" s="20"/>
      <c r="D72" s="213"/>
      <c r="E72" s="213"/>
      <c r="F72" s="215">
        <v>3.5000000000000003E-2</v>
      </c>
      <c r="G72" s="413">
        <v>-2749.0829954555516</v>
      </c>
      <c r="H72" s="413">
        <v>2627.2809526639398</v>
      </c>
      <c r="I72" s="413">
        <v>628.47630657254319</v>
      </c>
      <c r="J72" s="413">
        <v>476.86568256825177</v>
      </c>
      <c r="K72" s="413">
        <v>323.30784710879595</v>
      </c>
      <c r="L72" s="20"/>
    </row>
    <row r="73" spans="1:1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 ht="15">
      <c r="A76" s="20"/>
      <c r="B76" s="20"/>
      <c r="C76" s="20"/>
      <c r="D76" s="20"/>
      <c r="E76" s="65" t="s">
        <v>383</v>
      </c>
      <c r="F76" s="20"/>
      <c r="G76" s="20"/>
      <c r="H76" s="20"/>
      <c r="I76" s="20"/>
      <c r="J76" s="20"/>
      <c r="K76" s="20"/>
      <c r="L76" s="20"/>
    </row>
  </sheetData>
  <mergeCells count="3">
    <mergeCell ref="G65:K65"/>
    <mergeCell ref="C1:G1"/>
    <mergeCell ref="H1:L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AF00"/>
  </sheetPr>
  <dimension ref="A1:AB52"/>
  <sheetViews>
    <sheetView showGridLines="0" zoomScaleNormal="100" workbookViewId="0">
      <pane ySplit="2" topLeftCell="A5" activePane="bottomLeft" state="frozen"/>
      <selection pane="bottomLeft"/>
    </sheetView>
  </sheetViews>
  <sheetFormatPr defaultRowHeight="14.25"/>
  <cols>
    <col min="1" max="1" width="4.140625" style="21" customWidth="1"/>
    <col min="2" max="2" width="22.140625" style="21" customWidth="1"/>
    <col min="3" max="3" width="22.42578125" style="21" customWidth="1"/>
    <col min="4" max="4" width="12.7109375" style="21" bestFit="1" customWidth="1"/>
    <col min="5" max="6" width="14" style="21" customWidth="1"/>
    <col min="7" max="7" width="13.42578125" style="21" customWidth="1"/>
    <col min="8" max="10" width="16.7109375" style="21" customWidth="1"/>
    <col min="11" max="11" width="16.140625" style="21" customWidth="1"/>
    <col min="12" max="12" width="18.140625" style="21" customWidth="1"/>
    <col min="13" max="13" width="12.85546875" style="21" bestFit="1" customWidth="1"/>
    <col min="14" max="15" width="10.5703125" style="21" bestFit="1" customWidth="1"/>
    <col min="16" max="16" width="10.85546875" style="21" bestFit="1" customWidth="1"/>
    <col min="17" max="18" width="10.5703125" style="21" bestFit="1" customWidth="1"/>
    <col min="19" max="19" width="12.85546875" style="21" bestFit="1" customWidth="1"/>
    <col min="20" max="21" width="11.42578125" style="21" bestFit="1" customWidth="1"/>
    <col min="22" max="24" width="10.5703125" style="21" bestFit="1" customWidth="1"/>
    <col min="25" max="29" width="9.140625" style="21"/>
    <col min="30" max="30" width="11.7109375" style="21" customWidth="1"/>
    <col min="31" max="32" width="9.140625" style="21"/>
    <col min="33" max="33" width="13.85546875" style="21" customWidth="1"/>
    <col min="34" max="16384" width="9.140625" style="21"/>
  </cols>
  <sheetData>
    <row r="1" spans="1:25" s="217" customFormat="1" ht="30">
      <c r="A1" s="18" t="str">
        <f>Index!A1</f>
        <v xml:space="preserve">McDonalds </v>
      </c>
      <c r="B1" s="19"/>
      <c r="C1" s="19"/>
      <c r="D1" s="19"/>
      <c r="E1" s="490"/>
      <c r="F1" s="490"/>
      <c r="G1" s="490"/>
      <c r="H1" s="54"/>
      <c r="I1" s="54"/>
      <c r="J1" s="54"/>
      <c r="K1" s="490"/>
      <c r="L1" s="490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</row>
    <row r="2" spans="1:25">
      <c r="A2" s="22" t="s">
        <v>89</v>
      </c>
      <c r="B2" s="23"/>
      <c r="C2" s="23"/>
      <c r="D2" s="218"/>
      <c r="E2" s="107"/>
      <c r="F2" s="107"/>
      <c r="G2" s="107"/>
      <c r="H2" s="107"/>
      <c r="I2" s="107"/>
      <c r="J2" s="107"/>
      <c r="K2" s="107"/>
      <c r="L2" s="107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7"/>
    </row>
    <row r="4" spans="1:25" s="223" customFormat="1" ht="15">
      <c r="A4" s="20"/>
      <c r="B4" s="219" t="s">
        <v>77</v>
      </c>
      <c r="C4" s="219"/>
      <c r="D4" s="220">
        <v>44892</v>
      </c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2"/>
    </row>
    <row r="5" spans="1:25" s="223" customFormat="1">
      <c r="A5" s="20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4"/>
      <c r="O5" s="221"/>
      <c r="P5" s="221"/>
      <c r="Q5" s="221"/>
      <c r="R5" s="221"/>
      <c r="S5" s="221"/>
      <c r="T5" s="224"/>
      <c r="U5" s="221"/>
      <c r="V5" s="221"/>
      <c r="W5" s="221"/>
      <c r="X5" s="221"/>
      <c r="Y5" s="222"/>
    </row>
    <row r="6" spans="1:25" s="223" customFormat="1" ht="15">
      <c r="A6" s="20"/>
      <c r="B6" s="219" t="s">
        <v>78</v>
      </c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22"/>
    </row>
    <row r="7" spans="1:25" s="223" customFormat="1" ht="19.5">
      <c r="A7" s="20"/>
      <c r="B7" s="415"/>
      <c r="C7" s="415"/>
      <c r="D7" s="415"/>
      <c r="E7" s="415"/>
      <c r="F7" s="415"/>
      <c r="G7" s="415"/>
      <c r="H7" s="415"/>
      <c r="I7" s="415"/>
      <c r="J7" s="415"/>
      <c r="K7" s="415"/>
      <c r="L7" s="415"/>
      <c r="M7" s="492" t="s">
        <v>79</v>
      </c>
      <c r="N7" s="492"/>
      <c r="O7" s="492"/>
      <c r="P7" s="492" t="s">
        <v>80</v>
      </c>
      <c r="Q7" s="492"/>
      <c r="R7" s="492"/>
      <c r="S7" s="492" t="s">
        <v>314</v>
      </c>
      <c r="T7" s="492"/>
      <c r="U7" s="492"/>
      <c r="V7" s="492" t="s">
        <v>81</v>
      </c>
      <c r="W7" s="492"/>
      <c r="X7" s="492"/>
      <c r="Y7" s="222"/>
    </row>
    <row r="8" spans="1:25" s="223" customFormat="1" ht="30">
      <c r="A8" s="20"/>
      <c r="B8" s="227" t="s">
        <v>98</v>
      </c>
      <c r="C8" s="227" t="s">
        <v>279</v>
      </c>
      <c r="D8" s="227" t="s">
        <v>87</v>
      </c>
      <c r="E8" s="227" t="s">
        <v>82</v>
      </c>
      <c r="F8" s="227" t="s">
        <v>382</v>
      </c>
      <c r="G8" s="227" t="s">
        <v>377</v>
      </c>
      <c r="H8" s="227" t="s">
        <v>378</v>
      </c>
      <c r="I8" s="227" t="s">
        <v>246</v>
      </c>
      <c r="J8" s="227" t="s">
        <v>313</v>
      </c>
      <c r="K8" s="227" t="s">
        <v>85</v>
      </c>
      <c r="L8" s="227" t="s">
        <v>86</v>
      </c>
      <c r="M8" s="440" t="s">
        <v>381</v>
      </c>
      <c r="N8" s="441" t="s">
        <v>379</v>
      </c>
      <c r="O8" s="441" t="s">
        <v>380</v>
      </c>
      <c r="P8" s="440" t="s">
        <v>381</v>
      </c>
      <c r="Q8" s="441" t="s">
        <v>379</v>
      </c>
      <c r="R8" s="441" t="s">
        <v>380</v>
      </c>
      <c r="S8" s="440" t="s">
        <v>381</v>
      </c>
      <c r="T8" s="441" t="s">
        <v>379</v>
      </c>
      <c r="U8" s="441" t="s">
        <v>380</v>
      </c>
      <c r="V8" s="440" t="s">
        <v>381</v>
      </c>
      <c r="W8" s="441" t="s">
        <v>379</v>
      </c>
      <c r="X8" s="441" t="s">
        <v>380</v>
      </c>
      <c r="Y8" s="222"/>
    </row>
    <row r="9" spans="1:25" s="223" customFormat="1">
      <c r="A9" s="20"/>
      <c r="B9" s="416" t="s">
        <v>273</v>
      </c>
      <c r="C9" s="416" t="s">
        <v>286</v>
      </c>
      <c r="D9" s="229">
        <v>1389.64</v>
      </c>
      <c r="E9" s="230">
        <v>27.7211</v>
      </c>
      <c r="F9" s="230">
        <v>815.37400000000002</v>
      </c>
      <c r="G9" s="231">
        <v>260.94499999999999</v>
      </c>
      <c r="H9" s="232"/>
      <c r="I9" s="232"/>
      <c r="J9" s="232"/>
      <c r="K9" s="233">
        <f t="shared" ref="K9:K17" si="0">D9*E9</f>
        <v>38522.349404000001</v>
      </c>
      <c r="L9" s="234">
        <f>K9+H9+I9+J9-F9-G9</f>
        <v>37446.030403999997</v>
      </c>
      <c r="M9" s="231">
        <v>22.9</v>
      </c>
      <c r="N9" s="231">
        <v>33.41695</v>
      </c>
      <c r="O9" s="231">
        <v>43.158540000000002</v>
      </c>
      <c r="P9" s="235">
        <f>$D$9/M9</f>
        <v>60.682969432314415</v>
      </c>
      <c r="Q9" s="235">
        <f>$D$9/N9</f>
        <v>41.584884317689081</v>
      </c>
      <c r="R9" s="235">
        <f>$D$9/O9</f>
        <v>32.19849420300131</v>
      </c>
      <c r="S9" s="231">
        <v>1078.8910000000001</v>
      </c>
      <c r="T9" s="231">
        <v>1500.11745</v>
      </c>
      <c r="U9" s="231">
        <v>1901.3551399999999</v>
      </c>
      <c r="V9" s="235">
        <f>$L9/S9</f>
        <v>34.707890235436196</v>
      </c>
      <c r="W9" s="235">
        <f>$L9/T9</f>
        <v>24.962065739585924</v>
      </c>
      <c r="X9" s="235">
        <f>$L9/U9</f>
        <v>19.694390393580022</v>
      </c>
      <c r="Y9" s="222"/>
    </row>
    <row r="10" spans="1:25" s="223" customFormat="1">
      <c r="A10" s="20"/>
      <c r="B10" s="416" t="s">
        <v>274</v>
      </c>
      <c r="C10" s="416" t="s">
        <v>287</v>
      </c>
      <c r="D10" s="236">
        <v>337.49</v>
      </c>
      <c r="E10" s="230">
        <v>35.3994</v>
      </c>
      <c r="F10" s="230">
        <v>148.16</v>
      </c>
      <c r="G10" s="237"/>
      <c r="H10" s="230">
        <v>55.588000000000001</v>
      </c>
      <c r="I10" s="230">
        <v>4938.3</v>
      </c>
      <c r="J10" s="237"/>
      <c r="K10" s="233">
        <f t="shared" si="0"/>
        <v>11946.943506</v>
      </c>
      <c r="L10" s="234">
        <f t="shared" ref="L10:L17" si="1">K10+H10+I10+J10-F10-G10</f>
        <v>16792.671505999999</v>
      </c>
      <c r="M10" s="231">
        <v>13.54</v>
      </c>
      <c r="N10" s="231">
        <v>12.161630000000001</v>
      </c>
      <c r="O10" s="231">
        <v>14.265470000000001</v>
      </c>
      <c r="P10" s="235">
        <f>$D$10/M10</f>
        <v>24.925406203840474</v>
      </c>
      <c r="Q10" s="235">
        <f>$D$10/N10</f>
        <v>27.750392011597128</v>
      </c>
      <c r="R10" s="235">
        <f>$D$10/O10</f>
        <v>23.65782550452246</v>
      </c>
      <c r="S10" s="231">
        <v>890.43399999999997</v>
      </c>
      <c r="T10" s="231">
        <v>841.40548000000001</v>
      </c>
      <c r="U10" s="231">
        <v>911.17881999999997</v>
      </c>
      <c r="V10" s="235">
        <f t="shared" ref="V10:V17" si="2">$L10/S10</f>
        <v>18.858973832984812</v>
      </c>
      <c r="W10" s="235">
        <f t="shared" ref="W10:W17" si="3">$L10/T10</f>
        <v>19.957882263852142</v>
      </c>
      <c r="X10" s="235">
        <f t="shared" ref="X10:X17" si="4">$L10/U10</f>
        <v>18.429611331395961</v>
      </c>
      <c r="Y10" s="222"/>
    </row>
    <row r="11" spans="1:25" s="223" customFormat="1">
      <c r="A11" s="20"/>
      <c r="B11" s="416" t="s">
        <v>277</v>
      </c>
      <c r="C11" s="416" t="s">
        <v>288</v>
      </c>
      <c r="D11" s="236">
        <v>83.54</v>
      </c>
      <c r="E11" s="230">
        <v>21.057099999999998</v>
      </c>
      <c r="F11" s="230">
        <v>55.345999999999997</v>
      </c>
      <c r="G11" s="237"/>
      <c r="H11" s="230">
        <v>0.89400000000000002</v>
      </c>
      <c r="I11" s="230">
        <v>1273.42</v>
      </c>
      <c r="J11" s="237"/>
      <c r="K11" s="233">
        <f t="shared" si="0"/>
        <v>1759.110134</v>
      </c>
      <c r="L11" s="234">
        <f t="shared" si="1"/>
        <v>2978.0781339999999</v>
      </c>
      <c r="M11" s="231">
        <v>7.37</v>
      </c>
      <c r="N11" s="231">
        <v>6.6037299999999997</v>
      </c>
      <c r="O11" s="231">
        <v>7.4842199999999997</v>
      </c>
      <c r="P11" s="235">
        <f>$D$11/M11</f>
        <v>11.335142469470828</v>
      </c>
      <c r="Q11" s="235">
        <f>$D$11/N11</f>
        <v>12.650426349956769</v>
      </c>
      <c r="R11" s="235">
        <f>$D$11/O11</f>
        <v>11.162151834125668</v>
      </c>
      <c r="S11" s="231">
        <v>337.29899999999998</v>
      </c>
      <c r="T11" s="231">
        <v>338.08168000000001</v>
      </c>
      <c r="U11" s="231">
        <v>351.88484</v>
      </c>
      <c r="V11" s="235">
        <f t="shared" si="2"/>
        <v>8.8291934870841597</v>
      </c>
      <c r="W11" s="235">
        <f t="shared" si="3"/>
        <v>8.8087533580642408</v>
      </c>
      <c r="X11" s="235">
        <f t="shared" si="4"/>
        <v>8.4632180630458524</v>
      </c>
      <c r="Y11" s="222"/>
    </row>
    <row r="12" spans="1:25" s="223" customFormat="1">
      <c r="A12" s="20"/>
      <c r="B12" s="416" t="s">
        <v>289</v>
      </c>
      <c r="C12" s="416" t="s">
        <v>290</v>
      </c>
      <c r="D12" s="236">
        <v>76.41</v>
      </c>
      <c r="E12" s="230">
        <v>35.328200000000002</v>
      </c>
      <c r="F12" s="230">
        <v>70.61</v>
      </c>
      <c r="G12" s="237"/>
      <c r="H12" s="237"/>
      <c r="I12" s="230">
        <v>480.73</v>
      </c>
      <c r="J12" s="230">
        <v>20.71</v>
      </c>
      <c r="K12" s="233">
        <f t="shared" si="0"/>
        <v>2699.4277620000003</v>
      </c>
      <c r="L12" s="234">
        <f t="shared" si="1"/>
        <v>3130.2577620000002</v>
      </c>
      <c r="M12" s="231">
        <v>0.12</v>
      </c>
      <c r="N12" s="231">
        <v>2.8947099999999999</v>
      </c>
      <c r="O12" s="231">
        <v>3.3556300000000001</v>
      </c>
      <c r="P12" s="238"/>
      <c r="Q12" s="238"/>
      <c r="R12" s="238"/>
      <c r="S12" s="231">
        <v>218.96899999999999</v>
      </c>
      <c r="T12" s="231">
        <v>209.86421999999999</v>
      </c>
      <c r="U12" s="231">
        <v>231.85427000000001</v>
      </c>
      <c r="V12" s="235">
        <f t="shared" si="2"/>
        <v>14.295437993505931</v>
      </c>
      <c r="W12" s="235">
        <f t="shared" si="3"/>
        <v>14.91563336523015</v>
      </c>
      <c r="X12" s="235">
        <f t="shared" si="4"/>
        <v>13.500970941790289</v>
      </c>
      <c r="Y12" s="222"/>
    </row>
    <row r="13" spans="1:25" s="223" customFormat="1">
      <c r="A13" s="20"/>
      <c r="B13" s="416" t="s">
        <v>276</v>
      </c>
      <c r="C13" s="416" t="s">
        <v>291</v>
      </c>
      <c r="D13" s="236">
        <v>60.91</v>
      </c>
      <c r="E13" s="230">
        <v>305.90460000000002</v>
      </c>
      <c r="F13" s="230">
        <v>1087</v>
      </c>
      <c r="G13" s="237"/>
      <c r="H13" s="230">
        <v>62</v>
      </c>
      <c r="I13" s="230">
        <v>12916</v>
      </c>
      <c r="J13" s="230">
        <v>1616</v>
      </c>
      <c r="K13" s="233">
        <f t="shared" si="0"/>
        <v>18632.649185999999</v>
      </c>
      <c r="L13" s="234">
        <f t="shared" si="1"/>
        <v>32139.649185999995</v>
      </c>
      <c r="M13" s="231">
        <v>2.69</v>
      </c>
      <c r="N13" s="231">
        <v>3.15029</v>
      </c>
      <c r="O13" s="231">
        <v>3.0819100000000001</v>
      </c>
      <c r="P13" s="235">
        <f t="shared" ref="P13:P17" si="5">$D$12/M13</f>
        <v>28.405204460966541</v>
      </c>
      <c r="Q13" s="235">
        <f t="shared" ref="Q13:Q17" si="6">$D$12/N13</f>
        <v>24.254909865440958</v>
      </c>
      <c r="R13" s="235">
        <f t="shared" ref="R13:R17" si="7">$D$11/O13</f>
        <v>27.106567031483724</v>
      </c>
      <c r="S13" s="231">
        <v>2045</v>
      </c>
      <c r="T13" s="231">
        <v>2378.37545</v>
      </c>
      <c r="U13" s="231">
        <v>2467.2624799999999</v>
      </c>
      <c r="V13" s="235">
        <f t="shared" si="2"/>
        <v>15.716209870904644</v>
      </c>
      <c r="W13" s="235">
        <f t="shared" si="3"/>
        <v>13.513278227791998</v>
      </c>
      <c r="X13" s="235">
        <f t="shared" si="4"/>
        <v>13.02644102381843</v>
      </c>
      <c r="Y13" s="222"/>
    </row>
    <row r="14" spans="1:25" s="223" customFormat="1">
      <c r="A14" s="20"/>
      <c r="B14" s="416" t="s">
        <v>292</v>
      </c>
      <c r="C14" s="416" t="s">
        <v>293</v>
      </c>
      <c r="D14" s="236">
        <v>92.75</v>
      </c>
      <c r="E14" s="230">
        <v>1147.9000000000001</v>
      </c>
      <c r="F14" s="230">
        <v>2818.4</v>
      </c>
      <c r="G14" s="230">
        <v>364.5</v>
      </c>
      <c r="H14" s="230">
        <v>1924</v>
      </c>
      <c r="I14" s="230">
        <v>13119.9</v>
      </c>
      <c r="J14" s="230">
        <v>7.9</v>
      </c>
      <c r="K14" s="233">
        <f t="shared" si="0"/>
        <v>106467.72500000001</v>
      </c>
      <c r="L14" s="234">
        <f t="shared" si="1"/>
        <v>118336.625</v>
      </c>
      <c r="M14" s="231">
        <v>2.83</v>
      </c>
      <c r="N14" s="231">
        <v>3.39486</v>
      </c>
      <c r="O14" s="231">
        <v>3.9603899999999999</v>
      </c>
      <c r="P14" s="235">
        <f t="shared" si="5"/>
        <v>26.999999999999996</v>
      </c>
      <c r="Q14" s="235">
        <f t="shared" si="6"/>
        <v>22.50755553984553</v>
      </c>
      <c r="R14" s="235">
        <f t="shared" si="7"/>
        <v>21.09388216817031</v>
      </c>
      <c r="S14" s="231">
        <v>6244.2</v>
      </c>
      <c r="T14" s="231">
        <v>6981.6869999999999</v>
      </c>
      <c r="U14" s="231">
        <v>7899.8158599999997</v>
      </c>
      <c r="V14" s="235">
        <f t="shared" si="2"/>
        <v>18.951446942762885</v>
      </c>
      <c r="W14" s="235">
        <f t="shared" si="3"/>
        <v>16.949574651513309</v>
      </c>
      <c r="X14" s="235">
        <f t="shared" si="4"/>
        <v>14.979668779266964</v>
      </c>
      <c r="Y14" s="222"/>
    </row>
    <row r="15" spans="1:25" s="223" customFormat="1">
      <c r="A15" s="20"/>
      <c r="B15" s="416" t="s">
        <v>272</v>
      </c>
      <c r="C15" s="416" t="s">
        <v>294</v>
      </c>
      <c r="D15" s="236">
        <v>45.66</v>
      </c>
      <c r="E15" s="230">
        <v>39.279899999999998</v>
      </c>
      <c r="F15" s="230">
        <v>302.40600000000001</v>
      </c>
      <c r="G15" s="230">
        <v>80</v>
      </c>
      <c r="H15" s="237"/>
      <c r="I15" s="230">
        <v>243.542</v>
      </c>
      <c r="J15" s="230">
        <v>26.062999999999999</v>
      </c>
      <c r="K15" s="233">
        <f t="shared" si="0"/>
        <v>1793.5202339999998</v>
      </c>
      <c r="L15" s="234">
        <f t="shared" si="1"/>
        <v>1680.7192339999997</v>
      </c>
      <c r="M15" s="231">
        <v>-0.22</v>
      </c>
      <c r="N15" s="231">
        <v>-0.42174</v>
      </c>
      <c r="O15" s="231">
        <v>-8.4129999999999996E-2</v>
      </c>
      <c r="P15" s="238"/>
      <c r="Q15" s="238"/>
      <c r="R15" s="238"/>
      <c r="S15" s="231">
        <v>44.478000000000002</v>
      </c>
      <c r="T15" s="231">
        <v>63.61759</v>
      </c>
      <c r="U15" s="231">
        <v>97.544989999999999</v>
      </c>
      <c r="V15" s="235">
        <f t="shared" si="2"/>
        <v>37.78765308691937</v>
      </c>
      <c r="W15" s="235">
        <f t="shared" si="3"/>
        <v>26.419096259383604</v>
      </c>
      <c r="X15" s="235">
        <f t="shared" si="4"/>
        <v>17.230195359085073</v>
      </c>
      <c r="Y15" s="222"/>
    </row>
    <row r="16" spans="1:25" s="223" customFormat="1">
      <c r="A16" s="20"/>
      <c r="B16" s="416" t="s">
        <v>295</v>
      </c>
      <c r="C16" s="416" t="s">
        <v>296</v>
      </c>
      <c r="D16" s="236">
        <v>20.41</v>
      </c>
      <c r="E16" s="230">
        <v>212.8039</v>
      </c>
      <c r="F16" s="230">
        <v>249.43799999999999</v>
      </c>
      <c r="G16" s="237"/>
      <c r="H16" s="230">
        <v>24.25</v>
      </c>
      <c r="I16" s="230">
        <v>2356.4160000000002</v>
      </c>
      <c r="J16" s="237"/>
      <c r="K16" s="233">
        <f t="shared" si="0"/>
        <v>4343.3275990000002</v>
      </c>
      <c r="L16" s="234">
        <f t="shared" si="1"/>
        <v>6474.5555990000003</v>
      </c>
      <c r="M16" s="231">
        <v>0.89</v>
      </c>
      <c r="N16" s="231">
        <v>0.84404000000000001</v>
      </c>
      <c r="O16" s="231">
        <v>0.99490000000000001</v>
      </c>
      <c r="P16" s="235">
        <f t="shared" si="5"/>
        <v>85.853932584269657</v>
      </c>
      <c r="Q16" s="235">
        <f t="shared" si="6"/>
        <v>90.528884886972179</v>
      </c>
      <c r="R16" s="235">
        <f t="shared" si="7"/>
        <v>83.968238013870746</v>
      </c>
      <c r="S16" s="231">
        <v>475.303</v>
      </c>
      <c r="T16" s="231">
        <v>494.77546000000001</v>
      </c>
      <c r="U16" s="231">
        <v>534.10958000000005</v>
      </c>
      <c r="V16" s="235">
        <f t="shared" si="2"/>
        <v>13.621953993557794</v>
      </c>
      <c r="W16" s="235">
        <f t="shared" si="3"/>
        <v>13.085846252358595</v>
      </c>
      <c r="X16" s="235">
        <f t="shared" si="4"/>
        <v>12.122148415686533</v>
      </c>
      <c r="Y16" s="222"/>
    </row>
    <row r="17" spans="1:25" s="223" customFormat="1">
      <c r="A17" s="20"/>
      <c r="B17" s="416" t="s">
        <v>275</v>
      </c>
      <c r="C17" s="416" t="s">
        <v>297</v>
      </c>
      <c r="D17" s="236">
        <v>122.38</v>
      </c>
      <c r="E17" s="230">
        <v>284</v>
      </c>
      <c r="F17" s="230">
        <v>486</v>
      </c>
      <c r="G17" s="237"/>
      <c r="H17" s="230">
        <v>68</v>
      </c>
      <c r="I17" s="230">
        <v>11178</v>
      </c>
      <c r="J17" s="237"/>
      <c r="K17" s="233">
        <f t="shared" si="0"/>
        <v>34755.919999999998</v>
      </c>
      <c r="L17" s="234">
        <f t="shared" si="1"/>
        <v>45515.92</v>
      </c>
      <c r="M17" s="231">
        <v>5.21</v>
      </c>
      <c r="N17" s="231">
        <v>4.4703200000000001</v>
      </c>
      <c r="O17" s="231">
        <v>5.1135900000000003</v>
      </c>
      <c r="P17" s="235">
        <f t="shared" si="5"/>
        <v>14.666026871401151</v>
      </c>
      <c r="Q17" s="235">
        <f t="shared" si="6"/>
        <v>17.092736090481218</v>
      </c>
      <c r="R17" s="235">
        <f t="shared" si="7"/>
        <v>16.336859231968148</v>
      </c>
      <c r="S17" s="231">
        <v>2382</v>
      </c>
      <c r="T17" s="231">
        <v>2322.9574899999998</v>
      </c>
      <c r="U17" s="231">
        <v>2531.7419100000002</v>
      </c>
      <c r="V17" s="235">
        <f t="shared" si="2"/>
        <v>19.108278757346767</v>
      </c>
      <c r="W17" s="235">
        <f t="shared" si="3"/>
        <v>19.593953051633331</v>
      </c>
      <c r="X17" s="235">
        <f t="shared" si="4"/>
        <v>17.978104253130603</v>
      </c>
      <c r="Y17" s="222"/>
    </row>
    <row r="18" spans="1:25" s="223" customFormat="1">
      <c r="A18" s="20"/>
      <c r="B18" s="228"/>
      <c r="C18" s="228"/>
      <c r="D18" s="239"/>
      <c r="E18" s="237"/>
      <c r="F18" s="237"/>
      <c r="G18" s="237"/>
      <c r="H18" s="237"/>
      <c r="I18" s="237"/>
      <c r="J18" s="237"/>
      <c r="K18" s="237"/>
      <c r="L18" s="234"/>
      <c r="M18" s="240"/>
      <c r="N18" s="240"/>
      <c r="O18" s="240"/>
      <c r="P18" s="235"/>
      <c r="Q18" s="235"/>
      <c r="R18" s="235"/>
      <c r="S18" s="240"/>
      <c r="T18" s="240"/>
      <c r="U18" s="240"/>
      <c r="V18" s="241"/>
      <c r="W18" s="241"/>
      <c r="X18" s="241"/>
      <c r="Y18" s="222"/>
    </row>
    <row r="19" spans="1:25" s="223" customFormat="1">
      <c r="A19" s="20"/>
      <c r="B19" s="242"/>
      <c r="C19" s="242"/>
      <c r="D19" s="230">
        <v>278.39999999999998</v>
      </c>
      <c r="E19" s="230">
        <v>735.71730000000002</v>
      </c>
      <c r="F19" s="230">
        <v>4709.2</v>
      </c>
      <c r="G19" s="234"/>
      <c r="H19" s="234"/>
      <c r="I19" s="230">
        <v>35622.699999999997</v>
      </c>
      <c r="J19" s="234"/>
      <c r="K19" s="234"/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22"/>
    </row>
    <row r="20" spans="1:25" s="223" customFormat="1" ht="15" thickBot="1">
      <c r="A20" s="20"/>
      <c r="B20" s="419"/>
      <c r="C20" s="419"/>
      <c r="D20" s="420"/>
      <c r="E20" s="420"/>
      <c r="F20" s="420"/>
      <c r="G20" s="420"/>
      <c r="H20" s="420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222"/>
    </row>
    <row r="21" spans="1:25" s="223" customFormat="1" ht="15">
      <c r="A21" s="283"/>
      <c r="B21" s="424" t="s">
        <v>83</v>
      </c>
      <c r="C21" s="425"/>
      <c r="D21" s="426"/>
      <c r="E21" s="426"/>
      <c r="F21" s="426"/>
      <c r="G21" s="426"/>
      <c r="H21" s="426"/>
      <c r="I21" s="426"/>
      <c r="J21" s="426"/>
      <c r="K21" s="426"/>
      <c r="L21" s="426"/>
      <c r="M21" s="426">
        <f>AVERAGE(M9:M17)</f>
        <v>6.1477777777777769</v>
      </c>
      <c r="N21" s="426">
        <f t="shared" ref="N21:X21" si="8">AVERAGE(N9:N18)</f>
        <v>7.3905322222222232</v>
      </c>
      <c r="O21" s="426">
        <f t="shared" si="8"/>
        <v>9.0367244444444452</v>
      </c>
      <c r="P21" s="431">
        <f t="shared" si="8"/>
        <v>36.124097431751871</v>
      </c>
      <c r="Q21" s="431">
        <f t="shared" si="8"/>
        <v>33.767112723140414</v>
      </c>
      <c r="R21" s="431">
        <f t="shared" si="8"/>
        <v>30.789145426734624</v>
      </c>
      <c r="S21" s="426">
        <f t="shared" si="8"/>
        <v>1524.0637777777777</v>
      </c>
      <c r="T21" s="426">
        <f t="shared" si="8"/>
        <v>1681.2090911111109</v>
      </c>
      <c r="U21" s="426">
        <f t="shared" si="8"/>
        <v>1880.7497655555553</v>
      </c>
      <c r="V21" s="431">
        <f t="shared" si="8"/>
        <v>20.208559800055841</v>
      </c>
      <c r="W21" s="431">
        <f t="shared" si="8"/>
        <v>17.578453685490366</v>
      </c>
      <c r="X21" s="433">
        <f t="shared" si="8"/>
        <v>15.047194284533305</v>
      </c>
      <c r="Y21" s="418"/>
    </row>
    <row r="22" spans="1:25" s="223" customFormat="1" ht="15.75" thickBot="1">
      <c r="A22" s="283"/>
      <c r="B22" s="427" t="s">
        <v>84</v>
      </c>
      <c r="C22" s="428"/>
      <c r="D22" s="429"/>
      <c r="E22" s="429"/>
      <c r="F22" s="429"/>
      <c r="G22" s="429"/>
      <c r="H22" s="429"/>
      <c r="I22" s="429"/>
      <c r="J22" s="429"/>
      <c r="K22" s="429"/>
      <c r="L22" s="429"/>
      <c r="M22" s="430">
        <f>MEDIAN(M9:M17)</f>
        <v>2.83</v>
      </c>
      <c r="N22" s="430">
        <f>MEDIAN(N9:N17)</f>
        <v>3.39486</v>
      </c>
      <c r="O22" s="430">
        <f t="shared" ref="O22:X22" si="9">MEDIAN(O9:O17)</f>
        <v>3.9603899999999999</v>
      </c>
      <c r="P22" s="432">
        <f t="shared" si="9"/>
        <v>26.999999999999996</v>
      </c>
      <c r="Q22" s="432">
        <f t="shared" si="9"/>
        <v>24.254909865440958</v>
      </c>
      <c r="R22" s="432">
        <f t="shared" si="9"/>
        <v>23.65782550452246</v>
      </c>
      <c r="S22" s="430">
        <f t="shared" si="9"/>
        <v>890.43399999999997</v>
      </c>
      <c r="T22" s="430">
        <f t="shared" si="9"/>
        <v>841.40548000000001</v>
      </c>
      <c r="U22" s="430">
        <f t="shared" si="9"/>
        <v>911.17881999999997</v>
      </c>
      <c r="V22" s="432">
        <f t="shared" si="9"/>
        <v>18.858973832984812</v>
      </c>
      <c r="W22" s="432">
        <f t="shared" si="9"/>
        <v>16.949574651513309</v>
      </c>
      <c r="X22" s="434">
        <f t="shared" si="9"/>
        <v>14.979668779266964</v>
      </c>
      <c r="Y22" s="418"/>
    </row>
    <row r="23" spans="1:25" s="223" customFormat="1">
      <c r="A23" s="20"/>
      <c r="B23" s="421"/>
      <c r="C23" s="421"/>
      <c r="D23" s="422"/>
      <c r="E23" s="422"/>
      <c r="F23" s="422"/>
      <c r="G23" s="422"/>
      <c r="H23" s="423"/>
      <c r="I23" s="422"/>
      <c r="J23" s="422"/>
      <c r="K23" s="422"/>
      <c r="L23" s="422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2"/>
      <c r="X23" s="422"/>
      <c r="Y23" s="222"/>
    </row>
    <row r="24" spans="1:25" s="223" customFormat="1" ht="15">
      <c r="A24" s="20"/>
      <c r="B24" s="219" t="s">
        <v>99</v>
      </c>
      <c r="C24" s="247">
        <f>'DCF Valuations'!C28</f>
        <v>272.27</v>
      </c>
      <c r="D24" s="247">
        <f>'DCF Valuations'!C29</f>
        <v>751.8</v>
      </c>
      <c r="E24" s="247">
        <f>'Balance Sheet'!G6</f>
        <v>4709.2</v>
      </c>
      <c r="F24" s="248"/>
      <c r="G24" s="246">
        <v>0</v>
      </c>
      <c r="H24" s="247">
        <f>'Balance Sheet'!G31</f>
        <v>0</v>
      </c>
      <c r="I24" s="247">
        <f>'Balance Sheet'!G34+'Balance Sheet'!G35</f>
        <v>48643.6</v>
      </c>
      <c r="J24" s="246">
        <v>0</v>
      </c>
      <c r="K24" s="248">
        <f>C24*D24</f>
        <v>204692.58599999998</v>
      </c>
      <c r="L24" s="244">
        <f>K24+H24+I24+J24-E24-G24</f>
        <v>248626.98599999998</v>
      </c>
      <c r="M24" s="435">
        <f>'Income Statement'!G28</f>
        <v>10.039999999999999</v>
      </c>
      <c r="N24" s="435">
        <f ca="1">'Income Statement'!H28</f>
        <v>9.4153804656869831</v>
      </c>
      <c r="O24" s="435">
        <f ca="1">'Income Statement'!I28</f>
        <v>9.8132486279053044</v>
      </c>
      <c r="P24" s="436">
        <f>$C$24/M24</f>
        <v>27.118525896414344</v>
      </c>
      <c r="Q24" s="436">
        <f ca="1">$C$24/N24</f>
        <v>28.917578104490765</v>
      </c>
      <c r="R24" s="436">
        <f ca="1">$C$24/O24</f>
        <v>27.745144378158653</v>
      </c>
      <c r="S24" s="435">
        <f>'Income Statement'!G35</f>
        <v>12224.199999999999</v>
      </c>
      <c r="T24" s="435">
        <f>'Income Statement'!H35</f>
        <v>0</v>
      </c>
      <c r="U24" s="435">
        <f>'Income Statement'!I35</f>
        <v>0</v>
      </c>
      <c r="V24" s="437">
        <f t="shared" ref="V24:X24" si="10">$L24/S24</f>
        <v>20.338916738927701</v>
      </c>
      <c r="W24" s="437" t="e">
        <f t="shared" si="10"/>
        <v>#DIV/0!</v>
      </c>
      <c r="X24" s="437" t="e">
        <f t="shared" si="10"/>
        <v>#DIV/0!</v>
      </c>
      <c r="Y24" s="222"/>
    </row>
    <row r="25" spans="1:25" s="223" customFormat="1">
      <c r="A25" s="20"/>
      <c r="B25" s="243"/>
      <c r="C25" s="243"/>
      <c r="D25" s="243"/>
      <c r="E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22"/>
    </row>
    <row r="26" spans="1:25" s="223" customFormat="1" ht="15">
      <c r="A26" s="20"/>
      <c r="B26" s="243" t="s">
        <v>349</v>
      </c>
      <c r="C26" s="225">
        <v>2021</v>
      </c>
      <c r="D26" s="226">
        <f>C26+1</f>
        <v>2022</v>
      </c>
      <c r="E26" s="226">
        <f>D26+1</f>
        <v>2023</v>
      </c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22"/>
    </row>
    <row r="27" spans="1:25" s="223" customFormat="1">
      <c r="A27" s="20"/>
      <c r="B27" s="243" t="s">
        <v>350</v>
      </c>
      <c r="C27" s="243"/>
      <c r="D27" s="438">
        <f>Q21</f>
        <v>33.767112723140414</v>
      </c>
      <c r="E27" s="438">
        <f>R21</f>
        <v>30.789145426734624</v>
      </c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22"/>
    </row>
    <row r="28" spans="1:25" s="223" customFormat="1">
      <c r="A28" s="20"/>
      <c r="B28" s="243" t="s">
        <v>351</v>
      </c>
      <c r="C28" s="243"/>
      <c r="D28" s="127">
        <f ca="1">'Income Statement'!H28</f>
        <v>9.4153804656869831</v>
      </c>
      <c r="E28" s="127">
        <f ca="1">'Income Statement'!I28</f>
        <v>9.8132486279053044</v>
      </c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22"/>
    </row>
    <row r="29" spans="1:25" s="223" customFormat="1">
      <c r="A29" s="20"/>
      <c r="B29" s="243" t="s">
        <v>352</v>
      </c>
      <c r="C29" s="243"/>
      <c r="D29" s="417">
        <f ca="1">D28*D27</f>
        <v>317.93021351610662</v>
      </c>
      <c r="E29" s="417">
        <f ca="1">E28*E27</f>
        <v>302.14153911328043</v>
      </c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22"/>
    </row>
    <row r="30" spans="1:25" s="223" customFormat="1">
      <c r="A30" s="20"/>
      <c r="B30" s="243"/>
      <c r="C30" s="243"/>
      <c r="D30" s="243"/>
      <c r="E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22"/>
    </row>
    <row r="31" spans="1:25" s="223" customFormat="1" ht="15">
      <c r="A31" s="20"/>
      <c r="B31" s="243" t="s">
        <v>353</v>
      </c>
      <c r="C31" s="225">
        <v>2021</v>
      </c>
      <c r="D31" s="226">
        <f>C31+1</f>
        <v>2022</v>
      </c>
      <c r="E31" s="226">
        <f>D31+1</f>
        <v>2023</v>
      </c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22"/>
    </row>
    <row r="32" spans="1:25" s="223" customFormat="1">
      <c r="A32" s="20"/>
      <c r="B32" s="243" t="s">
        <v>354</v>
      </c>
      <c r="C32" s="243"/>
      <c r="D32" s="235">
        <f>W21</f>
        <v>17.578453685490366</v>
      </c>
      <c r="E32" s="235">
        <f>X21</f>
        <v>15.047194284533305</v>
      </c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22"/>
    </row>
    <row r="33" spans="1:28" s="223" customFormat="1">
      <c r="A33" s="20"/>
      <c r="B33" s="243" t="s">
        <v>355</v>
      </c>
      <c r="C33" s="243"/>
      <c r="D33" s="417">
        <f>'Income Statement'!H35</f>
        <v>0</v>
      </c>
      <c r="E33" s="417">
        <f>'Income Statement'!I35</f>
        <v>0</v>
      </c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22"/>
    </row>
    <row r="34" spans="1:28" s="223" customFormat="1">
      <c r="A34" s="20"/>
      <c r="B34" s="243" t="s">
        <v>25</v>
      </c>
      <c r="C34" s="243"/>
      <c r="D34" s="417">
        <f>D33*D32</f>
        <v>0</v>
      </c>
      <c r="E34" s="417">
        <f>E33*E32</f>
        <v>0</v>
      </c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22"/>
    </row>
    <row r="35" spans="1:28" s="223" customFormat="1">
      <c r="A35" s="20"/>
      <c r="B35" s="172" t="s">
        <v>38</v>
      </c>
      <c r="C35" s="243"/>
      <c r="D35" s="417">
        <f ca="1">'DCF Valuations'!D59</f>
        <v>4291.4541192306979</v>
      </c>
      <c r="E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22"/>
    </row>
    <row r="36" spans="1:28" s="223" customFormat="1">
      <c r="A36" s="20"/>
      <c r="B36" s="172" t="s">
        <v>39</v>
      </c>
      <c r="C36" s="243"/>
      <c r="D36" s="417">
        <f ca="1">'DCF Valuations'!D60</f>
        <v>-48643.6</v>
      </c>
      <c r="E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22"/>
    </row>
    <row r="37" spans="1:28" s="223" customFormat="1" ht="15">
      <c r="A37" s="20"/>
      <c r="B37" s="65" t="s">
        <v>26</v>
      </c>
      <c r="C37" s="243"/>
      <c r="D37" s="417">
        <f ca="1">D34+D35+D36</f>
        <v>-44352.145880769298</v>
      </c>
      <c r="E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22"/>
    </row>
    <row r="38" spans="1:28" s="223" customFormat="1" ht="15">
      <c r="A38" s="20"/>
      <c r="B38" s="201" t="s">
        <v>27</v>
      </c>
      <c r="C38" s="249"/>
      <c r="D38" s="439">
        <f ca="1">D37/'DCF Valuations'!C29</f>
        <v>-58.994607449812847</v>
      </c>
      <c r="E38" s="249"/>
      <c r="G38" s="249"/>
      <c r="H38" s="249"/>
      <c r="I38" s="249"/>
      <c r="J38" s="249"/>
      <c r="K38" s="249"/>
      <c r="L38" s="249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22"/>
    </row>
    <row r="39" spans="1:28" s="223" customFormat="1" ht="15">
      <c r="A39" s="20"/>
      <c r="B39" s="201"/>
      <c r="C39" s="201"/>
      <c r="D39" s="249"/>
      <c r="E39" s="249"/>
      <c r="F39" s="249"/>
      <c r="G39" s="249"/>
      <c r="H39" s="249"/>
      <c r="I39" s="249"/>
      <c r="J39" s="249"/>
      <c r="K39" s="249"/>
      <c r="L39" s="249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22"/>
    </row>
    <row r="40" spans="1:28" s="223" customFormat="1" ht="15">
      <c r="A40" s="20"/>
      <c r="B40" s="250" t="s">
        <v>318</v>
      </c>
      <c r="C40" s="250"/>
      <c r="D40" s="245"/>
      <c r="E40" s="251"/>
      <c r="F40" s="251"/>
      <c r="G40" s="252"/>
      <c r="H40" s="252"/>
      <c r="I40" s="252"/>
      <c r="J40" s="252"/>
      <c r="K40" s="245"/>
      <c r="L40" s="245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22"/>
      <c r="AB40" s="253" t="s">
        <v>312</v>
      </c>
    </row>
    <row r="41" spans="1:28">
      <c r="A41" s="20"/>
      <c r="B41" s="20" t="s">
        <v>278</v>
      </c>
      <c r="C41" s="20"/>
      <c r="D41" s="20" t="s">
        <v>279</v>
      </c>
      <c r="E41" s="20" t="s">
        <v>87</v>
      </c>
      <c r="F41" s="20" t="s">
        <v>310</v>
      </c>
      <c r="G41" s="20" t="s">
        <v>281</v>
      </c>
      <c r="H41" s="20" t="s">
        <v>311</v>
      </c>
      <c r="I41" s="20" t="s">
        <v>307</v>
      </c>
      <c r="J41" s="20" t="s">
        <v>308</v>
      </c>
      <c r="K41" s="20" t="s">
        <v>309</v>
      </c>
      <c r="L41" s="20" t="s">
        <v>25</v>
      </c>
      <c r="M41" s="20" t="s">
        <v>280</v>
      </c>
      <c r="N41" s="20" t="s">
        <v>305</v>
      </c>
      <c r="O41" s="20" t="s">
        <v>306</v>
      </c>
      <c r="P41" s="20" t="s">
        <v>282</v>
      </c>
      <c r="Q41" s="20" t="s">
        <v>303</v>
      </c>
      <c r="R41" s="20" t="s">
        <v>304</v>
      </c>
      <c r="S41" s="20" t="s">
        <v>283</v>
      </c>
      <c r="T41" s="20" t="s">
        <v>284</v>
      </c>
      <c r="U41" s="20" t="s">
        <v>285</v>
      </c>
      <c r="V41" s="20" t="s">
        <v>300</v>
      </c>
      <c r="W41" s="20" t="s">
        <v>301</v>
      </c>
      <c r="X41" s="20" t="s">
        <v>302</v>
      </c>
      <c r="Y41" s="20" t="s">
        <v>315</v>
      </c>
      <c r="Z41" s="20" t="s">
        <v>316</v>
      </c>
    </row>
    <row r="42" spans="1:28">
      <c r="B42" s="20" t="s">
        <v>273</v>
      </c>
      <c r="C42" s="20"/>
      <c r="D42" s="20" t="s">
        <v>286</v>
      </c>
      <c r="E42" s="98">
        <v>1389.64</v>
      </c>
      <c r="F42" s="98">
        <v>27.7211</v>
      </c>
      <c r="G42" s="98">
        <v>815.37400000000002</v>
      </c>
      <c r="H42" s="98">
        <v>260.94499999999999</v>
      </c>
      <c r="I42" s="20"/>
      <c r="J42" s="20"/>
      <c r="K42" s="20"/>
      <c r="L42" s="98">
        <v>37925.011400000003</v>
      </c>
      <c r="M42" s="98">
        <v>22.9</v>
      </c>
      <c r="N42" s="98">
        <v>33.41695</v>
      </c>
      <c r="O42" s="98">
        <v>43.158540000000002</v>
      </c>
      <c r="P42" s="98">
        <v>1078.8910000000001</v>
      </c>
      <c r="Q42" s="98">
        <v>1500.11745</v>
      </c>
      <c r="R42" s="98">
        <v>1901.3551399999999</v>
      </c>
      <c r="S42" s="98">
        <v>44.503599999999999</v>
      </c>
      <c r="T42" s="98">
        <v>25.281400000000001</v>
      </c>
      <c r="U42" s="98">
        <v>32.452599999999997</v>
      </c>
      <c r="V42" s="98">
        <v>8695.4369100000004</v>
      </c>
      <c r="W42" s="98">
        <v>9878.7307000000001</v>
      </c>
      <c r="X42" s="98">
        <v>11246.38868</v>
      </c>
      <c r="Y42" s="98">
        <v>48.437648841639302</v>
      </c>
      <c r="Z42" s="98">
        <v>41.629493271124403</v>
      </c>
    </row>
    <row r="43" spans="1:28">
      <c r="B43" s="20" t="s">
        <v>274</v>
      </c>
      <c r="C43" s="20"/>
      <c r="D43" s="20" t="s">
        <v>287</v>
      </c>
      <c r="E43" s="98">
        <v>337.49</v>
      </c>
      <c r="F43" s="98">
        <v>35.3994</v>
      </c>
      <c r="G43" s="98">
        <v>148.16</v>
      </c>
      <c r="H43" s="20"/>
      <c r="I43" s="98">
        <v>55.588000000000001</v>
      </c>
      <c r="J43" s="98">
        <v>4938.3</v>
      </c>
      <c r="K43" s="20"/>
      <c r="L43" s="98">
        <v>17354.816200000001</v>
      </c>
      <c r="M43" s="98">
        <v>13.54</v>
      </c>
      <c r="N43" s="98">
        <v>12.161630000000001</v>
      </c>
      <c r="O43" s="98">
        <v>14.265470000000001</v>
      </c>
      <c r="P43" s="98">
        <v>890.43399999999997</v>
      </c>
      <c r="Q43" s="98">
        <v>841.40548000000001</v>
      </c>
      <c r="R43" s="98">
        <v>911.17881999999997</v>
      </c>
      <c r="S43" s="98">
        <v>28.486000000000001</v>
      </c>
      <c r="T43" s="98">
        <v>20.626000000000001</v>
      </c>
      <c r="U43" s="98">
        <v>23.190999999999999</v>
      </c>
      <c r="V43" s="98">
        <v>4582.6150200000002</v>
      </c>
      <c r="W43" s="98">
        <v>4765.7721700000002</v>
      </c>
      <c r="X43" s="98">
        <v>5047.9168399999999</v>
      </c>
      <c r="Y43" s="98">
        <v>27.268631299399299</v>
      </c>
      <c r="Z43" s="98">
        <v>27.713361745178599</v>
      </c>
    </row>
    <row r="44" spans="1:28">
      <c r="B44" s="20" t="s">
        <v>277</v>
      </c>
      <c r="C44" s="20"/>
      <c r="D44" s="20" t="s">
        <v>288</v>
      </c>
      <c r="E44" s="98">
        <v>83.54</v>
      </c>
      <c r="F44" s="98">
        <v>21.057099999999998</v>
      </c>
      <c r="G44" s="98">
        <v>55.345999999999997</v>
      </c>
      <c r="H44" s="20"/>
      <c r="I44" s="98">
        <v>0.89400000000000002</v>
      </c>
      <c r="J44" s="98">
        <v>1273.42</v>
      </c>
      <c r="K44" s="20"/>
      <c r="L44" s="98">
        <v>3582.8026</v>
      </c>
      <c r="M44" s="98">
        <v>7.37</v>
      </c>
      <c r="N44" s="98">
        <v>6.6037299999999997</v>
      </c>
      <c r="O44" s="98">
        <v>7.4842199999999997</v>
      </c>
      <c r="P44" s="98">
        <v>337.29899999999998</v>
      </c>
      <c r="Q44" s="98">
        <v>338.08168000000001</v>
      </c>
      <c r="R44" s="98">
        <v>351.88484</v>
      </c>
      <c r="S44" s="98">
        <v>9.8673999999999999</v>
      </c>
      <c r="T44" s="98">
        <v>10.6073</v>
      </c>
      <c r="U44" s="98">
        <v>11.5457</v>
      </c>
      <c r="V44" s="98">
        <v>1694.2051799999999</v>
      </c>
      <c r="W44" s="98">
        <v>1736.2274399999999</v>
      </c>
      <c r="X44" s="98">
        <v>1737.3215</v>
      </c>
      <c r="Y44" s="98">
        <v>16.3666951899616</v>
      </c>
      <c r="Z44" s="98">
        <v>12.657628593005599</v>
      </c>
    </row>
    <row r="45" spans="1:28">
      <c r="B45" s="20" t="s">
        <v>289</v>
      </c>
      <c r="C45" s="20"/>
      <c r="D45" s="20" t="s">
        <v>290</v>
      </c>
      <c r="E45" s="98">
        <v>76.41</v>
      </c>
      <c r="F45" s="98">
        <v>35.328200000000002</v>
      </c>
      <c r="G45" s="98">
        <v>70.61</v>
      </c>
      <c r="H45" s="20"/>
      <c r="I45" s="20"/>
      <c r="J45" s="98">
        <v>480.73</v>
      </c>
      <c r="K45" s="98">
        <v>20.71</v>
      </c>
      <c r="L45" s="98">
        <v>3217.4639999999999</v>
      </c>
      <c r="M45" s="98">
        <v>0.12</v>
      </c>
      <c r="N45" s="98">
        <v>2.8947099999999999</v>
      </c>
      <c r="O45" s="98">
        <v>3.3556300000000001</v>
      </c>
      <c r="P45" s="98">
        <v>218.96899999999999</v>
      </c>
      <c r="Q45" s="98">
        <v>209.86421999999999</v>
      </c>
      <c r="R45" s="98">
        <v>231.85427000000001</v>
      </c>
      <c r="S45" s="98">
        <v>23.787199999999999</v>
      </c>
      <c r="T45" s="98">
        <v>15.331200000000001</v>
      </c>
      <c r="U45" s="98">
        <v>23.213799999999999</v>
      </c>
      <c r="V45" s="98">
        <v>2100.15778</v>
      </c>
      <c r="W45" s="98">
        <v>2189.3625900000002</v>
      </c>
      <c r="X45" s="98">
        <v>2276.3195300000002</v>
      </c>
      <c r="Y45" s="98">
        <v>40.433912378449399</v>
      </c>
      <c r="Z45" s="98">
        <v>26.4068757687253</v>
      </c>
    </row>
    <row r="46" spans="1:28">
      <c r="B46" s="20" t="s">
        <v>276</v>
      </c>
      <c r="C46" s="20"/>
      <c r="D46" s="20" t="s">
        <v>291</v>
      </c>
      <c r="E46" s="98">
        <v>60.91</v>
      </c>
      <c r="F46" s="98">
        <v>305.90460000000002</v>
      </c>
      <c r="G46" s="98">
        <v>1087</v>
      </c>
      <c r="H46" s="20"/>
      <c r="I46" s="98">
        <v>62</v>
      </c>
      <c r="J46" s="98">
        <v>12916</v>
      </c>
      <c r="K46" s="98">
        <v>1616</v>
      </c>
      <c r="L46" s="98">
        <v>32189.519700000001</v>
      </c>
      <c r="M46" s="98">
        <v>2.69</v>
      </c>
      <c r="N46" s="98">
        <v>3.15029</v>
      </c>
      <c r="O46" s="98">
        <v>3.0819100000000001</v>
      </c>
      <c r="P46" s="98">
        <v>2045</v>
      </c>
      <c r="Q46" s="98">
        <v>2378.37545</v>
      </c>
      <c r="R46" s="98">
        <v>2467.2624799999999</v>
      </c>
      <c r="S46" s="98">
        <v>15.7744</v>
      </c>
      <c r="T46" s="98">
        <v>13.5474</v>
      </c>
      <c r="U46" s="98">
        <v>15.0898</v>
      </c>
      <c r="V46" s="98">
        <v>6476.1226399999996</v>
      </c>
      <c r="W46" s="98">
        <v>6724.5231700000004</v>
      </c>
      <c r="X46" s="98">
        <v>7084.21443</v>
      </c>
      <c r="Y46" s="98">
        <v>19.713639574362301</v>
      </c>
      <c r="Z46" s="98">
        <v>19.361244584299399</v>
      </c>
    </row>
    <row r="47" spans="1:28">
      <c r="B47" s="20" t="s">
        <v>292</v>
      </c>
      <c r="C47" s="20"/>
      <c r="D47" s="20" t="s">
        <v>293</v>
      </c>
      <c r="E47" s="98">
        <v>92.75</v>
      </c>
      <c r="F47" s="98">
        <v>1147.9000000000001</v>
      </c>
      <c r="G47" s="98">
        <v>2818.4</v>
      </c>
      <c r="H47" s="98">
        <v>364.5</v>
      </c>
      <c r="I47" s="98">
        <v>1924</v>
      </c>
      <c r="J47" s="98">
        <v>13119.9</v>
      </c>
      <c r="K47" s="98">
        <v>7.9</v>
      </c>
      <c r="L47" s="98">
        <v>115696.455</v>
      </c>
      <c r="M47" s="98">
        <v>2.83</v>
      </c>
      <c r="N47" s="98">
        <v>3.39486</v>
      </c>
      <c r="O47" s="98">
        <v>3.9603899999999999</v>
      </c>
      <c r="P47" s="98">
        <v>6244.2</v>
      </c>
      <c r="Q47" s="98">
        <v>6981.6869999999999</v>
      </c>
      <c r="R47" s="98">
        <v>7899.8158599999997</v>
      </c>
      <c r="S47" s="98">
        <v>17.383900000000001</v>
      </c>
      <c r="T47" s="98">
        <v>16.5702</v>
      </c>
      <c r="U47" s="98">
        <v>17.263400000000001</v>
      </c>
      <c r="V47" s="98">
        <v>35800.277439999998</v>
      </c>
      <c r="W47" s="98">
        <v>39636.64357</v>
      </c>
      <c r="X47" s="98">
        <v>43875.51195</v>
      </c>
      <c r="Y47" s="98">
        <v>32.8883305970149</v>
      </c>
      <c r="Z47" s="98">
        <v>27.319221492537299</v>
      </c>
    </row>
    <row r="48" spans="1:28">
      <c r="B48" s="20" t="s">
        <v>272</v>
      </c>
      <c r="C48" s="20"/>
      <c r="D48" s="20" t="s">
        <v>294</v>
      </c>
      <c r="E48" s="98">
        <v>45.66</v>
      </c>
      <c r="F48" s="98">
        <v>39.279899999999998</v>
      </c>
      <c r="G48" s="98">
        <v>302.40600000000001</v>
      </c>
      <c r="H48" s="98">
        <v>80</v>
      </c>
      <c r="I48" s="20"/>
      <c r="J48" s="98">
        <v>243.542</v>
      </c>
      <c r="K48" s="98">
        <v>26.062999999999999</v>
      </c>
      <c r="L48" s="98">
        <v>1668.2436</v>
      </c>
      <c r="M48" s="98">
        <v>-0.22</v>
      </c>
      <c r="N48" s="98">
        <v>-0.42174</v>
      </c>
      <c r="O48" s="98">
        <v>-8.4129999999999996E-2</v>
      </c>
      <c r="P48" s="98">
        <v>44.478000000000002</v>
      </c>
      <c r="Q48" s="98">
        <v>63.61759</v>
      </c>
      <c r="R48" s="98">
        <v>97.544989999999999</v>
      </c>
      <c r="S48" s="98">
        <v>60.967500000000001</v>
      </c>
      <c r="T48" s="98">
        <v>26.132000000000001</v>
      </c>
      <c r="U48" s="98">
        <v>35.315800000000003</v>
      </c>
      <c r="V48" s="98">
        <v>899.42550000000006</v>
      </c>
      <c r="W48" s="98">
        <v>1087.9329499999999</v>
      </c>
      <c r="X48" s="98">
        <v>1277.9785999999999</v>
      </c>
      <c r="Y48" s="20"/>
      <c r="Z48" s="20"/>
    </row>
    <row r="49" spans="2:26">
      <c r="B49" s="20" t="s">
        <v>295</v>
      </c>
      <c r="C49" s="20"/>
      <c r="D49" s="20" t="s">
        <v>296</v>
      </c>
      <c r="E49" s="98">
        <v>20.41</v>
      </c>
      <c r="F49" s="98">
        <v>212.8039</v>
      </c>
      <c r="G49" s="98">
        <v>249.43799999999999</v>
      </c>
      <c r="H49" s="20"/>
      <c r="I49" s="98">
        <v>24.25</v>
      </c>
      <c r="J49" s="98">
        <v>2356.4160000000002</v>
      </c>
      <c r="K49" s="20"/>
      <c r="L49" s="98">
        <v>6544.9872999999998</v>
      </c>
      <c r="M49" s="98">
        <v>0.89</v>
      </c>
      <c r="N49" s="98">
        <v>0.84404000000000001</v>
      </c>
      <c r="O49" s="98">
        <v>0.99490000000000001</v>
      </c>
      <c r="P49" s="98">
        <v>475.303</v>
      </c>
      <c r="Q49" s="98">
        <v>494.77546000000001</v>
      </c>
      <c r="R49" s="98">
        <v>534.10958000000005</v>
      </c>
      <c r="S49" s="98">
        <v>15.555</v>
      </c>
      <c r="T49" s="98">
        <v>13.234999999999999</v>
      </c>
      <c r="U49" s="98">
        <v>15.033799999999999</v>
      </c>
      <c r="V49" s="98">
        <v>2080.0815200000002</v>
      </c>
      <c r="W49" s="98">
        <v>2174.5966600000002</v>
      </c>
      <c r="X49" s="98">
        <v>2266.8562900000002</v>
      </c>
      <c r="Y49" s="98">
        <v>25.191359247572802</v>
      </c>
      <c r="Z49" s="98">
        <v>24.165958470873701</v>
      </c>
    </row>
    <row r="50" spans="2:26">
      <c r="B50" s="20" t="s">
        <v>275</v>
      </c>
      <c r="C50" s="20"/>
      <c r="D50" s="20" t="s">
        <v>297</v>
      </c>
      <c r="E50" s="98">
        <v>122.38</v>
      </c>
      <c r="F50" s="98">
        <v>284</v>
      </c>
      <c r="G50" s="98">
        <v>486</v>
      </c>
      <c r="H50" s="20"/>
      <c r="I50" s="98">
        <v>68</v>
      </c>
      <c r="J50" s="98">
        <v>11178</v>
      </c>
      <c r="K50" s="20"/>
      <c r="L50" s="98">
        <v>45971.839999999997</v>
      </c>
      <c r="M50" s="98">
        <v>5.21</v>
      </c>
      <c r="N50" s="98">
        <v>4.4703200000000001</v>
      </c>
      <c r="O50" s="98">
        <v>5.1135900000000003</v>
      </c>
      <c r="P50" s="98">
        <v>2382</v>
      </c>
      <c r="Q50" s="98">
        <v>2322.9574899999998</v>
      </c>
      <c r="R50" s="98">
        <v>2531.7419100000002</v>
      </c>
      <c r="S50" s="98">
        <v>21.364599999999999</v>
      </c>
      <c r="T50" s="98">
        <v>19.790199999999999</v>
      </c>
      <c r="U50" s="98">
        <v>19.581199999999999</v>
      </c>
      <c r="V50" s="98">
        <v>6738.3891800000001</v>
      </c>
      <c r="W50" s="98">
        <v>7112.4417000000003</v>
      </c>
      <c r="X50" s="98">
        <v>7663.0922899999996</v>
      </c>
      <c r="Y50" s="98">
        <v>27.932628793567801</v>
      </c>
      <c r="Z50" s="98">
        <v>27.2835042323075</v>
      </c>
    </row>
    <row r="51" spans="2:26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2:26">
      <c r="B52" s="20" t="s">
        <v>298</v>
      </c>
      <c r="C52" s="20"/>
      <c r="D52" s="20" t="s">
        <v>299</v>
      </c>
      <c r="E52" s="98">
        <v>278.39999999999998</v>
      </c>
      <c r="F52" s="98">
        <v>735.71730000000002</v>
      </c>
      <c r="G52" s="98">
        <v>4709.2</v>
      </c>
      <c r="H52" s="20"/>
      <c r="I52" s="20"/>
      <c r="J52" s="98">
        <v>35622.699999999997</v>
      </c>
      <c r="K52" s="20"/>
      <c r="L52" s="98">
        <v>236063.6189</v>
      </c>
      <c r="M52" s="98">
        <v>10.039999999999999</v>
      </c>
      <c r="N52" s="98">
        <v>9.9376800000000003</v>
      </c>
      <c r="O52" s="98">
        <v>10.515000000000001</v>
      </c>
      <c r="P52" s="98">
        <v>12181.8</v>
      </c>
      <c r="Q52" s="98">
        <v>11918.5605</v>
      </c>
      <c r="R52" s="98">
        <v>12872.80494</v>
      </c>
      <c r="S52" s="98">
        <v>18.927600000000002</v>
      </c>
      <c r="T52" s="98">
        <v>19.8064</v>
      </c>
      <c r="U52" s="98">
        <v>17.986799999999999</v>
      </c>
      <c r="V52" s="98">
        <v>22967.2945</v>
      </c>
      <c r="W52" s="98">
        <v>23692.12311</v>
      </c>
      <c r="X52" s="98">
        <v>25009.36938</v>
      </c>
      <c r="Y52" s="98">
        <v>35.085599413914103</v>
      </c>
      <c r="Z52" s="98">
        <v>28.032660518794501</v>
      </c>
    </row>
  </sheetData>
  <mergeCells count="6">
    <mergeCell ref="M7:O7"/>
    <mergeCell ref="P7:R7"/>
    <mergeCell ref="V7:X7"/>
    <mergeCell ref="E1:G1"/>
    <mergeCell ref="K1:L1"/>
    <mergeCell ref="S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Income Statement</vt:lpstr>
      <vt:lpstr>Balance Sheet</vt:lpstr>
      <vt:lpstr>Cash Flows</vt:lpstr>
      <vt:lpstr>Revenue Built-up</vt:lpstr>
      <vt:lpstr>Cost Sheet</vt:lpstr>
      <vt:lpstr>Working Capital</vt:lpstr>
      <vt:lpstr>Dep Capex</vt:lpstr>
      <vt:lpstr>Amortization</vt:lpstr>
      <vt:lpstr>Other Assets and Liabilities</vt:lpstr>
      <vt:lpstr>Shareholder's Equity</vt:lpstr>
      <vt:lpstr>Debt</vt:lpstr>
      <vt:lpstr>DCF Valuations</vt:lpstr>
      <vt:lpstr>Relative Valuation</vt:lpstr>
    </vt:vector>
  </TitlesOfParts>
  <Company>WallstreetMojo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McDonalds Financial Model</dc:title>
  <dc:subject>wallstreetmojo.com</dc:subject>
  <dc:creator>Dheeraj Vaidya, CFA, FRM</dc:creator>
  <dc:description>wallstreetmojo.com</dc:description>
  <cp:lastModifiedBy>David Golob</cp:lastModifiedBy>
  <dcterms:created xsi:type="dcterms:W3CDTF">2013-06-17T08:47:06Z</dcterms:created>
  <dcterms:modified xsi:type="dcterms:W3CDTF">2024-01-28T14:44:36Z</dcterms:modified>
</cp:coreProperties>
</file>