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drawings/drawing2.xml" ContentType="application/vnd.openxmlformats-officedocument.drawing+xml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drawings/drawing3.xml" ContentType="application/vnd.openxmlformats-officedocument.drawing+xml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drawings/drawing4.xml" ContentType="application/vnd.openxmlformats-officedocument.drawing+xml"/>
  <Override PartName="/xl/embeddings/oleObject13.bin" ContentType="application/vnd.openxmlformats-officedocument.oleObject"/>
  <Override PartName="/xl/drawings/drawing5.xml" ContentType="application/vnd.openxmlformats-officedocument.drawing+xml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embeddings/oleObject16.bin" ContentType="application/vnd.openxmlformats-officedocument.oleObject"/>
  <Override PartName="/xl/drawings/drawing6.xml" ContentType="application/vnd.openxmlformats-officedocument.drawing+xml"/>
  <Override PartName="/xl/embeddings/oleObject17.bin" ContentType="application/vnd.openxmlformats-officedocument.oleObject"/>
  <Override PartName="/xl/embeddings/oleObject18.bin" ContentType="application/vnd.openxmlformats-officedocument.oleObject"/>
  <Override PartName="/xl/embeddings/oleObject19.bin" ContentType="application/vnd.openxmlformats-officedocument.oleObject"/>
  <Override PartName="/xl/embeddings/oleObject20.bin" ContentType="application/vnd.openxmlformats-officedocument.oleObject"/>
  <Override PartName="/xl/embeddings/oleObject21.bin" ContentType="application/vnd.openxmlformats-officedocument.oleObject"/>
  <Override PartName="/xl/embeddings/oleObject22.bin" ContentType="application/vnd.openxmlformats-officedocument.oleObject"/>
  <Override PartName="/xl/comments1.xml" ContentType="application/vnd.openxmlformats-officedocument.spreadsheetml.comment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embeddings/oleObject23.bin" ContentType="application/vnd.openxmlformats-officedocument.oleObject"/>
  <Override PartName="/xl/embeddings/oleObject24.bin" ContentType="application/vnd.openxmlformats-officedocument.oleObject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pgmb\Desktop\Nova pasta\Excel Calculos\"/>
    </mc:Choice>
  </mc:AlternateContent>
  <xr:revisionPtr revIDLastSave="0" documentId="13_ncr:1_{06555363-CC8A-40F5-8FAF-F1E348168E7D}" xr6:coauthVersionLast="47" xr6:coauthVersionMax="47" xr10:uidLastSave="{00000000-0000-0000-0000-000000000000}"/>
  <bookViews>
    <workbookView xWindow="-120" yWindow="-120" windowWidth="29040" windowHeight="15840" activeTab="6" xr2:uid="{00000000-000D-0000-FFFF-FFFF00000000}"/>
  </bookViews>
  <sheets>
    <sheet name="ICC PT" sheetId="16" r:id="rId1"/>
    <sheet name="ICC GS" sheetId="31" r:id="rId2"/>
    <sheet name="Fusíveis MT" sheetId="26" r:id="rId3"/>
    <sheet name="Bacia Rentenção" sheetId="32" state="hidden" r:id="rId4"/>
    <sheet name="Ventilação PT" sheetId="28" state="hidden" r:id="rId5"/>
    <sheet name="Terras" sheetId="27" state="hidden" r:id="rId6"/>
    <sheet name="Canalizações e Proteções" sheetId="15" r:id="rId7"/>
    <sheet name="Barramentos" sheetId="25" state="hidden" r:id="rId8"/>
    <sheet name="Caminhos Cabos" sheetId="29" state="hidden" r:id="rId9"/>
    <sheet name="Ilum Seg. Ambiente" sheetId="30" state="hidden" r:id="rId10"/>
    <sheet name="M.REF (Q52GH)" sheetId="4" r:id="rId11"/>
    <sheet name="Iz's" sheetId="2" r:id="rId12"/>
    <sheet name="F.Correcção" sheetId="5" r:id="rId13"/>
    <sheet name="Consulta" sheetId="7" r:id="rId14"/>
    <sheet name="Outros" sheetId="6" r:id="rId15"/>
    <sheet name="Folha2" sheetId="22" state="hidden" r:id="rId16"/>
  </sheets>
  <definedNames>
    <definedName name="_xlnm.Print_Area" localSheetId="3">'Bacia Rentenção'!$A$1:$L$10</definedName>
    <definedName name="_xlnm.Print_Area" localSheetId="7">Barramentos!$A$1:$Z$16</definedName>
    <definedName name="_xlnm.Print_Area" localSheetId="8">'Caminhos Cabos'!$A$1:$V$67</definedName>
    <definedName name="_xlnm.Print_Area" localSheetId="6">'Canalizações e Proteções'!$A$1:$AY$60</definedName>
    <definedName name="_xlnm.Print_Area" localSheetId="13">Consulta!$W$1:$AW$28</definedName>
    <definedName name="_xlnm.Print_Area" localSheetId="2">'Fusíveis MT'!$A$1:$S$28</definedName>
    <definedName name="_xlnm.Print_Area" localSheetId="1">'ICC GS'!$A$1:$L$12</definedName>
    <definedName name="_xlnm.Print_Area" localSheetId="0">'ICC PT'!$A$1:$S$19</definedName>
    <definedName name="_xlnm.Print_Area" localSheetId="9">'Ilum Seg. Ambiente'!$A$1:$J$11</definedName>
    <definedName name="_xlnm.Print_Area" localSheetId="10">'M.REF (Q52GH)'!$A$1:$L$274</definedName>
    <definedName name="_xlnm.Print_Area" localSheetId="5">Terras!$A$1:$G$26</definedName>
    <definedName name="_xlnm.Print_Area" localSheetId="4">'Ventilação PT'!$A$1:$G$20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5" l="1"/>
  <c r="Q11" i="16"/>
  <c r="Q10" i="16"/>
  <c r="AB10" i="15" l="1"/>
  <c r="AE9" i="15"/>
  <c r="AX6" i="15"/>
  <c r="AR4" i="15"/>
  <c r="AQ4" i="15"/>
  <c r="AN4" i="15"/>
  <c r="D4" i="15"/>
  <c r="D11" i="15"/>
  <c r="D8" i="15"/>
  <c r="D7" i="15"/>
  <c r="D6" i="15"/>
  <c r="D21" i="15"/>
  <c r="D5" i="15"/>
  <c r="AX18" i="15"/>
  <c r="AX19" i="15"/>
  <c r="AX20" i="15"/>
  <c r="AX21" i="15"/>
  <c r="AX22" i="15"/>
  <c r="AX23" i="15"/>
  <c r="AX24" i="15"/>
  <c r="AX25" i="15"/>
  <c r="AX26" i="15"/>
  <c r="AX27" i="15"/>
  <c r="AX28" i="15"/>
  <c r="AX29" i="15"/>
  <c r="AX30" i="15"/>
  <c r="AX31" i="15"/>
  <c r="AX32" i="15"/>
  <c r="AX33" i="15"/>
  <c r="AX34" i="15"/>
  <c r="AX35" i="15"/>
  <c r="AX36" i="15"/>
  <c r="AX37" i="15"/>
  <c r="AX38" i="15"/>
  <c r="AX39" i="15"/>
  <c r="AX40" i="15"/>
  <c r="AX41" i="15"/>
  <c r="AX42" i="15"/>
  <c r="AX43" i="15"/>
  <c r="AX44" i="15"/>
  <c r="AX45" i="15"/>
  <c r="AX46" i="15"/>
  <c r="AX47" i="15"/>
  <c r="AX48" i="15"/>
  <c r="AX49" i="15"/>
  <c r="AX51" i="15"/>
  <c r="AX52" i="15"/>
  <c r="AX53" i="15"/>
  <c r="AX54" i="15"/>
  <c r="AX55" i="15"/>
  <c r="AX56" i="15"/>
  <c r="AX57" i="15"/>
  <c r="AX58" i="15"/>
  <c r="AX59" i="15"/>
  <c r="AX60" i="15"/>
  <c r="AX61" i="15"/>
  <c r="AX62" i="15"/>
  <c r="AX63" i="15"/>
  <c r="AX64" i="15"/>
  <c r="AX65" i="15"/>
  <c r="AX66" i="15"/>
  <c r="AX67" i="15"/>
  <c r="AX68" i="15"/>
  <c r="AX73" i="15"/>
  <c r="AX74" i="15"/>
  <c r="AX75" i="15"/>
  <c r="AX76" i="15"/>
  <c r="AX77" i="15"/>
  <c r="AX78" i="15"/>
  <c r="AX79" i="15"/>
  <c r="AX80" i="15"/>
  <c r="AX81" i="15"/>
  <c r="AX82" i="15"/>
  <c r="AX83" i="15"/>
  <c r="AX84" i="15"/>
  <c r="AX85" i="15"/>
  <c r="AX86" i="15"/>
  <c r="AX87" i="15"/>
  <c r="AX88" i="15"/>
  <c r="AX89" i="15"/>
  <c r="AX90" i="15"/>
  <c r="AX91" i="15"/>
  <c r="AX92" i="15"/>
  <c r="AX93" i="15"/>
  <c r="AX94" i="15"/>
  <c r="AX95" i="15"/>
  <c r="AX96" i="15"/>
  <c r="AX97" i="15"/>
  <c r="AX98" i="15"/>
  <c r="AX99" i="15"/>
  <c r="AX100" i="15"/>
  <c r="AX101" i="15"/>
  <c r="AX102" i="15"/>
  <c r="AT6" i="15"/>
  <c r="AT8" i="15"/>
  <c r="AT9" i="15"/>
  <c r="AT10" i="15"/>
  <c r="AT11" i="15"/>
  <c r="AT12" i="15"/>
  <c r="AT13" i="15"/>
  <c r="AT14" i="15"/>
  <c r="AT15" i="15"/>
  <c r="AT16" i="15"/>
  <c r="AT17" i="15"/>
  <c r="AT18" i="15"/>
  <c r="AT19" i="15"/>
  <c r="AT20" i="15"/>
  <c r="AT21" i="15"/>
  <c r="AT22" i="15"/>
  <c r="AT23" i="15"/>
  <c r="AT24" i="15"/>
  <c r="AT25" i="15"/>
  <c r="AT26" i="15"/>
  <c r="AT27" i="15"/>
  <c r="AT28" i="15"/>
  <c r="AT29" i="15"/>
  <c r="AT30" i="15"/>
  <c r="AT31" i="15"/>
  <c r="AT32" i="15"/>
  <c r="AT33" i="15"/>
  <c r="AT34" i="15"/>
  <c r="AT35" i="15"/>
  <c r="AT36" i="15"/>
  <c r="AT37" i="15"/>
  <c r="AT38" i="15"/>
  <c r="AT39" i="15"/>
  <c r="AT40" i="15"/>
  <c r="AT41" i="15"/>
  <c r="AT42" i="15"/>
  <c r="AT43" i="15"/>
  <c r="AT44" i="15"/>
  <c r="AT45" i="15"/>
  <c r="AT46" i="15"/>
  <c r="AT47" i="15"/>
  <c r="AT48" i="15"/>
  <c r="AT50" i="15"/>
  <c r="AT51" i="15"/>
  <c r="AT52" i="15"/>
  <c r="AT53" i="15"/>
  <c r="AT54" i="15"/>
  <c r="AT55" i="15"/>
  <c r="AT56" i="15"/>
  <c r="AT57" i="15"/>
  <c r="AT58" i="15"/>
  <c r="AT59" i="15"/>
  <c r="AT60" i="15"/>
  <c r="AT61" i="15"/>
  <c r="AT62" i="15"/>
  <c r="AT63" i="15"/>
  <c r="AT64" i="15"/>
  <c r="AT65" i="15"/>
  <c r="AT66" i="15"/>
  <c r="AT67" i="15"/>
  <c r="AT72" i="15"/>
  <c r="AT73" i="15"/>
  <c r="AT74" i="15"/>
  <c r="AT75" i="15"/>
  <c r="AT76" i="15"/>
  <c r="AT77" i="15"/>
  <c r="AT78" i="15"/>
  <c r="AT79" i="15"/>
  <c r="AT80" i="15"/>
  <c r="AT81" i="15"/>
  <c r="AT82" i="15"/>
  <c r="AT83" i="15"/>
  <c r="AT84" i="15"/>
  <c r="AT85" i="15"/>
  <c r="AT86" i="15"/>
  <c r="AT87" i="15"/>
  <c r="AT88" i="15"/>
  <c r="AT89" i="15"/>
  <c r="AT90" i="15"/>
  <c r="AT91" i="15"/>
  <c r="AT92" i="15"/>
  <c r="AT93" i="15"/>
  <c r="AT94" i="15"/>
  <c r="AT95" i="15"/>
  <c r="AT96" i="15"/>
  <c r="AT97" i="15"/>
  <c r="AT98" i="15"/>
  <c r="AT99" i="15"/>
  <c r="AT100" i="15"/>
  <c r="AT101" i="15"/>
  <c r="AT102" i="15"/>
  <c r="AT103" i="15"/>
  <c r="AT104" i="15"/>
  <c r="AS6" i="15"/>
  <c r="AS8" i="15"/>
  <c r="AS9" i="15"/>
  <c r="AS10" i="15"/>
  <c r="AS11" i="15"/>
  <c r="AS12" i="15"/>
  <c r="AS13" i="15"/>
  <c r="AS14" i="15"/>
  <c r="AS15" i="15"/>
  <c r="AS16" i="15"/>
  <c r="AS17" i="15"/>
  <c r="AS18" i="15"/>
  <c r="AS19" i="15"/>
  <c r="AS20" i="15"/>
  <c r="AS21" i="15"/>
  <c r="AS22" i="15"/>
  <c r="AS23" i="15"/>
  <c r="AS24" i="15"/>
  <c r="AS25" i="15"/>
  <c r="AS26" i="15"/>
  <c r="AS27" i="15"/>
  <c r="AS28" i="15"/>
  <c r="AS29" i="15"/>
  <c r="AS30" i="15"/>
  <c r="AS31" i="15"/>
  <c r="AS32" i="15"/>
  <c r="AS33" i="15"/>
  <c r="AS34" i="15"/>
  <c r="AS35" i="15"/>
  <c r="AS36" i="15"/>
  <c r="AS37" i="15"/>
  <c r="AS38" i="15"/>
  <c r="AS39" i="15"/>
  <c r="AS40" i="15"/>
  <c r="AS41" i="15"/>
  <c r="AS42" i="15"/>
  <c r="AS43" i="15"/>
  <c r="AS44" i="15"/>
  <c r="AS45" i="15"/>
  <c r="AS46" i="15"/>
  <c r="AS47" i="15"/>
  <c r="AS48" i="15"/>
  <c r="AS50" i="15"/>
  <c r="AS51" i="15"/>
  <c r="AS52" i="15"/>
  <c r="AS53" i="15"/>
  <c r="AS54" i="15"/>
  <c r="AS55" i="15"/>
  <c r="AS56" i="15"/>
  <c r="AS57" i="15"/>
  <c r="AS58" i="15"/>
  <c r="AS59" i="15"/>
  <c r="AS60" i="15"/>
  <c r="AS61" i="15"/>
  <c r="AS62" i="15"/>
  <c r="AS63" i="15"/>
  <c r="AS64" i="15"/>
  <c r="AS65" i="15"/>
  <c r="AS66" i="15"/>
  <c r="AS67" i="15"/>
  <c r="AS72" i="15"/>
  <c r="AS73" i="15"/>
  <c r="AS74" i="15"/>
  <c r="AS75" i="15"/>
  <c r="AS76" i="15"/>
  <c r="AS77" i="15"/>
  <c r="AS78" i="15"/>
  <c r="AS79" i="15"/>
  <c r="AS80" i="15"/>
  <c r="AS81" i="15"/>
  <c r="AS82" i="15"/>
  <c r="AS83" i="15"/>
  <c r="AS84" i="15"/>
  <c r="AS85" i="15"/>
  <c r="AS86" i="15"/>
  <c r="AS87" i="15"/>
  <c r="AS88" i="15"/>
  <c r="AS89" i="15"/>
  <c r="AS90" i="15"/>
  <c r="AS91" i="15"/>
  <c r="AS92" i="15"/>
  <c r="AS93" i="15"/>
  <c r="AS94" i="15"/>
  <c r="AS95" i="15"/>
  <c r="AS96" i="15"/>
  <c r="AS97" i="15"/>
  <c r="AS98" i="15"/>
  <c r="AS99" i="15"/>
  <c r="AS100" i="15"/>
  <c r="AS101" i="15"/>
  <c r="AS102" i="15"/>
  <c r="AS103" i="15"/>
  <c r="AS104" i="15"/>
  <c r="AR47" i="15"/>
  <c r="AR48" i="15"/>
  <c r="AR49" i="15"/>
  <c r="AQ47" i="15"/>
  <c r="AQ48" i="15"/>
  <c r="AQ49" i="15"/>
  <c r="AT49" i="15" s="1"/>
  <c r="AN49" i="15"/>
  <c r="AN47" i="15"/>
  <c r="AN48" i="15"/>
  <c r="AX12" i="15"/>
  <c r="AS49" i="15" l="1"/>
  <c r="AB4" i="15" l="1"/>
  <c r="AL4" i="15"/>
  <c r="AG14" i="15"/>
  <c r="AE12" i="15"/>
  <c r="AN99" i="15" l="1"/>
  <c r="AN100" i="15"/>
  <c r="AN101" i="15"/>
  <c r="AN102" i="15"/>
  <c r="AQ99" i="15"/>
  <c r="AQ100" i="15"/>
  <c r="AQ101" i="15"/>
  <c r="AQ102" i="15"/>
  <c r="AR99" i="15"/>
  <c r="AR100" i="15"/>
  <c r="AR101" i="15"/>
  <c r="AR102" i="15"/>
  <c r="AN90" i="15"/>
  <c r="AN91" i="15"/>
  <c r="AN92" i="15"/>
  <c r="AN93" i="15"/>
  <c r="AN94" i="15"/>
  <c r="AN95" i="15"/>
  <c r="AN96" i="15"/>
  <c r="AN97" i="15"/>
  <c r="AR90" i="15"/>
  <c r="AR91" i="15"/>
  <c r="AR92" i="15"/>
  <c r="AR93" i="15"/>
  <c r="AR94" i="15"/>
  <c r="AR95" i="15"/>
  <c r="AR96" i="15"/>
  <c r="AR97" i="15"/>
  <c r="AQ90" i="15"/>
  <c r="AQ91" i="15"/>
  <c r="AQ92" i="15"/>
  <c r="AQ93" i="15"/>
  <c r="AQ94" i="15"/>
  <c r="AQ95" i="15"/>
  <c r="AQ96" i="15"/>
  <c r="AN75" i="15"/>
  <c r="AN76" i="15"/>
  <c r="AN77" i="15"/>
  <c r="AN78" i="15"/>
  <c r="AN79" i="15"/>
  <c r="AN80" i="15"/>
  <c r="AN81" i="15"/>
  <c r="AQ75" i="15"/>
  <c r="AQ76" i="15"/>
  <c r="AQ77" i="15"/>
  <c r="AQ78" i="15"/>
  <c r="AQ79" i="15"/>
  <c r="AQ80" i="15"/>
  <c r="AQ81" i="15"/>
  <c r="AR75" i="15"/>
  <c r="AR76" i="15"/>
  <c r="AR77" i="15"/>
  <c r="AR78" i="15"/>
  <c r="AR79" i="15"/>
  <c r="AR80" i="15"/>
  <c r="AR81" i="15"/>
  <c r="AR82" i="15"/>
  <c r="AN64" i="15"/>
  <c r="AN65" i="15"/>
  <c r="AR64" i="15"/>
  <c r="AR65" i="15"/>
  <c r="AR66" i="15"/>
  <c r="AQ64" i="15"/>
  <c r="AQ65" i="15"/>
  <c r="AN55" i="15"/>
  <c r="AN56" i="15"/>
  <c r="AN57" i="15"/>
  <c r="AN58" i="15"/>
  <c r="AR55" i="15"/>
  <c r="AR56" i="15"/>
  <c r="AR57" i="15"/>
  <c r="AR58" i="15"/>
  <c r="AQ55" i="15"/>
  <c r="AQ56" i="15"/>
  <c r="AQ57" i="15"/>
  <c r="AQ58" i="15"/>
  <c r="AN43" i="15"/>
  <c r="AN44" i="15"/>
  <c r="AN45" i="15"/>
  <c r="AN46" i="15"/>
  <c r="AR43" i="15"/>
  <c r="AR44" i="15"/>
  <c r="AR45" i="15"/>
  <c r="AR46" i="15"/>
  <c r="AQ43" i="15"/>
  <c r="AQ44" i="15"/>
  <c r="AQ45" i="15"/>
  <c r="AQ46" i="15"/>
  <c r="AN40" i="15"/>
  <c r="AN41" i="15"/>
  <c r="AN36" i="15"/>
  <c r="AN37" i="15"/>
  <c r="AN38" i="15"/>
  <c r="AQ40" i="15"/>
  <c r="AQ41" i="15"/>
  <c r="AQ36" i="15"/>
  <c r="AQ37" i="15"/>
  <c r="AQ38" i="15"/>
  <c r="AR40" i="15"/>
  <c r="AR41" i="15"/>
  <c r="AR36" i="15"/>
  <c r="AR37" i="15"/>
  <c r="AR38" i="15"/>
  <c r="AR39" i="15"/>
  <c r="AR28" i="15"/>
  <c r="AR29" i="15"/>
  <c r="AR30" i="15"/>
  <c r="AR31" i="15"/>
  <c r="AR32" i="15"/>
  <c r="AR33" i="15"/>
  <c r="AQ28" i="15"/>
  <c r="AQ29" i="15"/>
  <c r="AQ30" i="15"/>
  <c r="AQ31" i="15"/>
  <c r="AQ32" i="15"/>
  <c r="AQ33" i="15"/>
  <c r="AN28" i="15"/>
  <c r="AN29" i="15"/>
  <c r="AN30" i="15"/>
  <c r="AN31" i="15"/>
  <c r="AN32" i="15"/>
  <c r="AN33" i="15"/>
  <c r="AN34" i="15"/>
  <c r="AL47" i="15"/>
  <c r="AL48" i="15"/>
  <c r="AL49" i="15"/>
  <c r="AG47" i="15"/>
  <c r="AG48" i="15"/>
  <c r="AG99" i="15"/>
  <c r="AG100" i="15"/>
  <c r="AG101" i="15"/>
  <c r="AG102" i="15"/>
  <c r="AE99" i="15"/>
  <c r="AE100" i="15"/>
  <c r="AE101" i="15"/>
  <c r="AE102" i="15"/>
  <c r="AE47" i="15"/>
  <c r="AE48" i="15"/>
  <c r="AC12" i="15"/>
  <c r="AC47" i="15"/>
  <c r="AC48" i="15"/>
  <c r="AC49" i="15"/>
  <c r="AC55" i="15"/>
  <c r="AC56" i="15"/>
  <c r="AC57" i="15"/>
  <c r="AC58" i="15"/>
  <c r="AC64" i="15"/>
  <c r="AC65" i="15"/>
  <c r="AC99" i="15"/>
  <c r="AC100" i="15"/>
  <c r="AC101" i="15"/>
  <c r="AC102" i="15"/>
  <c r="AB99" i="15"/>
  <c r="AB100" i="15"/>
  <c r="AB101" i="15"/>
  <c r="AB102" i="15"/>
  <c r="AC90" i="15"/>
  <c r="AC91" i="15"/>
  <c r="AC92" i="15"/>
  <c r="AC93" i="15"/>
  <c r="AC94" i="15"/>
  <c r="AC95" i="15"/>
  <c r="AC96" i="15"/>
  <c r="AB90" i="15"/>
  <c r="AB91" i="15"/>
  <c r="AB92" i="15"/>
  <c r="AB93" i="15"/>
  <c r="AB94" i="15"/>
  <c r="AB95" i="15"/>
  <c r="AB96" i="15"/>
  <c r="AC75" i="15"/>
  <c r="AC76" i="15"/>
  <c r="AC77" i="15"/>
  <c r="AC78" i="15"/>
  <c r="AC79" i="15"/>
  <c r="AC80" i="15"/>
  <c r="AC81" i="15"/>
  <c r="AC68" i="15"/>
  <c r="AC69" i="15"/>
  <c r="AB68" i="15"/>
  <c r="AB69" i="15"/>
  <c r="AB75" i="15"/>
  <c r="AB76" i="15"/>
  <c r="AB77" i="15"/>
  <c r="AB78" i="15"/>
  <c r="AB79" i="15"/>
  <c r="AB80" i="15"/>
  <c r="AB81" i="15"/>
  <c r="AB64" i="15"/>
  <c r="AB65" i="15"/>
  <c r="AB55" i="15"/>
  <c r="AB56" i="15"/>
  <c r="AB57" i="15"/>
  <c r="AB58" i="15"/>
  <c r="AB49" i="15"/>
  <c r="AB47" i="15"/>
  <c r="AB48" i="15"/>
  <c r="AB46" i="15"/>
  <c r="AB30" i="15"/>
  <c r="AB12" i="15"/>
  <c r="Q6" i="26"/>
  <c r="Q13" i="16"/>
  <c r="Q8" i="16"/>
  <c r="AE49" i="15" l="1"/>
  <c r="AG49" i="15" s="1"/>
  <c r="W64" i="15"/>
  <c r="W65" i="15"/>
  <c r="S49" i="15"/>
  <c r="AB21" i="15"/>
  <c r="AE79" i="15"/>
  <c r="AG79" i="15" s="1"/>
  <c r="AL99" i="15"/>
  <c r="AL100" i="15"/>
  <c r="AL101" i="15"/>
  <c r="AL102" i="15"/>
  <c r="AL90" i="15"/>
  <c r="AL91" i="15"/>
  <c r="AL92" i="15"/>
  <c r="AL93" i="15"/>
  <c r="AL94" i="15"/>
  <c r="AL95" i="15"/>
  <c r="AL96" i="15"/>
  <c r="AL75" i="15"/>
  <c r="AL76" i="15"/>
  <c r="AL77" i="15"/>
  <c r="AL78" i="15"/>
  <c r="AL79" i="15"/>
  <c r="AL80" i="15"/>
  <c r="AL81" i="15"/>
  <c r="AL64" i="15"/>
  <c r="AL65" i="15"/>
  <c r="AL55" i="15"/>
  <c r="AL56" i="15"/>
  <c r="AL57" i="15"/>
  <c r="AL58" i="15"/>
  <c r="AL43" i="15"/>
  <c r="AL44" i="15"/>
  <c r="AL45" i="15"/>
  <c r="AL46" i="15"/>
  <c r="AL40" i="15"/>
  <c r="AL41" i="15"/>
  <c r="AL36" i="15"/>
  <c r="AL37" i="15"/>
  <c r="AL38" i="15"/>
  <c r="AL28" i="15"/>
  <c r="AL29" i="15"/>
  <c r="AL30" i="15"/>
  <c r="AL31" i="15"/>
  <c r="AL32" i="15"/>
  <c r="AL33" i="15"/>
  <c r="W90" i="15"/>
  <c r="W91" i="15"/>
  <c r="W92" i="15"/>
  <c r="W93" i="15"/>
  <c r="W94" i="15"/>
  <c r="W95" i="15"/>
  <c r="W96" i="15"/>
  <c r="W97" i="15"/>
  <c r="W98" i="15"/>
  <c r="W99" i="15"/>
  <c r="W100" i="15"/>
  <c r="W101" i="15"/>
  <c r="W102" i="15"/>
  <c r="S92" i="15"/>
  <c r="AE92" i="15" s="1"/>
  <c r="AG92" i="15" s="1"/>
  <c r="S99" i="15"/>
  <c r="S100" i="15"/>
  <c r="S101" i="15"/>
  <c r="S102" i="15"/>
  <c r="W75" i="15"/>
  <c r="W76" i="15"/>
  <c r="W77" i="15"/>
  <c r="W78" i="15"/>
  <c r="W79" i="15"/>
  <c r="W80" i="15"/>
  <c r="W81" i="15"/>
  <c r="S75" i="15"/>
  <c r="S76" i="15"/>
  <c r="S77" i="15"/>
  <c r="S78" i="15"/>
  <c r="S79" i="15"/>
  <c r="S80" i="15"/>
  <c r="AE80" i="15" s="1"/>
  <c r="AG80" i="15" s="1"/>
  <c r="S81" i="15"/>
  <c r="AE81" i="15" s="1"/>
  <c r="AG81" i="15" s="1"/>
  <c r="S64" i="15"/>
  <c r="AE64" i="15" s="1"/>
  <c r="S65" i="15"/>
  <c r="AE65" i="15" s="1"/>
  <c r="W55" i="15"/>
  <c r="W56" i="15"/>
  <c r="W57" i="15"/>
  <c r="W58" i="15"/>
  <c r="W36" i="15"/>
  <c r="W37" i="15"/>
  <c r="W38" i="15"/>
  <c r="W40" i="15"/>
  <c r="W41" i="15"/>
  <c r="W42" i="15"/>
  <c r="W43" i="15"/>
  <c r="W44" i="15"/>
  <c r="W45" i="15"/>
  <c r="W46" i="15"/>
  <c r="W47" i="15"/>
  <c r="W48" i="15"/>
  <c r="W49" i="15"/>
  <c r="S41" i="15"/>
  <c r="S47" i="15"/>
  <c r="S48" i="15"/>
  <c r="D23" i="15"/>
  <c r="D22" i="15"/>
  <c r="D24" i="15"/>
  <c r="W5" i="15"/>
  <c r="D98" i="15"/>
  <c r="S98" i="15" s="1"/>
  <c r="D97" i="15"/>
  <c r="S97" i="15" s="1"/>
  <c r="D96" i="15"/>
  <c r="S96" i="15" s="1"/>
  <c r="AE96" i="15" s="1"/>
  <c r="AG96" i="15" s="1"/>
  <c r="D95" i="15"/>
  <c r="S95" i="15" s="1"/>
  <c r="AE95" i="15" s="1"/>
  <c r="AG95" i="15" s="1"/>
  <c r="D94" i="15"/>
  <c r="S94" i="15" s="1"/>
  <c r="AE94" i="15" s="1"/>
  <c r="AG94" i="15" s="1"/>
  <c r="D90" i="15"/>
  <c r="S90" i="15" s="1"/>
  <c r="D91" i="15"/>
  <c r="S91" i="15" s="1"/>
  <c r="D92" i="15"/>
  <c r="D93" i="15"/>
  <c r="S93" i="15" s="1"/>
  <c r="AE93" i="15" s="1"/>
  <c r="AG93" i="15" s="1"/>
  <c r="D89" i="15"/>
  <c r="D88" i="15"/>
  <c r="D87" i="15"/>
  <c r="D86" i="15"/>
  <c r="D85" i="15"/>
  <c r="D84" i="15"/>
  <c r="D83" i="15"/>
  <c r="D62" i="15"/>
  <c r="D58" i="15"/>
  <c r="S58" i="15" s="1"/>
  <c r="D57" i="15"/>
  <c r="S57" i="15" s="1"/>
  <c r="D56" i="15"/>
  <c r="S56" i="15" s="1"/>
  <c r="D55" i="15"/>
  <c r="S55" i="15" s="1"/>
  <c r="D54" i="15"/>
  <c r="D46" i="15"/>
  <c r="S46" i="15" s="1"/>
  <c r="D45" i="15"/>
  <c r="S45" i="15" s="1"/>
  <c r="D44" i="15"/>
  <c r="S44" i="15" s="1"/>
  <c r="D43" i="15"/>
  <c r="S43" i="15" s="1"/>
  <c r="D42" i="15"/>
  <c r="S42" i="15" s="1"/>
  <c r="D34" i="15"/>
  <c r="D31" i="15"/>
  <c r="D32" i="15"/>
  <c r="D33" i="15"/>
  <c r="D30" i="15"/>
  <c r="D29" i="15"/>
  <c r="D28" i="15"/>
  <c r="D26" i="15"/>
  <c r="D27" i="15"/>
  <c r="D25" i="15"/>
  <c r="D70" i="15"/>
  <c r="AG65" i="15" l="1"/>
  <c r="AE55" i="15"/>
  <c r="AG64" i="15"/>
  <c r="AE56" i="15"/>
  <c r="AG56" i="15" s="1"/>
  <c r="AE57" i="15"/>
  <c r="AG57" i="15" s="1"/>
  <c r="AE91" i="15"/>
  <c r="AG91" i="15" s="1"/>
  <c r="AE90" i="15"/>
  <c r="AG90" i="15" s="1"/>
  <c r="AE58" i="15"/>
  <c r="AG58" i="15" s="1"/>
  <c r="AE78" i="15"/>
  <c r="AG78" i="15" s="1"/>
  <c r="AE77" i="15"/>
  <c r="AG77" i="15" s="1"/>
  <c r="AE76" i="15"/>
  <c r="AG76" i="15" s="1"/>
  <c r="AE75" i="15"/>
  <c r="AG75" i="15" s="1"/>
  <c r="AG55" i="15" l="1"/>
  <c r="BA4" i="15" l="1"/>
  <c r="CF18" i="15"/>
  <c r="CF19" i="15"/>
  <c r="CF20" i="15"/>
  <c r="CF21" i="15"/>
  <c r="CF22" i="15"/>
  <c r="CF23" i="15"/>
  <c r="CF24" i="15"/>
  <c r="CF25" i="15"/>
  <c r="CF26" i="15"/>
  <c r="CF27" i="15"/>
  <c r="CF28" i="15"/>
  <c r="CF29" i="15"/>
  <c r="CF30" i="15"/>
  <c r="CF31" i="15"/>
  <c r="CF32" i="15"/>
  <c r="CF33" i="15"/>
  <c r="CF34" i="15"/>
  <c r="CF35" i="15"/>
  <c r="CF36" i="15"/>
  <c r="CF37" i="15"/>
  <c r="CF38" i="15"/>
  <c r="CF39" i="15"/>
  <c r="CF40" i="15"/>
  <c r="CF41" i="15"/>
  <c r="CF42" i="15"/>
  <c r="CF43" i="15"/>
  <c r="CF44" i="15"/>
  <c r="CF45" i="15"/>
  <c r="CF46" i="15"/>
  <c r="CF47" i="15"/>
  <c r="CF48" i="15"/>
  <c r="CF49" i="15"/>
  <c r="CF50" i="15"/>
  <c r="CF51" i="15"/>
  <c r="CF52" i="15"/>
  <c r="CF53" i="15"/>
  <c r="CF54" i="15"/>
  <c r="CF55" i="15"/>
  <c r="CF56" i="15"/>
  <c r="CF57" i="15"/>
  <c r="CF58" i="15"/>
  <c r="CF59" i="15"/>
  <c r="CF60" i="15"/>
  <c r="CF61" i="15"/>
  <c r="CF62" i="15"/>
  <c r="CF63" i="15"/>
  <c r="CF64" i="15"/>
  <c r="CF65" i="15"/>
  <c r="CF66" i="15"/>
  <c r="CF67" i="15"/>
  <c r="CF68" i="15"/>
  <c r="CF69" i="15"/>
  <c r="CF70" i="15"/>
  <c r="CF71" i="15"/>
  <c r="CF72" i="15"/>
  <c r="CF73" i="15"/>
  <c r="CF74" i="15"/>
  <c r="CF75" i="15"/>
  <c r="CF76" i="15"/>
  <c r="CF77" i="15"/>
  <c r="CF78" i="15"/>
  <c r="CF79" i="15"/>
  <c r="CF80" i="15"/>
  <c r="CF81" i="15"/>
  <c r="CF82" i="15"/>
  <c r="CF83" i="15"/>
  <c r="CF84" i="15"/>
  <c r="CF85" i="15"/>
  <c r="CF86" i="15"/>
  <c r="CF87" i="15"/>
  <c r="CF88" i="15"/>
  <c r="CF89" i="15"/>
  <c r="CF90" i="15"/>
  <c r="CF91" i="15"/>
  <c r="CF92" i="15"/>
  <c r="CF93" i="15"/>
  <c r="CF94" i="15"/>
  <c r="CF95" i="15"/>
  <c r="CF96" i="15"/>
  <c r="CF97" i="15"/>
  <c r="CF98" i="15"/>
  <c r="CF99" i="15"/>
  <c r="CF100" i="15"/>
  <c r="CF101" i="15"/>
  <c r="CF102" i="15"/>
  <c r="CF103" i="15"/>
  <c r="CF104" i="15"/>
  <c r="CE13" i="15"/>
  <c r="CE14" i="15"/>
  <c r="CE15" i="15"/>
  <c r="CE16" i="15"/>
  <c r="CE17" i="15"/>
  <c r="CE18" i="15"/>
  <c r="CE19" i="15"/>
  <c r="CE20" i="15"/>
  <c r="CE21" i="15"/>
  <c r="CE22" i="15"/>
  <c r="CE23" i="15"/>
  <c r="CE24" i="15"/>
  <c r="CE25" i="15"/>
  <c r="CE26" i="15"/>
  <c r="CE27" i="15"/>
  <c r="CE28" i="15"/>
  <c r="CE29" i="15"/>
  <c r="CE30" i="15"/>
  <c r="CE31" i="15"/>
  <c r="CE32" i="15"/>
  <c r="CE33" i="15"/>
  <c r="CE34" i="15"/>
  <c r="CE35" i="15"/>
  <c r="CE36" i="15"/>
  <c r="CE37" i="15"/>
  <c r="CE38" i="15"/>
  <c r="CE39" i="15"/>
  <c r="CE40" i="15"/>
  <c r="CE41" i="15"/>
  <c r="CE42" i="15"/>
  <c r="CE43" i="15"/>
  <c r="CE44" i="15"/>
  <c r="CE45" i="15"/>
  <c r="CE46" i="15"/>
  <c r="CE47" i="15"/>
  <c r="CE48" i="15"/>
  <c r="CE49" i="15"/>
  <c r="CE50" i="15"/>
  <c r="CE51" i="15"/>
  <c r="CE52" i="15"/>
  <c r="CE53" i="15"/>
  <c r="CE54" i="15"/>
  <c r="CE55" i="15"/>
  <c r="CE56" i="15"/>
  <c r="CE57" i="15"/>
  <c r="CE58" i="15"/>
  <c r="CE59" i="15"/>
  <c r="CE60" i="15"/>
  <c r="CE61" i="15"/>
  <c r="CE62" i="15"/>
  <c r="CE63" i="15"/>
  <c r="CE64" i="15"/>
  <c r="CE65" i="15"/>
  <c r="CE66" i="15"/>
  <c r="CE67" i="15"/>
  <c r="CE68" i="15"/>
  <c r="CE69" i="15"/>
  <c r="CE70" i="15"/>
  <c r="CE71" i="15"/>
  <c r="CE72" i="15"/>
  <c r="CE73" i="15"/>
  <c r="CE74" i="15"/>
  <c r="CE75" i="15"/>
  <c r="CE76" i="15"/>
  <c r="CE77" i="15"/>
  <c r="CE78" i="15"/>
  <c r="CE79" i="15"/>
  <c r="CE80" i="15"/>
  <c r="CE81" i="15"/>
  <c r="CE82" i="15"/>
  <c r="CE83" i="15"/>
  <c r="CE84" i="15"/>
  <c r="CE85" i="15"/>
  <c r="CE86" i="15"/>
  <c r="CE87" i="15"/>
  <c r="CE88" i="15"/>
  <c r="CE89" i="15"/>
  <c r="CE90" i="15"/>
  <c r="CE91" i="15"/>
  <c r="CE92" i="15"/>
  <c r="CE93" i="15"/>
  <c r="CE94" i="15"/>
  <c r="CE95" i="15"/>
  <c r="CE96" i="15"/>
  <c r="CE97" i="15"/>
  <c r="CE98" i="15"/>
  <c r="CE99" i="15"/>
  <c r="CE100" i="15"/>
  <c r="CE101" i="15"/>
  <c r="CE102" i="15"/>
  <c r="CE103" i="15"/>
  <c r="CE104" i="15"/>
  <c r="CD15" i="15"/>
  <c r="CD16" i="15"/>
  <c r="CD17" i="15"/>
  <c r="CD18" i="15"/>
  <c r="CD19" i="15"/>
  <c r="CD20" i="15"/>
  <c r="CD21" i="15"/>
  <c r="CD22" i="15"/>
  <c r="CD23" i="15"/>
  <c r="CD24" i="15"/>
  <c r="CD25" i="15"/>
  <c r="CD26" i="15"/>
  <c r="CD27" i="15"/>
  <c r="CD28" i="15"/>
  <c r="CD29" i="15"/>
  <c r="CD30" i="15"/>
  <c r="CD31" i="15"/>
  <c r="CD32" i="15"/>
  <c r="CD33" i="15"/>
  <c r="CD34" i="15"/>
  <c r="CD35" i="15"/>
  <c r="CD36" i="15"/>
  <c r="CD37" i="15"/>
  <c r="CD38" i="15"/>
  <c r="CD39" i="15"/>
  <c r="CD40" i="15"/>
  <c r="CD41" i="15"/>
  <c r="CD42" i="15"/>
  <c r="CD43" i="15"/>
  <c r="CD44" i="15"/>
  <c r="CD45" i="15"/>
  <c r="CD46" i="15"/>
  <c r="CD47" i="15"/>
  <c r="CD48" i="15"/>
  <c r="CD49" i="15"/>
  <c r="CD50" i="15"/>
  <c r="CD51" i="15"/>
  <c r="CD52" i="15"/>
  <c r="CD53" i="15"/>
  <c r="CD54" i="15"/>
  <c r="CD55" i="15"/>
  <c r="CD56" i="15"/>
  <c r="CD57" i="15"/>
  <c r="CD58" i="15"/>
  <c r="CD59" i="15"/>
  <c r="CD60" i="15"/>
  <c r="CD61" i="15"/>
  <c r="CD62" i="15"/>
  <c r="CD63" i="15"/>
  <c r="CD64" i="15"/>
  <c r="CD65" i="15"/>
  <c r="CD66" i="15"/>
  <c r="CD67" i="15"/>
  <c r="CD68" i="15"/>
  <c r="CD69" i="15"/>
  <c r="CD70" i="15"/>
  <c r="CD71" i="15"/>
  <c r="CD72" i="15"/>
  <c r="CD73" i="15"/>
  <c r="CD74" i="15"/>
  <c r="CD75" i="15"/>
  <c r="CD76" i="15"/>
  <c r="CD77" i="15"/>
  <c r="CD78" i="15"/>
  <c r="CD79" i="15"/>
  <c r="CD80" i="15"/>
  <c r="CD81" i="15"/>
  <c r="CD82" i="15"/>
  <c r="CD83" i="15"/>
  <c r="CD84" i="15"/>
  <c r="CD85" i="15"/>
  <c r="CD86" i="15"/>
  <c r="CD87" i="15"/>
  <c r="CD88" i="15"/>
  <c r="CD89" i="15"/>
  <c r="CD90" i="15"/>
  <c r="CD91" i="15"/>
  <c r="CD92" i="15"/>
  <c r="CD93" i="15"/>
  <c r="CD94" i="15"/>
  <c r="CD95" i="15"/>
  <c r="CD96" i="15"/>
  <c r="CD97" i="15"/>
  <c r="CD98" i="15"/>
  <c r="CD99" i="15"/>
  <c r="CD100" i="15"/>
  <c r="CD101" i="15"/>
  <c r="CD102" i="15"/>
  <c r="CD103" i="15"/>
  <c r="CD104" i="15"/>
  <c r="CC13" i="15"/>
  <c r="CC14" i="15"/>
  <c r="CC15" i="15"/>
  <c r="CC16" i="15"/>
  <c r="CC17" i="15"/>
  <c r="CC18" i="15"/>
  <c r="CC19" i="15"/>
  <c r="CC20" i="15"/>
  <c r="CC21" i="15"/>
  <c r="CC22" i="15"/>
  <c r="CC23" i="15"/>
  <c r="CC24" i="15"/>
  <c r="CC25" i="15"/>
  <c r="CC26" i="15"/>
  <c r="CC27" i="15"/>
  <c r="CC28" i="15"/>
  <c r="CC29" i="15"/>
  <c r="CC30" i="15"/>
  <c r="CC31" i="15"/>
  <c r="CC32" i="15"/>
  <c r="CC33" i="15"/>
  <c r="CC34" i="15"/>
  <c r="CC35" i="15"/>
  <c r="CC36" i="15"/>
  <c r="CC37" i="15"/>
  <c r="CC38" i="15"/>
  <c r="CC39" i="15"/>
  <c r="CC40" i="15"/>
  <c r="CC41" i="15"/>
  <c r="CC42" i="15"/>
  <c r="CC43" i="15"/>
  <c r="CC44" i="15"/>
  <c r="CC45" i="15"/>
  <c r="CC46" i="15"/>
  <c r="CC47" i="15"/>
  <c r="CC48" i="15"/>
  <c r="CC49" i="15"/>
  <c r="CC50" i="15"/>
  <c r="CC51" i="15"/>
  <c r="CC52" i="15"/>
  <c r="CC53" i="15"/>
  <c r="CC54" i="15"/>
  <c r="CC55" i="15"/>
  <c r="CC56" i="15"/>
  <c r="CC57" i="15"/>
  <c r="CC58" i="15"/>
  <c r="CC59" i="15"/>
  <c r="CC60" i="15"/>
  <c r="CC61" i="15"/>
  <c r="CC62" i="15"/>
  <c r="CC63" i="15"/>
  <c r="CC64" i="15"/>
  <c r="CC65" i="15"/>
  <c r="CC66" i="15"/>
  <c r="CC67" i="15"/>
  <c r="CC68" i="15"/>
  <c r="CC69" i="15"/>
  <c r="CC70" i="15"/>
  <c r="CC71" i="15"/>
  <c r="CC72" i="15"/>
  <c r="CC73" i="15"/>
  <c r="CC74" i="15"/>
  <c r="CC75" i="15"/>
  <c r="CC76" i="15"/>
  <c r="CC77" i="15"/>
  <c r="CC78" i="15"/>
  <c r="CC79" i="15"/>
  <c r="CC80" i="15"/>
  <c r="CC81" i="15"/>
  <c r="CC82" i="15"/>
  <c r="CC83" i="15"/>
  <c r="CC84" i="15"/>
  <c r="CC85" i="15"/>
  <c r="CC86" i="15"/>
  <c r="CC87" i="15"/>
  <c r="CC88" i="15"/>
  <c r="CC89" i="15"/>
  <c r="CC90" i="15"/>
  <c r="CC91" i="15"/>
  <c r="CC92" i="15"/>
  <c r="CC93" i="15"/>
  <c r="CC94" i="15"/>
  <c r="CC95" i="15"/>
  <c r="CC96" i="15"/>
  <c r="CC97" i="15"/>
  <c r="CC98" i="15"/>
  <c r="CC99" i="15"/>
  <c r="CC100" i="15"/>
  <c r="CC101" i="15"/>
  <c r="CC102" i="15"/>
  <c r="CC103" i="15"/>
  <c r="CC104" i="15"/>
  <c r="CB7" i="15"/>
  <c r="CB8" i="15"/>
  <c r="CB9" i="15"/>
  <c r="CB10" i="15"/>
  <c r="CB11" i="15"/>
  <c r="CB12" i="15"/>
  <c r="CB13" i="15"/>
  <c r="CB14" i="15"/>
  <c r="CB15" i="15"/>
  <c r="CB16" i="15"/>
  <c r="CB17" i="15"/>
  <c r="CB18" i="15"/>
  <c r="CB19" i="15"/>
  <c r="CB20" i="15"/>
  <c r="CB21" i="15"/>
  <c r="CB22" i="15"/>
  <c r="CB23" i="15"/>
  <c r="CB24" i="15"/>
  <c r="CB25" i="15"/>
  <c r="CB26" i="15"/>
  <c r="CB27" i="15"/>
  <c r="CB28" i="15"/>
  <c r="CB29" i="15"/>
  <c r="CB30" i="15"/>
  <c r="CB31" i="15"/>
  <c r="CB32" i="15"/>
  <c r="CB33" i="15"/>
  <c r="CB34" i="15"/>
  <c r="CB35" i="15"/>
  <c r="CB36" i="15"/>
  <c r="CB37" i="15"/>
  <c r="CB38" i="15"/>
  <c r="CB39" i="15"/>
  <c r="CB40" i="15"/>
  <c r="CB41" i="15"/>
  <c r="CB42" i="15"/>
  <c r="CB43" i="15"/>
  <c r="CB44" i="15"/>
  <c r="CB45" i="15"/>
  <c r="CB46" i="15"/>
  <c r="CB47" i="15"/>
  <c r="CB48" i="15"/>
  <c r="CB49" i="15"/>
  <c r="CB50" i="15"/>
  <c r="CB51" i="15"/>
  <c r="CB52" i="15"/>
  <c r="CB53" i="15"/>
  <c r="CB54" i="15"/>
  <c r="CB55" i="15"/>
  <c r="CB56" i="15"/>
  <c r="CB57" i="15"/>
  <c r="CB58" i="15"/>
  <c r="CB59" i="15"/>
  <c r="CB60" i="15"/>
  <c r="CB61" i="15"/>
  <c r="CB62" i="15"/>
  <c r="CB63" i="15"/>
  <c r="CB64" i="15"/>
  <c r="CB65" i="15"/>
  <c r="CB66" i="15"/>
  <c r="CB67" i="15"/>
  <c r="CB68" i="15"/>
  <c r="CB69" i="15"/>
  <c r="CB70" i="15"/>
  <c r="CB71" i="15"/>
  <c r="CB72" i="15"/>
  <c r="CB73" i="15"/>
  <c r="CB74" i="15"/>
  <c r="CB75" i="15"/>
  <c r="CB76" i="15"/>
  <c r="CB77" i="15"/>
  <c r="CB78" i="15"/>
  <c r="CB79" i="15"/>
  <c r="CB80" i="15"/>
  <c r="CB81" i="15"/>
  <c r="CB82" i="15"/>
  <c r="CB83" i="15"/>
  <c r="CB84" i="15"/>
  <c r="CB85" i="15"/>
  <c r="CB86" i="15"/>
  <c r="CB87" i="15"/>
  <c r="CB88" i="15"/>
  <c r="CB89" i="15"/>
  <c r="CB90" i="15"/>
  <c r="CB91" i="15"/>
  <c r="CB92" i="15"/>
  <c r="CB93" i="15"/>
  <c r="CB94" i="15"/>
  <c r="CB95" i="15"/>
  <c r="CB96" i="15"/>
  <c r="CB97" i="15"/>
  <c r="CB98" i="15"/>
  <c r="CB99" i="15"/>
  <c r="CB100" i="15"/>
  <c r="CB101" i="15"/>
  <c r="CB102" i="15"/>
  <c r="CB103" i="15"/>
  <c r="CB104" i="15"/>
  <c r="CA8" i="15"/>
  <c r="CA9" i="15"/>
  <c r="CA10" i="15"/>
  <c r="CA11" i="15"/>
  <c r="CA12" i="15"/>
  <c r="CA13" i="15"/>
  <c r="CA14" i="15"/>
  <c r="CA15" i="15"/>
  <c r="CA16" i="15"/>
  <c r="CA17" i="15"/>
  <c r="CA18" i="15"/>
  <c r="CA19" i="15"/>
  <c r="CA20" i="15"/>
  <c r="CA21" i="15"/>
  <c r="CA22" i="15"/>
  <c r="CA23" i="15"/>
  <c r="CA24" i="15"/>
  <c r="CA25" i="15"/>
  <c r="CA26" i="15"/>
  <c r="CA27" i="15"/>
  <c r="CA28" i="15"/>
  <c r="CA29" i="15"/>
  <c r="CA30" i="15"/>
  <c r="CA31" i="15"/>
  <c r="CA32" i="15"/>
  <c r="CA33" i="15"/>
  <c r="CA34" i="15"/>
  <c r="CA35" i="15"/>
  <c r="CA36" i="15"/>
  <c r="CA37" i="15"/>
  <c r="CA38" i="15"/>
  <c r="CA39" i="15"/>
  <c r="CA40" i="15"/>
  <c r="CA41" i="15"/>
  <c r="CA42" i="15"/>
  <c r="CA43" i="15"/>
  <c r="CA44" i="15"/>
  <c r="CA45" i="15"/>
  <c r="CA46" i="15"/>
  <c r="CA47" i="15"/>
  <c r="CA48" i="15"/>
  <c r="CA49" i="15"/>
  <c r="AX50" i="15" s="1"/>
  <c r="CA50" i="15"/>
  <c r="CA51" i="15"/>
  <c r="CA52" i="15"/>
  <c r="CA53" i="15"/>
  <c r="CA54" i="15"/>
  <c r="CA55" i="15"/>
  <c r="CA56" i="15"/>
  <c r="CA57" i="15"/>
  <c r="CA58" i="15"/>
  <c r="CA59" i="15"/>
  <c r="CA60" i="15"/>
  <c r="CA61" i="15"/>
  <c r="CA62" i="15"/>
  <c r="CA63" i="15"/>
  <c r="CA64" i="15"/>
  <c r="CA65" i="15"/>
  <c r="CA66" i="15"/>
  <c r="CA67" i="15"/>
  <c r="CA68" i="15"/>
  <c r="AX69" i="15" s="1"/>
  <c r="CA69" i="15"/>
  <c r="AX70" i="15" s="1"/>
  <c r="CA70" i="15"/>
  <c r="AX71" i="15" s="1"/>
  <c r="CA71" i="15"/>
  <c r="AX72" i="15" s="1"/>
  <c r="CA72" i="15"/>
  <c r="CA73" i="15"/>
  <c r="CA74" i="15"/>
  <c r="CA75" i="15"/>
  <c r="CA76" i="15"/>
  <c r="CA77" i="15"/>
  <c r="CA78" i="15"/>
  <c r="CA79" i="15"/>
  <c r="CA80" i="15"/>
  <c r="CA81" i="15"/>
  <c r="CA82" i="15"/>
  <c r="CA83" i="15"/>
  <c r="CA84" i="15"/>
  <c r="CA85" i="15"/>
  <c r="CA86" i="15"/>
  <c r="CA87" i="15"/>
  <c r="CA88" i="15"/>
  <c r="CA89" i="15"/>
  <c r="CA90" i="15"/>
  <c r="CA91" i="15"/>
  <c r="CA92" i="15"/>
  <c r="CA93" i="15"/>
  <c r="CA94" i="15"/>
  <c r="CA95" i="15"/>
  <c r="CA96" i="15"/>
  <c r="CA97" i="15"/>
  <c r="CA98" i="15"/>
  <c r="CA99" i="15"/>
  <c r="CA100" i="15"/>
  <c r="CA101" i="15"/>
  <c r="CA102" i="15"/>
  <c r="CA103" i="15"/>
  <c r="CA104" i="15"/>
  <c r="BZ10" i="15"/>
  <c r="BZ11" i="15"/>
  <c r="BZ12" i="15"/>
  <c r="BZ13" i="15"/>
  <c r="BZ14" i="15"/>
  <c r="BZ15" i="15"/>
  <c r="BZ16" i="15"/>
  <c r="BZ17" i="15"/>
  <c r="BZ18" i="15"/>
  <c r="BZ19" i="15"/>
  <c r="BZ20" i="15"/>
  <c r="BZ21" i="15"/>
  <c r="BZ22" i="15"/>
  <c r="BZ23" i="15"/>
  <c r="BZ24" i="15"/>
  <c r="BZ25" i="15"/>
  <c r="BZ26" i="15"/>
  <c r="BZ27" i="15"/>
  <c r="BZ28" i="15"/>
  <c r="BZ29" i="15"/>
  <c r="BZ30" i="15"/>
  <c r="BZ31" i="15"/>
  <c r="BZ32" i="15"/>
  <c r="BZ33" i="15"/>
  <c r="BZ34" i="15"/>
  <c r="BZ35" i="15"/>
  <c r="BZ36" i="15"/>
  <c r="BZ37" i="15"/>
  <c r="BZ38" i="15"/>
  <c r="BZ39" i="15"/>
  <c r="BZ40" i="15"/>
  <c r="BZ41" i="15"/>
  <c r="BZ42" i="15"/>
  <c r="BZ43" i="15"/>
  <c r="BZ44" i="15"/>
  <c r="BZ45" i="15"/>
  <c r="BZ46" i="15"/>
  <c r="BZ47" i="15"/>
  <c r="BZ48" i="15"/>
  <c r="BZ49" i="15"/>
  <c r="BZ50" i="15"/>
  <c r="BZ51" i="15"/>
  <c r="BZ52" i="15"/>
  <c r="BZ53" i="15"/>
  <c r="BZ54" i="15"/>
  <c r="BZ55" i="15"/>
  <c r="BZ56" i="15"/>
  <c r="BZ57" i="15"/>
  <c r="BZ58" i="15"/>
  <c r="BZ59" i="15"/>
  <c r="BZ60" i="15"/>
  <c r="BZ61" i="15"/>
  <c r="BZ62" i="15"/>
  <c r="BZ63" i="15"/>
  <c r="BZ64" i="15"/>
  <c r="BZ65" i="15"/>
  <c r="BZ66" i="15"/>
  <c r="BZ67" i="15"/>
  <c r="BZ68" i="15"/>
  <c r="BZ69" i="15"/>
  <c r="BZ70" i="15"/>
  <c r="BZ71" i="15"/>
  <c r="BZ72" i="15"/>
  <c r="BZ73" i="15"/>
  <c r="BZ74" i="15"/>
  <c r="BZ75" i="15"/>
  <c r="BZ76" i="15"/>
  <c r="BZ77" i="15"/>
  <c r="BZ78" i="15"/>
  <c r="BZ79" i="15"/>
  <c r="BZ80" i="15"/>
  <c r="BZ81" i="15"/>
  <c r="BZ82" i="15"/>
  <c r="BZ83" i="15"/>
  <c r="BZ84" i="15"/>
  <c r="BZ85" i="15"/>
  <c r="BZ86" i="15"/>
  <c r="BZ87" i="15"/>
  <c r="BZ88" i="15"/>
  <c r="BZ89" i="15"/>
  <c r="BZ90" i="15"/>
  <c r="BZ91" i="15"/>
  <c r="BZ92" i="15"/>
  <c r="BZ93" i="15"/>
  <c r="BZ94" i="15"/>
  <c r="BZ95" i="15"/>
  <c r="BZ96" i="15"/>
  <c r="BZ97" i="15"/>
  <c r="BZ98" i="15"/>
  <c r="BZ99" i="15"/>
  <c r="BZ100" i="15"/>
  <c r="BZ101" i="15"/>
  <c r="BZ102" i="15"/>
  <c r="BZ103" i="15"/>
  <c r="BZ104" i="15"/>
  <c r="BY6" i="15"/>
  <c r="BY7" i="15"/>
  <c r="BY8" i="15"/>
  <c r="BY9" i="15"/>
  <c r="BY10" i="15"/>
  <c r="BY11" i="15"/>
  <c r="BY12" i="15"/>
  <c r="BY13" i="15"/>
  <c r="BY14" i="15"/>
  <c r="BY15" i="15"/>
  <c r="BY16" i="15"/>
  <c r="BY17" i="15"/>
  <c r="BY18" i="15"/>
  <c r="BY19" i="15"/>
  <c r="BY20" i="15"/>
  <c r="BY21" i="15"/>
  <c r="BY22" i="15"/>
  <c r="BY23" i="15"/>
  <c r="BY24" i="15"/>
  <c r="BY25" i="15"/>
  <c r="BY26" i="15"/>
  <c r="BY27" i="15"/>
  <c r="BY28" i="15"/>
  <c r="BY29" i="15"/>
  <c r="BY30" i="15"/>
  <c r="BY31" i="15"/>
  <c r="BY32" i="15"/>
  <c r="BY33" i="15"/>
  <c r="BY34" i="15"/>
  <c r="BY35" i="15"/>
  <c r="BY36" i="15"/>
  <c r="BY37" i="15"/>
  <c r="BY38" i="15"/>
  <c r="BY39" i="15"/>
  <c r="BY40" i="15"/>
  <c r="BY41" i="15"/>
  <c r="BY42" i="15"/>
  <c r="BY43" i="15"/>
  <c r="BY44" i="15"/>
  <c r="BY45" i="15"/>
  <c r="BY46" i="15"/>
  <c r="BY47" i="15"/>
  <c r="BY48" i="15"/>
  <c r="BY49" i="15"/>
  <c r="BY50" i="15"/>
  <c r="BY51" i="15"/>
  <c r="BY52" i="15"/>
  <c r="BY53" i="15"/>
  <c r="BY54" i="15"/>
  <c r="BY55" i="15"/>
  <c r="BY56" i="15"/>
  <c r="BY57" i="15"/>
  <c r="BY58" i="15"/>
  <c r="BY59" i="15"/>
  <c r="BY60" i="15"/>
  <c r="BY61" i="15"/>
  <c r="BY62" i="15"/>
  <c r="BY63" i="15"/>
  <c r="BY64" i="15"/>
  <c r="BY65" i="15"/>
  <c r="BY66" i="15"/>
  <c r="BY67" i="15"/>
  <c r="BY68" i="15"/>
  <c r="BY69" i="15"/>
  <c r="BY70" i="15"/>
  <c r="BY71" i="15"/>
  <c r="BY72" i="15"/>
  <c r="BY73" i="15"/>
  <c r="BY74" i="15"/>
  <c r="BY75" i="15"/>
  <c r="BY76" i="15"/>
  <c r="BY77" i="15"/>
  <c r="BY78" i="15"/>
  <c r="BY79" i="15"/>
  <c r="BY80" i="15"/>
  <c r="BY81" i="15"/>
  <c r="BY82" i="15"/>
  <c r="BY83" i="15"/>
  <c r="BY84" i="15"/>
  <c r="BY85" i="15"/>
  <c r="BY86" i="15"/>
  <c r="BY87" i="15"/>
  <c r="BY88" i="15"/>
  <c r="BY89" i="15"/>
  <c r="BY90" i="15"/>
  <c r="BY91" i="15"/>
  <c r="BY92" i="15"/>
  <c r="BY93" i="15"/>
  <c r="BY94" i="15"/>
  <c r="BY95" i="15"/>
  <c r="BY96" i="15"/>
  <c r="BY97" i="15"/>
  <c r="BY98" i="15"/>
  <c r="BY99" i="15"/>
  <c r="BY100" i="15"/>
  <c r="BY101" i="15"/>
  <c r="BY102" i="15"/>
  <c r="BY103" i="15"/>
  <c r="BY104" i="15"/>
  <c r="BA20" i="15"/>
  <c r="BA21" i="15"/>
  <c r="BA22" i="15"/>
  <c r="BA23" i="15"/>
  <c r="BA24" i="15"/>
  <c r="BA25" i="15"/>
  <c r="BA26" i="15"/>
  <c r="BA27" i="15"/>
  <c r="BA28" i="15"/>
  <c r="BA29" i="15"/>
  <c r="BA30" i="15"/>
  <c r="BA31" i="15"/>
  <c r="BA32" i="15"/>
  <c r="BA33" i="15"/>
  <c r="BA34" i="15"/>
  <c r="BA35" i="15"/>
  <c r="BA36" i="15"/>
  <c r="BA37" i="15"/>
  <c r="BA38" i="15"/>
  <c r="BA39" i="15"/>
  <c r="BA40" i="15"/>
  <c r="BA41" i="15"/>
  <c r="BA42" i="15"/>
  <c r="BA43" i="15"/>
  <c r="BA44" i="15"/>
  <c r="BA45" i="15"/>
  <c r="BA46" i="15"/>
  <c r="BA47" i="15"/>
  <c r="BA48" i="15"/>
  <c r="BA49" i="15"/>
  <c r="BA50" i="15"/>
  <c r="BA51" i="15"/>
  <c r="BA52" i="15"/>
  <c r="BA53" i="15"/>
  <c r="BA54" i="15"/>
  <c r="BA55" i="15"/>
  <c r="BA56" i="15"/>
  <c r="BA57" i="15"/>
  <c r="BA58" i="15"/>
  <c r="BA59" i="15"/>
  <c r="BA60" i="15"/>
  <c r="BA61" i="15"/>
  <c r="BA62" i="15"/>
  <c r="BA63" i="15"/>
  <c r="BA64" i="15"/>
  <c r="BA65" i="15"/>
  <c r="BA66" i="15"/>
  <c r="BA67" i="15"/>
  <c r="BA68" i="15"/>
  <c r="BA69" i="15"/>
  <c r="BA70" i="15"/>
  <c r="BA71" i="15"/>
  <c r="BA72" i="15"/>
  <c r="BA73" i="15"/>
  <c r="BA74" i="15"/>
  <c r="BA75" i="15"/>
  <c r="BA76" i="15"/>
  <c r="BA77" i="15"/>
  <c r="BA78" i="15"/>
  <c r="BA79" i="15"/>
  <c r="BA80" i="15"/>
  <c r="BA81" i="15"/>
  <c r="BA82" i="15"/>
  <c r="BA83" i="15"/>
  <c r="BA84" i="15"/>
  <c r="BA85" i="15"/>
  <c r="BA86" i="15"/>
  <c r="BA87" i="15"/>
  <c r="BA88" i="15"/>
  <c r="BA89" i="15"/>
  <c r="BA90" i="15"/>
  <c r="BA91" i="15"/>
  <c r="BA92" i="15"/>
  <c r="BA93" i="15"/>
  <c r="BA94" i="15"/>
  <c r="BA95" i="15"/>
  <c r="BA96" i="15"/>
  <c r="BA97" i="15"/>
  <c r="BA98" i="15"/>
  <c r="BA99" i="15"/>
  <c r="BA100" i="15"/>
  <c r="BA101" i="15"/>
  <c r="BA102" i="15"/>
  <c r="BA103" i="15"/>
  <c r="BB15" i="15"/>
  <c r="BB16" i="15"/>
  <c r="BB17" i="15"/>
  <c r="BB18" i="15"/>
  <c r="BB19" i="15"/>
  <c r="BB20" i="15"/>
  <c r="BB21" i="15"/>
  <c r="BB22" i="15"/>
  <c r="BB23" i="15"/>
  <c r="BB24" i="15"/>
  <c r="BB25" i="15"/>
  <c r="BB26" i="15"/>
  <c r="BB27" i="15"/>
  <c r="BB28" i="15"/>
  <c r="BB29" i="15"/>
  <c r="BB30" i="15"/>
  <c r="BB31" i="15"/>
  <c r="BB32" i="15"/>
  <c r="BB33" i="15"/>
  <c r="BB34" i="15"/>
  <c r="BB35" i="15"/>
  <c r="BB36" i="15"/>
  <c r="BB37" i="15"/>
  <c r="BB38" i="15"/>
  <c r="BB39" i="15"/>
  <c r="BB40" i="15"/>
  <c r="BB41" i="15"/>
  <c r="BB42" i="15"/>
  <c r="BB43" i="15"/>
  <c r="BB44" i="15"/>
  <c r="BB45" i="15"/>
  <c r="BB46" i="15"/>
  <c r="BB47" i="15"/>
  <c r="BB48" i="15"/>
  <c r="BB49" i="15"/>
  <c r="BB50" i="15"/>
  <c r="BB51" i="15"/>
  <c r="BB52" i="15"/>
  <c r="BB53" i="15"/>
  <c r="BB54" i="15"/>
  <c r="BB55" i="15"/>
  <c r="BB56" i="15"/>
  <c r="BB57" i="15"/>
  <c r="BB58" i="15"/>
  <c r="BB59" i="15"/>
  <c r="BB60" i="15"/>
  <c r="BB61" i="15"/>
  <c r="BB62" i="15"/>
  <c r="BB63" i="15"/>
  <c r="BB64" i="15"/>
  <c r="BB65" i="15"/>
  <c r="BB66" i="15"/>
  <c r="BB67" i="15"/>
  <c r="BB68" i="15"/>
  <c r="BB69" i="15"/>
  <c r="BB70" i="15"/>
  <c r="BB71" i="15"/>
  <c r="BB72" i="15"/>
  <c r="BB73" i="15"/>
  <c r="BB74" i="15"/>
  <c r="BB75" i="15"/>
  <c r="BB76" i="15"/>
  <c r="BB77" i="15"/>
  <c r="BB78" i="15"/>
  <c r="BB79" i="15"/>
  <c r="BB80" i="15"/>
  <c r="BB81" i="15"/>
  <c r="BB82" i="15"/>
  <c r="BB83" i="15"/>
  <c r="BB84" i="15"/>
  <c r="BB85" i="15"/>
  <c r="BB86" i="15"/>
  <c r="BB87" i="15"/>
  <c r="BB88" i="15"/>
  <c r="BB89" i="15"/>
  <c r="BB90" i="15"/>
  <c r="BB91" i="15"/>
  <c r="BB92" i="15"/>
  <c r="BB93" i="15"/>
  <c r="BB94" i="15"/>
  <c r="BB95" i="15"/>
  <c r="BB96" i="15"/>
  <c r="BB97" i="15"/>
  <c r="BB98" i="15"/>
  <c r="BB99" i="15"/>
  <c r="BB100" i="15"/>
  <c r="BB101" i="15"/>
  <c r="BB102" i="15"/>
  <c r="BB103" i="15"/>
  <c r="BC19" i="15"/>
  <c r="BC20" i="15"/>
  <c r="BC21" i="15"/>
  <c r="BC22" i="15"/>
  <c r="BC23" i="15"/>
  <c r="BC24" i="15"/>
  <c r="BC25" i="15"/>
  <c r="BC26" i="15"/>
  <c r="BC27" i="15"/>
  <c r="BC28" i="15"/>
  <c r="BC29" i="15"/>
  <c r="BC30" i="15"/>
  <c r="BC31" i="15"/>
  <c r="BC32" i="15"/>
  <c r="BC33" i="15"/>
  <c r="BC34" i="15"/>
  <c r="BC35" i="15"/>
  <c r="BC36" i="15"/>
  <c r="BC37" i="15"/>
  <c r="BC38" i="15"/>
  <c r="BC39" i="15"/>
  <c r="BC40" i="15"/>
  <c r="BC41" i="15"/>
  <c r="BC42" i="15"/>
  <c r="BC43" i="15"/>
  <c r="BC44" i="15"/>
  <c r="BC45" i="15"/>
  <c r="BC46" i="15"/>
  <c r="BC47" i="15"/>
  <c r="BC48" i="15"/>
  <c r="BC49" i="15"/>
  <c r="BC50" i="15"/>
  <c r="BC51" i="15"/>
  <c r="BC52" i="15"/>
  <c r="BC53" i="15"/>
  <c r="BC54" i="15"/>
  <c r="BC55" i="15"/>
  <c r="BC56" i="15"/>
  <c r="BC57" i="15"/>
  <c r="BC58" i="15"/>
  <c r="BC59" i="15"/>
  <c r="BC60" i="15"/>
  <c r="BC61" i="15"/>
  <c r="BC62" i="15"/>
  <c r="BC63" i="15"/>
  <c r="BC64" i="15"/>
  <c r="BC65" i="15"/>
  <c r="BC66" i="15"/>
  <c r="BC67" i="15"/>
  <c r="BC68" i="15"/>
  <c r="BC69" i="15"/>
  <c r="BC70" i="15"/>
  <c r="BC71" i="15"/>
  <c r="BC72" i="15"/>
  <c r="BC73" i="15"/>
  <c r="BC74" i="15"/>
  <c r="BC75" i="15"/>
  <c r="BC76" i="15"/>
  <c r="BC77" i="15"/>
  <c r="BC78" i="15"/>
  <c r="BC79" i="15"/>
  <c r="BC80" i="15"/>
  <c r="BC81" i="15"/>
  <c r="BC82" i="15"/>
  <c r="BC83" i="15"/>
  <c r="BC84" i="15"/>
  <c r="BC85" i="15"/>
  <c r="BC86" i="15"/>
  <c r="BC87" i="15"/>
  <c r="BC88" i="15"/>
  <c r="BC89" i="15"/>
  <c r="BC90" i="15"/>
  <c r="BC91" i="15"/>
  <c r="BC92" i="15"/>
  <c r="BC93" i="15"/>
  <c r="BC94" i="15"/>
  <c r="BC95" i="15"/>
  <c r="BC96" i="15"/>
  <c r="BC97" i="15"/>
  <c r="BC98" i="15"/>
  <c r="BC99" i="15"/>
  <c r="BC100" i="15"/>
  <c r="BC101" i="15"/>
  <c r="BC102" i="15"/>
  <c r="BC103" i="15"/>
  <c r="BD17" i="15"/>
  <c r="BD18" i="15"/>
  <c r="BD19" i="15"/>
  <c r="BD20" i="15"/>
  <c r="BD21" i="15"/>
  <c r="BD22" i="15"/>
  <c r="BD23" i="15"/>
  <c r="BD24" i="15"/>
  <c r="P24" i="15" s="1"/>
  <c r="BD25" i="15"/>
  <c r="BD26" i="15"/>
  <c r="BD27" i="15"/>
  <c r="BD28" i="15"/>
  <c r="BD29" i="15"/>
  <c r="BD30" i="15"/>
  <c r="BD31" i="15"/>
  <c r="BD32" i="15"/>
  <c r="BD33" i="15"/>
  <c r="BD34" i="15"/>
  <c r="BD35" i="15"/>
  <c r="P35" i="15" s="1"/>
  <c r="BD36" i="15"/>
  <c r="P36" i="15" s="1"/>
  <c r="BD37" i="15"/>
  <c r="P37" i="15" s="1"/>
  <c r="BD38" i="15"/>
  <c r="P38" i="15" s="1"/>
  <c r="BD39" i="15"/>
  <c r="P39" i="15" s="1"/>
  <c r="BD40" i="15"/>
  <c r="P40" i="15" s="1"/>
  <c r="BD41" i="15"/>
  <c r="P41" i="15" s="1"/>
  <c r="T41" i="15" s="1"/>
  <c r="Y41" i="15" s="1"/>
  <c r="BD42" i="15"/>
  <c r="P42" i="15" s="1"/>
  <c r="BD43" i="15"/>
  <c r="P43" i="15" s="1"/>
  <c r="T43" i="15" s="1"/>
  <c r="Y43" i="15" s="1"/>
  <c r="BD44" i="15"/>
  <c r="P44" i="15" s="1"/>
  <c r="T44" i="15" s="1"/>
  <c r="Y44" i="15" s="1"/>
  <c r="BD45" i="15"/>
  <c r="P45" i="15" s="1"/>
  <c r="T45" i="15" s="1"/>
  <c r="Y45" i="15" s="1"/>
  <c r="BD46" i="15"/>
  <c r="P46" i="15" s="1"/>
  <c r="T46" i="15" s="1"/>
  <c r="Y46" i="15" s="1"/>
  <c r="BD47" i="15"/>
  <c r="P47" i="15" s="1"/>
  <c r="T47" i="15" s="1"/>
  <c r="Y47" i="15" s="1"/>
  <c r="BD48" i="15"/>
  <c r="P48" i="15" s="1"/>
  <c r="T48" i="15" s="1"/>
  <c r="Y48" i="15" s="1"/>
  <c r="BD49" i="15"/>
  <c r="P49" i="15" s="1"/>
  <c r="T49" i="15" s="1"/>
  <c r="Y49" i="15" s="1"/>
  <c r="BD50" i="15"/>
  <c r="P50" i="15" s="1"/>
  <c r="BD51" i="15"/>
  <c r="P51" i="15" s="1"/>
  <c r="BD52" i="15"/>
  <c r="P52" i="15" s="1"/>
  <c r="BD53" i="15"/>
  <c r="P53" i="15" s="1"/>
  <c r="BD54" i="15"/>
  <c r="P54" i="15" s="1"/>
  <c r="BD55" i="15"/>
  <c r="P55" i="15" s="1"/>
  <c r="T55" i="15" s="1"/>
  <c r="Y55" i="15" s="1"/>
  <c r="BD56" i="15"/>
  <c r="P56" i="15" s="1"/>
  <c r="T56" i="15" s="1"/>
  <c r="Y56" i="15" s="1"/>
  <c r="BD57" i="15"/>
  <c r="BD58" i="15"/>
  <c r="BD59" i="15"/>
  <c r="P59" i="15" s="1"/>
  <c r="BD60" i="15"/>
  <c r="BD61" i="15"/>
  <c r="P61" i="15" s="1"/>
  <c r="BD62" i="15"/>
  <c r="P62" i="15" s="1"/>
  <c r="BD63" i="15"/>
  <c r="P63" i="15" s="1"/>
  <c r="BD64" i="15"/>
  <c r="BD65" i="15"/>
  <c r="BD66" i="15"/>
  <c r="BD67" i="15"/>
  <c r="BD68" i="15"/>
  <c r="BD69" i="15"/>
  <c r="BD70" i="15"/>
  <c r="BD71" i="15"/>
  <c r="BD72" i="15"/>
  <c r="BD73" i="15"/>
  <c r="P73" i="15" s="1"/>
  <c r="BD74" i="15"/>
  <c r="P74" i="15" s="1"/>
  <c r="BD75" i="15"/>
  <c r="BD76" i="15"/>
  <c r="P75" i="15" s="1"/>
  <c r="T75" i="15" s="1"/>
  <c r="Y75" i="15" s="1"/>
  <c r="BD77" i="15"/>
  <c r="P76" i="15" s="1"/>
  <c r="T76" i="15" s="1"/>
  <c r="Y76" i="15" s="1"/>
  <c r="BD78" i="15"/>
  <c r="BD79" i="15"/>
  <c r="BD80" i="15"/>
  <c r="BD81" i="15"/>
  <c r="BD82" i="15"/>
  <c r="P82" i="15" s="1"/>
  <c r="BD83" i="15"/>
  <c r="P83" i="15" s="1"/>
  <c r="BD84" i="15"/>
  <c r="BD85" i="15"/>
  <c r="P85" i="15" s="1"/>
  <c r="BD86" i="15"/>
  <c r="P86" i="15" s="1"/>
  <c r="BD87" i="15"/>
  <c r="P87" i="15" s="1"/>
  <c r="BD88" i="15"/>
  <c r="BD89" i="15"/>
  <c r="BD90" i="15"/>
  <c r="BD91" i="15"/>
  <c r="BD92" i="15"/>
  <c r="P92" i="15" s="1"/>
  <c r="T92" i="15" s="1"/>
  <c r="Y92" i="15" s="1"/>
  <c r="BD93" i="15"/>
  <c r="P93" i="15" s="1"/>
  <c r="BD94" i="15"/>
  <c r="P94" i="15" s="1"/>
  <c r="T94" i="15" s="1"/>
  <c r="Y94" i="15" s="1"/>
  <c r="BD95" i="15"/>
  <c r="P95" i="15" s="1"/>
  <c r="T95" i="15" s="1"/>
  <c r="Y95" i="15" s="1"/>
  <c r="BD96" i="15"/>
  <c r="P96" i="15" s="1"/>
  <c r="T96" i="15" s="1"/>
  <c r="Y96" i="15" s="1"/>
  <c r="BD97" i="15"/>
  <c r="P97" i="15" s="1"/>
  <c r="T97" i="15" s="1"/>
  <c r="Y97" i="15" s="1"/>
  <c r="BD98" i="15"/>
  <c r="BD99" i="15"/>
  <c r="P99" i="15" s="1"/>
  <c r="T99" i="15" s="1"/>
  <c r="Y99" i="15" s="1"/>
  <c r="BD100" i="15"/>
  <c r="BD101" i="15"/>
  <c r="BD102" i="15"/>
  <c r="BD103" i="15"/>
  <c r="BE14" i="15"/>
  <c r="BE15" i="15"/>
  <c r="BE16" i="15"/>
  <c r="BE17" i="15"/>
  <c r="BE18" i="15"/>
  <c r="BE19" i="15"/>
  <c r="BE20" i="15"/>
  <c r="BE21" i="15"/>
  <c r="BE22" i="15"/>
  <c r="BE23" i="15"/>
  <c r="BE24" i="15"/>
  <c r="BE25" i="15"/>
  <c r="BE26" i="15"/>
  <c r="BE27" i="15"/>
  <c r="BE28" i="15"/>
  <c r="BE29" i="15"/>
  <c r="BE30" i="15"/>
  <c r="BE31" i="15"/>
  <c r="BE32" i="15"/>
  <c r="BE33" i="15"/>
  <c r="BE34" i="15"/>
  <c r="BE35" i="15"/>
  <c r="BE36" i="15"/>
  <c r="BE37" i="15"/>
  <c r="BE38" i="15"/>
  <c r="BE39" i="15"/>
  <c r="BE40" i="15"/>
  <c r="BE41" i="15"/>
  <c r="BE42" i="15"/>
  <c r="BE43" i="15"/>
  <c r="BE44" i="15"/>
  <c r="BE45" i="15"/>
  <c r="BE46" i="15"/>
  <c r="BE47" i="15"/>
  <c r="BE48" i="15"/>
  <c r="BE49" i="15"/>
  <c r="BE50" i="15"/>
  <c r="BE51" i="15"/>
  <c r="BE52" i="15"/>
  <c r="BE53" i="15"/>
  <c r="BE54" i="15"/>
  <c r="BE55" i="15"/>
  <c r="BE56" i="15"/>
  <c r="BE57" i="15"/>
  <c r="BE58" i="15"/>
  <c r="BE59" i="15"/>
  <c r="BE60" i="15"/>
  <c r="BE61" i="15"/>
  <c r="BE62" i="15"/>
  <c r="BE63" i="15"/>
  <c r="BE64" i="15"/>
  <c r="BE65" i="15"/>
  <c r="BE66" i="15"/>
  <c r="BE67" i="15"/>
  <c r="BE68" i="15"/>
  <c r="BE69" i="15"/>
  <c r="BE70" i="15"/>
  <c r="BE71" i="15"/>
  <c r="BE72" i="15"/>
  <c r="BE73" i="15"/>
  <c r="BE74" i="15"/>
  <c r="BE75" i="15"/>
  <c r="BE76" i="15"/>
  <c r="BE77" i="15"/>
  <c r="BE78" i="15"/>
  <c r="BE79" i="15"/>
  <c r="BE80" i="15"/>
  <c r="BE81" i="15"/>
  <c r="BE82" i="15"/>
  <c r="BE83" i="15"/>
  <c r="BE84" i="15"/>
  <c r="BE85" i="15"/>
  <c r="BE86" i="15"/>
  <c r="BE87" i="15"/>
  <c r="BE88" i="15"/>
  <c r="BE89" i="15"/>
  <c r="BE90" i="15"/>
  <c r="BE91" i="15"/>
  <c r="BE92" i="15"/>
  <c r="BE93" i="15"/>
  <c r="BE94" i="15"/>
  <c r="BE95" i="15"/>
  <c r="BE96" i="15"/>
  <c r="BE97" i="15"/>
  <c r="BE98" i="15"/>
  <c r="BE99" i="15"/>
  <c r="BE100" i="15"/>
  <c r="BE101" i="15"/>
  <c r="BE102" i="15"/>
  <c r="BE103" i="15"/>
  <c r="BF14" i="15"/>
  <c r="BF15" i="15"/>
  <c r="BF16" i="15"/>
  <c r="BF17" i="15"/>
  <c r="BF18" i="15"/>
  <c r="BF19" i="15"/>
  <c r="BF20" i="15"/>
  <c r="BF21" i="15"/>
  <c r="BF22" i="15"/>
  <c r="BF23" i="15"/>
  <c r="BF24" i="15"/>
  <c r="BF25" i="15"/>
  <c r="BF26" i="15"/>
  <c r="BF27" i="15"/>
  <c r="BF28" i="15"/>
  <c r="BF29" i="15"/>
  <c r="BF30" i="15"/>
  <c r="BF31" i="15"/>
  <c r="BF32" i="15"/>
  <c r="BF33" i="15"/>
  <c r="BF34" i="15"/>
  <c r="BF35" i="15"/>
  <c r="BF36" i="15"/>
  <c r="BF37" i="15"/>
  <c r="BF38" i="15"/>
  <c r="BF39" i="15"/>
  <c r="BF40" i="15"/>
  <c r="BF41" i="15"/>
  <c r="BF42" i="15"/>
  <c r="BF43" i="15"/>
  <c r="BF44" i="15"/>
  <c r="BF45" i="15"/>
  <c r="BF46" i="15"/>
  <c r="BF47" i="15"/>
  <c r="BF48" i="15"/>
  <c r="BF49" i="15"/>
  <c r="BF50" i="15"/>
  <c r="BF51" i="15"/>
  <c r="BF52" i="15"/>
  <c r="BF53" i="15"/>
  <c r="BF54" i="15"/>
  <c r="BF55" i="15"/>
  <c r="BF56" i="15"/>
  <c r="BF57" i="15"/>
  <c r="BF58" i="15"/>
  <c r="BF59" i="15"/>
  <c r="BF60" i="15"/>
  <c r="BF61" i="15"/>
  <c r="BF62" i="15"/>
  <c r="BF63" i="15"/>
  <c r="BF64" i="15"/>
  <c r="BF65" i="15"/>
  <c r="BF66" i="15"/>
  <c r="BF67" i="15"/>
  <c r="BF68" i="15"/>
  <c r="BF69" i="15"/>
  <c r="BF70" i="15"/>
  <c r="BF71" i="15"/>
  <c r="BF72" i="15"/>
  <c r="BF73" i="15"/>
  <c r="BF74" i="15"/>
  <c r="BF75" i="15"/>
  <c r="BF76" i="15"/>
  <c r="BF77" i="15"/>
  <c r="BF78" i="15"/>
  <c r="BF79" i="15"/>
  <c r="BF80" i="15"/>
  <c r="BF81" i="15"/>
  <c r="BF82" i="15"/>
  <c r="BF83" i="15"/>
  <c r="BF84" i="15"/>
  <c r="BF85" i="15"/>
  <c r="BF86" i="15"/>
  <c r="BF87" i="15"/>
  <c r="BF88" i="15"/>
  <c r="BF89" i="15"/>
  <c r="BF90" i="15"/>
  <c r="BF91" i="15"/>
  <c r="BF92" i="15"/>
  <c r="BF93" i="15"/>
  <c r="BF94" i="15"/>
  <c r="BF95" i="15"/>
  <c r="BF96" i="15"/>
  <c r="BF97" i="15"/>
  <c r="BF98" i="15"/>
  <c r="BF99" i="15"/>
  <c r="BF100" i="15"/>
  <c r="BF101" i="15"/>
  <c r="BF102" i="15"/>
  <c r="BF103" i="15"/>
  <c r="BF104" i="15"/>
  <c r="BG36" i="15"/>
  <c r="BG37" i="15"/>
  <c r="BG38" i="15"/>
  <c r="BG39" i="15"/>
  <c r="BG40" i="15"/>
  <c r="BG41" i="15"/>
  <c r="BG42" i="15"/>
  <c r="BG43" i="15"/>
  <c r="BG44" i="15"/>
  <c r="BG45" i="15"/>
  <c r="BG46" i="15"/>
  <c r="BG47" i="15"/>
  <c r="BG48" i="15"/>
  <c r="BG49" i="15"/>
  <c r="BG50" i="15"/>
  <c r="BG51" i="15"/>
  <c r="BG52" i="15"/>
  <c r="BG53" i="15"/>
  <c r="BG54" i="15"/>
  <c r="BG55" i="15"/>
  <c r="BG56" i="15"/>
  <c r="BG57" i="15"/>
  <c r="BG58" i="15"/>
  <c r="BG59" i="15"/>
  <c r="BG60" i="15"/>
  <c r="BG61" i="15"/>
  <c r="BG62" i="15"/>
  <c r="BG63" i="15"/>
  <c r="BG64" i="15"/>
  <c r="BG65" i="15"/>
  <c r="BG66" i="15"/>
  <c r="BG67" i="15"/>
  <c r="BG68" i="15"/>
  <c r="BG69" i="15"/>
  <c r="P69" i="15" s="1"/>
  <c r="BG70" i="15"/>
  <c r="BG71" i="15"/>
  <c r="BG72" i="15"/>
  <c r="BG73" i="15"/>
  <c r="BG74" i="15"/>
  <c r="BG75" i="15"/>
  <c r="BG76" i="15"/>
  <c r="BG77" i="15"/>
  <c r="BG78" i="15"/>
  <c r="BG79" i="15"/>
  <c r="BG80" i="15"/>
  <c r="BG81" i="15"/>
  <c r="BG82" i="15"/>
  <c r="BG83" i="15"/>
  <c r="BG84" i="15"/>
  <c r="BG85" i="15"/>
  <c r="BG86" i="15"/>
  <c r="BG87" i="15"/>
  <c r="BG88" i="15"/>
  <c r="BG89" i="15"/>
  <c r="BG90" i="15"/>
  <c r="BG91" i="15"/>
  <c r="BG92" i="15"/>
  <c r="BG93" i="15"/>
  <c r="BG94" i="15"/>
  <c r="BG95" i="15"/>
  <c r="BG96" i="15"/>
  <c r="BG97" i="15"/>
  <c r="BG98" i="15"/>
  <c r="P98" i="15" s="1"/>
  <c r="T98" i="15" s="1"/>
  <c r="Y98" i="15" s="1"/>
  <c r="BG99" i="15"/>
  <c r="BG100" i="15"/>
  <c r="BG101" i="15"/>
  <c r="BG102" i="15"/>
  <c r="BG103" i="15"/>
  <c r="BG104" i="15"/>
  <c r="BH10" i="15"/>
  <c r="BH11" i="15"/>
  <c r="BH12" i="15"/>
  <c r="BH13" i="15"/>
  <c r="BH14" i="15"/>
  <c r="BH15" i="15"/>
  <c r="BH16" i="15"/>
  <c r="BH17" i="15"/>
  <c r="BH18" i="15"/>
  <c r="BH19" i="15"/>
  <c r="BH20" i="15"/>
  <c r="BH21" i="15"/>
  <c r="BH22" i="15"/>
  <c r="BH23" i="15"/>
  <c r="BH24" i="15"/>
  <c r="BH25" i="15"/>
  <c r="BH26" i="15"/>
  <c r="BH27" i="15"/>
  <c r="BH28" i="15"/>
  <c r="BH29" i="15"/>
  <c r="BH30" i="15"/>
  <c r="BH31" i="15"/>
  <c r="BH32" i="15"/>
  <c r="BH33" i="15"/>
  <c r="BH34" i="15"/>
  <c r="BH35" i="15"/>
  <c r="BH36" i="15"/>
  <c r="BH37" i="15"/>
  <c r="BH38" i="15"/>
  <c r="BH39" i="15"/>
  <c r="BH40" i="15"/>
  <c r="BH41" i="15"/>
  <c r="BH42" i="15"/>
  <c r="BH43" i="15"/>
  <c r="BH44" i="15"/>
  <c r="BH45" i="15"/>
  <c r="BH46" i="15"/>
  <c r="BH47" i="15"/>
  <c r="BH48" i="15"/>
  <c r="BH49" i="15"/>
  <c r="BH50" i="15"/>
  <c r="BH51" i="15"/>
  <c r="BH52" i="15"/>
  <c r="BH53" i="15"/>
  <c r="BH54" i="15"/>
  <c r="BH55" i="15"/>
  <c r="BH56" i="15"/>
  <c r="BH57" i="15"/>
  <c r="BH58" i="15"/>
  <c r="BH59" i="15"/>
  <c r="BH60" i="15"/>
  <c r="BH61" i="15"/>
  <c r="BH62" i="15"/>
  <c r="BH63" i="15"/>
  <c r="BH64" i="15"/>
  <c r="BH65" i="15"/>
  <c r="BH66" i="15"/>
  <c r="BH67" i="15"/>
  <c r="BH68" i="15"/>
  <c r="BH69" i="15"/>
  <c r="BH70" i="15"/>
  <c r="BH71" i="15"/>
  <c r="BH72" i="15"/>
  <c r="BH73" i="15"/>
  <c r="BH74" i="15"/>
  <c r="BH75" i="15"/>
  <c r="BH76" i="15"/>
  <c r="BH77" i="15"/>
  <c r="BH78" i="15"/>
  <c r="BH79" i="15"/>
  <c r="BH80" i="15"/>
  <c r="BH81" i="15"/>
  <c r="BH82" i="15"/>
  <c r="BH83" i="15"/>
  <c r="BH84" i="15"/>
  <c r="BH85" i="15"/>
  <c r="BH86" i="15"/>
  <c r="BH87" i="15"/>
  <c r="BH88" i="15"/>
  <c r="BH89" i="15"/>
  <c r="BH90" i="15"/>
  <c r="BH91" i="15"/>
  <c r="BH92" i="15"/>
  <c r="BH93" i="15"/>
  <c r="BH94" i="15"/>
  <c r="BH95" i="15"/>
  <c r="BH96" i="15"/>
  <c r="BH97" i="15"/>
  <c r="BH98" i="15"/>
  <c r="BH99" i="15"/>
  <c r="BH100" i="15"/>
  <c r="BH101" i="15"/>
  <c r="BH102" i="15"/>
  <c r="BH103" i="15"/>
  <c r="BH104" i="15"/>
  <c r="BI12" i="15"/>
  <c r="BI13" i="15"/>
  <c r="BI14" i="15"/>
  <c r="BI15" i="15"/>
  <c r="BI16" i="15"/>
  <c r="BI17" i="15"/>
  <c r="BI18" i="15"/>
  <c r="BI19" i="15"/>
  <c r="BI20" i="15"/>
  <c r="BI21" i="15"/>
  <c r="BI22" i="15"/>
  <c r="BI23" i="15"/>
  <c r="BI24" i="15"/>
  <c r="BI25" i="15"/>
  <c r="BI26" i="15"/>
  <c r="BI27" i="15"/>
  <c r="BI28" i="15"/>
  <c r="BI29" i="15"/>
  <c r="BI30" i="15"/>
  <c r="BI31" i="15"/>
  <c r="BI32" i="15"/>
  <c r="BI33" i="15"/>
  <c r="BI34" i="15"/>
  <c r="BI35" i="15"/>
  <c r="BI36" i="15"/>
  <c r="BI37" i="15"/>
  <c r="BI38" i="15"/>
  <c r="BI39" i="15"/>
  <c r="BI40" i="15"/>
  <c r="BI41" i="15"/>
  <c r="BI42" i="15"/>
  <c r="BI43" i="15"/>
  <c r="BI44" i="15"/>
  <c r="BI45" i="15"/>
  <c r="BI46" i="15"/>
  <c r="BI47" i="15"/>
  <c r="BI48" i="15"/>
  <c r="BI49" i="15"/>
  <c r="BI50" i="15"/>
  <c r="BI51" i="15"/>
  <c r="BI52" i="15"/>
  <c r="BI53" i="15"/>
  <c r="BI54" i="15"/>
  <c r="BI55" i="15"/>
  <c r="BI56" i="15"/>
  <c r="BI57" i="15"/>
  <c r="BI58" i="15"/>
  <c r="BI59" i="15"/>
  <c r="BI60" i="15"/>
  <c r="BI61" i="15"/>
  <c r="BI62" i="15"/>
  <c r="BI63" i="15"/>
  <c r="BI64" i="15"/>
  <c r="BI65" i="15"/>
  <c r="BI66" i="15"/>
  <c r="BI67" i="15"/>
  <c r="BI68" i="15"/>
  <c r="BI69" i="15"/>
  <c r="BI70" i="15"/>
  <c r="BI71" i="15"/>
  <c r="BI72" i="15"/>
  <c r="BI73" i="15"/>
  <c r="BI74" i="15"/>
  <c r="BI75" i="15"/>
  <c r="BI76" i="15"/>
  <c r="BI77" i="15"/>
  <c r="BI78" i="15"/>
  <c r="BI79" i="15"/>
  <c r="BI80" i="15"/>
  <c r="BI81" i="15"/>
  <c r="BI82" i="15"/>
  <c r="BI83" i="15"/>
  <c r="BI84" i="15"/>
  <c r="BI85" i="15"/>
  <c r="BI86" i="15"/>
  <c r="BI87" i="15"/>
  <c r="BI88" i="15"/>
  <c r="BI89" i="15"/>
  <c r="BI90" i="15"/>
  <c r="BI91" i="15"/>
  <c r="BI92" i="15"/>
  <c r="BI93" i="15"/>
  <c r="BI94" i="15"/>
  <c r="BI95" i="15"/>
  <c r="BI96" i="15"/>
  <c r="BI97" i="15"/>
  <c r="BI98" i="15"/>
  <c r="BI99" i="15"/>
  <c r="BI100" i="15"/>
  <c r="BI101" i="15"/>
  <c r="BI102" i="15"/>
  <c r="BJ16" i="15"/>
  <c r="BJ17" i="15"/>
  <c r="BJ18" i="15"/>
  <c r="BJ19" i="15"/>
  <c r="BJ20" i="15"/>
  <c r="BJ21" i="15"/>
  <c r="BJ22" i="15"/>
  <c r="BJ23" i="15"/>
  <c r="BJ24" i="15"/>
  <c r="BJ25" i="15"/>
  <c r="BJ26" i="15"/>
  <c r="BJ27" i="15"/>
  <c r="BJ28" i="15"/>
  <c r="BJ29" i="15"/>
  <c r="BJ30" i="15"/>
  <c r="BJ31" i="15"/>
  <c r="BJ32" i="15"/>
  <c r="BJ33" i="15"/>
  <c r="BJ34" i="15"/>
  <c r="BJ35" i="15"/>
  <c r="BJ36" i="15"/>
  <c r="BJ37" i="15"/>
  <c r="BJ38" i="15"/>
  <c r="BJ39" i="15"/>
  <c r="BJ40" i="15"/>
  <c r="BJ41" i="15"/>
  <c r="BJ42" i="15"/>
  <c r="BJ43" i="15"/>
  <c r="BJ44" i="15"/>
  <c r="BJ45" i="15"/>
  <c r="BJ46" i="15"/>
  <c r="BJ47" i="15"/>
  <c r="BJ48" i="15"/>
  <c r="BJ49" i="15"/>
  <c r="BJ50" i="15"/>
  <c r="BJ51" i="15"/>
  <c r="BJ52" i="15"/>
  <c r="BJ53" i="15"/>
  <c r="BJ54" i="15"/>
  <c r="BJ55" i="15"/>
  <c r="BJ56" i="15"/>
  <c r="BJ57" i="15"/>
  <c r="BJ58" i="15"/>
  <c r="BJ59" i="15"/>
  <c r="BJ60" i="15"/>
  <c r="BJ61" i="15"/>
  <c r="BJ62" i="15"/>
  <c r="BJ63" i="15"/>
  <c r="BJ64" i="15"/>
  <c r="BJ65" i="15"/>
  <c r="BJ66" i="15"/>
  <c r="BJ67" i="15"/>
  <c r="BJ68" i="15"/>
  <c r="BJ69" i="15"/>
  <c r="BJ70" i="15"/>
  <c r="BJ71" i="15"/>
  <c r="BJ72" i="15"/>
  <c r="BJ73" i="15"/>
  <c r="BJ74" i="15"/>
  <c r="BJ75" i="15"/>
  <c r="BJ76" i="15"/>
  <c r="BJ77" i="15"/>
  <c r="BJ78" i="15"/>
  <c r="BJ79" i="15"/>
  <c r="BJ80" i="15"/>
  <c r="BJ81" i="15"/>
  <c r="BJ82" i="15"/>
  <c r="BJ83" i="15"/>
  <c r="BJ84" i="15"/>
  <c r="BJ85" i="15"/>
  <c r="BJ86" i="15"/>
  <c r="BJ87" i="15"/>
  <c r="BJ88" i="15"/>
  <c r="BJ89" i="15"/>
  <c r="BJ90" i="15"/>
  <c r="BJ91" i="15"/>
  <c r="BJ92" i="15"/>
  <c r="BJ93" i="15"/>
  <c r="BJ94" i="15"/>
  <c r="BJ95" i="15"/>
  <c r="BJ96" i="15"/>
  <c r="BJ97" i="15"/>
  <c r="BJ98" i="15"/>
  <c r="BJ99" i="15"/>
  <c r="BJ100" i="15"/>
  <c r="BJ101" i="15"/>
  <c r="BJ102" i="15"/>
  <c r="BJ103" i="15"/>
  <c r="BJ104" i="15"/>
  <c r="BK9" i="15"/>
  <c r="BK10" i="15"/>
  <c r="BK11" i="15"/>
  <c r="BK12" i="15"/>
  <c r="BK13" i="15"/>
  <c r="BK14" i="15"/>
  <c r="BK15" i="15"/>
  <c r="BK16" i="15"/>
  <c r="BK17" i="15"/>
  <c r="BK18" i="15"/>
  <c r="BK19" i="15"/>
  <c r="BK20" i="15"/>
  <c r="BK21" i="15"/>
  <c r="BK22" i="15"/>
  <c r="BK23" i="15"/>
  <c r="BK24" i="15"/>
  <c r="BK25" i="15"/>
  <c r="BK26" i="15"/>
  <c r="BK27" i="15"/>
  <c r="BK28" i="15"/>
  <c r="BK29" i="15"/>
  <c r="BK30" i="15"/>
  <c r="BK31" i="15"/>
  <c r="BK32" i="15"/>
  <c r="BK33" i="15"/>
  <c r="BK34" i="15"/>
  <c r="BK35" i="15"/>
  <c r="BK36" i="15"/>
  <c r="BK37" i="15"/>
  <c r="BK38" i="15"/>
  <c r="BK39" i="15"/>
  <c r="BK40" i="15"/>
  <c r="BK41" i="15"/>
  <c r="BK42" i="15"/>
  <c r="BK43" i="15"/>
  <c r="BK44" i="15"/>
  <c r="BK45" i="15"/>
  <c r="BK46" i="15"/>
  <c r="BK47" i="15"/>
  <c r="BK48" i="15"/>
  <c r="BK49" i="15"/>
  <c r="BK50" i="15"/>
  <c r="BK51" i="15"/>
  <c r="BK52" i="15"/>
  <c r="BK53" i="15"/>
  <c r="BK54" i="15"/>
  <c r="BK55" i="15"/>
  <c r="BK56" i="15"/>
  <c r="BK57" i="15"/>
  <c r="BK58" i="15"/>
  <c r="BK59" i="15"/>
  <c r="BK60" i="15"/>
  <c r="BK61" i="15"/>
  <c r="BK62" i="15"/>
  <c r="BK63" i="15"/>
  <c r="BK64" i="15"/>
  <c r="BK65" i="15"/>
  <c r="BK66" i="15"/>
  <c r="BK67" i="15"/>
  <c r="BK68" i="15"/>
  <c r="BK69" i="15"/>
  <c r="BK70" i="15"/>
  <c r="BK71" i="15"/>
  <c r="BK72" i="15"/>
  <c r="BK73" i="15"/>
  <c r="BK74" i="15"/>
  <c r="BK75" i="15"/>
  <c r="BK76" i="15"/>
  <c r="BK77" i="15"/>
  <c r="BK78" i="15"/>
  <c r="BK79" i="15"/>
  <c r="BK80" i="15"/>
  <c r="BK81" i="15"/>
  <c r="BK82" i="15"/>
  <c r="BK83" i="15"/>
  <c r="BK84" i="15"/>
  <c r="BK85" i="15"/>
  <c r="BK86" i="15"/>
  <c r="BK87" i="15"/>
  <c r="BK88" i="15"/>
  <c r="BK89" i="15"/>
  <c r="BK90" i="15"/>
  <c r="BK91" i="15"/>
  <c r="BK92" i="15"/>
  <c r="BK93" i="15"/>
  <c r="BK94" i="15"/>
  <c r="BK95" i="15"/>
  <c r="BK96" i="15"/>
  <c r="BK97" i="15"/>
  <c r="BK98" i="15"/>
  <c r="BK99" i="15"/>
  <c r="BK100" i="15"/>
  <c r="BK101" i="15"/>
  <c r="BK102" i="15"/>
  <c r="BK103" i="15"/>
  <c r="BK104" i="15"/>
  <c r="BK6" i="15"/>
  <c r="BK7" i="15"/>
  <c r="BK8" i="15"/>
  <c r="BL12" i="15"/>
  <c r="BL13" i="15"/>
  <c r="BL14" i="15"/>
  <c r="BL15" i="15"/>
  <c r="BL16" i="15"/>
  <c r="BL17" i="15"/>
  <c r="BL18" i="15"/>
  <c r="BL19" i="15"/>
  <c r="BL20" i="15"/>
  <c r="BL21" i="15"/>
  <c r="BL22" i="15"/>
  <c r="BL23" i="15"/>
  <c r="BL24" i="15"/>
  <c r="BL25" i="15"/>
  <c r="BL26" i="15"/>
  <c r="BL27" i="15"/>
  <c r="BL28" i="15"/>
  <c r="BL29" i="15"/>
  <c r="BL30" i="15"/>
  <c r="BL31" i="15"/>
  <c r="BL32" i="15"/>
  <c r="BL33" i="15"/>
  <c r="BL34" i="15"/>
  <c r="BL35" i="15"/>
  <c r="BL36" i="15"/>
  <c r="BL37" i="15"/>
  <c r="BL38" i="15"/>
  <c r="BL39" i="15"/>
  <c r="BL40" i="15"/>
  <c r="BL41" i="15"/>
  <c r="BL42" i="15"/>
  <c r="BL43" i="15"/>
  <c r="BL44" i="15"/>
  <c r="BL45" i="15"/>
  <c r="BL46" i="15"/>
  <c r="BL47" i="15"/>
  <c r="BL48" i="15"/>
  <c r="BL49" i="15"/>
  <c r="BL50" i="15"/>
  <c r="BL51" i="15"/>
  <c r="BL52" i="15"/>
  <c r="BL53" i="15"/>
  <c r="BL54" i="15"/>
  <c r="BL55" i="15"/>
  <c r="BL56" i="15"/>
  <c r="BL57" i="15"/>
  <c r="BL58" i="15"/>
  <c r="BL59" i="15"/>
  <c r="BL60" i="15"/>
  <c r="BL61" i="15"/>
  <c r="BL62" i="15"/>
  <c r="BL63" i="15"/>
  <c r="BL64" i="15"/>
  <c r="BL65" i="15"/>
  <c r="BL66" i="15"/>
  <c r="BL67" i="15"/>
  <c r="BL68" i="15"/>
  <c r="BL69" i="15"/>
  <c r="BL70" i="15"/>
  <c r="BL71" i="15"/>
  <c r="BL72" i="15"/>
  <c r="BL73" i="15"/>
  <c r="BL74" i="15"/>
  <c r="BL75" i="15"/>
  <c r="BL76" i="15"/>
  <c r="BL77" i="15"/>
  <c r="BL78" i="15"/>
  <c r="BL79" i="15"/>
  <c r="BL80" i="15"/>
  <c r="BL81" i="15"/>
  <c r="BL82" i="15"/>
  <c r="BL83" i="15"/>
  <c r="BL84" i="15"/>
  <c r="BL85" i="15"/>
  <c r="BL86" i="15"/>
  <c r="BL87" i="15"/>
  <c r="BL88" i="15"/>
  <c r="BL89" i="15"/>
  <c r="BL90" i="15"/>
  <c r="BL91" i="15"/>
  <c r="BL92" i="15"/>
  <c r="BL93" i="15"/>
  <c r="BL94" i="15"/>
  <c r="BL95" i="15"/>
  <c r="BL96" i="15"/>
  <c r="BL97" i="15"/>
  <c r="BL98" i="15"/>
  <c r="BL99" i="15"/>
  <c r="BL100" i="15"/>
  <c r="BL101" i="15"/>
  <c r="BL102" i="15"/>
  <c r="BL103" i="15"/>
  <c r="BL104" i="15"/>
  <c r="BM12" i="15"/>
  <c r="BM13" i="15"/>
  <c r="BM14" i="15"/>
  <c r="BM15" i="15"/>
  <c r="BM16" i="15"/>
  <c r="BM17" i="15"/>
  <c r="BM18" i="15"/>
  <c r="BM19" i="15"/>
  <c r="BM20" i="15"/>
  <c r="BM21" i="15"/>
  <c r="BM22" i="15"/>
  <c r="BM23" i="15"/>
  <c r="BM24" i="15"/>
  <c r="BM25" i="15"/>
  <c r="BM26" i="15"/>
  <c r="BM27" i="15"/>
  <c r="BM28" i="15"/>
  <c r="BM29" i="15"/>
  <c r="BM30" i="15"/>
  <c r="BM31" i="15"/>
  <c r="BM32" i="15"/>
  <c r="BM33" i="15"/>
  <c r="BM34" i="15"/>
  <c r="BM35" i="15"/>
  <c r="BM36" i="15"/>
  <c r="BM37" i="15"/>
  <c r="BM38" i="15"/>
  <c r="BM39" i="15"/>
  <c r="BM40" i="15"/>
  <c r="BM41" i="15"/>
  <c r="BM42" i="15"/>
  <c r="BM43" i="15"/>
  <c r="BM44" i="15"/>
  <c r="BM45" i="15"/>
  <c r="BM46" i="15"/>
  <c r="BM47" i="15"/>
  <c r="BM48" i="15"/>
  <c r="BM49" i="15"/>
  <c r="BM50" i="15"/>
  <c r="BM51" i="15"/>
  <c r="BM52" i="15"/>
  <c r="BM53" i="15"/>
  <c r="BM54" i="15"/>
  <c r="BM55" i="15"/>
  <c r="BM56" i="15"/>
  <c r="BM57" i="15"/>
  <c r="BM58" i="15"/>
  <c r="BM59" i="15"/>
  <c r="BM60" i="15"/>
  <c r="BM61" i="15"/>
  <c r="BM62" i="15"/>
  <c r="BM63" i="15"/>
  <c r="BM64" i="15"/>
  <c r="BM65" i="15"/>
  <c r="BM66" i="15"/>
  <c r="BM67" i="15"/>
  <c r="BM68" i="15"/>
  <c r="BM69" i="15"/>
  <c r="BM70" i="15"/>
  <c r="BM71" i="15"/>
  <c r="BM72" i="15"/>
  <c r="BM73" i="15"/>
  <c r="BM74" i="15"/>
  <c r="BM75" i="15"/>
  <c r="BM76" i="15"/>
  <c r="BM77" i="15"/>
  <c r="BM78" i="15"/>
  <c r="BM79" i="15"/>
  <c r="BM80" i="15"/>
  <c r="BM81" i="15"/>
  <c r="BM82" i="15"/>
  <c r="BM83" i="15"/>
  <c r="BM84" i="15"/>
  <c r="BM85" i="15"/>
  <c r="BM86" i="15"/>
  <c r="BM87" i="15"/>
  <c r="BM88" i="15"/>
  <c r="BM89" i="15"/>
  <c r="BM90" i="15"/>
  <c r="BM91" i="15"/>
  <c r="BM92" i="15"/>
  <c r="BM93" i="15"/>
  <c r="BM94" i="15"/>
  <c r="BM95" i="15"/>
  <c r="BM96" i="15"/>
  <c r="BM97" i="15"/>
  <c r="BM98" i="15"/>
  <c r="BM99" i="15"/>
  <c r="BM100" i="15"/>
  <c r="BM101" i="15"/>
  <c r="BM102" i="15"/>
  <c r="BM103" i="15"/>
  <c r="BM104" i="15"/>
  <c r="BN12" i="15"/>
  <c r="BN13" i="15"/>
  <c r="BN14" i="15"/>
  <c r="BN15" i="15"/>
  <c r="BN16" i="15"/>
  <c r="BN17" i="15"/>
  <c r="BN18" i="15"/>
  <c r="BN19" i="15"/>
  <c r="BN20" i="15"/>
  <c r="BN21" i="15"/>
  <c r="BN22" i="15"/>
  <c r="BN23" i="15"/>
  <c r="BN24" i="15"/>
  <c r="BN25" i="15"/>
  <c r="BN26" i="15"/>
  <c r="BN27" i="15"/>
  <c r="BN28" i="15"/>
  <c r="BN29" i="15"/>
  <c r="BN30" i="15"/>
  <c r="BN31" i="15"/>
  <c r="BN32" i="15"/>
  <c r="BN33" i="15"/>
  <c r="BN34" i="15"/>
  <c r="BN35" i="15"/>
  <c r="BN36" i="15"/>
  <c r="BN37" i="15"/>
  <c r="BN38" i="15"/>
  <c r="BN39" i="15"/>
  <c r="BN40" i="15"/>
  <c r="BN41" i="15"/>
  <c r="BN42" i="15"/>
  <c r="BN43" i="15"/>
  <c r="BN44" i="15"/>
  <c r="BN45" i="15"/>
  <c r="BN46" i="15"/>
  <c r="BN47" i="15"/>
  <c r="BN48" i="15"/>
  <c r="BN49" i="15"/>
  <c r="BN50" i="15"/>
  <c r="BN51" i="15"/>
  <c r="BN52" i="15"/>
  <c r="BN53" i="15"/>
  <c r="BN54" i="15"/>
  <c r="BN55" i="15"/>
  <c r="BN56" i="15"/>
  <c r="BN57" i="15"/>
  <c r="BN58" i="15"/>
  <c r="BN59" i="15"/>
  <c r="BN60" i="15"/>
  <c r="BN61" i="15"/>
  <c r="BN62" i="15"/>
  <c r="BN63" i="15"/>
  <c r="BN64" i="15"/>
  <c r="BN65" i="15"/>
  <c r="BN66" i="15"/>
  <c r="BN67" i="15"/>
  <c r="BN68" i="15"/>
  <c r="BN69" i="15"/>
  <c r="BN70" i="15"/>
  <c r="BN71" i="15"/>
  <c r="BN72" i="15"/>
  <c r="BN73" i="15"/>
  <c r="BN74" i="15"/>
  <c r="BN75" i="15"/>
  <c r="BN76" i="15"/>
  <c r="BN77" i="15"/>
  <c r="BN78" i="15"/>
  <c r="BN79" i="15"/>
  <c r="BN80" i="15"/>
  <c r="BN81" i="15"/>
  <c r="BN82" i="15"/>
  <c r="BN83" i="15"/>
  <c r="BN84" i="15"/>
  <c r="BN85" i="15"/>
  <c r="BN86" i="15"/>
  <c r="BN87" i="15"/>
  <c r="BN88" i="15"/>
  <c r="BN89" i="15"/>
  <c r="BN90" i="15"/>
  <c r="BN91" i="15"/>
  <c r="BN92" i="15"/>
  <c r="BN93" i="15"/>
  <c r="BN94" i="15"/>
  <c r="BN95" i="15"/>
  <c r="BN96" i="15"/>
  <c r="BN97" i="15"/>
  <c r="BN98" i="15"/>
  <c r="BN99" i="15"/>
  <c r="BN100" i="15"/>
  <c r="BN101" i="15"/>
  <c r="BN102" i="15"/>
  <c r="BN103" i="15"/>
  <c r="BN104" i="15"/>
  <c r="BO12" i="15"/>
  <c r="BO13" i="15"/>
  <c r="BO14" i="15"/>
  <c r="BO15" i="15"/>
  <c r="BO16" i="15"/>
  <c r="BO17" i="15"/>
  <c r="BO18" i="15"/>
  <c r="BO19" i="15"/>
  <c r="BO20" i="15"/>
  <c r="BO21" i="15"/>
  <c r="BO22" i="15"/>
  <c r="BO23" i="15"/>
  <c r="BO24" i="15"/>
  <c r="BO25" i="15"/>
  <c r="BO26" i="15"/>
  <c r="BO27" i="15"/>
  <c r="BO28" i="15"/>
  <c r="BO29" i="15"/>
  <c r="BO30" i="15"/>
  <c r="BO31" i="15"/>
  <c r="BO32" i="15"/>
  <c r="BO33" i="15"/>
  <c r="BO34" i="15"/>
  <c r="BO35" i="15"/>
  <c r="BO36" i="15"/>
  <c r="BO37" i="15"/>
  <c r="BO38" i="15"/>
  <c r="BO39" i="15"/>
  <c r="BO40" i="15"/>
  <c r="BO41" i="15"/>
  <c r="BO42" i="15"/>
  <c r="BO43" i="15"/>
  <c r="BO44" i="15"/>
  <c r="BO45" i="15"/>
  <c r="BO46" i="15"/>
  <c r="BO47" i="15"/>
  <c r="BO48" i="15"/>
  <c r="BO49" i="15"/>
  <c r="BO50" i="15"/>
  <c r="BO51" i="15"/>
  <c r="BO52" i="15"/>
  <c r="BO53" i="15"/>
  <c r="BO54" i="15"/>
  <c r="BO55" i="15"/>
  <c r="BO56" i="15"/>
  <c r="BO57" i="15"/>
  <c r="BO58" i="15"/>
  <c r="BO59" i="15"/>
  <c r="BO60" i="15"/>
  <c r="BO61" i="15"/>
  <c r="BO62" i="15"/>
  <c r="BO63" i="15"/>
  <c r="BO64" i="15"/>
  <c r="BO65" i="15"/>
  <c r="BO66" i="15"/>
  <c r="BO67" i="15"/>
  <c r="BO68" i="15"/>
  <c r="BO69" i="15"/>
  <c r="BO70" i="15"/>
  <c r="BO71" i="15"/>
  <c r="BO72" i="15"/>
  <c r="BO73" i="15"/>
  <c r="BO74" i="15"/>
  <c r="BO75" i="15"/>
  <c r="BO76" i="15"/>
  <c r="BO77" i="15"/>
  <c r="BO78" i="15"/>
  <c r="BO79" i="15"/>
  <c r="BO80" i="15"/>
  <c r="BO81" i="15"/>
  <c r="BO82" i="15"/>
  <c r="BO83" i="15"/>
  <c r="BO84" i="15"/>
  <c r="BO85" i="15"/>
  <c r="BO86" i="15"/>
  <c r="BO87" i="15"/>
  <c r="BO88" i="15"/>
  <c r="BO89" i="15"/>
  <c r="BO90" i="15"/>
  <c r="BO91" i="15"/>
  <c r="BO92" i="15"/>
  <c r="BO93" i="15"/>
  <c r="BO94" i="15"/>
  <c r="BO95" i="15"/>
  <c r="BO96" i="15"/>
  <c r="BO97" i="15"/>
  <c r="BO98" i="15"/>
  <c r="BO99" i="15"/>
  <c r="BO100" i="15"/>
  <c r="BO101" i="15"/>
  <c r="BO102" i="15"/>
  <c r="BO103" i="15"/>
  <c r="BP11" i="15"/>
  <c r="BP12" i="15"/>
  <c r="BP13" i="15"/>
  <c r="BP14" i="15"/>
  <c r="BP15" i="15"/>
  <c r="BP16" i="15"/>
  <c r="BP17" i="15"/>
  <c r="BP18" i="15"/>
  <c r="BP19" i="15"/>
  <c r="BP20" i="15"/>
  <c r="BP21" i="15"/>
  <c r="BP22" i="15"/>
  <c r="BP23" i="15"/>
  <c r="BP24" i="15"/>
  <c r="BP25" i="15"/>
  <c r="BP26" i="15"/>
  <c r="BP27" i="15"/>
  <c r="BP28" i="15"/>
  <c r="BP29" i="15"/>
  <c r="BP30" i="15"/>
  <c r="BP31" i="15"/>
  <c r="BP32" i="15"/>
  <c r="BP33" i="15"/>
  <c r="BP34" i="15"/>
  <c r="BP35" i="15"/>
  <c r="BP36" i="15"/>
  <c r="BP37" i="15"/>
  <c r="BP38" i="15"/>
  <c r="BP39" i="15"/>
  <c r="BP40" i="15"/>
  <c r="BP41" i="15"/>
  <c r="BP42" i="15"/>
  <c r="BP43" i="15"/>
  <c r="BP44" i="15"/>
  <c r="BP45" i="15"/>
  <c r="BP46" i="15"/>
  <c r="BP47" i="15"/>
  <c r="BP48" i="15"/>
  <c r="BP49" i="15"/>
  <c r="BP50" i="15"/>
  <c r="BP51" i="15"/>
  <c r="BP52" i="15"/>
  <c r="BP53" i="15"/>
  <c r="BP54" i="15"/>
  <c r="BP55" i="15"/>
  <c r="BP56" i="15"/>
  <c r="BP57" i="15"/>
  <c r="BP58" i="15"/>
  <c r="BP59" i="15"/>
  <c r="BP60" i="15"/>
  <c r="BP61" i="15"/>
  <c r="BP62" i="15"/>
  <c r="BP63" i="15"/>
  <c r="BP64" i="15"/>
  <c r="BP65" i="15"/>
  <c r="BP66" i="15"/>
  <c r="BP67" i="15"/>
  <c r="BP68" i="15"/>
  <c r="BP69" i="15"/>
  <c r="BP70" i="15"/>
  <c r="BP71" i="15"/>
  <c r="BP72" i="15"/>
  <c r="BP73" i="15"/>
  <c r="BP74" i="15"/>
  <c r="BP75" i="15"/>
  <c r="BP76" i="15"/>
  <c r="BP77" i="15"/>
  <c r="BP78" i="15"/>
  <c r="BP79" i="15"/>
  <c r="BP80" i="15"/>
  <c r="BP81" i="15"/>
  <c r="BP82" i="15"/>
  <c r="BP83" i="15"/>
  <c r="BP84" i="15"/>
  <c r="BP85" i="15"/>
  <c r="BP86" i="15"/>
  <c r="BP87" i="15"/>
  <c r="BP88" i="15"/>
  <c r="BP89" i="15"/>
  <c r="BP90" i="15"/>
  <c r="BP91" i="15"/>
  <c r="BP92" i="15"/>
  <c r="BP93" i="15"/>
  <c r="BP94" i="15"/>
  <c r="BP95" i="15"/>
  <c r="BP96" i="15"/>
  <c r="BP97" i="15"/>
  <c r="BP98" i="15"/>
  <c r="BP99" i="15"/>
  <c r="BP100" i="15"/>
  <c r="BP101" i="15"/>
  <c r="BP102" i="15"/>
  <c r="BQ46" i="15"/>
  <c r="BQ47" i="15"/>
  <c r="BQ48" i="15"/>
  <c r="BQ49" i="15"/>
  <c r="BQ50" i="15"/>
  <c r="BQ51" i="15"/>
  <c r="BQ52" i="15"/>
  <c r="BQ53" i="15"/>
  <c r="BQ54" i="15"/>
  <c r="BQ55" i="15"/>
  <c r="BQ56" i="15"/>
  <c r="BQ57" i="15"/>
  <c r="BQ58" i="15"/>
  <c r="BQ59" i="15"/>
  <c r="BQ60" i="15"/>
  <c r="BQ61" i="15"/>
  <c r="BQ62" i="15"/>
  <c r="BQ63" i="15"/>
  <c r="BQ64" i="15"/>
  <c r="BQ65" i="15"/>
  <c r="BQ66" i="15"/>
  <c r="BQ67" i="15"/>
  <c r="BQ68" i="15"/>
  <c r="BQ69" i="15"/>
  <c r="BQ70" i="15"/>
  <c r="BQ71" i="15"/>
  <c r="BQ72" i="15"/>
  <c r="BQ73" i="15"/>
  <c r="BQ74" i="15"/>
  <c r="BQ75" i="15"/>
  <c r="BQ76" i="15"/>
  <c r="BQ77" i="15"/>
  <c r="BQ78" i="15"/>
  <c r="BQ79" i="15"/>
  <c r="BQ80" i="15"/>
  <c r="BQ81" i="15"/>
  <c r="BQ82" i="15"/>
  <c r="BQ83" i="15"/>
  <c r="BQ84" i="15"/>
  <c r="BQ85" i="15"/>
  <c r="BQ86" i="15"/>
  <c r="BQ87" i="15"/>
  <c r="BQ88" i="15"/>
  <c r="BQ89" i="15"/>
  <c r="BQ90" i="15"/>
  <c r="BQ91" i="15"/>
  <c r="BQ92" i="15"/>
  <c r="BQ93" i="15"/>
  <c r="BQ94" i="15"/>
  <c r="BQ95" i="15"/>
  <c r="BQ96" i="15"/>
  <c r="BQ97" i="15"/>
  <c r="BQ98" i="15"/>
  <c r="BQ99" i="15"/>
  <c r="BQ100" i="15"/>
  <c r="BQ101" i="15"/>
  <c r="BQ102" i="15"/>
  <c r="BR8" i="15"/>
  <c r="BR9" i="15"/>
  <c r="BR10" i="15"/>
  <c r="BR11" i="15"/>
  <c r="BR12" i="15"/>
  <c r="BR13" i="15"/>
  <c r="BR14" i="15"/>
  <c r="BR15" i="15"/>
  <c r="BR16" i="15"/>
  <c r="BR17" i="15"/>
  <c r="BR18" i="15"/>
  <c r="BR19" i="15"/>
  <c r="BR20" i="15"/>
  <c r="BR21" i="15"/>
  <c r="BR22" i="15"/>
  <c r="BR23" i="15"/>
  <c r="BR24" i="15"/>
  <c r="BR25" i="15"/>
  <c r="BR26" i="15"/>
  <c r="BR27" i="15"/>
  <c r="BR28" i="15"/>
  <c r="BR29" i="15"/>
  <c r="BR30" i="15"/>
  <c r="BR31" i="15"/>
  <c r="BR32" i="15"/>
  <c r="BR33" i="15"/>
  <c r="BR34" i="15"/>
  <c r="BR35" i="15"/>
  <c r="BR36" i="15"/>
  <c r="BR37" i="15"/>
  <c r="BR38" i="15"/>
  <c r="BR39" i="15"/>
  <c r="BR40" i="15"/>
  <c r="BR41" i="15"/>
  <c r="BR42" i="15"/>
  <c r="BR43" i="15"/>
  <c r="BR44" i="15"/>
  <c r="BR45" i="15"/>
  <c r="BR46" i="15"/>
  <c r="BR47" i="15"/>
  <c r="BR48" i="15"/>
  <c r="BR49" i="15"/>
  <c r="BR50" i="15"/>
  <c r="BR51" i="15"/>
  <c r="BR52" i="15"/>
  <c r="BR53" i="15"/>
  <c r="BR54" i="15"/>
  <c r="BR55" i="15"/>
  <c r="BR56" i="15"/>
  <c r="BR57" i="15"/>
  <c r="BR58" i="15"/>
  <c r="BR59" i="15"/>
  <c r="BR60" i="15"/>
  <c r="BR61" i="15"/>
  <c r="BR62" i="15"/>
  <c r="BR63" i="15"/>
  <c r="BR64" i="15"/>
  <c r="BR65" i="15"/>
  <c r="BR66" i="15"/>
  <c r="BR67" i="15"/>
  <c r="BR68" i="15"/>
  <c r="BR69" i="15"/>
  <c r="BR70" i="15"/>
  <c r="BR71" i="15"/>
  <c r="BR72" i="15"/>
  <c r="BR73" i="15"/>
  <c r="BR74" i="15"/>
  <c r="BR75" i="15"/>
  <c r="BR76" i="15"/>
  <c r="BR77" i="15"/>
  <c r="BR78" i="15"/>
  <c r="BR79" i="15"/>
  <c r="BR80" i="15"/>
  <c r="BR81" i="15"/>
  <c r="BR82" i="15"/>
  <c r="BR83" i="15"/>
  <c r="BR84" i="15"/>
  <c r="BR85" i="15"/>
  <c r="BR86" i="15"/>
  <c r="BR87" i="15"/>
  <c r="BR88" i="15"/>
  <c r="BR89" i="15"/>
  <c r="BR90" i="15"/>
  <c r="BR91" i="15"/>
  <c r="BR92" i="15"/>
  <c r="BR93" i="15"/>
  <c r="BR94" i="15"/>
  <c r="BR95" i="15"/>
  <c r="BR96" i="15"/>
  <c r="BR97" i="15"/>
  <c r="BR98" i="15"/>
  <c r="BR99" i="15"/>
  <c r="BR100" i="15"/>
  <c r="BR101" i="15"/>
  <c r="BR102" i="15"/>
  <c r="BS11" i="15"/>
  <c r="BS12" i="15"/>
  <c r="BS13" i="15"/>
  <c r="BS14" i="15"/>
  <c r="BS15" i="15"/>
  <c r="BS16" i="15"/>
  <c r="BS17" i="15"/>
  <c r="BS18" i="15"/>
  <c r="BS19" i="15"/>
  <c r="BS20" i="15"/>
  <c r="BS21" i="15"/>
  <c r="BS22" i="15"/>
  <c r="BS23" i="15"/>
  <c r="BS24" i="15"/>
  <c r="BS25" i="15"/>
  <c r="BS26" i="15"/>
  <c r="BS27" i="15"/>
  <c r="BS28" i="15"/>
  <c r="BS29" i="15"/>
  <c r="BS30" i="15"/>
  <c r="BS31" i="15"/>
  <c r="BS32" i="15"/>
  <c r="BS33" i="15"/>
  <c r="BS34" i="15"/>
  <c r="BS35" i="15"/>
  <c r="BS36" i="15"/>
  <c r="BS37" i="15"/>
  <c r="BS38" i="15"/>
  <c r="BS39" i="15"/>
  <c r="BS40" i="15"/>
  <c r="BS41" i="15"/>
  <c r="BS42" i="15"/>
  <c r="BS43" i="15"/>
  <c r="BS44" i="15"/>
  <c r="BS45" i="15"/>
  <c r="BS46" i="15"/>
  <c r="BS47" i="15"/>
  <c r="BS48" i="15"/>
  <c r="BS49" i="15"/>
  <c r="BS50" i="15"/>
  <c r="BS51" i="15"/>
  <c r="BS52" i="15"/>
  <c r="BS53" i="15"/>
  <c r="BS54" i="15"/>
  <c r="BS55" i="15"/>
  <c r="BS56" i="15"/>
  <c r="BS57" i="15"/>
  <c r="BS58" i="15"/>
  <c r="BS59" i="15"/>
  <c r="BS60" i="15"/>
  <c r="BS61" i="15"/>
  <c r="BS62" i="15"/>
  <c r="BS63" i="15"/>
  <c r="BS64" i="15"/>
  <c r="BS65" i="15"/>
  <c r="BS66" i="15"/>
  <c r="BS67" i="15"/>
  <c r="BS68" i="15"/>
  <c r="BS69" i="15"/>
  <c r="BS70" i="15"/>
  <c r="BS71" i="15"/>
  <c r="BS72" i="15"/>
  <c r="BS73" i="15"/>
  <c r="BS74" i="15"/>
  <c r="BS75" i="15"/>
  <c r="BS76" i="15"/>
  <c r="BS77" i="15"/>
  <c r="BS78" i="15"/>
  <c r="BS79" i="15"/>
  <c r="BS80" i="15"/>
  <c r="BS81" i="15"/>
  <c r="BS82" i="15"/>
  <c r="BS83" i="15"/>
  <c r="BS84" i="15"/>
  <c r="BS85" i="15"/>
  <c r="BS86" i="15"/>
  <c r="BS87" i="15"/>
  <c r="BS88" i="15"/>
  <c r="BS89" i="15"/>
  <c r="BS90" i="15"/>
  <c r="BS91" i="15"/>
  <c r="BS92" i="15"/>
  <c r="BS93" i="15"/>
  <c r="BS94" i="15"/>
  <c r="BS95" i="15"/>
  <c r="BS96" i="15"/>
  <c r="BS97" i="15"/>
  <c r="BS98" i="15"/>
  <c r="BS99" i="15"/>
  <c r="BS100" i="15"/>
  <c r="BS101" i="15"/>
  <c r="BS102" i="15"/>
  <c r="BS103" i="15"/>
  <c r="BS104" i="15"/>
  <c r="BT9" i="15"/>
  <c r="BT10" i="15"/>
  <c r="BT11" i="15"/>
  <c r="BT12" i="15"/>
  <c r="BT13" i="15"/>
  <c r="BT14" i="15"/>
  <c r="BT15" i="15"/>
  <c r="BT16" i="15"/>
  <c r="BT17" i="15"/>
  <c r="BT18" i="15"/>
  <c r="BT19" i="15"/>
  <c r="BT20" i="15"/>
  <c r="BT21" i="15"/>
  <c r="BT22" i="15"/>
  <c r="BT23" i="15"/>
  <c r="BT24" i="15"/>
  <c r="BT25" i="15"/>
  <c r="BT26" i="15"/>
  <c r="BT27" i="15"/>
  <c r="BT28" i="15"/>
  <c r="BT29" i="15"/>
  <c r="BT30" i="15"/>
  <c r="BT31" i="15"/>
  <c r="BT32" i="15"/>
  <c r="BT33" i="15"/>
  <c r="BT34" i="15"/>
  <c r="BT35" i="15"/>
  <c r="BT36" i="15"/>
  <c r="BT37" i="15"/>
  <c r="BT38" i="15"/>
  <c r="BT39" i="15"/>
  <c r="BT40" i="15"/>
  <c r="BT41" i="15"/>
  <c r="BT42" i="15"/>
  <c r="BT43" i="15"/>
  <c r="BT44" i="15"/>
  <c r="BT45" i="15"/>
  <c r="BT46" i="15"/>
  <c r="BT47" i="15"/>
  <c r="BT48" i="15"/>
  <c r="BT49" i="15"/>
  <c r="BT50" i="15"/>
  <c r="BT51" i="15"/>
  <c r="BT52" i="15"/>
  <c r="BT53" i="15"/>
  <c r="BT54" i="15"/>
  <c r="BT55" i="15"/>
  <c r="BT56" i="15"/>
  <c r="BT57" i="15"/>
  <c r="BT58" i="15"/>
  <c r="BT59" i="15"/>
  <c r="BT60" i="15"/>
  <c r="BT61" i="15"/>
  <c r="BT62" i="15"/>
  <c r="BT63" i="15"/>
  <c r="BT64" i="15"/>
  <c r="BT65" i="15"/>
  <c r="BT66" i="15"/>
  <c r="BT67" i="15"/>
  <c r="BT68" i="15"/>
  <c r="BT69" i="15"/>
  <c r="BT70" i="15"/>
  <c r="BT71" i="15"/>
  <c r="BT72" i="15"/>
  <c r="BT73" i="15"/>
  <c r="BT74" i="15"/>
  <c r="BT75" i="15"/>
  <c r="BT76" i="15"/>
  <c r="BT77" i="15"/>
  <c r="BT78" i="15"/>
  <c r="BT79" i="15"/>
  <c r="BT80" i="15"/>
  <c r="BT81" i="15"/>
  <c r="BT82" i="15"/>
  <c r="BT83" i="15"/>
  <c r="BT84" i="15"/>
  <c r="BT85" i="15"/>
  <c r="BT86" i="15"/>
  <c r="BT87" i="15"/>
  <c r="BT88" i="15"/>
  <c r="BT89" i="15"/>
  <c r="BT90" i="15"/>
  <c r="BT91" i="15"/>
  <c r="BT92" i="15"/>
  <c r="BT93" i="15"/>
  <c r="BT94" i="15"/>
  <c r="BT95" i="15"/>
  <c r="BT96" i="15"/>
  <c r="BT97" i="15"/>
  <c r="BT98" i="15"/>
  <c r="BT99" i="15"/>
  <c r="BT100" i="15"/>
  <c r="BT101" i="15"/>
  <c r="BT102" i="15"/>
  <c r="BT103" i="15"/>
  <c r="BT104" i="15"/>
  <c r="BU7" i="15"/>
  <c r="BU8" i="15"/>
  <c r="BU9" i="15"/>
  <c r="BU10" i="15"/>
  <c r="BU11" i="15"/>
  <c r="BU12" i="15"/>
  <c r="BU13" i="15"/>
  <c r="BU14" i="15"/>
  <c r="BU15" i="15"/>
  <c r="BU16" i="15"/>
  <c r="BU17" i="15"/>
  <c r="BU18" i="15"/>
  <c r="BU19" i="15"/>
  <c r="BU20" i="15"/>
  <c r="BU21" i="15"/>
  <c r="BU22" i="15"/>
  <c r="BU23" i="15"/>
  <c r="BU24" i="15"/>
  <c r="BU25" i="15"/>
  <c r="BU26" i="15"/>
  <c r="BU27" i="15"/>
  <c r="BU28" i="15"/>
  <c r="BU29" i="15"/>
  <c r="BU30" i="15"/>
  <c r="BU31" i="15"/>
  <c r="BU32" i="15"/>
  <c r="BU33" i="15"/>
  <c r="BU34" i="15"/>
  <c r="BU35" i="15"/>
  <c r="BU36" i="15"/>
  <c r="BU37" i="15"/>
  <c r="BU38" i="15"/>
  <c r="BU39" i="15"/>
  <c r="BU40" i="15"/>
  <c r="BU41" i="15"/>
  <c r="BU42" i="15"/>
  <c r="BU43" i="15"/>
  <c r="BU44" i="15"/>
  <c r="BU45" i="15"/>
  <c r="BU46" i="15"/>
  <c r="BU47" i="15"/>
  <c r="BU48" i="15"/>
  <c r="BU49" i="15"/>
  <c r="BU50" i="15"/>
  <c r="BU51" i="15"/>
  <c r="BU52" i="15"/>
  <c r="BU53" i="15"/>
  <c r="BU54" i="15"/>
  <c r="BU55" i="15"/>
  <c r="BU56" i="15"/>
  <c r="BU57" i="15"/>
  <c r="BU58" i="15"/>
  <c r="BU59" i="15"/>
  <c r="BU60" i="15"/>
  <c r="BU61" i="15"/>
  <c r="BU62" i="15"/>
  <c r="BU63" i="15"/>
  <c r="BU64" i="15"/>
  <c r="BU65" i="15"/>
  <c r="BU66" i="15"/>
  <c r="BU67" i="15"/>
  <c r="BU68" i="15"/>
  <c r="BU69" i="15"/>
  <c r="BU70" i="15"/>
  <c r="BU71" i="15"/>
  <c r="BU72" i="15"/>
  <c r="BU73" i="15"/>
  <c r="BU74" i="15"/>
  <c r="BU75" i="15"/>
  <c r="BU76" i="15"/>
  <c r="BU77" i="15"/>
  <c r="BU78" i="15"/>
  <c r="BU79" i="15"/>
  <c r="BU80" i="15"/>
  <c r="BU81" i="15"/>
  <c r="BU82" i="15"/>
  <c r="BU83" i="15"/>
  <c r="BU84" i="15"/>
  <c r="BU85" i="15"/>
  <c r="BU86" i="15"/>
  <c r="BU87" i="15"/>
  <c r="BU88" i="15"/>
  <c r="BU89" i="15"/>
  <c r="BU90" i="15"/>
  <c r="BU91" i="15"/>
  <c r="BU92" i="15"/>
  <c r="BU93" i="15"/>
  <c r="BU94" i="15"/>
  <c r="BU95" i="15"/>
  <c r="BU96" i="15"/>
  <c r="BU97" i="15"/>
  <c r="BU98" i="15"/>
  <c r="BU99" i="15"/>
  <c r="BU100" i="15"/>
  <c r="BU101" i="15"/>
  <c r="BU102" i="15"/>
  <c r="BU103" i="15"/>
  <c r="BU104" i="15"/>
  <c r="BV12" i="15"/>
  <c r="BV13" i="15"/>
  <c r="BV14" i="15"/>
  <c r="BV15" i="15"/>
  <c r="BV16" i="15"/>
  <c r="BV17" i="15"/>
  <c r="BV18" i="15"/>
  <c r="BV19" i="15"/>
  <c r="BV20" i="15"/>
  <c r="BV21" i="15"/>
  <c r="BV22" i="15"/>
  <c r="BV23" i="15"/>
  <c r="BV24" i="15"/>
  <c r="BV25" i="15"/>
  <c r="BV26" i="15"/>
  <c r="BV27" i="15"/>
  <c r="BV28" i="15"/>
  <c r="BV29" i="15"/>
  <c r="BV30" i="15"/>
  <c r="BV31" i="15"/>
  <c r="BV32" i="15"/>
  <c r="BV33" i="15"/>
  <c r="BV34" i="15"/>
  <c r="BV35" i="15"/>
  <c r="BV36" i="15"/>
  <c r="BV37" i="15"/>
  <c r="BV38" i="15"/>
  <c r="BV39" i="15"/>
  <c r="BV40" i="15"/>
  <c r="BV41" i="15"/>
  <c r="BV42" i="15"/>
  <c r="BV43" i="15"/>
  <c r="BV44" i="15"/>
  <c r="BV45" i="15"/>
  <c r="BV46" i="15"/>
  <c r="BV47" i="15"/>
  <c r="BV48" i="15"/>
  <c r="BV49" i="15"/>
  <c r="BV50" i="15"/>
  <c r="BV51" i="15"/>
  <c r="BV52" i="15"/>
  <c r="BV53" i="15"/>
  <c r="BV54" i="15"/>
  <c r="BV55" i="15"/>
  <c r="BV56" i="15"/>
  <c r="BV57" i="15"/>
  <c r="BV58" i="15"/>
  <c r="BV59" i="15"/>
  <c r="BV60" i="15"/>
  <c r="BV61" i="15"/>
  <c r="BV62" i="15"/>
  <c r="BV63" i="15"/>
  <c r="BV64" i="15"/>
  <c r="BV65" i="15"/>
  <c r="BV66" i="15"/>
  <c r="BV67" i="15"/>
  <c r="BV68" i="15"/>
  <c r="BV69" i="15"/>
  <c r="BV70" i="15"/>
  <c r="BV71" i="15"/>
  <c r="BV72" i="15"/>
  <c r="BV73" i="15"/>
  <c r="BV74" i="15"/>
  <c r="BV75" i="15"/>
  <c r="BV76" i="15"/>
  <c r="BV77" i="15"/>
  <c r="BV78" i="15"/>
  <c r="BV79" i="15"/>
  <c r="BV80" i="15"/>
  <c r="BV81" i="15"/>
  <c r="BV82" i="15"/>
  <c r="BV83" i="15"/>
  <c r="BV84" i="15"/>
  <c r="BV85" i="15"/>
  <c r="BV86" i="15"/>
  <c r="BV87" i="15"/>
  <c r="BV88" i="15"/>
  <c r="BV89" i="15"/>
  <c r="BV90" i="15"/>
  <c r="BV91" i="15"/>
  <c r="BV92" i="15"/>
  <c r="BV93" i="15"/>
  <c r="BV94" i="15"/>
  <c r="BV95" i="15"/>
  <c r="BV96" i="15"/>
  <c r="BV97" i="15"/>
  <c r="BV98" i="15"/>
  <c r="BV99" i="15"/>
  <c r="BV100" i="15"/>
  <c r="BV101" i="15"/>
  <c r="BV102" i="15"/>
  <c r="BV103" i="15"/>
  <c r="BV104" i="15"/>
  <c r="BV6" i="15"/>
  <c r="BV7" i="15"/>
  <c r="BV8" i="15"/>
  <c r="BV9" i="15"/>
  <c r="BV10" i="15"/>
  <c r="BV11" i="15"/>
  <c r="D9" i="15"/>
  <c r="S7" i="15"/>
  <c r="S6" i="15"/>
  <c r="S5" i="15"/>
  <c r="AE5" i="15" s="1"/>
  <c r="E104" i="15"/>
  <c r="E103" i="15"/>
  <c r="E102" i="15"/>
  <c r="AC103" i="15" s="1"/>
  <c r="E101" i="15"/>
  <c r="E100" i="15"/>
  <c r="E99" i="15"/>
  <c r="E20" i="15"/>
  <c r="E19" i="15"/>
  <c r="E71" i="15"/>
  <c r="E63" i="15"/>
  <c r="E64" i="15"/>
  <c r="E65" i="15"/>
  <c r="E67" i="15"/>
  <c r="E66" i="15"/>
  <c r="E59" i="15"/>
  <c r="E49" i="15"/>
  <c r="E48" i="15"/>
  <c r="E47" i="15"/>
  <c r="E82" i="15"/>
  <c r="E81" i="15"/>
  <c r="E80" i="15"/>
  <c r="E79" i="15"/>
  <c r="E78" i="15"/>
  <c r="E77" i="15"/>
  <c r="E76" i="15"/>
  <c r="E75" i="15"/>
  <c r="E74" i="15"/>
  <c r="E73" i="15"/>
  <c r="E72" i="15"/>
  <c r="E98" i="15"/>
  <c r="E97" i="15"/>
  <c r="AB97" i="15" s="1"/>
  <c r="E96" i="15"/>
  <c r="E95" i="15"/>
  <c r="E94" i="15"/>
  <c r="E93" i="15"/>
  <c r="E92" i="15"/>
  <c r="E91" i="15"/>
  <c r="E90" i="15"/>
  <c r="E89" i="15"/>
  <c r="AB89" i="15" s="1"/>
  <c r="E88" i="15"/>
  <c r="AB88" i="15" s="1"/>
  <c r="E87" i="15"/>
  <c r="E86" i="15"/>
  <c r="AC86" i="15" s="1"/>
  <c r="E85" i="15"/>
  <c r="AC85" i="15" s="1"/>
  <c r="E84" i="15"/>
  <c r="E83" i="15"/>
  <c r="AB83" i="15" s="1"/>
  <c r="E69" i="15"/>
  <c r="E68" i="15"/>
  <c r="E70" i="15"/>
  <c r="S83" i="15"/>
  <c r="W83" i="15"/>
  <c r="AL83" i="15"/>
  <c r="AN83" i="15"/>
  <c r="AQ83" i="15"/>
  <c r="AR83" i="15"/>
  <c r="S84" i="15"/>
  <c r="W84" i="15"/>
  <c r="AB84" i="15"/>
  <c r="AC84" i="15"/>
  <c r="AL84" i="15"/>
  <c r="AN84" i="15"/>
  <c r="AQ84" i="15"/>
  <c r="AR84" i="15"/>
  <c r="S85" i="15"/>
  <c r="W85" i="15"/>
  <c r="AB85" i="15"/>
  <c r="AL85" i="15"/>
  <c r="AN85" i="15"/>
  <c r="AQ85" i="15"/>
  <c r="AR85" i="15"/>
  <c r="S86" i="15"/>
  <c r="W86" i="15"/>
  <c r="AB86" i="15"/>
  <c r="AL86" i="15"/>
  <c r="AN86" i="15"/>
  <c r="AQ86" i="15"/>
  <c r="AR86" i="15"/>
  <c r="S87" i="15"/>
  <c r="W87" i="15"/>
  <c r="AB87" i="15"/>
  <c r="AC87" i="15"/>
  <c r="AL87" i="15"/>
  <c r="AN87" i="15"/>
  <c r="AQ87" i="15"/>
  <c r="AR87" i="15"/>
  <c r="S88" i="15"/>
  <c r="W88" i="15"/>
  <c r="AL88" i="15"/>
  <c r="AN88" i="15"/>
  <c r="AQ88" i="15"/>
  <c r="AR88" i="15"/>
  <c r="S89" i="15"/>
  <c r="W89" i="15"/>
  <c r="AL89" i="15"/>
  <c r="AN89" i="15"/>
  <c r="AQ89" i="15"/>
  <c r="AR89" i="15"/>
  <c r="AC97" i="15"/>
  <c r="AL97" i="15"/>
  <c r="AQ97" i="15"/>
  <c r="AB98" i="15"/>
  <c r="AC98" i="15"/>
  <c r="AL98" i="15"/>
  <c r="AN98" i="15"/>
  <c r="AQ98" i="15"/>
  <c r="AR98" i="15"/>
  <c r="S103" i="15"/>
  <c r="W103" i="15"/>
  <c r="AB103" i="15"/>
  <c r="AL103" i="15"/>
  <c r="AN103" i="15"/>
  <c r="AQ103" i="15"/>
  <c r="AR103" i="15"/>
  <c r="BI103" i="15"/>
  <c r="BP103" i="15"/>
  <c r="BQ103" i="15"/>
  <c r="BR103" i="15"/>
  <c r="AX104" i="15"/>
  <c r="S104" i="15"/>
  <c r="W104" i="15"/>
  <c r="AB104" i="15"/>
  <c r="AC104" i="15"/>
  <c r="AL104" i="15"/>
  <c r="AN104" i="15"/>
  <c r="AQ104" i="15"/>
  <c r="AR104" i="15"/>
  <c r="BA104" i="15"/>
  <c r="BB104" i="15"/>
  <c r="BC104" i="15"/>
  <c r="BD104" i="15"/>
  <c r="P103" i="15" s="1"/>
  <c r="BE104" i="15"/>
  <c r="BI104" i="15"/>
  <c r="BO104" i="15"/>
  <c r="BP104" i="15"/>
  <c r="BQ104" i="15"/>
  <c r="BR104" i="15"/>
  <c r="E61" i="15"/>
  <c r="E60" i="15"/>
  <c r="E62" i="15"/>
  <c r="E58" i="15"/>
  <c r="E57" i="15"/>
  <c r="E56" i="15"/>
  <c r="E55" i="15"/>
  <c r="E54" i="15"/>
  <c r="E38" i="15"/>
  <c r="E41" i="15"/>
  <c r="E40" i="15"/>
  <c r="E39" i="15"/>
  <c r="BQ36" i="15"/>
  <c r="BQ37" i="15"/>
  <c r="BQ38" i="15"/>
  <c r="BQ39" i="15"/>
  <c r="BQ40" i="15"/>
  <c r="BQ42" i="15"/>
  <c r="BQ43" i="15"/>
  <c r="BQ44" i="15"/>
  <c r="BQ45" i="15"/>
  <c r="S36" i="15"/>
  <c r="S37" i="15"/>
  <c r="S38" i="15"/>
  <c r="S39" i="15"/>
  <c r="S40" i="15"/>
  <c r="E45" i="15"/>
  <c r="E46" i="15"/>
  <c r="E44" i="15"/>
  <c r="E43" i="15"/>
  <c r="E42" i="15"/>
  <c r="E37" i="15"/>
  <c r="E36" i="15"/>
  <c r="E35" i="15"/>
  <c r="BG28" i="15"/>
  <c r="BG29" i="15"/>
  <c r="BG30" i="15"/>
  <c r="BG31" i="15"/>
  <c r="BG32" i="15"/>
  <c r="BG33" i="15"/>
  <c r="BQ28" i="15"/>
  <c r="BQ29" i="15"/>
  <c r="BQ30" i="15"/>
  <c r="BQ31" i="15"/>
  <c r="BQ32" i="15"/>
  <c r="BQ33" i="15"/>
  <c r="S28" i="15"/>
  <c r="S29" i="15"/>
  <c r="S30" i="15"/>
  <c r="S31" i="15"/>
  <c r="S32" i="15"/>
  <c r="S33" i="15"/>
  <c r="E24" i="15"/>
  <c r="E23" i="15"/>
  <c r="E22" i="15"/>
  <c r="E21" i="15"/>
  <c r="W28" i="15"/>
  <c r="W29" i="15"/>
  <c r="W30" i="15"/>
  <c r="W31" i="15"/>
  <c r="W32" i="15"/>
  <c r="W33" i="15"/>
  <c r="E34" i="15"/>
  <c r="E33" i="15"/>
  <c r="E32" i="15"/>
  <c r="E31" i="15"/>
  <c r="E30" i="15"/>
  <c r="E29" i="15"/>
  <c r="E28" i="15"/>
  <c r="E27" i="15"/>
  <c r="E26" i="15"/>
  <c r="E25" i="15"/>
  <c r="E10" i="15"/>
  <c r="E7" i="15"/>
  <c r="E9" i="15"/>
  <c r="E11" i="15"/>
  <c r="E8" i="15"/>
  <c r="E6" i="15"/>
  <c r="E5" i="15"/>
  <c r="S19" i="15"/>
  <c r="S20" i="15"/>
  <c r="E18" i="15"/>
  <c r="E17" i="15"/>
  <c r="E16" i="15"/>
  <c r="E15" i="15"/>
  <c r="E14" i="15"/>
  <c r="E13" i="15"/>
  <c r="E12" i="15"/>
  <c r="CE10" i="15"/>
  <c r="P79" i="15" l="1"/>
  <c r="T79" i="15" s="1"/>
  <c r="Y79" i="15" s="1"/>
  <c r="S9" i="15"/>
  <c r="S10" i="15"/>
  <c r="AE10" i="15" s="1"/>
  <c r="AD68" i="15" s="1"/>
  <c r="P71" i="15"/>
  <c r="X71" i="15" s="1"/>
  <c r="P101" i="15"/>
  <c r="T101" i="15" s="1"/>
  <c r="Y101" i="15" s="1"/>
  <c r="AC89" i="15"/>
  <c r="AE28" i="15"/>
  <c r="AB40" i="15"/>
  <c r="AE40" i="15" s="1"/>
  <c r="AC40" i="15"/>
  <c r="AB41" i="15"/>
  <c r="AC41" i="15"/>
  <c r="AC28" i="15"/>
  <c r="AB28" i="15"/>
  <c r="AB36" i="15"/>
  <c r="AE36" i="15" s="1"/>
  <c r="AC36" i="15"/>
  <c r="AB38" i="15"/>
  <c r="AC38" i="15"/>
  <c r="T93" i="15"/>
  <c r="Y93" i="15" s="1"/>
  <c r="X93" i="15"/>
  <c r="Z93" i="15" s="1"/>
  <c r="P68" i="15"/>
  <c r="X68" i="15" s="1"/>
  <c r="P33" i="15"/>
  <c r="X33" i="15" s="1"/>
  <c r="Z33" i="15" s="1"/>
  <c r="P32" i="15"/>
  <c r="X32" i="15" s="1"/>
  <c r="Z32" i="15" s="1"/>
  <c r="AC29" i="15"/>
  <c r="AB29" i="15"/>
  <c r="P102" i="15"/>
  <c r="T102" i="15" s="1"/>
  <c r="Y102" i="15" s="1"/>
  <c r="P31" i="15"/>
  <c r="T31" i="15" s="1"/>
  <c r="Y31" i="15" s="1"/>
  <c r="P81" i="15"/>
  <c r="T81" i="15" s="1"/>
  <c r="Y81" i="15" s="1"/>
  <c r="P58" i="15"/>
  <c r="T58" i="15" s="1"/>
  <c r="Y58" i="15" s="1"/>
  <c r="AC43" i="15"/>
  <c r="AB43" i="15"/>
  <c r="AE43" i="15" s="1"/>
  <c r="AG43" i="15" s="1"/>
  <c r="P30" i="15"/>
  <c r="X30" i="15" s="1"/>
  <c r="Z30" i="15" s="1"/>
  <c r="P80" i="15"/>
  <c r="T80" i="15" s="1"/>
  <c r="Y80" i="15" s="1"/>
  <c r="P57" i="15"/>
  <c r="T57" i="15" s="1"/>
  <c r="Y57" i="15" s="1"/>
  <c r="AB31" i="15"/>
  <c r="AE31" i="15" s="1"/>
  <c r="AC31" i="15"/>
  <c r="AB32" i="15"/>
  <c r="AC32" i="15"/>
  <c r="AC44" i="15"/>
  <c r="AB44" i="15"/>
  <c r="AE44" i="15" s="1"/>
  <c r="AG44" i="15" s="1"/>
  <c r="P100" i="15"/>
  <c r="T100" i="15" s="1"/>
  <c r="Y100" i="15" s="1"/>
  <c r="P64" i="15"/>
  <c r="T64" i="15" s="1"/>
  <c r="Y64" i="15" s="1"/>
  <c r="P29" i="15"/>
  <c r="X29" i="15" s="1"/>
  <c r="Z29" i="15" s="1"/>
  <c r="P91" i="15"/>
  <c r="T91" i="15" s="1"/>
  <c r="Y91" i="15" s="1"/>
  <c r="AB33" i="15"/>
  <c r="AC33" i="15"/>
  <c r="AE46" i="15"/>
  <c r="AG46" i="15" s="1"/>
  <c r="AC46" i="15"/>
  <c r="P28" i="15"/>
  <c r="X28" i="15" s="1"/>
  <c r="Z28" i="15" s="1"/>
  <c r="P78" i="15"/>
  <c r="T78" i="15" s="1"/>
  <c r="Y78" i="15" s="1"/>
  <c r="AB37" i="15"/>
  <c r="AE37" i="15" s="1"/>
  <c r="AG37" i="15" s="1"/>
  <c r="AC37" i="15"/>
  <c r="AC30" i="15"/>
  <c r="AE30" i="15"/>
  <c r="AE32" i="15"/>
  <c r="AC45" i="15"/>
  <c r="AB45" i="15"/>
  <c r="AE45" i="15" s="1"/>
  <c r="AG45" i="15" s="1"/>
  <c r="AC88" i="15"/>
  <c r="P77" i="15"/>
  <c r="T77" i="15" s="1"/>
  <c r="Y77" i="15" s="1"/>
  <c r="P104" i="15"/>
  <c r="T104" i="15" s="1"/>
  <c r="T42" i="15"/>
  <c r="Y42" i="15" s="1"/>
  <c r="X95" i="15"/>
  <c r="Z95" i="15" s="1"/>
  <c r="AX103" i="15"/>
  <c r="P90" i="15"/>
  <c r="P70" i="15"/>
  <c r="X70" i="15" s="1"/>
  <c r="X97" i="15"/>
  <c r="Z97" i="15" s="1"/>
  <c r="X85" i="15"/>
  <c r="Z85" i="15" s="1"/>
  <c r="X73" i="15"/>
  <c r="X61" i="15"/>
  <c r="X49" i="15"/>
  <c r="Z49" i="15" s="1"/>
  <c r="X86" i="15"/>
  <c r="Z86" i="15" s="1"/>
  <c r="X48" i="15"/>
  <c r="Z48" i="15" s="1"/>
  <c r="X24" i="15"/>
  <c r="X62" i="15"/>
  <c r="X98" i="15"/>
  <c r="Z98" i="15" s="1"/>
  <c r="X94" i="15"/>
  <c r="Z94" i="15" s="1"/>
  <c r="X59" i="15"/>
  <c r="X47" i="15"/>
  <c r="Z47" i="15" s="1"/>
  <c r="X35" i="15"/>
  <c r="X82" i="15"/>
  <c r="X46" i="15"/>
  <c r="Z46" i="15" s="1"/>
  <c r="X50" i="15"/>
  <c r="X92" i="15"/>
  <c r="Z92" i="15" s="1"/>
  <c r="X79" i="15"/>
  <c r="Z79" i="15" s="1"/>
  <c r="X56" i="15"/>
  <c r="Z56" i="15" s="1"/>
  <c r="X55" i="15"/>
  <c r="Z55" i="15" s="1"/>
  <c r="X103" i="15"/>
  <c r="Z103" i="15" s="1"/>
  <c r="X54" i="15"/>
  <c r="X76" i="15"/>
  <c r="Z76" i="15" s="1"/>
  <c r="X53" i="15"/>
  <c r="X41" i="15"/>
  <c r="Z41" i="15" s="1"/>
  <c r="X99" i="15"/>
  <c r="Z99" i="15" s="1"/>
  <c r="X75" i="15"/>
  <c r="Z75" i="15" s="1"/>
  <c r="X52" i="15"/>
  <c r="X74" i="15"/>
  <c r="X87" i="15"/>
  <c r="Z87" i="15" s="1"/>
  <c r="X63" i="15"/>
  <c r="X51" i="15"/>
  <c r="X39" i="15"/>
  <c r="T38" i="15"/>
  <c r="Y38" i="15" s="1"/>
  <c r="X38" i="15"/>
  <c r="Z38" i="15" s="1"/>
  <c r="T36" i="15"/>
  <c r="Y36" i="15" s="1"/>
  <c r="X36" i="15"/>
  <c r="Z36" i="15" s="1"/>
  <c r="T37" i="15"/>
  <c r="Y37" i="15" s="1"/>
  <c r="X37" i="15"/>
  <c r="Z37" i="15" s="1"/>
  <c r="T83" i="15"/>
  <c r="Y83" i="15" s="1"/>
  <c r="X83" i="15"/>
  <c r="Z83" i="15" s="1"/>
  <c r="X45" i="15"/>
  <c r="Z45" i="15" s="1"/>
  <c r="X44" i="15"/>
  <c r="Z44" i="15" s="1"/>
  <c r="X43" i="15"/>
  <c r="Z43" i="15" s="1"/>
  <c r="X42" i="15"/>
  <c r="Z42" i="15" s="1"/>
  <c r="T40" i="15"/>
  <c r="Y40" i="15" s="1"/>
  <c r="X40" i="15"/>
  <c r="Z40" i="15" s="1"/>
  <c r="P84" i="15"/>
  <c r="P72" i="15"/>
  <c r="P60" i="15"/>
  <c r="P67" i="15"/>
  <c r="P66" i="15"/>
  <c r="P89" i="15"/>
  <c r="P65" i="15"/>
  <c r="T65" i="15" s="1"/>
  <c r="Y65" i="15" s="1"/>
  <c r="P88" i="15"/>
  <c r="S11" i="15"/>
  <c r="T39" i="15"/>
  <c r="AC83" i="15"/>
  <c r="AE83" i="15" s="1"/>
  <c r="AG83" i="15" s="1"/>
  <c r="AE86" i="15"/>
  <c r="AG86" i="15" s="1"/>
  <c r="AE103" i="15"/>
  <c r="AG103" i="15" s="1"/>
  <c r="AE97" i="15"/>
  <c r="AG97" i="15" s="1"/>
  <c r="AE89" i="15"/>
  <c r="AG89" i="15" s="1"/>
  <c r="AE85" i="15"/>
  <c r="AG85" i="15" s="1"/>
  <c r="AE88" i="15"/>
  <c r="AG88" i="15" s="1"/>
  <c r="AE84" i="15"/>
  <c r="AG84" i="15" s="1"/>
  <c r="AE87" i="15"/>
  <c r="AG87" i="15" s="1"/>
  <c r="AE104" i="15"/>
  <c r="AG104" i="15" s="1"/>
  <c r="AE98" i="15"/>
  <c r="AG98" i="15" s="1"/>
  <c r="AC59" i="15"/>
  <c r="AR26" i="15"/>
  <c r="AR27" i="15"/>
  <c r="X101" i="15" l="1"/>
  <c r="Z101" i="15" s="1"/>
  <c r="AE29" i="15"/>
  <c r="AE41" i="15"/>
  <c r="AG41" i="15" s="1"/>
  <c r="X80" i="15"/>
  <c r="Z80" i="15" s="1"/>
  <c r="X57" i="15"/>
  <c r="Z57" i="15" s="1"/>
  <c r="T33" i="15"/>
  <c r="Y33" i="15" s="1"/>
  <c r="T30" i="15"/>
  <c r="Y30" i="15" s="1"/>
  <c r="T32" i="15"/>
  <c r="Y32" i="15" s="1"/>
  <c r="X77" i="15"/>
  <c r="Z77" i="15" s="1"/>
  <c r="S8" i="15"/>
  <c r="X104" i="15"/>
  <c r="Z104" i="15" s="1"/>
  <c r="T28" i="15"/>
  <c r="Y28" i="15" s="1"/>
  <c r="X91" i="15"/>
  <c r="Z91" i="15" s="1"/>
  <c r="X31" i="15"/>
  <c r="Z31" i="15" s="1"/>
  <c r="X78" i="15"/>
  <c r="Z78" i="15" s="1"/>
  <c r="X58" i="15"/>
  <c r="Z58" i="15" s="1"/>
  <c r="X81" i="15"/>
  <c r="Z81" i="15" s="1"/>
  <c r="AG40" i="15"/>
  <c r="AG36" i="15"/>
  <c r="AG31" i="15"/>
  <c r="AG29" i="15"/>
  <c r="AG30" i="15"/>
  <c r="AG32" i="15"/>
  <c r="X90" i="15"/>
  <c r="Z90" i="15" s="1"/>
  <c r="T90" i="15"/>
  <c r="Y90" i="15" s="1"/>
  <c r="AE38" i="15"/>
  <c r="AG38" i="15" s="1"/>
  <c r="AG28" i="15"/>
  <c r="X64" i="15"/>
  <c r="Z64" i="15" s="1"/>
  <c r="X102" i="15"/>
  <c r="Z102" i="15" s="1"/>
  <c r="AE33" i="15"/>
  <c r="AG33" i="15" s="1"/>
  <c r="X100" i="15"/>
  <c r="Z100" i="15" s="1"/>
  <c r="X89" i="15"/>
  <c r="Z89" i="15" s="1"/>
  <c r="X69" i="15"/>
  <c r="X66" i="15"/>
  <c r="X96" i="15"/>
  <c r="Z96" i="15" s="1"/>
  <c r="X67" i="15"/>
  <c r="X60" i="15"/>
  <c r="X65" i="15"/>
  <c r="Z65" i="15" s="1"/>
  <c r="X84" i="15"/>
  <c r="Z84" i="15" s="1"/>
  <c r="X72" i="15"/>
  <c r="X88" i="15"/>
  <c r="Z88" i="15" s="1"/>
  <c r="Y104" i="15"/>
  <c r="AC73" i="15"/>
  <c r="AB73" i="15"/>
  <c r="AC4" i="15" l="1"/>
  <c r="W11" i="15" l="1"/>
  <c r="R6" i="25" l="1"/>
  <c r="B8" i="25" l="1"/>
  <c r="R10" i="25"/>
  <c r="R7" i="25"/>
  <c r="R8" i="25"/>
  <c r="R9" i="25"/>
  <c r="R13" i="25"/>
  <c r="T8" i="25"/>
  <c r="X8" i="25"/>
  <c r="X9" i="25"/>
  <c r="W8" i="25"/>
  <c r="W9" i="25"/>
  <c r="U8" i="25"/>
  <c r="U9" i="25"/>
  <c r="S8" i="25"/>
  <c r="S9" i="25"/>
  <c r="H8" i="25"/>
  <c r="G8" i="25"/>
  <c r="F8" i="25"/>
  <c r="Q4" i="26"/>
  <c r="V8" i="25" l="1"/>
  <c r="AQ24" i="15" l="1"/>
  <c r="AB39" i="15"/>
  <c r="AB5" i="15" l="1"/>
  <c r="AB25" i="15" l="1"/>
  <c r="AC25" i="15" l="1"/>
  <c r="AB23" i="15"/>
  <c r="AR51" i="15"/>
  <c r="AR52" i="15"/>
  <c r="AR53" i="15"/>
  <c r="AR54" i="15"/>
  <c r="AR59" i="15"/>
  <c r="AQ51" i="15"/>
  <c r="AQ52" i="15"/>
  <c r="AQ53" i="15"/>
  <c r="AQ54" i="15"/>
  <c r="AQ59" i="15"/>
  <c r="AN51" i="15"/>
  <c r="AN52" i="15"/>
  <c r="AN53" i="15"/>
  <c r="AN54" i="15"/>
  <c r="AN59" i="15"/>
  <c r="AN6" i="15"/>
  <c r="AL50" i="15"/>
  <c r="AL51" i="15"/>
  <c r="AL52" i="15"/>
  <c r="AL53" i="15"/>
  <c r="AL54" i="15"/>
  <c r="AL59" i="15"/>
  <c r="AC21" i="15"/>
  <c r="AE21" i="15" s="1"/>
  <c r="AC22" i="15"/>
  <c r="AC23" i="15"/>
  <c r="AC24" i="15"/>
  <c r="AC26" i="15"/>
  <c r="AC27" i="15"/>
  <c r="AC34" i="15"/>
  <c r="AC35" i="15"/>
  <c r="AC39" i="15"/>
  <c r="AC42" i="15"/>
  <c r="AC50" i="15"/>
  <c r="AC51" i="15"/>
  <c r="AC52" i="15"/>
  <c r="AC53" i="15"/>
  <c r="AC54" i="15"/>
  <c r="AC60" i="15"/>
  <c r="AC61" i="15"/>
  <c r="AC62" i="15"/>
  <c r="AC63" i="15"/>
  <c r="AC66" i="15"/>
  <c r="AC67" i="15"/>
  <c r="AC70" i="15"/>
  <c r="AC71" i="15"/>
  <c r="AC72" i="15"/>
  <c r="AC74" i="15"/>
  <c r="AC82" i="15"/>
  <c r="AB22" i="15"/>
  <c r="AB24" i="15"/>
  <c r="AB26" i="15"/>
  <c r="AB27" i="15"/>
  <c r="AB34" i="15"/>
  <c r="AB35" i="15"/>
  <c r="AB42" i="15"/>
  <c r="AB50" i="15"/>
  <c r="AB51" i="15"/>
  <c r="AB52" i="15"/>
  <c r="AB53" i="15"/>
  <c r="AB54" i="15"/>
  <c r="AB59" i="15"/>
  <c r="AB60" i="15"/>
  <c r="AB61" i="15"/>
  <c r="AB62" i="15"/>
  <c r="AB63" i="15"/>
  <c r="AB66" i="15"/>
  <c r="AB67" i="15"/>
  <c r="AB70" i="15"/>
  <c r="AB71" i="15"/>
  <c r="AB72" i="15"/>
  <c r="AB74" i="15"/>
  <c r="AB82" i="15"/>
  <c r="AL12" i="15" l="1"/>
  <c r="AN12" i="15"/>
  <c r="AQ12" i="15"/>
  <c r="AR12" i="15"/>
  <c r="AL13" i="15"/>
  <c r="AN13" i="15"/>
  <c r="AQ13" i="15"/>
  <c r="AR13" i="15"/>
  <c r="AL14" i="15"/>
  <c r="AN14" i="15"/>
  <c r="AQ14" i="15"/>
  <c r="AR14" i="15"/>
  <c r="AL15" i="15"/>
  <c r="AN15" i="15"/>
  <c r="AQ15" i="15"/>
  <c r="AR15" i="15"/>
  <c r="AL16" i="15"/>
  <c r="AN16" i="15"/>
  <c r="AQ16" i="15"/>
  <c r="AR16" i="15"/>
  <c r="AL17" i="15"/>
  <c r="AN17" i="15"/>
  <c r="AQ17" i="15"/>
  <c r="AR17" i="15"/>
  <c r="AL18" i="15"/>
  <c r="AN18" i="15"/>
  <c r="AQ18" i="15"/>
  <c r="AR18" i="15"/>
  <c r="AL19" i="15"/>
  <c r="AN19" i="15"/>
  <c r="AQ19" i="15"/>
  <c r="AR19" i="15"/>
  <c r="AL20" i="15"/>
  <c r="AN20" i="15"/>
  <c r="AQ20" i="15"/>
  <c r="AR20" i="15"/>
  <c r="W24" i="15"/>
  <c r="W25" i="15"/>
  <c r="W26" i="15"/>
  <c r="W27" i="15"/>
  <c r="AC17" i="15"/>
  <c r="S17" i="15"/>
  <c r="W17" i="15"/>
  <c r="S16" i="15"/>
  <c r="S15" i="15"/>
  <c r="W16" i="15"/>
  <c r="W12" i="15"/>
  <c r="W13" i="15"/>
  <c r="W14" i="15"/>
  <c r="W15" i="15"/>
  <c r="W18" i="15"/>
  <c r="W19" i="15"/>
  <c r="W20" i="15"/>
  <c r="W51" i="15"/>
  <c r="W52" i="15"/>
  <c r="W53" i="15"/>
  <c r="W54" i="15"/>
  <c r="W59" i="15"/>
  <c r="S59" i="15"/>
  <c r="S54" i="15"/>
  <c r="AE54" i="15" s="1"/>
  <c r="AG54" i="15" s="1"/>
  <c r="AE59" i="15" l="1"/>
  <c r="AG59" i="15" s="1"/>
  <c r="Z59" i="15"/>
  <c r="Z54" i="15"/>
  <c r="AB17" i="15"/>
  <c r="AE17" i="15" s="1"/>
  <c r="AG17" i="15" s="1"/>
  <c r="AN61" i="15"/>
  <c r="AN62" i="15"/>
  <c r="AN63" i="15"/>
  <c r="AQ61" i="15"/>
  <c r="AQ62" i="15"/>
  <c r="AQ63" i="15"/>
  <c r="AR61" i="15"/>
  <c r="AR62" i="15"/>
  <c r="AR63" i="15"/>
  <c r="AN42" i="15"/>
  <c r="AR42" i="15"/>
  <c r="AQ42" i="15"/>
  <c r="AR34" i="15"/>
  <c r="AQ34" i="15"/>
  <c r="AL34" i="15"/>
  <c r="AN25" i="15"/>
  <c r="AN26" i="15"/>
  <c r="AN27" i="15"/>
  <c r="AN22" i="15"/>
  <c r="AN23" i="15"/>
  <c r="AQ25" i="15"/>
  <c r="AQ26" i="15"/>
  <c r="AQ27" i="15"/>
  <c r="AQ22" i="15"/>
  <c r="AQ23" i="15"/>
  <c r="AR22" i="15"/>
  <c r="AR23" i="15"/>
  <c r="AR25" i="15"/>
  <c r="CF5" i="15" l="1"/>
  <c r="CF6" i="15"/>
  <c r="CF7" i="15"/>
  <c r="CF8" i="15"/>
  <c r="CF9" i="15"/>
  <c r="CF10" i="15"/>
  <c r="CF11" i="15"/>
  <c r="CF12" i="15"/>
  <c r="CF13" i="15"/>
  <c r="CF14" i="15"/>
  <c r="CF15" i="15"/>
  <c r="CF16" i="15"/>
  <c r="CF17" i="15"/>
  <c r="CE5" i="15"/>
  <c r="CE6" i="15"/>
  <c r="CE7" i="15"/>
  <c r="CE8" i="15"/>
  <c r="CE9" i="15"/>
  <c r="CE11" i="15"/>
  <c r="CE12" i="15"/>
  <c r="CD5" i="15"/>
  <c r="CD6" i="15"/>
  <c r="CD7" i="15"/>
  <c r="CD8" i="15"/>
  <c r="CD9" i="15"/>
  <c r="CD10" i="15"/>
  <c r="CD11" i="15"/>
  <c r="CD12" i="15"/>
  <c r="CD13" i="15"/>
  <c r="CD14" i="15"/>
  <c r="CC5" i="15"/>
  <c r="CC6" i="15"/>
  <c r="CC7" i="15"/>
  <c r="CC8" i="15"/>
  <c r="CC9" i="15"/>
  <c r="CC10" i="15"/>
  <c r="CC11" i="15"/>
  <c r="CC12" i="15"/>
  <c r="BY5" i="15"/>
  <c r="BZ5" i="15"/>
  <c r="BZ6" i="15"/>
  <c r="BZ7" i="15"/>
  <c r="BZ8" i="15"/>
  <c r="BZ9" i="15"/>
  <c r="CA5" i="15"/>
  <c r="CA6" i="15"/>
  <c r="CA7" i="15"/>
  <c r="CB5" i="15"/>
  <c r="CB6" i="15"/>
  <c r="AX13" i="15"/>
  <c r="AX14" i="15"/>
  <c r="AX15" i="15"/>
  <c r="AX16" i="15"/>
  <c r="AX17" i="15"/>
  <c r="BU6" i="15"/>
  <c r="BT6" i="15"/>
  <c r="BT7" i="15"/>
  <c r="BT8" i="15"/>
  <c r="BS6" i="15"/>
  <c r="BS7" i="15"/>
  <c r="BS8" i="15"/>
  <c r="BS9" i="15"/>
  <c r="BS10" i="15"/>
  <c r="BR6" i="15"/>
  <c r="BR7" i="15"/>
  <c r="BQ6" i="15"/>
  <c r="BQ7" i="15"/>
  <c r="BQ8" i="15"/>
  <c r="BQ9" i="15"/>
  <c r="BQ10" i="15"/>
  <c r="BQ11" i="15"/>
  <c r="BQ12" i="15"/>
  <c r="BQ13" i="15"/>
  <c r="BQ14" i="15"/>
  <c r="BQ15" i="15"/>
  <c r="BQ16" i="15"/>
  <c r="BQ17" i="15"/>
  <c r="BQ18" i="15"/>
  <c r="BQ19" i="15"/>
  <c r="BQ20" i="15"/>
  <c r="BQ21" i="15"/>
  <c r="BQ22" i="15"/>
  <c r="BQ23" i="15"/>
  <c r="BQ24" i="15"/>
  <c r="BQ25" i="15"/>
  <c r="BQ26" i="15"/>
  <c r="BQ27" i="15"/>
  <c r="BQ34" i="15"/>
  <c r="BQ35" i="15"/>
  <c r="BP6" i="15"/>
  <c r="BP7" i="15"/>
  <c r="BP8" i="15"/>
  <c r="BP9" i="15"/>
  <c r="BP10" i="15"/>
  <c r="BO6" i="15"/>
  <c r="BO7" i="15"/>
  <c r="BO8" i="15"/>
  <c r="BO9" i="15"/>
  <c r="BO10" i="15"/>
  <c r="BO11" i="15"/>
  <c r="BN6" i="15"/>
  <c r="BN7" i="15"/>
  <c r="BN8" i="15"/>
  <c r="BN9" i="15"/>
  <c r="BN10" i="15"/>
  <c r="BN11" i="15"/>
  <c r="BM6" i="15"/>
  <c r="BM7" i="15"/>
  <c r="BM8" i="15"/>
  <c r="BM9" i="15"/>
  <c r="BM10" i="15"/>
  <c r="BM11" i="15"/>
  <c r="T87" i="15"/>
  <c r="T88" i="15"/>
  <c r="T89" i="15"/>
  <c r="T103" i="15"/>
  <c r="T86" i="15"/>
  <c r="BL6" i="15"/>
  <c r="BL7" i="15"/>
  <c r="BL8" i="15"/>
  <c r="BL9" i="15"/>
  <c r="BL10" i="15"/>
  <c r="BL11" i="15"/>
  <c r="BJ6" i="15"/>
  <c r="BJ7" i="15"/>
  <c r="BJ8" i="15"/>
  <c r="BJ9" i="15"/>
  <c r="BJ10" i="15"/>
  <c r="BJ11" i="15"/>
  <c r="BJ12" i="15"/>
  <c r="BJ13" i="15"/>
  <c r="BJ14" i="15"/>
  <c r="BJ15" i="15"/>
  <c r="BI6" i="15"/>
  <c r="BI7" i="15"/>
  <c r="BI8" i="15"/>
  <c r="BI9" i="15"/>
  <c r="BI10" i="15"/>
  <c r="BI11" i="15"/>
  <c r="BH6" i="15"/>
  <c r="BH7" i="15"/>
  <c r="BH8" i="15"/>
  <c r="BH9" i="15"/>
  <c r="BG6" i="15"/>
  <c r="BG7" i="15"/>
  <c r="BG8" i="15"/>
  <c r="BG9" i="15"/>
  <c r="BG10" i="15"/>
  <c r="BG11" i="15"/>
  <c r="BG12" i="15"/>
  <c r="P12" i="15" s="1"/>
  <c r="BG13" i="15"/>
  <c r="P13" i="15" s="1"/>
  <c r="BG14" i="15"/>
  <c r="P14" i="15" s="1"/>
  <c r="BG15" i="15"/>
  <c r="P15" i="15" s="1"/>
  <c r="BG16" i="15"/>
  <c r="P16" i="15" s="1"/>
  <c r="BG17" i="15"/>
  <c r="P17" i="15" s="1"/>
  <c r="BG18" i="15"/>
  <c r="P18" i="15" s="1"/>
  <c r="BG19" i="15"/>
  <c r="P19" i="15" s="1"/>
  <c r="BG20" i="15"/>
  <c r="BG21" i="15"/>
  <c r="P21" i="15" s="1"/>
  <c r="X21" i="15" s="1"/>
  <c r="BG22" i="15"/>
  <c r="P22" i="15" s="1"/>
  <c r="X22" i="15" s="1"/>
  <c r="BG23" i="15"/>
  <c r="P23" i="15" s="1"/>
  <c r="X23" i="15" s="1"/>
  <c r="BG24" i="15"/>
  <c r="BG25" i="15"/>
  <c r="P25" i="15" s="1"/>
  <c r="X25" i="15" s="1"/>
  <c r="BG26" i="15"/>
  <c r="P26" i="15" s="1"/>
  <c r="X26" i="15" s="1"/>
  <c r="BG27" i="15"/>
  <c r="P27" i="15" s="1"/>
  <c r="X27" i="15" s="1"/>
  <c r="BG34" i="15"/>
  <c r="P34" i="15" s="1"/>
  <c r="X34" i="15" s="1"/>
  <c r="BG35" i="15"/>
  <c r="BF6" i="15"/>
  <c r="BF7" i="15"/>
  <c r="BF8" i="15"/>
  <c r="BF9" i="15"/>
  <c r="BF10" i="15"/>
  <c r="BF11" i="15"/>
  <c r="BF12" i="15"/>
  <c r="BF13" i="15"/>
  <c r="BE6" i="15"/>
  <c r="BE7" i="15"/>
  <c r="BE8" i="15"/>
  <c r="BE9" i="15"/>
  <c r="BE10" i="15"/>
  <c r="BE11" i="15"/>
  <c r="BE12" i="15"/>
  <c r="BE13" i="15"/>
  <c r="BD6" i="15"/>
  <c r="BD7" i="15"/>
  <c r="BD8" i="15"/>
  <c r="BD9" i="15"/>
  <c r="BD10" i="15"/>
  <c r="BD11" i="15"/>
  <c r="BD12" i="15"/>
  <c r="BD13" i="15"/>
  <c r="BD14" i="15"/>
  <c r="BD15" i="15"/>
  <c r="BD16" i="15"/>
  <c r="T29" i="15"/>
  <c r="Y29" i="15" s="1"/>
  <c r="BC6" i="15"/>
  <c r="BC7" i="15"/>
  <c r="BC8" i="15"/>
  <c r="BC9" i="15"/>
  <c r="BC10" i="15"/>
  <c r="BC11" i="15"/>
  <c r="BC12" i="15"/>
  <c r="BC13" i="15"/>
  <c r="BC14" i="15"/>
  <c r="BC15" i="15"/>
  <c r="BC16" i="15"/>
  <c r="BC17" i="15"/>
  <c r="BC18" i="15"/>
  <c r="BB6" i="15"/>
  <c r="BB7" i="15"/>
  <c r="BB8" i="15"/>
  <c r="BB9" i="15"/>
  <c r="BB10" i="15"/>
  <c r="BB11" i="15"/>
  <c r="BB12" i="15"/>
  <c r="BB13" i="15"/>
  <c r="BB14" i="15"/>
  <c r="BA12" i="15"/>
  <c r="BA13" i="15"/>
  <c r="BA14" i="15"/>
  <c r="BA15" i="15"/>
  <c r="BA16" i="15"/>
  <c r="BA17" i="15"/>
  <c r="BA18" i="15"/>
  <c r="BA19" i="15"/>
  <c r="BA6" i="15"/>
  <c r="BA7" i="15"/>
  <c r="BA8" i="15"/>
  <c r="BA9" i="15"/>
  <c r="BA10" i="15"/>
  <c r="BA11" i="15"/>
  <c r="X18" i="15" l="1"/>
  <c r="X16" i="15"/>
  <c r="Z16" i="15" s="1"/>
  <c r="X17" i="15"/>
  <c r="Z17" i="15" s="1"/>
  <c r="X15" i="15"/>
  <c r="Z15" i="15" s="1"/>
  <c r="X14" i="15"/>
  <c r="X12" i="15"/>
  <c r="X13" i="15"/>
  <c r="P10" i="15"/>
  <c r="P7" i="15"/>
  <c r="P20" i="15"/>
  <c r="P6" i="15"/>
  <c r="P8" i="15"/>
  <c r="P9" i="15"/>
  <c r="P11" i="15"/>
  <c r="T85" i="15"/>
  <c r="T84" i="15"/>
  <c r="Y86" i="15"/>
  <c r="Y103" i="15"/>
  <c r="Y89" i="15"/>
  <c r="Y88" i="15"/>
  <c r="Y87" i="15"/>
  <c r="T24" i="15"/>
  <c r="T22" i="15"/>
  <c r="T54" i="15"/>
  <c r="Y54" i="15" s="1"/>
  <c r="T59" i="15"/>
  <c r="Y59" i="15" s="1"/>
  <c r="T53" i="15"/>
  <c r="T67" i="15"/>
  <c r="T35" i="15"/>
  <c r="T52" i="15"/>
  <c r="T66" i="15"/>
  <c r="T61" i="15"/>
  <c r="T68" i="15"/>
  <c r="T74" i="15"/>
  <c r="T69" i="15"/>
  <c r="T82" i="15"/>
  <c r="T72" i="15"/>
  <c r="T71" i="15"/>
  <c r="T70" i="15"/>
  <c r="T51" i="15"/>
  <c r="T50" i="15"/>
  <c r="T34" i="15"/>
  <c r="T73" i="15"/>
  <c r="T62" i="15"/>
  <c r="T27" i="15"/>
  <c r="T25" i="15"/>
  <c r="T23" i="15"/>
  <c r="T21" i="15"/>
  <c r="T16" i="15"/>
  <c r="T15" i="15"/>
  <c r="Y15" i="15" s="1"/>
  <c r="T18" i="15"/>
  <c r="T14" i="15"/>
  <c r="Y14" i="15" s="1"/>
  <c r="T17" i="15"/>
  <c r="T13" i="15"/>
  <c r="T12" i="15"/>
  <c r="T60" i="15"/>
  <c r="T26" i="15"/>
  <c r="T63" i="15"/>
  <c r="BB4" i="15"/>
  <c r="BC4" i="15"/>
  <c r="BD4" i="15"/>
  <c r="BE4" i="15"/>
  <c r="BF4" i="15"/>
  <c r="BG4" i="15"/>
  <c r="BH4" i="15"/>
  <c r="P4" i="15" s="1"/>
  <c r="BI4" i="15"/>
  <c r="BJ4" i="15"/>
  <c r="BK4" i="15"/>
  <c r="BL4" i="15"/>
  <c r="BM4" i="15"/>
  <c r="BN4" i="15"/>
  <c r="BO4" i="15"/>
  <c r="BP4" i="15"/>
  <c r="BQ4" i="15"/>
  <c r="BR4" i="15"/>
  <c r="BS4" i="15"/>
  <c r="BT4" i="15"/>
  <c r="BU4" i="15"/>
  <c r="BV4" i="15"/>
  <c r="BY4" i="15"/>
  <c r="BZ4" i="15"/>
  <c r="CA4" i="15"/>
  <c r="CB4" i="15"/>
  <c r="AX5" i="15" s="1"/>
  <c r="CC4" i="15"/>
  <c r="CD4" i="15"/>
  <c r="CE4" i="15"/>
  <c r="CF4" i="15"/>
  <c r="BA5" i="15"/>
  <c r="BB5" i="15"/>
  <c r="BC5" i="15"/>
  <c r="BD5" i="15"/>
  <c r="BE5" i="15"/>
  <c r="BF5" i="15"/>
  <c r="BG5" i="15"/>
  <c r="P5" i="15" s="1"/>
  <c r="BH5" i="15"/>
  <c r="BI5" i="15"/>
  <c r="BJ5" i="15"/>
  <c r="BK5" i="15"/>
  <c r="BL5" i="15"/>
  <c r="BM5" i="15"/>
  <c r="BN5" i="15"/>
  <c r="BO5" i="15"/>
  <c r="BP5" i="15"/>
  <c r="BQ5" i="15"/>
  <c r="BR5" i="15"/>
  <c r="BS5" i="15"/>
  <c r="BT5" i="15"/>
  <c r="BU5" i="15"/>
  <c r="BV5" i="15"/>
  <c r="AL25" i="15"/>
  <c r="AL26" i="15"/>
  <c r="AL27" i="15"/>
  <c r="AL42" i="15"/>
  <c r="AL60" i="15"/>
  <c r="AL61" i="15"/>
  <c r="AL62" i="15"/>
  <c r="AL63" i="15"/>
  <c r="W61" i="15"/>
  <c r="W62" i="15"/>
  <c r="W63" i="15"/>
  <c r="S14" i="15"/>
  <c r="S18" i="15"/>
  <c r="S13" i="15"/>
  <c r="S12" i="15"/>
  <c r="AR6" i="15"/>
  <c r="AQ6" i="15"/>
  <c r="AL6" i="15"/>
  <c r="AB6" i="15"/>
  <c r="AC6" i="15"/>
  <c r="Z13" i="15" l="1"/>
  <c r="Z12" i="15"/>
  <c r="Z14" i="15"/>
  <c r="Z18" i="15"/>
  <c r="X5" i="15"/>
  <c r="Z5" i="15" s="1"/>
  <c r="T11" i="15"/>
  <c r="Y11" i="15" s="1"/>
  <c r="X11" i="15"/>
  <c r="Z11" i="15" s="1"/>
  <c r="T19" i="15"/>
  <c r="Y19" i="15" s="1"/>
  <c r="X19" i="15"/>
  <c r="Z19" i="15" s="1"/>
  <c r="T9" i="15"/>
  <c r="Y9" i="15" s="1"/>
  <c r="X9" i="15"/>
  <c r="T8" i="15"/>
  <c r="Y8" i="15" s="1"/>
  <c r="X8" i="15"/>
  <c r="T6" i="15"/>
  <c r="Y6" i="15" s="1"/>
  <c r="X6" i="15"/>
  <c r="T20" i="15"/>
  <c r="Y20" i="15" s="1"/>
  <c r="X20" i="15"/>
  <c r="Z20" i="15" s="1"/>
  <c r="T7" i="15"/>
  <c r="Y7" i="15" s="1"/>
  <c r="X7" i="15"/>
  <c r="T10" i="15"/>
  <c r="Y10" i="15" s="1"/>
  <c r="X10" i="15"/>
  <c r="Y85" i="15"/>
  <c r="T5" i="15"/>
  <c r="Y5" i="15" s="1"/>
  <c r="Y84" i="15"/>
  <c r="Y13" i="15"/>
  <c r="Y16" i="15"/>
  <c r="Y17" i="15"/>
  <c r="Y18" i="15"/>
  <c r="Y12" i="15"/>
  <c r="T4" i="15" l="1"/>
  <c r="S61" i="15" l="1"/>
  <c r="S62" i="15"/>
  <c r="S63" i="15"/>
  <c r="W34" i="15"/>
  <c r="W6" i="15"/>
  <c r="Z6" i="15" s="1"/>
  <c r="AL22" i="15"/>
  <c r="AL23" i="15"/>
  <c r="W22" i="15"/>
  <c r="W23" i="15"/>
  <c r="S22" i="15"/>
  <c r="S23" i="15"/>
  <c r="AE23" i="15" s="1"/>
  <c r="AG23" i="15" s="1"/>
  <c r="Q9" i="16"/>
  <c r="AE62" i="15" l="1"/>
  <c r="AG62" i="15" s="1"/>
  <c r="Z62" i="15"/>
  <c r="AE63" i="15"/>
  <c r="AG63" i="15" s="1"/>
  <c r="Z63" i="15"/>
  <c r="AE61" i="15"/>
  <c r="AG61" i="15" s="1"/>
  <c r="Z61" i="15"/>
  <c r="Z22" i="15"/>
  <c r="Z23" i="15"/>
  <c r="C6" i="25"/>
  <c r="AC16" i="15"/>
  <c r="AB16" i="15"/>
  <c r="AE22" i="15"/>
  <c r="AG22" i="15" s="1"/>
  <c r="Y22" i="15"/>
  <c r="Y62" i="15"/>
  <c r="Y61" i="15"/>
  <c r="Y63" i="15"/>
  <c r="Y23" i="15"/>
  <c r="AE16" i="15" l="1"/>
  <c r="AG16" i="15" s="1"/>
  <c r="AC14" i="15" l="1"/>
  <c r="AB14" i="15"/>
  <c r="AC19" i="15"/>
  <c r="AB19" i="15"/>
  <c r="AB15" i="15"/>
  <c r="AC15" i="15"/>
  <c r="AC18" i="15"/>
  <c r="AB18" i="15"/>
  <c r="AC13" i="15"/>
  <c r="AB13" i="15"/>
  <c r="AC20" i="15"/>
  <c r="AB20" i="15"/>
  <c r="AG12" i="15" l="1"/>
  <c r="AE15" i="15"/>
  <c r="AG15" i="15" s="1"/>
  <c r="AE19" i="15"/>
  <c r="AG19" i="15" s="1"/>
  <c r="AE18" i="15"/>
  <c r="AG18" i="15" s="1"/>
  <c r="AE20" i="15"/>
  <c r="AG20" i="15" s="1"/>
  <c r="AE14" i="15"/>
  <c r="AE13" i="15"/>
  <c r="AG13" i="15" s="1"/>
  <c r="C8" i="25"/>
  <c r="AE6" i="15"/>
  <c r="AG6" i="15" s="1"/>
  <c r="S34" i="15"/>
  <c r="S27" i="15"/>
  <c r="S26" i="15"/>
  <c r="S25" i="15"/>
  <c r="S51" i="15"/>
  <c r="S53" i="15"/>
  <c r="S52" i="15"/>
  <c r="AE52" i="15" l="1"/>
  <c r="AG52" i="15" s="1"/>
  <c r="Z52" i="15"/>
  <c r="AE26" i="15"/>
  <c r="AG26" i="15" s="1"/>
  <c r="Z26" i="15"/>
  <c r="AE27" i="15"/>
  <c r="AG27" i="15" s="1"/>
  <c r="Z27" i="15"/>
  <c r="AE34" i="15"/>
  <c r="AG34" i="15" s="1"/>
  <c r="Z34" i="15"/>
  <c r="AE53" i="15"/>
  <c r="AG53" i="15" s="1"/>
  <c r="Z53" i="15"/>
  <c r="AE51" i="15"/>
  <c r="AG51" i="15" s="1"/>
  <c r="Z51" i="15"/>
  <c r="AE25" i="15"/>
  <c r="AG25" i="15" s="1"/>
  <c r="Z25" i="15"/>
  <c r="Y51" i="15"/>
  <c r="Y52" i="15"/>
  <c r="Y53" i="15"/>
  <c r="Y27" i="15"/>
  <c r="Y34" i="15"/>
  <c r="Y25" i="15"/>
  <c r="Y26" i="15"/>
  <c r="C7" i="25" l="1"/>
  <c r="S4" i="15" l="1"/>
  <c r="AE42" i="15"/>
  <c r="AG42" i="15" s="1"/>
  <c r="BS43" i="2"/>
  <c r="BS41" i="2"/>
  <c r="Y4" i="15" l="1"/>
  <c r="AE4" i="15"/>
  <c r="AF4" i="15" s="1"/>
  <c r="B10" i="25"/>
  <c r="F10" i="25"/>
  <c r="G10" i="25"/>
  <c r="H10" i="25"/>
  <c r="S10" i="25"/>
  <c r="T10" i="25"/>
  <c r="U10" i="25"/>
  <c r="W10" i="25"/>
  <c r="X10" i="25"/>
  <c r="B11" i="25"/>
  <c r="F11" i="25"/>
  <c r="G11" i="25"/>
  <c r="H11" i="25"/>
  <c r="R11" i="25"/>
  <c r="S11" i="25"/>
  <c r="T11" i="25"/>
  <c r="U11" i="25"/>
  <c r="W11" i="25"/>
  <c r="X11" i="25"/>
  <c r="B12" i="25"/>
  <c r="F12" i="25"/>
  <c r="G12" i="25"/>
  <c r="H12" i="25"/>
  <c r="R12" i="25"/>
  <c r="S12" i="25"/>
  <c r="T12" i="25"/>
  <c r="U12" i="25"/>
  <c r="W12" i="25"/>
  <c r="X12" i="25"/>
  <c r="B13" i="25"/>
  <c r="F13" i="25"/>
  <c r="G13" i="25"/>
  <c r="H13" i="25"/>
  <c r="S13" i="25"/>
  <c r="T13" i="25"/>
  <c r="U13" i="25"/>
  <c r="W13" i="25"/>
  <c r="X13" i="25"/>
  <c r="AD5" i="15" l="1"/>
  <c r="AF5" i="15" s="1"/>
  <c r="AH4" i="15"/>
  <c r="V11" i="25"/>
  <c r="V10" i="25"/>
  <c r="V13" i="25"/>
  <c r="V12" i="25"/>
  <c r="S66" i="15"/>
  <c r="Y66" i="15" s="1"/>
  <c r="W66" i="15"/>
  <c r="AL66" i="15"/>
  <c r="AN66" i="15"/>
  <c r="AQ66" i="15"/>
  <c r="S67" i="15"/>
  <c r="W67" i="15"/>
  <c r="AL67" i="15"/>
  <c r="AN67" i="15"/>
  <c r="AQ67" i="15"/>
  <c r="AR67" i="15"/>
  <c r="S68" i="15"/>
  <c r="W68" i="15"/>
  <c r="AL68" i="15"/>
  <c r="AN68" i="15"/>
  <c r="AQ68" i="15"/>
  <c r="AR68" i="15"/>
  <c r="S69" i="15"/>
  <c r="W69" i="15"/>
  <c r="AL69" i="15"/>
  <c r="AN69" i="15"/>
  <c r="AQ69" i="15"/>
  <c r="AR69" i="15"/>
  <c r="S70" i="15"/>
  <c r="W70" i="15"/>
  <c r="AL70" i="15"/>
  <c r="AN70" i="15"/>
  <c r="AQ70" i="15"/>
  <c r="AR70" i="15"/>
  <c r="S71" i="15"/>
  <c r="W71" i="15"/>
  <c r="AL71" i="15"/>
  <c r="AN71" i="15"/>
  <c r="AQ71" i="15"/>
  <c r="AR71" i="15"/>
  <c r="S72" i="15"/>
  <c r="W72" i="15"/>
  <c r="AL72" i="15"/>
  <c r="AN72" i="15"/>
  <c r="AQ72" i="15"/>
  <c r="AR72" i="15"/>
  <c r="S73" i="15"/>
  <c r="W73" i="15"/>
  <c r="AL73" i="15"/>
  <c r="AN73" i="15"/>
  <c r="AQ73" i="15"/>
  <c r="AR73" i="15"/>
  <c r="S74" i="15"/>
  <c r="W74" i="15"/>
  <c r="AL74" i="15"/>
  <c r="AN74" i="15"/>
  <c r="AQ74" i="15"/>
  <c r="AR74" i="15"/>
  <c r="S82" i="15"/>
  <c r="W82" i="15"/>
  <c r="AL82" i="15"/>
  <c r="AN82" i="15"/>
  <c r="AQ82" i="15"/>
  <c r="AS71" i="15" l="1"/>
  <c r="AT71" i="15"/>
  <c r="AS68" i="15"/>
  <c r="AT68" i="15"/>
  <c r="AS70" i="15"/>
  <c r="AT70" i="15"/>
  <c r="AT69" i="15"/>
  <c r="AS69" i="15"/>
  <c r="AH5" i="15"/>
  <c r="AD17" i="15"/>
  <c r="AD14" i="15"/>
  <c r="AF14" i="15" s="1"/>
  <c r="AD15" i="15"/>
  <c r="AD16" i="15"/>
  <c r="AD12" i="15"/>
  <c r="AD18" i="15"/>
  <c r="AD19" i="15"/>
  <c r="AF19" i="15" s="1"/>
  <c r="AH19" i="15" s="1"/>
  <c r="AD20" i="15"/>
  <c r="AD13" i="15"/>
  <c r="AE69" i="15"/>
  <c r="AG69" i="15" s="1"/>
  <c r="Z69" i="15"/>
  <c r="AE73" i="15"/>
  <c r="AG73" i="15" s="1"/>
  <c r="Z73" i="15"/>
  <c r="AE66" i="15"/>
  <c r="Z66" i="15"/>
  <c r="AE71" i="15"/>
  <c r="AG71" i="15" s="1"/>
  <c r="Z71" i="15"/>
  <c r="AE70" i="15"/>
  <c r="AG70" i="15" s="1"/>
  <c r="Z70" i="15"/>
  <c r="AE67" i="15"/>
  <c r="AG67" i="15" s="1"/>
  <c r="Z67" i="15"/>
  <c r="AE68" i="15"/>
  <c r="AG68" i="15" s="1"/>
  <c r="Z68" i="15"/>
  <c r="AE72" i="15"/>
  <c r="AG72" i="15" s="1"/>
  <c r="Z72" i="15"/>
  <c r="AE82" i="15"/>
  <c r="AG82" i="15" s="1"/>
  <c r="Y82" i="15"/>
  <c r="Z82" i="15"/>
  <c r="AE74" i="15"/>
  <c r="AG74" i="15" s="1"/>
  <c r="Z74" i="15"/>
  <c r="AN5" i="15"/>
  <c r="AQ5" i="15"/>
  <c r="AR5" i="15"/>
  <c r="AN7" i="15"/>
  <c r="AQ7" i="15"/>
  <c r="AR7" i="15"/>
  <c r="AN8" i="15"/>
  <c r="AQ8" i="15"/>
  <c r="AR8" i="15"/>
  <c r="AS7" i="15" l="1"/>
  <c r="AT7" i="15"/>
  <c r="AG66" i="15"/>
  <c r="AT5" i="15"/>
  <c r="AS5" i="15"/>
  <c r="AR60" i="15" l="1"/>
  <c r="AQ60" i="15"/>
  <c r="AN60" i="15"/>
  <c r="W60" i="15"/>
  <c r="S60" i="15"/>
  <c r="AE60" i="15" l="1"/>
  <c r="AG60" i="15" s="1"/>
  <c r="Z60" i="15"/>
  <c r="Y69" i="15"/>
  <c r="Y70" i="15"/>
  <c r="Y72" i="15"/>
  <c r="W21" i="15"/>
  <c r="Y73" i="15" l="1"/>
  <c r="Y71" i="15"/>
  <c r="Y68" i="15"/>
  <c r="Y74" i="15"/>
  <c r="AL5" i="15" l="1"/>
  <c r="AL7" i="15"/>
  <c r="AL8" i="15"/>
  <c r="AL9" i="15"/>
  <c r="AL10" i="15"/>
  <c r="AL11" i="15"/>
  <c r="AL21" i="15"/>
  <c r="AL24" i="15"/>
  <c r="AL35" i="15"/>
  <c r="AL39" i="15"/>
  <c r="W7" i="15" l="1"/>
  <c r="Z7" i="15" s="1"/>
  <c r="W8" i="15"/>
  <c r="Z8" i="15" s="1"/>
  <c r="W9" i="15"/>
  <c r="Z9" i="15" s="1"/>
  <c r="W10" i="15"/>
  <c r="Z10" i="15" s="1"/>
  <c r="W35" i="15"/>
  <c r="W39" i="15"/>
  <c r="Z39" i="15" s="1"/>
  <c r="W50" i="15"/>
  <c r="R34" i="7"/>
  <c r="Q34" i="7"/>
  <c r="R33" i="7"/>
  <c r="Q33" i="7"/>
  <c r="R32" i="7"/>
  <c r="Q32" i="7"/>
  <c r="R31" i="7"/>
  <c r="Q31" i="7"/>
  <c r="C10" i="25" l="1"/>
  <c r="C11" i="25"/>
  <c r="C12" i="25"/>
  <c r="S21" i="15"/>
  <c r="S24" i="15"/>
  <c r="Z24" i="15" s="1"/>
  <c r="S35" i="15"/>
  <c r="AE35" i="15" s="1"/>
  <c r="AG35" i="15" s="1"/>
  <c r="AE39" i="15"/>
  <c r="AG39" i="15" s="1"/>
  <c r="S50" i="15"/>
  <c r="AE50" i="15" l="1"/>
  <c r="AG50" i="15" s="1"/>
  <c r="Z50" i="15"/>
  <c r="Z35" i="15"/>
  <c r="AG21" i="15"/>
  <c r="Z21" i="15"/>
  <c r="AE24" i="15"/>
  <c r="AG24" i="15" s="1"/>
  <c r="Y24" i="15"/>
  <c r="C13" i="25"/>
  <c r="B8" i="32"/>
  <c r="J6" i="32"/>
  <c r="J9" i="32" s="1"/>
  <c r="J10" i="31" l="1"/>
  <c r="J11" i="31" s="1"/>
  <c r="J7" i="31"/>
  <c r="I9" i="30" l="1"/>
  <c r="I4" i="30" l="1"/>
  <c r="I8" i="30"/>
  <c r="I6" i="30"/>
  <c r="I7" i="30"/>
  <c r="I5" i="30"/>
  <c r="L54" i="29" l="1"/>
  <c r="L55" i="29"/>
  <c r="L56" i="29"/>
  <c r="L48" i="29"/>
  <c r="L46" i="29"/>
  <c r="L47" i="29"/>
  <c r="L39" i="29"/>
  <c r="L40" i="29"/>
  <c r="L27" i="29"/>
  <c r="L18" i="29"/>
  <c r="L26" i="29"/>
  <c r="L49" i="29"/>
  <c r="M45" i="29"/>
  <c r="L45" i="29"/>
  <c r="G45" i="29"/>
  <c r="L44" i="29"/>
  <c r="L43" i="29"/>
  <c r="M42" i="29"/>
  <c r="L42" i="29"/>
  <c r="G42" i="29"/>
  <c r="L41" i="29"/>
  <c r="L38" i="29"/>
  <c r="M37" i="29"/>
  <c r="L37" i="29"/>
  <c r="G37" i="29"/>
  <c r="L60" i="29"/>
  <c r="L59" i="29"/>
  <c r="L58" i="29"/>
  <c r="M57" i="29"/>
  <c r="L57" i="29"/>
  <c r="G57" i="29"/>
  <c r="L53" i="29"/>
  <c r="M52" i="29"/>
  <c r="L52" i="29"/>
  <c r="G52" i="29"/>
  <c r="L51" i="29"/>
  <c r="M50" i="29"/>
  <c r="L50" i="29"/>
  <c r="G50" i="29"/>
  <c r="L33" i="29"/>
  <c r="L32" i="29"/>
  <c r="L31" i="29"/>
  <c r="M30" i="29"/>
  <c r="L30" i="29"/>
  <c r="G30" i="29"/>
  <c r="L29" i="29"/>
  <c r="L28" i="29"/>
  <c r="M25" i="29"/>
  <c r="L25" i="29"/>
  <c r="G25" i="29"/>
  <c r="L36" i="29"/>
  <c r="L35" i="29"/>
  <c r="M34" i="29"/>
  <c r="L34" i="29"/>
  <c r="G34" i="29"/>
  <c r="L7" i="29"/>
  <c r="L8" i="29"/>
  <c r="L9" i="29"/>
  <c r="I9" i="29"/>
  <c r="I8" i="29"/>
  <c r="I7" i="29"/>
  <c r="I6" i="29"/>
  <c r="L10" i="29"/>
  <c r="L11" i="29"/>
  <c r="L12" i="29"/>
  <c r="L13" i="29"/>
  <c r="L14" i="29"/>
  <c r="L15" i="29"/>
  <c r="L16" i="29"/>
  <c r="L17" i="29"/>
  <c r="L19" i="29"/>
  <c r="L20" i="29"/>
  <c r="L21" i="29"/>
  <c r="L22" i="29"/>
  <c r="L23" i="29"/>
  <c r="L24" i="29"/>
  <c r="L61" i="29"/>
  <c r="L62" i="29"/>
  <c r="L63" i="29"/>
  <c r="L64" i="29"/>
  <c r="L65" i="29"/>
  <c r="L66" i="29"/>
  <c r="L5" i="29"/>
  <c r="N42" i="29" l="1"/>
  <c r="N45" i="29"/>
  <c r="T50" i="29"/>
  <c r="N57" i="29"/>
  <c r="T57" i="29"/>
  <c r="T42" i="29"/>
  <c r="T25" i="29"/>
  <c r="N52" i="29"/>
  <c r="T34" i="29"/>
  <c r="T30" i="29"/>
  <c r="T52" i="29"/>
  <c r="N37" i="29"/>
  <c r="N30" i="29"/>
  <c r="N50" i="29"/>
  <c r="T37" i="29"/>
  <c r="T45" i="29"/>
  <c r="N34" i="29"/>
  <c r="N25" i="29"/>
  <c r="N20" i="29"/>
  <c r="P20" i="29" s="1"/>
  <c r="M20" i="29"/>
  <c r="G20" i="29"/>
  <c r="M17" i="29"/>
  <c r="N17" i="29"/>
  <c r="P17" i="29" s="1"/>
  <c r="G17" i="29"/>
  <c r="N13" i="29"/>
  <c r="P13" i="29" s="1"/>
  <c r="M13" i="29"/>
  <c r="G13" i="29"/>
  <c r="M22" i="29"/>
  <c r="N22" i="29"/>
  <c r="P22" i="29" s="1"/>
  <c r="G22" i="29"/>
  <c r="N61" i="29"/>
  <c r="M61" i="29"/>
  <c r="G61" i="29"/>
  <c r="M65" i="29"/>
  <c r="G65" i="29"/>
  <c r="M63" i="29"/>
  <c r="G63" i="29"/>
  <c r="M10" i="29"/>
  <c r="G10" i="29"/>
  <c r="L6" i="29"/>
  <c r="M5" i="29"/>
  <c r="G5" i="29"/>
  <c r="P25" i="29" l="1"/>
  <c r="R25" i="29" s="1"/>
  <c r="P30" i="29"/>
  <c r="R30" i="29" s="1"/>
  <c r="P52" i="29"/>
  <c r="R52" i="29" s="1"/>
  <c r="P50" i="29"/>
  <c r="R50" i="29" s="1"/>
  <c r="P45" i="29"/>
  <c r="R45" i="29" s="1"/>
  <c r="P37" i="29"/>
  <c r="R37" i="29" s="1"/>
  <c r="P57" i="29"/>
  <c r="R57" i="29" s="1"/>
  <c r="P34" i="29"/>
  <c r="R34" i="29" s="1"/>
  <c r="P42" i="29"/>
  <c r="R42" i="29" s="1"/>
  <c r="T10" i="29"/>
  <c r="T13" i="29"/>
  <c r="T65" i="29"/>
  <c r="T17" i="29"/>
  <c r="R22" i="29"/>
  <c r="R13" i="29"/>
  <c r="T63" i="29"/>
  <c r="T61" i="29"/>
  <c r="T22" i="29"/>
  <c r="T20" i="29"/>
  <c r="T5" i="29"/>
  <c r="P61" i="29"/>
  <c r="R61" i="29" s="1"/>
  <c r="R17" i="29"/>
  <c r="R20" i="29"/>
  <c r="N5" i="29"/>
  <c r="P5" i="29" s="1"/>
  <c r="R5" i="29" s="1"/>
  <c r="N65" i="29"/>
  <c r="P65" i="29" s="1"/>
  <c r="N63" i="29"/>
  <c r="P63" i="29" s="1"/>
  <c r="N10" i="29"/>
  <c r="P10" i="29" s="1"/>
  <c r="R10" i="29" l="1"/>
  <c r="R63" i="29"/>
  <c r="R65" i="29"/>
  <c r="AO19" i="16" l="1"/>
  <c r="AO20" i="16"/>
  <c r="AO18" i="16"/>
  <c r="AO15" i="16"/>
  <c r="AO22" i="16"/>
  <c r="AO23" i="16"/>
  <c r="AO24" i="16"/>
  <c r="AO25" i="16"/>
  <c r="AO26" i="16"/>
  <c r="AO27" i="16"/>
  <c r="AO28" i="16"/>
  <c r="AO29" i="16"/>
  <c r="AO30" i="16"/>
  <c r="AO31" i="16"/>
  <c r="AO32" i="16"/>
  <c r="AO33" i="16"/>
  <c r="AO34" i="16"/>
  <c r="AO35" i="16"/>
  <c r="AO36" i="16"/>
  <c r="AO37" i="16"/>
  <c r="AO38" i="16"/>
  <c r="AO39" i="16"/>
  <c r="AO40" i="16"/>
  <c r="AO41" i="16"/>
  <c r="AO42" i="16"/>
  <c r="AO43" i="16"/>
  <c r="AO21" i="16"/>
  <c r="AN21" i="15" l="1"/>
  <c r="AN24" i="15"/>
  <c r="AN35" i="15"/>
  <c r="AN39" i="15"/>
  <c r="AN50" i="15"/>
  <c r="AN10" i="15"/>
  <c r="AN11" i="15"/>
  <c r="AN9" i="15"/>
  <c r="AC5" i="15"/>
  <c r="AC7" i="15"/>
  <c r="AC8" i="15"/>
  <c r="AC9" i="15"/>
  <c r="AC10" i="15"/>
  <c r="AC11" i="15"/>
  <c r="E14" i="28"/>
  <c r="E13" i="28"/>
  <c r="E12" i="28"/>
  <c r="E4" i="28"/>
  <c r="E12" i="27"/>
  <c r="E25" i="27"/>
  <c r="E24" i="27"/>
  <c r="B7" i="25" l="1"/>
  <c r="B9" i="25"/>
  <c r="T9" i="25"/>
  <c r="X7" i="25"/>
  <c r="W7" i="25"/>
  <c r="U7" i="25"/>
  <c r="T7" i="25"/>
  <c r="S7" i="25"/>
  <c r="X6" i="25"/>
  <c r="W6" i="25"/>
  <c r="U6" i="25"/>
  <c r="T6" i="25"/>
  <c r="S6" i="25"/>
  <c r="B6" i="25"/>
  <c r="Y67" i="15" l="1"/>
  <c r="Y60" i="15"/>
  <c r="AB9" i="15"/>
  <c r="Q5" i="26" l="1"/>
  <c r="B51" i="26"/>
  <c r="B50" i="26"/>
  <c r="B49" i="26"/>
  <c r="B48" i="26"/>
  <c r="B47" i="26"/>
  <c r="B46" i="26"/>
  <c r="B45" i="26"/>
  <c r="B44" i="26"/>
  <c r="B43" i="26"/>
  <c r="B42" i="26"/>
  <c r="B41" i="26"/>
  <c r="B40" i="26"/>
  <c r="B39" i="26"/>
  <c r="B38" i="26"/>
  <c r="Q8" i="26"/>
  <c r="Q25" i="26" l="1"/>
  <c r="D40" i="26" s="1"/>
  <c r="Q24" i="26"/>
  <c r="Q26" i="26"/>
  <c r="E48" i="26" s="1"/>
  <c r="D42" i="26"/>
  <c r="Q9" i="26"/>
  <c r="E46" i="26" l="1"/>
  <c r="E49" i="26"/>
  <c r="E51" i="26"/>
  <c r="E43" i="26"/>
  <c r="E44" i="26"/>
  <c r="E40" i="26"/>
  <c r="E38" i="26"/>
  <c r="E41" i="26"/>
  <c r="D51" i="26"/>
  <c r="E42" i="26"/>
  <c r="D38" i="26"/>
  <c r="D48" i="26"/>
  <c r="E47" i="26"/>
  <c r="E39" i="26"/>
  <c r="E45" i="26"/>
  <c r="E50" i="26"/>
  <c r="D46" i="26"/>
  <c r="D41" i="26"/>
  <c r="D43" i="26"/>
  <c r="D39" i="26"/>
  <c r="D44" i="26"/>
  <c r="D50" i="26"/>
  <c r="D45" i="26"/>
  <c r="D47" i="26"/>
  <c r="D49" i="26"/>
  <c r="C50" i="26"/>
  <c r="C42" i="26"/>
  <c r="C46" i="26"/>
  <c r="C45" i="26"/>
  <c r="C47" i="26"/>
  <c r="C39" i="26"/>
  <c r="C48" i="26"/>
  <c r="C40" i="26"/>
  <c r="C38" i="26"/>
  <c r="C41" i="26"/>
  <c r="F41" i="26" s="1"/>
  <c r="C51" i="26"/>
  <c r="C43" i="26"/>
  <c r="C49" i="26"/>
  <c r="C44" i="26"/>
  <c r="F38" i="26" l="1"/>
  <c r="F48" i="26"/>
  <c r="F50" i="26"/>
  <c r="F51" i="26"/>
  <c r="F40" i="26"/>
  <c r="F42" i="26"/>
  <c r="F46" i="26"/>
  <c r="F44" i="26"/>
  <c r="F49" i="26"/>
  <c r="F43" i="26"/>
  <c r="F39" i="26"/>
  <c r="F47" i="26"/>
  <c r="F45" i="26"/>
  <c r="Q27" i="26" l="1"/>
  <c r="AQ39" i="15"/>
  <c r="AQ50" i="15"/>
  <c r="AR50" i="15"/>
  <c r="AQ10" i="15"/>
  <c r="AR10" i="15"/>
  <c r="AQ11" i="15"/>
  <c r="AR11" i="15"/>
  <c r="AR9" i="15"/>
  <c r="AQ9" i="15"/>
  <c r="AX9" i="15"/>
  <c r="AX10" i="15"/>
  <c r="AX11" i="15"/>
  <c r="AX7" i="15"/>
  <c r="AX8" i="15"/>
  <c r="AB7" i="15"/>
  <c r="AB8" i="15"/>
  <c r="AB11" i="15"/>
  <c r="AD99" i="15" l="1"/>
  <c r="AF99" i="15" s="1"/>
  <c r="AH99" i="15" s="1"/>
  <c r="AD100" i="15"/>
  <c r="AF100" i="15" s="1"/>
  <c r="AH100" i="15" s="1"/>
  <c r="AD101" i="15"/>
  <c r="AF101" i="15" s="1"/>
  <c r="AH101" i="15" s="1"/>
  <c r="AD102" i="15"/>
  <c r="AF102" i="15" s="1"/>
  <c r="AH102" i="15" s="1"/>
  <c r="AD96" i="15"/>
  <c r="AF96" i="15" s="1"/>
  <c r="AH96" i="15" s="1"/>
  <c r="AD90" i="15"/>
  <c r="AF90" i="15" s="1"/>
  <c r="AH90" i="15" s="1"/>
  <c r="AD91" i="15"/>
  <c r="AF91" i="15" s="1"/>
  <c r="AH91" i="15" s="1"/>
  <c r="AD92" i="15"/>
  <c r="AF92" i="15" s="1"/>
  <c r="AH92" i="15" s="1"/>
  <c r="AD93" i="15"/>
  <c r="AF93" i="15" s="1"/>
  <c r="AH93" i="15" s="1"/>
  <c r="AD94" i="15"/>
  <c r="AF94" i="15" s="1"/>
  <c r="AH94" i="15" s="1"/>
  <c r="AD95" i="15"/>
  <c r="AF95" i="15" s="1"/>
  <c r="AH95" i="15" s="1"/>
  <c r="AD97" i="15"/>
  <c r="AF97" i="15" s="1"/>
  <c r="AH97" i="15" s="1"/>
  <c r="AD85" i="15"/>
  <c r="AF85" i="15" s="1"/>
  <c r="AH85" i="15" s="1"/>
  <c r="AD103" i="15"/>
  <c r="AF103" i="15" s="1"/>
  <c r="AH103" i="15" s="1"/>
  <c r="AD87" i="15"/>
  <c r="AF87" i="15" s="1"/>
  <c r="AH87" i="15" s="1"/>
  <c r="AD89" i="15"/>
  <c r="AF89" i="15" s="1"/>
  <c r="AH89" i="15" s="1"/>
  <c r="AD84" i="15"/>
  <c r="AF84" i="15" s="1"/>
  <c r="AH84" i="15" s="1"/>
  <c r="AD98" i="15"/>
  <c r="AF98" i="15" s="1"/>
  <c r="AH98" i="15" s="1"/>
  <c r="AD104" i="15"/>
  <c r="AF104" i="15" s="1"/>
  <c r="AH104" i="15" s="1"/>
  <c r="AD86" i="15"/>
  <c r="AF86" i="15" s="1"/>
  <c r="AH86" i="15" s="1"/>
  <c r="AD88" i="15"/>
  <c r="AF88" i="15" s="1"/>
  <c r="AH88" i="15" s="1"/>
  <c r="AD83" i="15"/>
  <c r="AF83" i="15" s="1"/>
  <c r="AH83" i="15" s="1"/>
  <c r="AG9" i="15"/>
  <c r="AE11" i="15"/>
  <c r="C9" i="25"/>
  <c r="AE7" i="15"/>
  <c r="AG7" i="15" s="1"/>
  <c r="AE8" i="15"/>
  <c r="AD77" i="15" l="1"/>
  <c r="AF77" i="15" s="1"/>
  <c r="AH77" i="15" s="1"/>
  <c r="AD78" i="15"/>
  <c r="AF78" i="15" s="1"/>
  <c r="AH78" i="15" s="1"/>
  <c r="AD79" i="15"/>
  <c r="AF79" i="15" s="1"/>
  <c r="AH79" i="15" s="1"/>
  <c r="AD80" i="15"/>
  <c r="AF80" i="15" s="1"/>
  <c r="AH80" i="15" s="1"/>
  <c r="AD81" i="15"/>
  <c r="AF81" i="15" s="1"/>
  <c r="AH81" i="15" s="1"/>
  <c r="AD82" i="15"/>
  <c r="AF82" i="15" s="1"/>
  <c r="AH82" i="15" s="1"/>
  <c r="AD72" i="15"/>
  <c r="AF72" i="15" s="1"/>
  <c r="AH72" i="15" s="1"/>
  <c r="AD73" i="15"/>
  <c r="AF73" i="15" s="1"/>
  <c r="AH73" i="15" s="1"/>
  <c r="AD74" i="15"/>
  <c r="AF74" i="15" s="1"/>
  <c r="AH74" i="15" s="1"/>
  <c r="AD75" i="15"/>
  <c r="AF75" i="15" s="1"/>
  <c r="AH75" i="15" s="1"/>
  <c r="AD76" i="15"/>
  <c r="AF76" i="15" s="1"/>
  <c r="AH76" i="15" s="1"/>
  <c r="AG10" i="15"/>
  <c r="AD71" i="15"/>
  <c r="AD70" i="15"/>
  <c r="AD69" i="15"/>
  <c r="AF69" i="15" s="1"/>
  <c r="AH69" i="15" s="1"/>
  <c r="AF70" i="15"/>
  <c r="AH70" i="15" s="1"/>
  <c r="AF71" i="15"/>
  <c r="AH71" i="15" s="1"/>
  <c r="AF68" i="15"/>
  <c r="AH68" i="15" s="1"/>
  <c r="AG11" i="15"/>
  <c r="AG8" i="15"/>
  <c r="Y50" i="15"/>
  <c r="Y39" i="15"/>
  <c r="AQ21" i="15"/>
  <c r="AQ35" i="15"/>
  <c r="AR21" i="15"/>
  <c r="AR24" i="15"/>
  <c r="AR35" i="15"/>
  <c r="AG5" i="15" l="1"/>
  <c r="AD6" i="15" l="1"/>
  <c r="AD9" i="15"/>
  <c r="AD8" i="15"/>
  <c r="AF8" i="15" s="1"/>
  <c r="Y35" i="15"/>
  <c r="Y21" i="15"/>
  <c r="H9" i="25"/>
  <c r="G9" i="25"/>
  <c r="V9" i="25" s="1"/>
  <c r="F9" i="25"/>
  <c r="H7" i="25"/>
  <c r="G7" i="25"/>
  <c r="F7" i="25"/>
  <c r="H6" i="25"/>
  <c r="G6" i="25"/>
  <c r="F6" i="25"/>
  <c r="AH8" i="15" l="1"/>
  <c r="AD51" i="15"/>
  <c r="AF51" i="15" s="1"/>
  <c r="AH51" i="15" s="1"/>
  <c r="AD52" i="15"/>
  <c r="AF52" i="15" s="1"/>
  <c r="AH52" i="15" s="1"/>
  <c r="AD53" i="15"/>
  <c r="AF53" i="15" s="1"/>
  <c r="AH53" i="15" s="1"/>
  <c r="AD54" i="15"/>
  <c r="AF54" i="15" s="1"/>
  <c r="AH54" i="15" s="1"/>
  <c r="AD55" i="15"/>
  <c r="AF55" i="15" s="1"/>
  <c r="AH55" i="15" s="1"/>
  <c r="AD56" i="15"/>
  <c r="AF56" i="15" s="1"/>
  <c r="AH56" i="15" s="1"/>
  <c r="AD57" i="15"/>
  <c r="AF57" i="15" s="1"/>
  <c r="AH57" i="15" s="1"/>
  <c r="AD58" i="15"/>
  <c r="AF58" i="15" s="1"/>
  <c r="AH58" i="15" s="1"/>
  <c r="AD59" i="15"/>
  <c r="AF59" i="15" s="1"/>
  <c r="AH59" i="15" s="1"/>
  <c r="AD50" i="15"/>
  <c r="AF50" i="15" s="1"/>
  <c r="AH50" i="15" s="1"/>
  <c r="AF6" i="15"/>
  <c r="AF9" i="15"/>
  <c r="AF13" i="15"/>
  <c r="AH13" i="15" s="1"/>
  <c r="AF18" i="15"/>
  <c r="AH18" i="15" s="1"/>
  <c r="AF15" i="15"/>
  <c r="AH15" i="15" s="1"/>
  <c r="AF20" i="15"/>
  <c r="AH20" i="15" s="1"/>
  <c r="AF17" i="15"/>
  <c r="AH17" i="15" s="1"/>
  <c r="AF16" i="15"/>
  <c r="AH16" i="15" s="1"/>
  <c r="V6" i="25"/>
  <c r="V7" i="25"/>
  <c r="AD33" i="15" l="1"/>
  <c r="AD34" i="15"/>
  <c r="AD22" i="15"/>
  <c r="AD21" i="15"/>
  <c r="AD24" i="15"/>
  <c r="AD32" i="15"/>
  <c r="AD23" i="15"/>
  <c r="AD25" i="15"/>
  <c r="AD26" i="15"/>
  <c r="AD27" i="15"/>
  <c r="AD28" i="15"/>
  <c r="AD29" i="15"/>
  <c r="AD30" i="15"/>
  <c r="AD31" i="15"/>
  <c r="AH6" i="15"/>
  <c r="AH9" i="15"/>
  <c r="AD60" i="15"/>
  <c r="AF60" i="15" s="1"/>
  <c r="AH60" i="15" s="1"/>
  <c r="AD61" i="15"/>
  <c r="AF61" i="15" s="1"/>
  <c r="AH61" i="15" s="1"/>
  <c r="AD67" i="15"/>
  <c r="AF67" i="15" s="1"/>
  <c r="AH67" i="15" s="1"/>
  <c r="AD66" i="15"/>
  <c r="AF66" i="15" s="1"/>
  <c r="AH66" i="15" s="1"/>
  <c r="AD65" i="15"/>
  <c r="AF65" i="15" s="1"/>
  <c r="AH65" i="15" s="1"/>
  <c r="AD64" i="15"/>
  <c r="AF64" i="15" s="1"/>
  <c r="AH64" i="15" s="1"/>
  <c r="AD63" i="15"/>
  <c r="AF63" i="15" s="1"/>
  <c r="AH63" i="15" s="1"/>
  <c r="AD62" i="15"/>
  <c r="AF62" i="15" s="1"/>
  <c r="AH62" i="15" s="1"/>
  <c r="AH14" i="15"/>
  <c r="AF12" i="15"/>
  <c r="AH12" i="15" s="1"/>
  <c r="AG4" i="15"/>
  <c r="AD10" i="15" l="1"/>
  <c r="AF10" i="15" s="1"/>
  <c r="AD11" i="15"/>
  <c r="AF11" i="15" s="1"/>
  <c r="AH11" i="15" s="1"/>
  <c r="AD7" i="15"/>
  <c r="AF7" i="15" s="1"/>
  <c r="AD37" i="15" l="1"/>
  <c r="AD49" i="15"/>
  <c r="AF49" i="15" s="1"/>
  <c r="AH49" i="15" s="1"/>
  <c r="AD38" i="15"/>
  <c r="AD35" i="15"/>
  <c r="AF35" i="15" s="1"/>
  <c r="AH35" i="15" s="1"/>
  <c r="AD39" i="15"/>
  <c r="AF39" i="15" s="1"/>
  <c r="AH39" i="15" s="1"/>
  <c r="AD48" i="15"/>
  <c r="AF48" i="15" s="1"/>
  <c r="AH48" i="15" s="1"/>
  <c r="AD40" i="15"/>
  <c r="AF40" i="15" s="1"/>
  <c r="AH40" i="15" s="1"/>
  <c r="AD41" i="15"/>
  <c r="AF41" i="15" s="1"/>
  <c r="AH41" i="15" s="1"/>
  <c r="AD42" i="15"/>
  <c r="AF42" i="15" s="1"/>
  <c r="AH42" i="15" s="1"/>
  <c r="AD43" i="15"/>
  <c r="AF43" i="15" s="1"/>
  <c r="AH43" i="15" s="1"/>
  <c r="AD44" i="15"/>
  <c r="AF44" i="15" s="1"/>
  <c r="AH44" i="15" s="1"/>
  <c r="AD45" i="15"/>
  <c r="AF45" i="15" s="1"/>
  <c r="AH45" i="15" s="1"/>
  <c r="AD46" i="15"/>
  <c r="AD36" i="15"/>
  <c r="AF36" i="15" s="1"/>
  <c r="AH36" i="15" s="1"/>
  <c r="AD47" i="15"/>
  <c r="AF47" i="15" s="1"/>
  <c r="AH47" i="15" s="1"/>
  <c r="AF28" i="15"/>
  <c r="AH28" i="15" s="1"/>
  <c r="AF29" i="15"/>
  <c r="AH29" i="15" s="1"/>
  <c r="AF30" i="15"/>
  <c r="AH30" i="15" s="1"/>
  <c r="AF31" i="15"/>
  <c r="AH31" i="15" s="1"/>
  <c r="AF32" i="15"/>
  <c r="AH32" i="15" s="1"/>
  <c r="AF33" i="15"/>
  <c r="AH33" i="15" s="1"/>
  <c r="AF46" i="15"/>
  <c r="AH46" i="15" s="1"/>
  <c r="AF38" i="15"/>
  <c r="AH38" i="15" s="1"/>
  <c r="AF37" i="15"/>
  <c r="AH37" i="15" s="1"/>
  <c r="AH7" i="15"/>
  <c r="AH10" i="15"/>
  <c r="AF34" i="15"/>
  <c r="AH34" i="15" s="1"/>
  <c r="AF26" i="15"/>
  <c r="AH26" i="15" s="1"/>
  <c r="AF22" i="15"/>
  <c r="AH22" i="15" s="1"/>
  <c r="AF27" i="15"/>
  <c r="AH27" i="15" s="1"/>
  <c r="AF25" i="15"/>
  <c r="AH25" i="15" s="1"/>
  <c r="AF23" i="15"/>
  <c r="AH23" i="15" s="1"/>
  <c r="AF24" i="15"/>
  <c r="AH24" i="15" s="1"/>
  <c r="AF21" i="15"/>
  <c r="AH21" i="15" s="1"/>
  <c r="M25" i="7" l="1"/>
  <c r="N25" i="7"/>
  <c r="Q14" i="16" l="1"/>
  <c r="Q16" i="16"/>
  <c r="E5" i="28" l="1"/>
  <c r="Q15" i="16"/>
  <c r="Q17" i="16" s="1"/>
  <c r="AA4" i="15" s="1"/>
  <c r="BQ5" i="7"/>
  <c r="BN5" i="7"/>
  <c r="BN6" i="7"/>
  <c r="BN7" i="7"/>
  <c r="BN8" i="7"/>
  <c r="BL9" i="7"/>
  <c r="BN9" i="7"/>
  <c r="BL10" i="7"/>
  <c r="BN10" i="7"/>
  <c r="BQ6" i="7"/>
  <c r="BL11" i="7"/>
  <c r="BN11" i="7"/>
  <c r="BQ7" i="7"/>
  <c r="BL12" i="7"/>
  <c r="BN12" i="7"/>
  <c r="BQ8" i="7"/>
  <c r="BL13" i="7"/>
  <c r="BN13" i="7"/>
  <c r="BQ9" i="7"/>
  <c r="BL14" i="7"/>
  <c r="BN14" i="7"/>
  <c r="BQ10" i="7"/>
  <c r="BL15" i="7"/>
  <c r="BN15" i="7"/>
  <c r="BQ11" i="7"/>
  <c r="BL16" i="7"/>
  <c r="BN16" i="7"/>
  <c r="BQ12" i="7"/>
  <c r="BL17" i="7"/>
  <c r="BN17" i="7"/>
  <c r="BQ13" i="7"/>
  <c r="BL18" i="7"/>
  <c r="BN18" i="7"/>
  <c r="BQ14" i="7"/>
  <c r="BL19" i="7"/>
  <c r="BN19" i="7"/>
  <c r="BQ15" i="7"/>
  <c r="BL20" i="7"/>
  <c r="BN20" i="7"/>
  <c r="BQ16" i="7"/>
  <c r="BL21" i="7"/>
  <c r="BQ17" i="7"/>
  <c r="BL22" i="7"/>
  <c r="BQ18" i="7"/>
  <c r="BQ19" i="7"/>
  <c r="BQ20" i="7"/>
  <c r="AI4" i="15" l="1"/>
  <c r="AM4" i="15" s="1"/>
  <c r="AA5" i="15"/>
  <c r="AA10" i="15"/>
  <c r="E8" i="28"/>
  <c r="E7" i="28"/>
  <c r="AA11" i="15"/>
  <c r="AA6" i="15"/>
  <c r="AA7" i="15"/>
  <c r="Q18" i="16"/>
  <c r="D6" i="25" s="1"/>
  <c r="M6" i="25" s="1"/>
  <c r="BO5" i="7"/>
  <c r="AA71" i="15" l="1"/>
  <c r="AA69" i="15"/>
  <c r="AA68" i="15"/>
  <c r="AA70" i="15"/>
  <c r="AA16" i="15"/>
  <c r="AA18" i="15"/>
  <c r="AA19" i="15"/>
  <c r="AA12" i="15"/>
  <c r="AA14" i="15"/>
  <c r="AA17" i="15"/>
  <c r="AA20" i="15"/>
  <c r="AA13" i="15"/>
  <c r="AA15" i="15"/>
  <c r="E15" i="28"/>
  <c r="E17" i="28" s="1"/>
  <c r="AA40" i="15"/>
  <c r="AI40" i="15" s="1"/>
  <c r="AM40" i="15" s="1"/>
  <c r="AA39" i="15"/>
  <c r="AA38" i="15"/>
  <c r="AI38" i="15" s="1"/>
  <c r="AM38" i="15" s="1"/>
  <c r="AA49" i="15"/>
  <c r="AI49" i="15" s="1"/>
  <c r="AM49" i="15" s="1"/>
  <c r="AA37" i="15"/>
  <c r="AI37" i="15" s="1"/>
  <c r="AM37" i="15" s="1"/>
  <c r="AA48" i="15"/>
  <c r="AI48" i="15" s="1"/>
  <c r="AM48" i="15" s="1"/>
  <c r="AA36" i="15"/>
  <c r="AI36" i="15" s="1"/>
  <c r="AM36" i="15" s="1"/>
  <c r="AA47" i="15"/>
  <c r="AI47" i="15" s="1"/>
  <c r="AM47" i="15" s="1"/>
  <c r="AA35" i="15"/>
  <c r="AA46" i="15"/>
  <c r="AI46" i="15" s="1"/>
  <c r="AM46" i="15" s="1"/>
  <c r="AA45" i="15"/>
  <c r="AI45" i="15" s="1"/>
  <c r="AM45" i="15" s="1"/>
  <c r="AA44" i="15"/>
  <c r="AI44" i="15" s="1"/>
  <c r="AM44" i="15" s="1"/>
  <c r="AA43" i="15"/>
  <c r="AI43" i="15" s="1"/>
  <c r="AM43" i="15" s="1"/>
  <c r="AA42" i="15"/>
  <c r="AA41" i="15"/>
  <c r="AI41" i="15" s="1"/>
  <c r="AM41" i="15" s="1"/>
  <c r="AA28" i="15"/>
  <c r="AI28" i="15" s="1"/>
  <c r="AM28" i="15" s="1"/>
  <c r="AA27" i="15"/>
  <c r="AA26" i="15"/>
  <c r="AA25" i="15"/>
  <c r="AA24" i="15"/>
  <c r="AI24" i="15" s="1"/>
  <c r="AA23" i="15"/>
  <c r="AI23" i="15" s="1"/>
  <c r="AA34" i="15"/>
  <c r="AI34" i="15" s="1"/>
  <c r="AM34" i="15" s="1"/>
  <c r="AA22" i="15"/>
  <c r="AI22" i="15" s="1"/>
  <c r="AA33" i="15"/>
  <c r="AI33" i="15" s="1"/>
  <c r="AM33" i="15" s="1"/>
  <c r="AA21" i="15"/>
  <c r="AA32" i="15"/>
  <c r="AI32" i="15" s="1"/>
  <c r="AM32" i="15" s="1"/>
  <c r="AA31" i="15"/>
  <c r="AI31" i="15" s="1"/>
  <c r="AM31" i="15" s="1"/>
  <c r="AA30" i="15"/>
  <c r="AI30" i="15" s="1"/>
  <c r="AM30" i="15" s="1"/>
  <c r="AA29" i="15"/>
  <c r="AI29" i="15" s="1"/>
  <c r="AM29" i="15" s="1"/>
  <c r="AA102" i="15"/>
  <c r="AI102" i="15" s="1"/>
  <c r="AM102" i="15" s="1"/>
  <c r="AA90" i="15"/>
  <c r="AI90" i="15" s="1"/>
  <c r="AM90" i="15" s="1"/>
  <c r="AA78" i="15"/>
  <c r="AI78" i="15" s="1"/>
  <c r="AM78" i="15" s="1"/>
  <c r="AA101" i="15"/>
  <c r="AI101" i="15" s="1"/>
  <c r="AM101" i="15" s="1"/>
  <c r="AA89" i="15"/>
  <c r="AA77" i="15"/>
  <c r="AI77" i="15" s="1"/>
  <c r="AM77" i="15" s="1"/>
  <c r="AA100" i="15"/>
  <c r="AI100" i="15" s="1"/>
  <c r="AM100" i="15" s="1"/>
  <c r="AA88" i="15"/>
  <c r="AA76" i="15"/>
  <c r="AI76" i="15" s="1"/>
  <c r="AM76" i="15" s="1"/>
  <c r="AA99" i="15"/>
  <c r="AI99" i="15" s="1"/>
  <c r="AM99" i="15" s="1"/>
  <c r="AA87" i="15"/>
  <c r="AA75" i="15"/>
  <c r="AI75" i="15" s="1"/>
  <c r="AM75" i="15" s="1"/>
  <c r="AA98" i="15"/>
  <c r="AA86" i="15"/>
  <c r="AA74" i="15"/>
  <c r="AA97" i="15"/>
  <c r="AA85" i="15"/>
  <c r="AA73" i="15"/>
  <c r="AA96" i="15"/>
  <c r="AI96" i="15" s="1"/>
  <c r="AM96" i="15" s="1"/>
  <c r="AA84" i="15"/>
  <c r="AA72" i="15"/>
  <c r="AA95" i="15"/>
  <c r="AI95" i="15" s="1"/>
  <c r="AM95" i="15" s="1"/>
  <c r="AA83" i="15"/>
  <c r="AA94" i="15"/>
  <c r="AI94" i="15" s="1"/>
  <c r="AM94" i="15" s="1"/>
  <c r="AA82" i="15"/>
  <c r="AA93" i="15"/>
  <c r="AI93" i="15" s="1"/>
  <c r="AM93" i="15" s="1"/>
  <c r="AA81" i="15"/>
  <c r="AI81" i="15" s="1"/>
  <c r="AM81" i="15" s="1"/>
  <c r="AA104" i="15"/>
  <c r="AA92" i="15"/>
  <c r="AI92" i="15" s="1"/>
  <c r="AM92" i="15" s="1"/>
  <c r="AA80" i="15"/>
  <c r="AI80" i="15" s="1"/>
  <c r="AM80" i="15" s="1"/>
  <c r="AA103" i="15"/>
  <c r="AA91" i="15"/>
  <c r="AI91" i="15" s="1"/>
  <c r="AM91" i="15" s="1"/>
  <c r="AA79" i="15"/>
  <c r="AI79" i="15" s="1"/>
  <c r="AM79" i="15" s="1"/>
  <c r="E19" i="28"/>
  <c r="AI21" i="15"/>
  <c r="AI25" i="15"/>
  <c r="AI26" i="15"/>
  <c r="AI27" i="15"/>
  <c r="AI11" i="15"/>
  <c r="AI70" i="15"/>
  <c r="AI69" i="15"/>
  <c r="AI71" i="15"/>
  <c r="AI68" i="15"/>
  <c r="AI16" i="15"/>
  <c r="AM16" i="15" s="1"/>
  <c r="AI15" i="15"/>
  <c r="AM15" i="15" s="1"/>
  <c r="AI18" i="15"/>
  <c r="AM18" i="15" s="1"/>
  <c r="AI19" i="15"/>
  <c r="AM19" i="15" s="1"/>
  <c r="AI20" i="15"/>
  <c r="AM20" i="15" s="1"/>
  <c r="AI17" i="15"/>
  <c r="AM17" i="15" s="1"/>
  <c r="AI12" i="15"/>
  <c r="AM12" i="15" s="1"/>
  <c r="AI13" i="15"/>
  <c r="AM13" i="15" s="1"/>
  <c r="AI14" i="15"/>
  <c r="AM14" i="15" s="1"/>
  <c r="AA8" i="15"/>
  <c r="AI6" i="15"/>
  <c r="AA55" i="15" l="1"/>
  <c r="AI55" i="15" s="1"/>
  <c r="AM55" i="15" s="1"/>
  <c r="AA59" i="15"/>
  <c r="AA54" i="15"/>
  <c r="AA9" i="15"/>
  <c r="AA58" i="15"/>
  <c r="AI58" i="15" s="1"/>
  <c r="AM58" i="15" s="1"/>
  <c r="AA57" i="15"/>
  <c r="AI57" i="15" s="1"/>
  <c r="AM57" i="15" s="1"/>
  <c r="AA56" i="15"/>
  <c r="AI56" i="15" s="1"/>
  <c r="AM56" i="15" s="1"/>
  <c r="AI87" i="15"/>
  <c r="AM87" i="15" s="1"/>
  <c r="AI89" i="15"/>
  <c r="AM89" i="15" s="1"/>
  <c r="AI84" i="15"/>
  <c r="AM84" i="15" s="1"/>
  <c r="AI98" i="15"/>
  <c r="AM98" i="15" s="1"/>
  <c r="AI104" i="15"/>
  <c r="AM104" i="15" s="1"/>
  <c r="AI86" i="15"/>
  <c r="AM86" i="15" s="1"/>
  <c r="AI103" i="15"/>
  <c r="AM103" i="15" s="1"/>
  <c r="AI88" i="15"/>
  <c r="AM88" i="15" s="1"/>
  <c r="AI83" i="15"/>
  <c r="AM83" i="15" s="1"/>
  <c r="AI97" i="15"/>
  <c r="AM97" i="15" s="1"/>
  <c r="AI85" i="15"/>
  <c r="AM85" i="15" s="1"/>
  <c r="AI9" i="15"/>
  <c r="AM9" i="15" s="1"/>
  <c r="AI82" i="15"/>
  <c r="AI72" i="15"/>
  <c r="AI73" i="15"/>
  <c r="AI74" i="15"/>
  <c r="AI10" i="15"/>
  <c r="AM10" i="15" s="1"/>
  <c r="AI39" i="15"/>
  <c r="AM39" i="15" s="1"/>
  <c r="AI42" i="15"/>
  <c r="AM42" i="15" s="1"/>
  <c r="AI8" i="15"/>
  <c r="AM8" i="15" s="1"/>
  <c r="AA53" i="15"/>
  <c r="AI53" i="15" s="1"/>
  <c r="AM53" i="15" s="1"/>
  <c r="AA52" i="15"/>
  <c r="AI52" i="15" s="1"/>
  <c r="AM52" i="15" s="1"/>
  <c r="AA50" i="15"/>
  <c r="AI50" i="15" s="1"/>
  <c r="AI54" i="15"/>
  <c r="AM54" i="15" s="1"/>
  <c r="AA51" i="15"/>
  <c r="AI51" i="15" s="1"/>
  <c r="AM51" i="15" s="1"/>
  <c r="AI59" i="15"/>
  <c r="AM59" i="15" s="1"/>
  <c r="AM6" i="15"/>
  <c r="D8" i="25"/>
  <c r="M8" i="25" s="1"/>
  <c r="N8" i="25" s="1"/>
  <c r="O8" i="25" s="1"/>
  <c r="Y8" i="25" s="1"/>
  <c r="AI7" i="15"/>
  <c r="AM7" i="15" s="1"/>
  <c r="AI35" i="15"/>
  <c r="AM35" i="15" s="1"/>
  <c r="AM26" i="15"/>
  <c r="AM25" i="15"/>
  <c r="AM27" i="15"/>
  <c r="AM22" i="15"/>
  <c r="AM23" i="15"/>
  <c r="AM11" i="15"/>
  <c r="D13" i="25"/>
  <c r="M13" i="25" s="1"/>
  <c r="N13" i="25" s="1"/>
  <c r="O13" i="25" s="1"/>
  <c r="Y13" i="25" s="1"/>
  <c r="AI5" i="15"/>
  <c r="AM5" i="15" s="1"/>
  <c r="N6" i="25"/>
  <c r="O6" i="25" s="1"/>
  <c r="Y6" i="25" s="1"/>
  <c r="AM24" i="15"/>
  <c r="AM21" i="15"/>
  <c r="AA66" i="15" l="1"/>
  <c r="AI66" i="15" s="1"/>
  <c r="AA65" i="15"/>
  <c r="AI65" i="15" s="1"/>
  <c r="AM65" i="15" s="1"/>
  <c r="AA64" i="15"/>
  <c r="AI64" i="15" s="1"/>
  <c r="AM64" i="15" s="1"/>
  <c r="AA63" i="15"/>
  <c r="AI63" i="15" s="1"/>
  <c r="AM63" i="15" s="1"/>
  <c r="AA62" i="15"/>
  <c r="AI62" i="15" s="1"/>
  <c r="AM62" i="15" s="1"/>
  <c r="AA61" i="15"/>
  <c r="AI61" i="15" s="1"/>
  <c r="AM61" i="15" s="1"/>
  <c r="AA60" i="15"/>
  <c r="AI60" i="15" s="1"/>
  <c r="AM60" i="15" s="1"/>
  <c r="AA67" i="15"/>
  <c r="AI67" i="15" s="1"/>
  <c r="AM67" i="15" s="1"/>
  <c r="D11" i="25"/>
  <c r="M11" i="25" s="1"/>
  <c r="N11" i="25" s="1"/>
  <c r="O11" i="25" s="1"/>
  <c r="Y11" i="25" s="1"/>
  <c r="D7" i="25"/>
  <c r="M7" i="25" s="1"/>
  <c r="N7" i="25" s="1"/>
  <c r="O7" i="25" s="1"/>
  <c r="Y7" i="25" s="1"/>
  <c r="D10" i="25"/>
  <c r="M10" i="25" s="1"/>
  <c r="N10" i="25" s="1"/>
  <c r="O10" i="25" s="1"/>
  <c r="Y10" i="25" s="1"/>
  <c r="D12" i="25"/>
  <c r="M12" i="25" s="1"/>
  <c r="N12" i="25" s="1"/>
  <c r="O12" i="25" s="1"/>
  <c r="Y12" i="25" s="1"/>
  <c r="D9" i="25"/>
  <c r="M9" i="25" s="1"/>
  <c r="N9" i="25" s="1"/>
  <c r="AM66" i="15"/>
  <c r="AM68" i="15"/>
  <c r="AM69" i="15"/>
  <c r="AM70" i="15"/>
  <c r="AM71" i="15"/>
  <c r="AM72" i="15"/>
  <c r="AM73" i="15"/>
  <c r="AM74" i="15"/>
  <c r="AM82" i="15"/>
  <c r="AM50" i="15"/>
  <c r="O9" i="25" l="1"/>
  <c r="Y9" i="2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Utilizador</author>
  </authors>
  <commentList>
    <comment ref="B35" authorId="0" shapeId="0" xr:uid="{924522B6-9D53-416A-B361-A5CE0CB314F3}">
      <text>
        <r>
          <rPr>
            <b/>
            <sz val="9"/>
            <color indexed="81"/>
            <rFont val="Tahoma"/>
            <family val="2"/>
          </rPr>
          <t>Utilizador: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<sst xmlns="http://schemas.openxmlformats.org/spreadsheetml/2006/main" count="3205" uniqueCount="874">
  <si>
    <r>
      <t xml:space="preserve"> </t>
    </r>
    <r>
      <rPr>
        <sz val="11"/>
        <color indexed="8"/>
        <rFont val="Arial"/>
        <family val="2"/>
      </rPr>
      <t xml:space="preserve">10 a 14 </t>
    </r>
    <r>
      <rPr>
        <sz val="11"/>
        <rFont val="Arial"/>
        <family val="2"/>
      </rPr>
      <t xml:space="preserve"> </t>
    </r>
  </si>
  <si>
    <r>
      <rPr>
        <b/>
        <sz val="11"/>
        <color indexed="8"/>
        <rFont val="Arial"/>
        <family val="2"/>
      </rPr>
      <t>Nota:</t>
    </r>
    <r>
      <rPr>
        <sz val="11"/>
        <color indexed="8"/>
        <rFont val="Arial"/>
        <family val="2"/>
      </rPr>
      <t xml:space="preserve"> Para condutores de secção nominal ou superior a 10 mm</t>
    </r>
    <r>
      <rPr>
        <vertAlign val="superscript"/>
        <sz val="11"/>
        <color indexed="8"/>
        <rFont val="Arial"/>
        <family val="2"/>
      </rPr>
      <t>2</t>
    </r>
    <r>
      <rPr>
        <sz val="11"/>
        <color indexed="8"/>
        <rFont val="Arial"/>
        <family val="2"/>
      </rPr>
      <t>, os valores correspondentes a quatro e cinco condutores consideram que, respectivamente, um ou dois condutores são de secção reduzida.</t>
    </r>
  </si>
  <si>
    <t>Condições a verificar</t>
  </si>
  <si>
    <t>N.º de cabos em paralelo</t>
  </si>
  <si>
    <t>Altura
[mm]</t>
  </si>
  <si>
    <t>Largura
[mm]</t>
  </si>
  <si>
    <t>Tipos de caminhos de cabos</t>
  </si>
  <si>
    <t>Tipo de condutores</t>
  </si>
  <si>
    <r>
      <t xml:space="preserve">Dimensões minímas dos tubos do tipo VD para enfiamento </t>
    </r>
    <r>
      <rPr>
        <b/>
        <u/>
        <sz val="11"/>
        <color indexed="8"/>
        <rFont val="Arial"/>
        <family val="2"/>
      </rPr>
      <t>cabos condutores</t>
    </r>
    <r>
      <rPr>
        <b/>
        <sz val="11"/>
        <color indexed="8"/>
        <rFont val="Arial"/>
        <family val="2"/>
      </rPr>
      <t xml:space="preserve"> (nas </t>
    </r>
    <r>
      <rPr>
        <b/>
        <u/>
        <sz val="11"/>
        <color indexed="8"/>
        <rFont val="Arial"/>
        <family val="2"/>
      </rPr>
      <t>Colunas Montantes</t>
    </r>
    <r>
      <rPr>
        <b/>
        <sz val="11"/>
        <color indexed="8"/>
        <rFont val="Arial"/>
        <family val="2"/>
      </rPr>
      <t xml:space="preserve"> e </t>
    </r>
    <r>
      <rPr>
        <b/>
        <u/>
        <sz val="11"/>
        <color indexed="8"/>
        <rFont val="Arial"/>
        <family val="2"/>
      </rPr>
      <t>Entradas</t>
    </r>
    <r>
      <rPr>
        <b/>
        <sz val="11"/>
        <color indexed="8"/>
        <rFont val="Arial"/>
        <family val="2"/>
      </rPr>
      <t>)</t>
    </r>
  </si>
  <si>
    <r>
      <t xml:space="preserve">Dimensões minímas dos tubos do tipo VD para enfiamento de </t>
    </r>
    <r>
      <rPr>
        <b/>
        <u/>
        <sz val="11"/>
        <color indexed="8"/>
        <rFont val="Arial"/>
        <family val="2"/>
      </rPr>
      <t>fios condutores</t>
    </r>
    <r>
      <rPr>
        <b/>
        <sz val="11"/>
        <color indexed="8"/>
        <rFont val="Arial"/>
        <family val="2"/>
      </rPr>
      <t xml:space="preserve"> (nas </t>
    </r>
    <r>
      <rPr>
        <b/>
        <u/>
        <sz val="11"/>
        <color indexed="8"/>
        <rFont val="Arial"/>
        <family val="2"/>
      </rPr>
      <t>Colunas Montantes</t>
    </r>
    <r>
      <rPr>
        <b/>
        <sz val="11"/>
        <color indexed="8"/>
        <rFont val="Arial"/>
        <family val="2"/>
      </rPr>
      <t xml:space="preserve"> e </t>
    </r>
    <r>
      <rPr>
        <b/>
        <u/>
        <sz val="11"/>
        <color indexed="8"/>
        <rFont val="Arial"/>
        <family val="2"/>
      </rPr>
      <t>Entradas</t>
    </r>
    <r>
      <rPr>
        <b/>
        <sz val="11"/>
        <color indexed="8"/>
        <rFont val="Arial"/>
        <family val="2"/>
      </rPr>
      <t>)</t>
    </r>
  </si>
  <si>
    <r>
      <t xml:space="preserve">Dimensões minímas dos tubos do tipo VD para enfiamento de </t>
    </r>
    <r>
      <rPr>
        <b/>
        <u/>
        <sz val="11"/>
        <color indexed="8"/>
        <rFont val="Arial"/>
        <family val="2"/>
      </rPr>
      <t>fios condutores</t>
    </r>
    <r>
      <rPr>
        <b/>
        <sz val="11"/>
        <color indexed="8"/>
        <rFont val="Arial"/>
        <family val="2"/>
      </rPr>
      <t xml:space="preserve"> (</t>
    </r>
    <r>
      <rPr>
        <b/>
        <u/>
        <sz val="11"/>
        <color indexed="8"/>
        <rFont val="Arial"/>
        <family val="2"/>
      </rPr>
      <t>canalizações embebidas</t>
    </r>
    <r>
      <rPr>
        <b/>
        <sz val="11"/>
        <color indexed="8"/>
        <rFont val="Arial"/>
        <family val="2"/>
      </rPr>
      <t>)</t>
    </r>
  </si>
  <si>
    <r>
      <t xml:space="preserve">Dimensões minímas dos tubos do tipo VD para enfiamento </t>
    </r>
    <r>
      <rPr>
        <b/>
        <u/>
        <sz val="11"/>
        <color indexed="8"/>
        <rFont val="Arial"/>
        <family val="2"/>
      </rPr>
      <t>cabos condutores</t>
    </r>
    <r>
      <rPr>
        <b/>
        <sz val="11"/>
        <color indexed="8"/>
        <rFont val="Arial"/>
        <family val="2"/>
      </rPr>
      <t xml:space="preserve"> (canalizações embebidas)</t>
    </r>
  </si>
  <si>
    <t>Fio/Canalizações</t>
  </si>
  <si>
    <t>Cabo/Canalizações</t>
  </si>
  <si>
    <t>Fio / Monofásico</t>
  </si>
  <si>
    <t>Fio / Trifásico</t>
  </si>
  <si>
    <t>Cabo / Monofásico</t>
  </si>
  <si>
    <t>Cabo / Trifásico</t>
  </si>
  <si>
    <t>Canalizações</t>
  </si>
  <si>
    <t>Diâmetro dos tubos a instalar mediante o tipo de canalização e o fim a que se destina:</t>
  </si>
  <si>
    <t>Colunas/Entradas</t>
  </si>
  <si>
    <t>Fio/Colunas&amp;Entradas</t>
  </si>
  <si>
    <t>Cabo/Colunas&amp;Entradas</t>
  </si>
  <si>
    <t>/</t>
  </si>
  <si>
    <t>mm</t>
  </si>
  <si>
    <t>Cálculos para dimensionamento de tubagens</t>
  </si>
  <si>
    <t>Diâmetro Cabo</t>
  </si>
  <si>
    <t>Diâmetro Tubo</t>
  </si>
  <si>
    <t>Secção Condutores</t>
  </si>
  <si>
    <r>
      <t>Secção Tubo
(s</t>
    </r>
    <r>
      <rPr>
        <b/>
        <vertAlign val="subscript"/>
        <sz val="11"/>
        <color indexed="8"/>
        <rFont val="Arial"/>
        <family val="2"/>
      </rPr>
      <t>c</t>
    </r>
    <r>
      <rPr>
        <b/>
        <sz val="11"/>
        <color indexed="8"/>
        <rFont val="Arial"/>
        <family val="2"/>
      </rPr>
      <t>)</t>
    </r>
  </si>
  <si>
    <r>
      <t>Relação 
(s</t>
    </r>
    <r>
      <rPr>
        <b/>
        <vertAlign val="subscript"/>
        <sz val="11"/>
        <color indexed="8"/>
        <rFont val="Arial"/>
        <family val="2"/>
      </rPr>
      <t>c</t>
    </r>
    <r>
      <rPr>
        <b/>
        <sz val="11"/>
        <color indexed="8"/>
        <rFont val="Arial"/>
        <family val="2"/>
      </rPr>
      <t>/s</t>
    </r>
    <r>
      <rPr>
        <b/>
        <vertAlign val="subscript"/>
        <sz val="11"/>
        <color indexed="8"/>
        <rFont val="Arial"/>
        <family val="2"/>
      </rPr>
      <t>t</t>
    </r>
    <r>
      <rPr>
        <b/>
        <sz val="11"/>
        <color indexed="8"/>
        <rFont val="Arial"/>
        <family val="2"/>
      </rPr>
      <t>)</t>
    </r>
  </si>
  <si>
    <r>
      <t>Secção Tubo
(s</t>
    </r>
    <r>
      <rPr>
        <b/>
        <vertAlign val="subscript"/>
        <sz val="11"/>
        <color indexed="8"/>
        <rFont val="Arial"/>
        <family val="2"/>
      </rPr>
      <t>t</t>
    </r>
    <r>
      <rPr>
        <b/>
        <sz val="11"/>
        <color indexed="8"/>
        <rFont val="Arial"/>
        <family val="2"/>
      </rPr>
      <t>)</t>
    </r>
  </si>
  <si>
    <t>Esteira perfurada</t>
  </si>
  <si>
    <t>Esteira não perfurada</t>
  </si>
  <si>
    <t>Esteira aramada</t>
  </si>
  <si>
    <t>Caleira (chão)</t>
  </si>
  <si>
    <t>Calha técnica</t>
  </si>
  <si>
    <t>Tipo</t>
  </si>
  <si>
    <t>Dimensões normalizadas de caminhos de cabos</t>
  </si>
  <si>
    <t>Coeficientes de simultaneidade
(secção 803.2.4.3.2 das RTIEBT)</t>
  </si>
  <si>
    <t>BCT</t>
  </si>
  <si>
    <t>BAT</t>
  </si>
  <si>
    <t>BBT</t>
  </si>
  <si>
    <t>In</t>
  </si>
  <si>
    <t>Base de fusíveis</t>
  </si>
  <si>
    <t>≤160A</t>
  </si>
  <si>
    <t>200 - 400A</t>
  </si>
  <si>
    <t>500 e 630A</t>
  </si>
  <si>
    <t>≥630A</t>
  </si>
  <si>
    <t>00</t>
  </si>
  <si>
    <t>Quadros de Colunas: Tipos e características:</t>
  </si>
  <si>
    <t>Caixas de Barramento (CBR) (NP-1271)</t>
  </si>
  <si>
    <t>Largura</t>
  </si>
  <si>
    <t>Altura</t>
  </si>
  <si>
    <t>Profundidade</t>
  </si>
  <si>
    <t>Dimensões mínimas (mm)</t>
  </si>
  <si>
    <t>BAD</t>
  </si>
  <si>
    <t>BBD</t>
  </si>
  <si>
    <t>BCD</t>
  </si>
  <si>
    <t>Intensidade
Estipulada (A)</t>
  </si>
  <si>
    <t>Caixas de protecção de saídas (CPS) (NP-1271)</t>
  </si>
  <si>
    <t>PA</t>
  </si>
  <si>
    <t>PB</t>
  </si>
  <si>
    <t>PC</t>
  </si>
  <si>
    <t>PD</t>
  </si>
  <si>
    <t>PE</t>
  </si>
  <si>
    <t>PF</t>
  </si>
  <si>
    <t>1x32</t>
  </si>
  <si>
    <t>1x100 (a)</t>
  </si>
  <si>
    <t>2x100 (a)</t>
  </si>
  <si>
    <t>1x250 (b)</t>
  </si>
  <si>
    <t>1x100 (a)+ 1x250 (b)</t>
  </si>
  <si>
    <t xml:space="preserve">1x400 (c) </t>
  </si>
  <si>
    <t>a) Fusíveis APC tamanho 00</t>
  </si>
  <si>
    <t>b) Fusíveis APC tamanho 1</t>
  </si>
  <si>
    <t>c) Fusíveis APC tamanho 2</t>
  </si>
  <si>
    <t>GA</t>
  </si>
  <si>
    <t>GB</t>
  </si>
  <si>
    <t>GC</t>
  </si>
  <si>
    <t>GD</t>
  </si>
  <si>
    <t>GE</t>
  </si>
  <si>
    <t>GF</t>
  </si>
  <si>
    <t>GG</t>
  </si>
  <si>
    <t>Caixas de Coluna (NP-1271)</t>
  </si>
  <si>
    <t>I (A) por saída</t>
  </si>
  <si>
    <t>Tipo caixa</t>
  </si>
  <si>
    <t>N.º Saídas</t>
  </si>
  <si>
    <t>CAD</t>
  </si>
  <si>
    <t>CAQ</t>
  </si>
  <si>
    <t>CBD</t>
  </si>
  <si>
    <t>CBQ</t>
  </si>
  <si>
    <t>Caixas de Corte Geral (CCG) (NP-1271)</t>
  </si>
  <si>
    <t>Grandeza a considerar</t>
  </si>
  <si>
    <t>Valor</t>
  </si>
  <si>
    <t>kV</t>
  </si>
  <si>
    <t>Tensão nominal primária</t>
  </si>
  <si>
    <t>Tensão nominal secundária</t>
  </si>
  <si>
    <r>
      <t>(U</t>
    </r>
    <r>
      <rPr>
        <b/>
        <vertAlign val="subscript"/>
        <sz val="12"/>
        <rFont val="Arial"/>
        <family val="2"/>
      </rPr>
      <t>n1</t>
    </r>
    <r>
      <rPr>
        <b/>
        <sz val="12"/>
        <rFont val="Arial"/>
        <family val="2"/>
      </rPr>
      <t>)</t>
    </r>
  </si>
  <si>
    <r>
      <t>(U</t>
    </r>
    <r>
      <rPr>
        <b/>
        <vertAlign val="subscript"/>
        <sz val="12"/>
        <rFont val="Arial"/>
        <family val="2"/>
      </rPr>
      <t>n2</t>
    </r>
    <r>
      <rPr>
        <b/>
        <sz val="12"/>
        <rFont val="Arial"/>
        <family val="2"/>
      </rPr>
      <t>)</t>
    </r>
  </si>
  <si>
    <t>Número de transformadores a instalar no posto de transformação</t>
  </si>
  <si>
    <t>Potência nominal dos transformadores</t>
  </si>
  <si>
    <r>
      <t>(n</t>
    </r>
    <r>
      <rPr>
        <b/>
        <vertAlign val="subscript"/>
        <sz val="12"/>
        <rFont val="Arial"/>
        <family val="2"/>
      </rPr>
      <t>i</t>
    </r>
    <r>
      <rPr>
        <b/>
        <sz val="12"/>
        <rFont val="Arial"/>
        <family val="2"/>
      </rPr>
      <t>)</t>
    </r>
  </si>
  <si>
    <r>
      <t>(S</t>
    </r>
    <r>
      <rPr>
        <b/>
        <vertAlign val="subscript"/>
        <sz val="12"/>
        <rFont val="Arial"/>
        <family val="2"/>
      </rPr>
      <t>nt</t>
    </r>
    <r>
      <rPr>
        <b/>
        <sz val="12"/>
        <rFont val="Arial"/>
        <family val="2"/>
      </rPr>
      <t>)</t>
    </r>
  </si>
  <si>
    <t>Potência instalada</t>
  </si>
  <si>
    <t>kVA</t>
  </si>
  <si>
    <t>Factor de tensão</t>
  </si>
  <si>
    <t>Tensão de curto-circuito dos transformadores</t>
  </si>
  <si>
    <t>(c)</t>
  </si>
  <si>
    <t>%</t>
  </si>
  <si>
    <t>Potência de curto-circuito na origem da instalação</t>
  </si>
  <si>
    <t>MVA</t>
  </si>
  <si>
    <t>Impedância de curto-circuito da rede eléctrica a montante da origem da instalação</t>
  </si>
  <si>
    <t>Ω</t>
  </si>
  <si>
    <t>Corrente de curto-circuito trifásico e simétrico na origem da instalação</t>
  </si>
  <si>
    <t>kA</t>
  </si>
  <si>
    <t>Impedância de curto-circuito dos transformadores de potência</t>
  </si>
  <si>
    <r>
      <t>(S</t>
    </r>
    <r>
      <rPr>
        <b/>
        <vertAlign val="subscript"/>
        <sz val="12"/>
        <rFont val="Arial"/>
        <family val="2"/>
      </rPr>
      <t>cc1</t>
    </r>
    <r>
      <rPr>
        <b/>
        <sz val="12"/>
        <rFont val="Arial"/>
        <family val="2"/>
      </rPr>
      <t>)</t>
    </r>
  </si>
  <si>
    <r>
      <t>(ε</t>
    </r>
    <r>
      <rPr>
        <b/>
        <vertAlign val="subscript"/>
        <sz val="12"/>
        <rFont val="Arial"/>
        <family val="2"/>
      </rPr>
      <t>cc</t>
    </r>
    <r>
      <rPr>
        <b/>
        <sz val="12"/>
        <rFont val="Arial"/>
        <family val="2"/>
      </rPr>
      <t>)</t>
    </r>
  </si>
  <si>
    <t>Impedância de curto-circuito ao secundário dos transformadores de potência</t>
  </si>
  <si>
    <t>Corrente de curto-circuito trifásico e simétrico ao secundário dos transformadores de potência</t>
  </si>
  <si>
    <t>Poderes de corte
da aparelhagem
[kA]</t>
  </si>
  <si>
    <t>axb (mm)</t>
  </si>
  <si>
    <t>p (kgf/m)</t>
  </si>
  <si>
    <t>Troços a evitar</t>
  </si>
  <si>
    <t>45-55 Hz</t>
  </si>
  <si>
    <t>90-110 Hz</t>
  </si>
  <si>
    <t>12x2</t>
  </si>
  <si>
    <t>92-102</t>
  </si>
  <si>
    <t>65-72</t>
  </si>
  <si>
    <t>15x2</t>
  </si>
  <si>
    <t>103-115</t>
  </si>
  <si>
    <t>73-81</t>
  </si>
  <si>
    <t>15x3</t>
  </si>
  <si>
    <t>20x2</t>
  </si>
  <si>
    <t>119-132</t>
  </si>
  <si>
    <t>83-93</t>
  </si>
  <si>
    <t>20x3</t>
  </si>
  <si>
    <t>20x5</t>
  </si>
  <si>
    <t>25x3</t>
  </si>
  <si>
    <t>133-148</t>
  </si>
  <si>
    <t>94-104</t>
  </si>
  <si>
    <t>25x5</t>
  </si>
  <si>
    <t>30x3</t>
  </si>
  <si>
    <t>146-162</t>
  </si>
  <si>
    <t>103-114</t>
  </si>
  <si>
    <t>30x5</t>
  </si>
  <si>
    <t>40x3</t>
  </si>
  <si>
    <t>168-186</t>
  </si>
  <si>
    <t>40x5</t>
  </si>
  <si>
    <t>40x10</t>
  </si>
  <si>
    <t>50x5</t>
  </si>
  <si>
    <t>188-218</t>
  </si>
  <si>
    <t>50x10</t>
  </si>
  <si>
    <t>60x5</t>
  </si>
  <si>
    <t>206-229</t>
  </si>
  <si>
    <t>146-161</t>
  </si>
  <si>
    <t>60x10</t>
  </si>
  <si>
    <t>80x5</t>
  </si>
  <si>
    <t>238-261</t>
  </si>
  <si>
    <t>80x10</t>
  </si>
  <si>
    <t>238-264</t>
  </si>
  <si>
    <t>100x5</t>
  </si>
  <si>
    <t>265-295</t>
  </si>
  <si>
    <t>188-208</t>
  </si>
  <si>
    <t>100x10</t>
  </si>
  <si>
    <r>
      <t>s (mm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)</t>
    </r>
  </si>
  <si>
    <r>
      <t>W (cm</t>
    </r>
    <r>
      <rPr>
        <b/>
        <vertAlign val="superscript"/>
        <sz val="11"/>
        <rFont val="Arial"/>
        <family val="2"/>
      </rPr>
      <t>3</t>
    </r>
    <r>
      <rPr>
        <b/>
        <sz val="11"/>
        <rFont val="Arial"/>
        <family val="2"/>
      </rPr>
      <t>)</t>
    </r>
  </si>
  <si>
    <r>
      <t>I (cm</t>
    </r>
    <r>
      <rPr>
        <b/>
        <vertAlign val="superscript"/>
        <sz val="11"/>
        <rFont val="Arial"/>
        <family val="2"/>
      </rPr>
      <t>4</t>
    </r>
    <r>
      <rPr>
        <b/>
        <sz val="11"/>
        <rFont val="Arial"/>
        <family val="2"/>
      </rPr>
      <t>)</t>
    </r>
  </si>
  <si>
    <r>
      <t>I</t>
    </r>
    <r>
      <rPr>
        <b/>
        <vertAlign val="subscript"/>
        <sz val="11"/>
        <rFont val="Arial"/>
        <family val="2"/>
      </rPr>
      <t>máx</t>
    </r>
    <r>
      <rPr>
        <b/>
        <sz val="11"/>
        <rFont val="Arial"/>
        <family val="2"/>
      </rPr>
      <t xml:space="preserve"> (A)</t>
    </r>
  </si>
  <si>
    <t>BARRAMENTOS</t>
  </si>
  <si>
    <t>37-42</t>
  </si>
  <si>
    <t>26-30</t>
  </si>
  <si>
    <t>46-51</t>
  </si>
  <si>
    <t>32-36</t>
  </si>
  <si>
    <t>60-66</t>
  </si>
  <si>
    <t>42-47</t>
  </si>
  <si>
    <t>84-93</t>
  </si>
  <si>
    <t>59-66</t>
  </si>
  <si>
    <t>84-83</t>
  </si>
  <si>
    <t>107-120</t>
  </si>
  <si>
    <t>76-85</t>
  </si>
  <si>
    <t>120-135</t>
  </si>
  <si>
    <t>85-95</t>
  </si>
  <si>
    <t>139-155</t>
  </si>
  <si>
    <t>97-109</t>
  </si>
  <si>
    <t>155-174</t>
  </si>
  <si>
    <t>109-122</t>
  </si>
  <si>
    <t>170-190</t>
  </si>
  <si>
    <t>120-134</t>
  </si>
  <si>
    <t>196-218</t>
  </si>
  <si>
    <t>219-256</t>
  </si>
  <si>
    <t>241-268</t>
  </si>
  <si>
    <t>170-189</t>
  </si>
  <si>
    <t>278-309</t>
  </si>
  <si>
    <t>310-346</t>
  </si>
  <si>
    <t>219-244</t>
  </si>
  <si>
    <r>
      <rPr>
        <b/>
        <sz val="11"/>
        <rFont val="Arial"/>
        <family val="2"/>
      </rPr>
      <t xml:space="preserve">Barras rectangulares na posição horizontal ("ao baixo"), </t>
    </r>
    <r>
      <rPr>
        <b/>
        <u/>
        <sz val="11"/>
        <rFont val="Arial"/>
        <family val="2"/>
      </rPr>
      <t>em Cobre</t>
    </r>
    <r>
      <rPr>
        <b/>
        <sz val="11"/>
        <rFont val="Arial"/>
        <family val="2"/>
      </rPr>
      <t xml:space="preserve"> "Não Pintadas"</t>
    </r>
  </si>
  <si>
    <r>
      <t xml:space="preserve">Barras rectangulares na posição vertical ("ao alto" ou "em cutelo"), </t>
    </r>
    <r>
      <rPr>
        <b/>
        <u/>
        <sz val="11"/>
        <rFont val="Arial"/>
        <family val="2"/>
      </rPr>
      <t xml:space="preserve">em Cobre </t>
    </r>
    <r>
      <rPr>
        <b/>
        <sz val="11"/>
        <rFont val="Arial"/>
        <family val="2"/>
      </rPr>
      <t>"Não Pintadas"</t>
    </r>
  </si>
  <si>
    <r>
      <t xml:space="preserve">Barras rectangulares na posição horizontal ("ao baixo"), </t>
    </r>
    <r>
      <rPr>
        <b/>
        <u/>
        <sz val="11"/>
        <rFont val="Arial"/>
        <family val="2"/>
      </rPr>
      <t>em Alumínio</t>
    </r>
    <r>
      <rPr>
        <b/>
        <sz val="11"/>
        <rFont val="Arial"/>
        <family val="2"/>
      </rPr>
      <t xml:space="preserve"> "Não Pintadas"</t>
    </r>
  </si>
  <si>
    <t>43-49</t>
  </si>
  <si>
    <t>31-35</t>
  </si>
  <si>
    <t>53-60</t>
  </si>
  <si>
    <t>37-43</t>
  </si>
  <si>
    <t>70-78</t>
  </si>
  <si>
    <t>49-55</t>
  </si>
  <si>
    <t>98-109</t>
  </si>
  <si>
    <t>69-78</t>
  </si>
  <si>
    <t>49-78</t>
  </si>
  <si>
    <r>
      <t xml:space="preserve">Barras rectangulares na posição vertical ("ao alto" ou "em cutelo"), </t>
    </r>
    <r>
      <rPr>
        <b/>
        <u/>
        <sz val="11"/>
        <rFont val="Arial"/>
        <family val="2"/>
      </rPr>
      <t xml:space="preserve">em Alumínio </t>
    </r>
    <r>
      <rPr>
        <b/>
        <sz val="11"/>
        <rFont val="Arial"/>
        <family val="2"/>
      </rPr>
      <t>"Não Pintadas"</t>
    </r>
  </si>
  <si>
    <t>8</t>
  </si>
  <si>
    <t>69-77</t>
  </si>
  <si>
    <t>10</t>
  </si>
  <si>
    <t>77-86</t>
  </si>
  <si>
    <t>55-61</t>
  </si>
  <si>
    <t>13</t>
  </si>
  <si>
    <t>89-98</t>
  </si>
  <si>
    <t>63-70</t>
  </si>
  <si>
    <t>16</t>
  </si>
  <si>
    <t>70-77</t>
  </si>
  <si>
    <t>20</t>
  </si>
  <si>
    <t>110-122</t>
  </si>
  <si>
    <t>25</t>
  </si>
  <si>
    <t>121-134</t>
  </si>
  <si>
    <t>30</t>
  </si>
  <si>
    <t>135-149</t>
  </si>
  <si>
    <t>95-106</t>
  </si>
  <si>
    <t>Ф (mm)</t>
  </si>
  <si>
    <t>80-90</t>
  </si>
  <si>
    <t>57-64</t>
  </si>
  <si>
    <t>90-100</t>
  </si>
  <si>
    <t>64-71</t>
  </si>
  <si>
    <t>104-115</t>
  </si>
  <si>
    <t>73-82</t>
  </si>
  <si>
    <t>115-128</t>
  </si>
  <si>
    <t>82-90</t>
  </si>
  <si>
    <t>129-143</t>
  </si>
  <si>
    <t>143-159</t>
  </si>
  <si>
    <t>101-113</t>
  </si>
  <si>
    <t>157-174</t>
  </si>
  <si>
    <t>111-123</t>
  </si>
  <si>
    <r>
      <t xml:space="preserve">Barras em varetas circulares, </t>
    </r>
    <r>
      <rPr>
        <b/>
        <u/>
        <sz val="11"/>
        <rFont val="Arial"/>
        <family val="2"/>
      </rPr>
      <t>em Alumínio</t>
    </r>
    <r>
      <rPr>
        <b/>
        <sz val="11"/>
        <rFont val="Arial"/>
        <family val="2"/>
      </rPr>
      <t>, "Não Pintadas"</t>
    </r>
  </si>
  <si>
    <r>
      <t xml:space="preserve">Barras em varetas circulares, </t>
    </r>
    <r>
      <rPr>
        <b/>
        <u/>
        <sz val="11"/>
        <rFont val="Arial"/>
        <family val="2"/>
      </rPr>
      <t>em Cobre</t>
    </r>
    <r>
      <rPr>
        <b/>
        <sz val="11"/>
        <rFont val="Arial"/>
        <family val="2"/>
      </rPr>
      <t>, "Não Pintadas"</t>
    </r>
  </si>
  <si>
    <t>Cobre</t>
  </si>
  <si>
    <t>Tipo de circuito</t>
  </si>
  <si>
    <t>Monofásico</t>
  </si>
  <si>
    <t>Alumínio</t>
  </si>
  <si>
    <t>Trifásico</t>
  </si>
  <si>
    <t>Quadro 52-C1</t>
  </si>
  <si>
    <r>
      <t xml:space="preserve"> </t>
    </r>
    <r>
      <rPr>
        <sz val="11"/>
        <color indexed="8"/>
        <rFont val="Arial"/>
        <family val="2"/>
      </rPr>
      <t xml:space="preserve">1,5 </t>
    </r>
    <r>
      <rPr>
        <sz val="11"/>
        <rFont val="Arial"/>
        <family val="2"/>
      </rPr>
      <t xml:space="preserve"> </t>
    </r>
  </si>
  <si>
    <r>
      <t xml:space="preserve"> </t>
    </r>
    <r>
      <rPr>
        <sz val="11"/>
        <color indexed="8"/>
        <rFont val="Arial"/>
        <family val="2"/>
      </rPr>
      <t xml:space="preserve">2,5 </t>
    </r>
    <r>
      <rPr>
        <sz val="11"/>
        <rFont val="Arial"/>
        <family val="2"/>
      </rPr>
      <t xml:space="preserve"> </t>
    </r>
  </si>
  <si>
    <r>
      <t xml:space="preserve"> </t>
    </r>
    <r>
      <rPr>
        <sz val="11"/>
        <color indexed="8"/>
        <rFont val="Arial"/>
        <family val="2"/>
      </rPr>
      <t xml:space="preserve">4 </t>
    </r>
    <r>
      <rPr>
        <sz val="11"/>
        <rFont val="Arial"/>
        <family val="2"/>
      </rPr>
      <t xml:space="preserve"> </t>
    </r>
  </si>
  <si>
    <r>
      <t xml:space="preserve"> </t>
    </r>
    <r>
      <rPr>
        <sz val="11"/>
        <color indexed="8"/>
        <rFont val="Arial"/>
        <family val="2"/>
      </rPr>
      <t xml:space="preserve">6 </t>
    </r>
    <r>
      <rPr>
        <sz val="11"/>
        <rFont val="Arial"/>
        <family val="2"/>
      </rPr>
      <t xml:space="preserve"> </t>
    </r>
  </si>
  <si>
    <r>
      <t xml:space="preserve"> </t>
    </r>
    <r>
      <rPr>
        <sz val="11"/>
        <color indexed="8"/>
        <rFont val="Arial"/>
        <family val="2"/>
      </rPr>
      <t xml:space="preserve">---- </t>
    </r>
    <r>
      <rPr>
        <sz val="11"/>
        <rFont val="Arial"/>
        <family val="2"/>
      </rPr>
      <t xml:space="preserve"> </t>
    </r>
  </si>
  <si>
    <r>
      <t xml:space="preserve"> </t>
    </r>
    <r>
      <rPr>
        <b/>
        <sz val="11"/>
        <color indexed="8"/>
        <rFont val="Arial"/>
        <family val="2"/>
      </rPr>
      <t>Secção Nominal dos Condutores (mm</t>
    </r>
    <r>
      <rPr>
        <b/>
        <vertAlign val="superscript"/>
        <sz val="11"/>
        <color indexed="8"/>
        <rFont val="Arial"/>
        <family val="2"/>
      </rPr>
      <t>2</t>
    </r>
    <r>
      <rPr>
        <b/>
        <sz val="11"/>
        <color indexed="8"/>
        <rFont val="Arial"/>
        <family val="2"/>
      </rPr>
      <t xml:space="preserve">) </t>
    </r>
    <r>
      <rPr>
        <b/>
        <sz val="11"/>
        <rFont val="Arial"/>
        <family val="2"/>
      </rPr>
      <t xml:space="preserve"> </t>
    </r>
  </si>
  <si>
    <r>
      <t xml:space="preserve"> </t>
    </r>
    <r>
      <rPr>
        <b/>
        <sz val="11"/>
        <color indexed="8"/>
        <rFont val="Arial"/>
        <family val="2"/>
      </rPr>
      <t xml:space="preserve">Método de referência </t>
    </r>
    <r>
      <rPr>
        <b/>
        <sz val="11"/>
        <rFont val="Arial"/>
        <family val="2"/>
      </rPr>
      <t xml:space="preserve"> </t>
    </r>
  </si>
  <si>
    <r>
      <t xml:space="preserve"> </t>
    </r>
    <r>
      <rPr>
        <b/>
        <sz val="11"/>
        <color indexed="8"/>
        <rFont val="Arial"/>
        <family val="2"/>
      </rPr>
      <t xml:space="preserve">Condutores de cobre </t>
    </r>
    <r>
      <rPr>
        <b/>
        <sz val="11"/>
        <rFont val="Arial"/>
        <family val="2"/>
      </rPr>
      <t xml:space="preserve"> </t>
    </r>
  </si>
  <si>
    <r>
      <t xml:space="preserve"> </t>
    </r>
    <r>
      <rPr>
        <b/>
        <sz val="11"/>
        <color indexed="8"/>
        <rFont val="Arial"/>
        <family val="2"/>
      </rPr>
      <t xml:space="preserve">A </t>
    </r>
    <r>
      <rPr>
        <b/>
        <sz val="11"/>
        <rFont val="Arial"/>
        <family val="2"/>
      </rPr>
      <t xml:space="preserve"> </t>
    </r>
  </si>
  <si>
    <r>
      <t xml:space="preserve"> </t>
    </r>
    <r>
      <rPr>
        <b/>
        <sz val="11"/>
        <color indexed="8"/>
        <rFont val="Arial"/>
        <family val="2"/>
      </rPr>
      <t xml:space="preserve">B </t>
    </r>
    <r>
      <rPr>
        <b/>
        <sz val="11"/>
        <rFont val="Arial"/>
        <family val="2"/>
      </rPr>
      <t xml:space="preserve"> </t>
    </r>
  </si>
  <si>
    <r>
      <t xml:space="preserve"> </t>
    </r>
    <r>
      <rPr>
        <b/>
        <sz val="11"/>
        <color indexed="8"/>
        <rFont val="Arial"/>
        <family val="2"/>
      </rPr>
      <t xml:space="preserve">C (*) </t>
    </r>
    <r>
      <rPr>
        <b/>
        <sz val="11"/>
        <rFont val="Arial"/>
        <family val="2"/>
      </rPr>
      <t xml:space="preserve"> </t>
    </r>
  </si>
  <si>
    <t xml:space="preserve">Método de referência   </t>
  </si>
  <si>
    <r>
      <t xml:space="preserve"> </t>
    </r>
    <r>
      <rPr>
        <b/>
        <sz val="11"/>
        <color indexed="8"/>
        <rFont val="Arial"/>
        <family val="2"/>
      </rPr>
      <t xml:space="preserve">Secção Nominal dos Condutores (mm2) </t>
    </r>
    <r>
      <rPr>
        <b/>
        <sz val="11"/>
        <rFont val="Arial"/>
        <family val="2"/>
      </rPr>
      <t xml:space="preserve"> </t>
    </r>
  </si>
  <si>
    <t>Quadro 52-C2</t>
  </si>
  <si>
    <r>
      <t xml:space="preserve"> </t>
    </r>
    <r>
      <rPr>
        <b/>
        <sz val="11"/>
        <color indexed="8"/>
        <rFont val="Arial"/>
        <family val="2"/>
      </rPr>
      <t xml:space="preserve">Condutores de alumínio </t>
    </r>
    <r>
      <rPr>
        <b/>
        <sz val="11"/>
        <rFont val="Arial"/>
        <family val="2"/>
      </rPr>
      <t xml:space="preserve"> </t>
    </r>
  </si>
  <si>
    <t>Quadro 52-C3</t>
  </si>
  <si>
    <t>(*) - Para S≤16 mm2, admite-se que os condutores eram de secção circular e para S&gt;16 mm2, de secção sectorial (aplicável também a condutores de secção circular).</t>
  </si>
  <si>
    <t>Quadro 52-C4</t>
  </si>
  <si>
    <t>Quadro 52-C5</t>
  </si>
  <si>
    <r>
      <t xml:space="preserve"> </t>
    </r>
    <r>
      <rPr>
        <b/>
        <sz val="7.9"/>
        <color indexed="8"/>
        <rFont val="Arial"/>
        <family val="2"/>
      </rPr>
      <t xml:space="preserve">NÚMERO E DISPOSIÇÃO DOS CONDUTORES </t>
    </r>
    <r>
      <rPr>
        <b/>
        <sz val="11"/>
        <rFont val="Arial"/>
        <family val="2"/>
      </rPr>
      <t xml:space="preserve"> </t>
    </r>
  </si>
  <si>
    <r>
      <t xml:space="preserve"> </t>
    </r>
    <r>
      <rPr>
        <b/>
        <sz val="11"/>
        <color indexed="8"/>
        <rFont val="Arial"/>
        <family val="2"/>
      </rPr>
      <t xml:space="preserve">NÚMERO E DISPOSIÇÃO DOS CONDUTORES </t>
    </r>
    <r>
      <rPr>
        <b/>
        <sz val="11"/>
        <rFont val="Arial"/>
        <family val="2"/>
      </rPr>
      <t xml:space="preserve"> </t>
    </r>
  </si>
  <si>
    <r>
      <t xml:space="preserve"> </t>
    </r>
    <r>
      <rPr>
        <b/>
        <sz val="11"/>
        <color indexed="8"/>
        <rFont val="Arial"/>
        <family val="2"/>
      </rPr>
      <t xml:space="preserve">Três condutores carregados em esteira </t>
    </r>
    <r>
      <rPr>
        <b/>
        <sz val="11"/>
        <rFont val="Arial"/>
        <family val="2"/>
      </rPr>
      <t xml:space="preserve"> </t>
    </r>
  </si>
  <si>
    <t>Três condutores carregados</t>
  </si>
  <si>
    <t>Um cabo multicondutor ou três
cabos monocondutores em
triangulo (2)</t>
  </si>
  <si>
    <t>Três cabos monocondutores
em esteira horizontal (2)</t>
  </si>
  <si>
    <r>
      <t xml:space="preserve"> </t>
    </r>
    <r>
      <rPr>
        <sz val="11"/>
        <color indexed="8"/>
        <rFont val="Arial"/>
        <family val="2"/>
      </rPr>
      <t xml:space="preserve">1 </t>
    </r>
    <r>
      <rPr>
        <sz val="11"/>
        <rFont val="Arial"/>
        <family val="2"/>
      </rPr>
      <t xml:space="preserve"> </t>
    </r>
  </si>
  <si>
    <r>
      <t xml:space="preserve"> </t>
    </r>
    <r>
      <rPr>
        <sz val="11"/>
        <color indexed="8"/>
        <rFont val="Arial"/>
        <family val="2"/>
      </rPr>
      <t xml:space="preserve">2 </t>
    </r>
    <r>
      <rPr>
        <sz val="11"/>
        <rFont val="Arial"/>
        <family val="2"/>
      </rPr>
      <t xml:space="preserve"> </t>
    </r>
  </si>
  <si>
    <r>
      <t xml:space="preserve"> </t>
    </r>
    <r>
      <rPr>
        <sz val="11"/>
        <color indexed="8"/>
        <rFont val="Arial"/>
        <family val="2"/>
      </rPr>
      <t xml:space="preserve">3 </t>
    </r>
    <r>
      <rPr>
        <sz val="11"/>
        <rFont val="Arial"/>
        <family val="2"/>
      </rPr>
      <t xml:space="preserve"> </t>
    </r>
  </si>
  <si>
    <r>
      <t xml:space="preserve"> </t>
    </r>
    <r>
      <rPr>
        <b/>
        <sz val="11"/>
        <color indexed="8"/>
        <rFont val="Arial"/>
        <family val="2"/>
      </rPr>
      <t xml:space="preserve">tensão estipulada do cabo: 500V </t>
    </r>
    <r>
      <rPr>
        <b/>
        <sz val="11"/>
        <rFont val="Arial"/>
        <family val="2"/>
      </rPr>
      <t xml:space="preserve"> </t>
    </r>
  </si>
  <si>
    <r>
      <t xml:space="preserve"> </t>
    </r>
    <r>
      <rPr>
        <b/>
        <sz val="11"/>
        <color indexed="8"/>
        <rFont val="Arial"/>
        <family val="2"/>
      </rPr>
      <t xml:space="preserve">tensão estipulada do cabo: 750V </t>
    </r>
    <r>
      <rPr>
        <b/>
        <sz val="11"/>
        <rFont val="Arial"/>
        <family val="2"/>
      </rPr>
      <t xml:space="preserve"> </t>
    </r>
  </si>
  <si>
    <r>
      <t xml:space="preserve"> </t>
    </r>
    <r>
      <rPr>
        <b/>
        <sz val="11"/>
        <color indexed="8"/>
        <rFont val="Arial"/>
        <family val="2"/>
      </rPr>
      <t xml:space="preserve">Coluna =&gt; </t>
    </r>
    <r>
      <rPr>
        <b/>
        <sz val="11"/>
        <rFont val="Arial"/>
        <family val="2"/>
      </rPr>
      <t xml:space="preserve"> </t>
    </r>
  </si>
  <si>
    <r>
      <t xml:space="preserve"> </t>
    </r>
    <r>
      <rPr>
        <b/>
        <sz val="11"/>
        <color indexed="8"/>
        <rFont val="Arial"/>
        <family val="2"/>
      </rPr>
      <t xml:space="preserve">4 </t>
    </r>
    <r>
      <rPr>
        <b/>
        <sz val="11"/>
        <rFont val="Arial"/>
        <family val="2"/>
      </rPr>
      <t xml:space="preserve"> </t>
    </r>
  </si>
  <si>
    <t>Quadro 52-C6</t>
  </si>
  <si>
    <t>(1) - Para os cabos nús inacessíveis não é necessário, em caso de agrupamento, aplicar factores de correcção.
(2) - Para os cabos monocondutores, as bainhas dos cabos de um mesmo circuito devem ser ligadas em conjunto nas duas extremidades.</t>
  </si>
  <si>
    <t>Três condutores carregados em esteira</t>
  </si>
  <si>
    <t>Um cabo de dois
condutores ou dois
cabos
monocondutores
carregados (2)</t>
  </si>
  <si>
    <t>Um cabo multicondutor ou três cabos monocondutores em
triangulo (2)</t>
  </si>
  <si>
    <t>Cabos monocondutores
agrupados sem afastamento (na horizontal ou na vertical) (2)(3)</t>
  </si>
  <si>
    <t>Cabos monocondutores
agrupados com afastamento (na vertical) (2)(3)</t>
  </si>
  <si>
    <t>Cabos monocondutores
agrupados com afastamento (na horizontal) (2)(3)</t>
  </si>
  <si>
    <r>
      <t xml:space="preserve"> </t>
    </r>
    <r>
      <rPr>
        <b/>
        <sz val="11"/>
        <color indexed="8"/>
        <rFont val="Arial"/>
        <family val="2"/>
      </rPr>
      <t xml:space="preserve">Mét. Ref. =&gt; </t>
    </r>
    <r>
      <rPr>
        <b/>
        <sz val="11"/>
        <rFont val="Arial"/>
        <family val="2"/>
      </rPr>
      <t xml:space="preserve"> </t>
    </r>
  </si>
  <si>
    <r>
      <t xml:space="preserve"> </t>
    </r>
    <r>
      <rPr>
        <sz val="11"/>
        <color indexed="8"/>
        <rFont val="Arial"/>
        <family val="2"/>
      </rPr>
      <t xml:space="preserve">E ou F </t>
    </r>
    <r>
      <rPr>
        <sz val="11"/>
        <rFont val="Arial"/>
        <family val="2"/>
      </rPr>
      <t xml:space="preserve"> </t>
    </r>
  </si>
  <si>
    <r>
      <t xml:space="preserve"> </t>
    </r>
    <r>
      <rPr>
        <sz val="11"/>
        <color indexed="8"/>
        <rFont val="Arial"/>
        <family val="2"/>
      </rPr>
      <t xml:space="preserve">F </t>
    </r>
    <r>
      <rPr>
        <sz val="11"/>
        <rFont val="Arial"/>
        <family val="2"/>
      </rPr>
      <t xml:space="preserve"> </t>
    </r>
  </si>
  <si>
    <r>
      <t xml:space="preserve"> </t>
    </r>
    <r>
      <rPr>
        <sz val="11"/>
        <color indexed="8"/>
        <rFont val="Arial"/>
        <family val="2"/>
      </rPr>
      <t xml:space="preserve">G </t>
    </r>
    <r>
      <rPr>
        <sz val="11"/>
        <rFont val="Arial"/>
        <family val="2"/>
      </rPr>
      <t xml:space="preserve"> </t>
    </r>
  </si>
  <si>
    <r>
      <t xml:space="preserve"> </t>
    </r>
    <r>
      <rPr>
        <sz val="11"/>
        <color indexed="8"/>
        <rFont val="Arial"/>
        <family val="2"/>
      </rPr>
      <t xml:space="preserve">5 </t>
    </r>
    <r>
      <rPr>
        <sz val="11"/>
        <rFont val="Arial"/>
        <family val="2"/>
      </rPr>
      <t xml:space="preserve"> </t>
    </r>
  </si>
  <si>
    <t>(1) - Para os cabos nús acessíveis, os valores devem ser multiplicados por 0,9
(2) - Para os cabos monocondutores, as bainhas dos cabos de um mesmo circuito
extremidades.
(3) - Afastamento não inferior ao diâmetro exterior do cabo monocondutor (De).</t>
  </si>
  <si>
    <t>Quadro 52-C7</t>
  </si>
  <si>
    <t>Quadro 52-C8</t>
  </si>
  <si>
    <t>Quadro 52-C9</t>
  </si>
  <si>
    <r>
      <t xml:space="preserve"> </t>
    </r>
    <r>
      <rPr>
        <sz val="11"/>
        <color indexed="8"/>
        <rFont val="Arial"/>
        <family val="2"/>
      </rPr>
      <t>---</t>
    </r>
    <r>
      <rPr>
        <sz val="11"/>
        <rFont val="Arial"/>
        <family val="2"/>
      </rPr>
      <t xml:space="preserve"> </t>
    </r>
  </si>
  <si>
    <r>
      <t xml:space="preserve"> </t>
    </r>
    <r>
      <rPr>
        <sz val="11"/>
        <color indexed="8"/>
        <rFont val="Arial"/>
        <family val="2"/>
      </rPr>
      <t xml:space="preserve">E </t>
    </r>
    <r>
      <rPr>
        <sz val="11"/>
        <rFont val="Arial"/>
        <family val="2"/>
      </rPr>
      <t xml:space="preserve"> </t>
    </r>
  </si>
  <si>
    <r>
      <t xml:space="preserve"> </t>
    </r>
    <r>
      <rPr>
        <sz val="11"/>
        <color indexed="8"/>
        <rFont val="Arial"/>
        <family val="2"/>
      </rPr>
      <t xml:space="preserve">7 </t>
    </r>
    <r>
      <rPr>
        <sz val="11"/>
        <rFont val="Arial"/>
        <family val="2"/>
      </rPr>
      <t xml:space="preserve"> </t>
    </r>
  </si>
  <si>
    <r>
      <t xml:space="preserve"> </t>
    </r>
    <r>
      <rPr>
        <b/>
        <sz val="11"/>
        <color indexed="8"/>
        <rFont val="Arial"/>
        <family val="2"/>
      </rPr>
      <t xml:space="preserve">Cabos Multicondutores </t>
    </r>
    <r>
      <rPr>
        <b/>
        <sz val="11"/>
        <rFont val="Arial"/>
        <family val="2"/>
      </rPr>
      <t xml:space="preserve"> </t>
    </r>
  </si>
  <si>
    <r>
      <t xml:space="preserve"> </t>
    </r>
    <r>
      <rPr>
        <b/>
        <sz val="11"/>
        <color indexed="8"/>
        <rFont val="Arial"/>
        <family val="2"/>
      </rPr>
      <t xml:space="preserve">Cabos Monocondutores </t>
    </r>
    <r>
      <rPr>
        <b/>
        <sz val="11"/>
        <rFont val="Arial"/>
        <family val="2"/>
      </rPr>
      <t xml:space="preserve"> </t>
    </r>
  </si>
  <si>
    <r>
      <t xml:space="preserve"> </t>
    </r>
    <r>
      <rPr>
        <b/>
        <sz val="11"/>
        <color indexed="8"/>
        <rFont val="Arial"/>
        <family val="2"/>
      </rPr>
      <t xml:space="preserve">Dois condutores carregados </t>
    </r>
    <r>
      <rPr>
        <b/>
        <sz val="11"/>
        <rFont val="Arial"/>
        <family val="2"/>
      </rPr>
      <t xml:space="preserve"> </t>
    </r>
  </si>
  <si>
    <t>Dois
condutores
carregados (1)</t>
  </si>
  <si>
    <t>Três condutores
carregados (1)</t>
  </si>
  <si>
    <t>Dois
condutores
carregados</t>
  </si>
  <si>
    <t>Três
condutores
carregados em
triangulo</t>
  </si>
  <si>
    <t>Sem
afastamento (2)</t>
  </si>
  <si>
    <t>Com
afastamento (2)
Horizontal</t>
  </si>
  <si>
    <t>Com
afastamento (2)
Vertical</t>
  </si>
  <si>
    <t>(1) - Para S≤16 mm2, admite-se que os condutores eram de secção circular e para S&gt;16 mm2, de secção sectorial (aplicável também a condutores de secção circular).
(2) - Afastamento não inferior ao diâmetro exterior do cabo monocondutor (De).</t>
  </si>
  <si>
    <t>Quadro 52-C10</t>
  </si>
  <si>
    <t>Quadro 52-C11</t>
  </si>
  <si>
    <t>Quadro 52-C12</t>
  </si>
  <si>
    <t>Quadro 52-C13</t>
  </si>
  <si>
    <r>
      <t xml:space="preserve"> </t>
    </r>
    <r>
      <rPr>
        <b/>
        <sz val="11"/>
        <color indexed="8"/>
        <rFont val="Arial"/>
        <family val="2"/>
      </rPr>
      <t xml:space="preserve">Três condutores carregados </t>
    </r>
    <r>
      <rPr>
        <b/>
        <sz val="11"/>
        <rFont val="Arial"/>
        <family val="2"/>
      </rPr>
      <t xml:space="preserve"> </t>
    </r>
  </si>
  <si>
    <r>
      <t xml:space="preserve"> </t>
    </r>
    <r>
      <rPr>
        <b/>
        <sz val="11"/>
        <color indexed="8"/>
        <rFont val="Arial"/>
        <family val="2"/>
      </rPr>
      <t xml:space="preserve">A2 </t>
    </r>
    <r>
      <rPr>
        <b/>
        <sz val="11"/>
        <rFont val="Arial"/>
        <family val="2"/>
      </rPr>
      <t xml:space="preserve"> </t>
    </r>
  </si>
  <si>
    <r>
      <t xml:space="preserve"> </t>
    </r>
    <r>
      <rPr>
        <b/>
        <sz val="11"/>
        <color indexed="8"/>
        <rFont val="Arial"/>
        <family val="2"/>
      </rPr>
      <t xml:space="preserve">B2 </t>
    </r>
    <r>
      <rPr>
        <b/>
        <sz val="11"/>
        <rFont val="Arial"/>
        <family val="2"/>
      </rPr>
      <t xml:space="preserve"> </t>
    </r>
  </si>
  <si>
    <r>
      <t xml:space="preserve"> </t>
    </r>
    <r>
      <rPr>
        <b/>
        <sz val="11"/>
        <color indexed="8"/>
        <rFont val="Arial"/>
        <family val="2"/>
      </rPr>
      <t xml:space="preserve">2 </t>
    </r>
    <r>
      <rPr>
        <b/>
        <sz val="11"/>
        <rFont val="Arial"/>
        <family val="2"/>
      </rPr>
      <t xml:space="preserve"> </t>
    </r>
  </si>
  <si>
    <r>
      <t xml:space="preserve"> </t>
    </r>
    <r>
      <rPr>
        <b/>
        <sz val="11"/>
        <color indexed="8"/>
        <rFont val="Arial"/>
        <family val="2"/>
      </rPr>
      <t xml:space="preserve">3 </t>
    </r>
    <r>
      <rPr>
        <b/>
        <sz val="11"/>
        <rFont val="Arial"/>
        <family val="2"/>
      </rPr>
      <t xml:space="preserve"> </t>
    </r>
  </si>
  <si>
    <r>
      <t xml:space="preserve"> </t>
    </r>
    <r>
      <rPr>
        <b/>
        <sz val="11"/>
        <color indexed="8"/>
        <rFont val="Arial"/>
        <family val="2"/>
      </rPr>
      <t xml:space="preserve">5 </t>
    </r>
    <r>
      <rPr>
        <b/>
        <sz val="11"/>
        <rFont val="Arial"/>
        <family val="2"/>
      </rPr>
      <t xml:space="preserve"> </t>
    </r>
  </si>
  <si>
    <t>Quadro 52-C14</t>
  </si>
  <si>
    <t>Quadro 52-C30</t>
  </si>
  <si>
    <t>- Canalizações enterradas</t>
  </si>
  <si>
    <t>Número de condutores carregados e natureza do isolamento</t>
  </si>
  <si>
    <t>3PVC</t>
  </si>
  <si>
    <t>2PVC</t>
  </si>
  <si>
    <t>3XLPE</t>
  </si>
  <si>
    <t>2XLPE</t>
  </si>
  <si>
    <t>Para cabos enterrados e colocados dentro de tubos ou de travessias, os valores indicados no quadro ser multiplicados por 0,8. Atendendo a que as correntes admissíveis foram cálculadas para uma resistividade térmica do solo igual a 1 K.m/W, é necessário considerar os factores de correcção.</t>
  </si>
  <si>
    <t>O algarismo indicado dentro de [ ] corresponde ao da referência do quadro 52E1 (factores de correcção).</t>
  </si>
  <si>
    <t>V - é a menor dimensão ou o diâmetro do oco ou a dimensão vertical do bloco alvéolar do oco do pavimento</t>
  </si>
  <si>
    <t>ou do tecto.</t>
  </si>
  <si>
    <t>De - é o diâmetro exterior dos cabos multicondutores ou o diâmetro equivalente dos cabos monocondutores</t>
  </si>
  <si>
    <t>ou o diâmetro exterior da conduta ou do bloco alvéolar; quando os cabos monocondutores forem</t>
  </si>
  <si>
    <t>colocados em triângulo De = 2,2d e quando forem colocados em linha De=3d (d - é o diâmetro exterior</t>
  </si>
  <si>
    <t>de um cabo monocondutor);</t>
  </si>
  <si>
    <t>(1) - Veja-se o Anexo III.</t>
  </si>
  <si>
    <t>(2) - Para certas aplicações, pode ser mais adequado utilizar factores de correcção específicos, como por</t>
  </si>
  <si>
    <t>exemplo, os indicados nos quadro 52E4 e 52E5.</t>
  </si>
  <si>
    <t>(3) - Os valores das correntes admissíveis podem também ser usados para os percursos verticais; quando</t>
  </si>
  <si>
    <t>as condições de ventilação forem limitadas a temperatura na parte superior do percurso vertical pode</t>
  </si>
  <si>
    <t>tornar-se muito elevada.</t>
  </si>
  <si>
    <t>(4) - Para V&gt;50De devem ser usados os métodos de referência C, E ou F.</t>
  </si>
  <si>
    <t>(5) - Os valores das correntes admissíveis indicados para o método de referência B são válidos para um</t>
  </si>
  <si>
    <t>único circuito; quando se utilizar mais do que um circuito, devem ser aplicados os factores de correcção</t>
  </si>
  <si>
    <t>indicados no quadro 52E1, mesmo se houver divisórias ou separadores.</t>
  </si>
  <si>
    <t>(6) - Recomenda-se limitar a utilização destes modos de instalação aos locais acessíveis apenas a pessoas</t>
  </si>
  <si>
    <t>autorizadas.</t>
  </si>
  <si>
    <t>(7) - Em estudo; provisoriamente aplica-se o método D do Anexo III.</t>
  </si>
  <si>
    <t>(8) - Para os cabos multicondutores utilizar o método de referência B2.</t>
  </si>
  <si>
    <t>(9) - Quando a construção destas calhas for termicamente equivalente às utilizadas nos métodos de</t>
  </si>
  <si>
    <t>instalação 31 e 32, podem ser usados os métodos de referência B e B2 (veja-se a nota 7).</t>
  </si>
  <si>
    <t>QUADRO 52-D1</t>
  </si>
  <si>
    <t>Factores de correcção em função das temperaturas ambientes para canalizações instaladas ao ar (a aplicar aos valores das correntes indicadas nos Quadros 52-C1 a 52-C14).
Pag 110 das RTIEBT</t>
  </si>
  <si>
    <r>
      <t xml:space="preserve"> </t>
    </r>
    <r>
      <rPr>
        <sz val="11"/>
        <color indexed="8"/>
        <rFont val="Arial"/>
        <family val="2"/>
      </rPr>
      <t xml:space="preserve">1,2 </t>
    </r>
    <r>
      <rPr>
        <sz val="11"/>
        <rFont val="Arial"/>
        <family val="2"/>
      </rPr>
      <t xml:space="preserve"> </t>
    </r>
  </si>
  <si>
    <r>
      <t xml:space="preserve"> </t>
    </r>
    <r>
      <rPr>
        <sz val="11"/>
        <color indexed="8"/>
        <rFont val="Arial"/>
        <family val="2"/>
      </rPr>
      <t xml:space="preserve">0,94 </t>
    </r>
    <r>
      <rPr>
        <sz val="11"/>
        <rFont val="Arial"/>
        <family val="2"/>
      </rPr>
      <t xml:space="preserve"> </t>
    </r>
  </si>
  <si>
    <r>
      <t xml:space="preserve"> </t>
    </r>
    <r>
      <rPr>
        <sz val="11"/>
        <color indexed="8"/>
        <rFont val="Arial"/>
        <family val="2"/>
      </rPr>
      <t xml:space="preserve">0,85 </t>
    </r>
    <r>
      <rPr>
        <sz val="11"/>
        <rFont val="Arial"/>
        <family val="2"/>
      </rPr>
      <t xml:space="preserve"> </t>
    </r>
  </si>
  <si>
    <r>
      <t xml:space="preserve"> </t>
    </r>
    <r>
      <rPr>
        <sz val="11"/>
        <color indexed="8"/>
        <rFont val="Arial"/>
        <family val="2"/>
      </rPr>
      <t xml:space="preserve">0,76 </t>
    </r>
    <r>
      <rPr>
        <sz val="11"/>
        <rFont val="Arial"/>
        <family val="2"/>
      </rPr>
      <t xml:space="preserve"> </t>
    </r>
  </si>
  <si>
    <r>
      <t xml:space="preserve"> </t>
    </r>
    <r>
      <rPr>
        <sz val="11"/>
        <color indexed="8"/>
        <rFont val="Arial"/>
        <family val="2"/>
      </rPr>
      <t xml:space="preserve">0,5 </t>
    </r>
    <r>
      <rPr>
        <sz val="11"/>
        <rFont val="Arial"/>
        <family val="2"/>
      </rPr>
      <t xml:space="preserve"> </t>
    </r>
  </si>
  <si>
    <r>
      <t xml:space="preserve"> </t>
    </r>
    <r>
      <rPr>
        <sz val="11"/>
        <color indexed="8"/>
        <rFont val="Arial"/>
        <family val="2"/>
      </rPr>
      <t xml:space="preserve">0,65 </t>
    </r>
    <r>
      <rPr>
        <sz val="11"/>
        <rFont val="Arial"/>
        <family val="2"/>
      </rPr>
      <t xml:space="preserve"> </t>
    </r>
  </si>
  <si>
    <r>
      <t xml:space="preserve"> </t>
    </r>
    <r>
      <rPr>
        <sz val="11"/>
        <color indexed="8"/>
        <rFont val="Arial"/>
        <family val="2"/>
      </rPr>
      <t xml:space="preserve">0,7 </t>
    </r>
    <r>
      <rPr>
        <sz val="11"/>
        <rFont val="Arial"/>
        <family val="2"/>
      </rPr>
      <t xml:space="preserve"> </t>
    </r>
  </si>
  <si>
    <r>
      <t xml:space="preserve"> </t>
    </r>
    <r>
      <rPr>
        <sz val="11"/>
        <color indexed="8"/>
        <rFont val="Arial"/>
        <family val="2"/>
      </rPr>
      <t xml:space="preserve">0,4 </t>
    </r>
    <r>
      <rPr>
        <sz val="11"/>
        <rFont val="Arial"/>
        <family val="2"/>
      </rPr>
      <t xml:space="preserve"> </t>
    </r>
  </si>
  <si>
    <t>PVC</t>
  </si>
  <si>
    <t>XLPE/EPR</t>
  </si>
  <si>
    <t>Mineral(*)</t>
  </si>
  <si>
    <t>(a)</t>
  </si>
  <si>
    <t>(b)</t>
  </si>
  <si>
    <t>(*) - Para temperaturas ambientes superiores, consultar os fabricantes.
(a) - Cabos com baínha em PVC ou cabos nus e acessíveis (70ºC).
(b) - Cabos nus e inacessíveis (105ºC).</t>
  </si>
  <si>
    <r>
      <t xml:space="preserve"> </t>
    </r>
    <r>
      <rPr>
        <sz val="11"/>
        <color indexed="8"/>
        <rFont val="Arial"/>
        <family val="2"/>
      </rPr>
      <t xml:space="preserve">1,05 </t>
    </r>
    <r>
      <rPr>
        <sz val="11"/>
        <rFont val="Arial"/>
        <family val="2"/>
      </rPr>
      <t xml:space="preserve"> </t>
    </r>
  </si>
  <si>
    <r>
      <t xml:space="preserve"> </t>
    </r>
    <r>
      <rPr>
        <b/>
        <sz val="11"/>
        <color indexed="8"/>
        <rFont val="Arial"/>
        <family val="2"/>
      </rPr>
      <t xml:space="preserve">Temperatura do solo (ºC) </t>
    </r>
    <r>
      <rPr>
        <b/>
        <sz val="11"/>
        <rFont val="Arial"/>
        <family val="2"/>
      </rPr>
      <t xml:space="preserve"> </t>
    </r>
  </si>
  <si>
    <r>
      <t xml:space="preserve"> </t>
    </r>
    <r>
      <rPr>
        <b/>
        <sz val="11"/>
        <color indexed="8"/>
        <rFont val="Arial"/>
        <family val="2"/>
      </rPr>
      <t xml:space="preserve">Isolamento </t>
    </r>
    <r>
      <rPr>
        <b/>
        <sz val="11"/>
        <rFont val="Arial"/>
        <family val="2"/>
      </rPr>
      <t xml:space="preserve"> </t>
    </r>
  </si>
  <si>
    <r>
      <rPr>
        <b/>
        <sz val="11"/>
        <color indexed="8"/>
        <rFont val="Arial"/>
        <family val="2"/>
      </rPr>
      <t xml:space="preserve">PVC </t>
    </r>
    <r>
      <rPr>
        <b/>
        <sz val="11"/>
        <rFont val="Arial"/>
        <family val="2"/>
      </rPr>
      <t xml:space="preserve"> </t>
    </r>
  </si>
  <si>
    <r>
      <rPr>
        <b/>
        <sz val="11"/>
        <color indexed="8"/>
        <rFont val="Arial"/>
        <family val="2"/>
      </rPr>
      <t xml:space="preserve">XLPE/EPR </t>
    </r>
    <r>
      <rPr>
        <b/>
        <sz val="11"/>
        <rFont val="Arial"/>
        <family val="2"/>
      </rPr>
      <t xml:space="preserve"> </t>
    </r>
  </si>
  <si>
    <t>QUADRO 52-D2</t>
  </si>
  <si>
    <r>
      <t xml:space="preserve"> </t>
    </r>
    <r>
      <rPr>
        <b/>
        <sz val="11"/>
        <color indexed="8"/>
        <rFont val="Arial"/>
        <family val="2"/>
      </rPr>
      <t xml:space="preserve">Temperatura ambiente (ºC) </t>
    </r>
    <r>
      <rPr>
        <b/>
        <sz val="11"/>
        <rFont val="Arial"/>
        <family val="2"/>
      </rPr>
      <t xml:space="preserve"> </t>
    </r>
  </si>
  <si>
    <t>Factores de correcção em função da temperatura do solo (a aplicar aos valores das correntes indicadas no Quadro 52-C30).
Pag 110 das RTIEBT</t>
  </si>
  <si>
    <t>Ref.ª</t>
  </si>
  <si>
    <t>Descrição dos cabos</t>
  </si>
  <si>
    <t>Factor de correcção</t>
  </si>
  <si>
    <t>N.º de Circuitos ou cabos multicondutores</t>
  </si>
  <si>
    <t>Quadros e métodos de referência</t>
  </si>
  <si>
    <t>C</t>
  </si>
  <si>
    <r>
      <t xml:space="preserve"> </t>
    </r>
    <r>
      <rPr>
        <sz val="11"/>
        <color indexed="8"/>
        <rFont val="Arial"/>
        <family val="2"/>
      </rPr>
      <t xml:space="preserve">Encastrados ou embebidos em elementos da construção </t>
    </r>
    <r>
      <rPr>
        <sz val="11"/>
        <rFont val="Arial"/>
        <family val="2"/>
      </rPr>
      <t xml:space="preserve"> </t>
    </r>
  </si>
  <si>
    <r>
      <t xml:space="preserve"> </t>
    </r>
    <r>
      <rPr>
        <sz val="11"/>
        <color indexed="8"/>
        <rFont val="Arial"/>
        <family val="2"/>
      </rPr>
      <t xml:space="preserve">Sobre as paredes ou pisos ou sobre caminhos de cabos não perfurados </t>
    </r>
    <r>
      <rPr>
        <sz val="11"/>
        <rFont val="Arial"/>
        <family val="2"/>
      </rPr>
      <t xml:space="preserve"> </t>
    </r>
  </si>
  <si>
    <r>
      <t xml:space="preserve"> </t>
    </r>
    <r>
      <rPr>
        <sz val="11"/>
        <color indexed="8"/>
        <rFont val="Arial"/>
        <family val="2"/>
      </rPr>
      <t xml:space="preserve">Nos tectos </t>
    </r>
    <r>
      <rPr>
        <sz val="11"/>
        <rFont val="Arial"/>
        <family val="2"/>
      </rPr>
      <t xml:space="preserve"> </t>
    </r>
  </si>
  <si>
    <r>
      <t xml:space="preserve"> </t>
    </r>
    <r>
      <rPr>
        <sz val="11"/>
        <color indexed="8"/>
        <rFont val="Arial"/>
        <family val="2"/>
      </rPr>
      <t xml:space="preserve">Em canalizações sobre caminhos de cabos, horizontais perfurados ou verticais </t>
    </r>
    <r>
      <rPr>
        <sz val="11"/>
        <rFont val="Arial"/>
        <family val="2"/>
      </rPr>
      <t xml:space="preserve"> </t>
    </r>
  </si>
  <si>
    <r>
      <t xml:space="preserve"> </t>
    </r>
    <r>
      <rPr>
        <sz val="11"/>
        <color indexed="8"/>
        <rFont val="Arial"/>
        <family val="2"/>
      </rPr>
      <t xml:space="preserve">Sobre escadas (para cabos), consola, etc… </t>
    </r>
    <r>
      <rPr>
        <sz val="11"/>
        <rFont val="Arial"/>
        <family val="2"/>
      </rPr>
      <t xml:space="preserve"> </t>
    </r>
  </si>
  <si>
    <t>52-C1 a 52-C14-A a F</t>
  </si>
  <si>
    <t>52-C1 a 52-C6-C</t>
  </si>
  <si>
    <t>52-C7 a 52-C12-E, F</t>
  </si>
  <si>
    <t>QUADRO 52-E1</t>
  </si>
  <si>
    <t>Factores de correcção para agrupamento de cabos de diversos circuitos ou de vários cabos multicondutores, instalados ao ar, lado a lado, em camada simples
(a aplicar aos valores das  correntes indicadas no Quadro 52-C1 a 52-C14)
Pag 111 das RTIEBT</t>
  </si>
  <si>
    <t>O factor de correcção
não diminui a partir
de 9 cabos</t>
  </si>
  <si>
    <r>
      <t xml:space="preserve"> </t>
    </r>
    <r>
      <rPr>
        <b/>
        <sz val="10"/>
        <color indexed="8"/>
        <rFont val="Arial"/>
        <family val="2"/>
      </rPr>
      <t xml:space="preserve">N.º de cabos ou de canalizações </t>
    </r>
    <r>
      <rPr>
        <sz val="11"/>
        <rFont val="Arial"/>
        <family val="2"/>
      </rPr>
      <t xml:space="preserve"> </t>
    </r>
  </si>
  <si>
    <r>
      <t xml:space="preserve"> </t>
    </r>
    <r>
      <rPr>
        <b/>
        <sz val="10"/>
        <color indexed="8"/>
        <rFont val="Arial"/>
        <family val="2"/>
      </rPr>
      <t xml:space="preserve">Factor de correcção </t>
    </r>
    <r>
      <rPr>
        <sz val="11"/>
        <rFont val="Arial"/>
        <family val="2"/>
      </rPr>
      <t xml:space="preserve"> </t>
    </r>
  </si>
  <si>
    <r>
      <t xml:space="preserve"> </t>
    </r>
    <r>
      <rPr>
        <sz val="10"/>
        <color indexed="8"/>
        <rFont val="Arial"/>
        <family val="2"/>
      </rPr>
      <t xml:space="preserve">≥ 9 </t>
    </r>
    <r>
      <rPr>
        <sz val="11"/>
        <rFont val="Arial"/>
        <family val="2"/>
      </rPr>
      <t xml:space="preserve"> </t>
    </r>
  </si>
  <si>
    <t>QUADRO 52-E2</t>
  </si>
  <si>
    <t xml:space="preserve"> Factores de correcção para agrupamentos de cabos enterrados em esteira horizontal, distânciados de, pelo menos, 0,2m. 
Pag 111 das RTIEBT</t>
  </si>
  <si>
    <r>
      <t xml:space="preserve"> </t>
    </r>
    <r>
      <rPr>
        <b/>
        <sz val="11"/>
        <color indexed="8"/>
        <rFont val="Arial"/>
        <family val="2"/>
      </rPr>
      <t xml:space="preserve">Número de condutas colocadas horizontalmente </t>
    </r>
    <r>
      <rPr>
        <sz val="11"/>
        <rFont val="Arial"/>
        <family val="2"/>
      </rPr>
      <t xml:space="preserve"> </t>
    </r>
  </si>
  <si>
    <r>
      <t xml:space="preserve"> </t>
    </r>
    <r>
      <rPr>
        <b/>
        <sz val="11"/>
        <color indexed="8"/>
        <rFont val="Arial"/>
        <family val="2"/>
      </rPr>
      <t xml:space="preserve">N.º de circuitos ou de cabos multicondutores </t>
    </r>
    <r>
      <rPr>
        <sz val="11"/>
        <rFont val="Arial"/>
        <family val="2"/>
      </rPr>
      <t xml:space="preserve"> </t>
    </r>
  </si>
  <si>
    <r>
      <t xml:space="preserve"> </t>
    </r>
    <r>
      <rPr>
        <sz val="11"/>
        <color indexed="8"/>
        <rFont val="Arial"/>
        <family val="2"/>
      </rPr>
      <t xml:space="preserve">0,86 </t>
    </r>
    <r>
      <rPr>
        <sz val="11"/>
        <rFont val="Arial"/>
        <family val="2"/>
      </rPr>
      <t xml:space="preserve"> </t>
    </r>
  </si>
  <si>
    <r>
      <t xml:space="preserve"> </t>
    </r>
    <r>
      <rPr>
        <b/>
        <sz val="11"/>
        <color indexed="8"/>
        <rFont val="Arial"/>
        <family val="2"/>
      </rPr>
      <t xml:space="preserve">Número de condutas colocadas verticalmente  </t>
    </r>
    <r>
      <rPr>
        <sz val="11"/>
        <rFont val="Arial"/>
        <family val="2"/>
      </rPr>
      <t xml:space="preserve"> </t>
    </r>
  </si>
  <si>
    <t>QUADRO 52-E3</t>
  </si>
  <si>
    <r>
      <t xml:space="preserve"> </t>
    </r>
    <r>
      <rPr>
        <b/>
        <sz val="11"/>
        <color indexed="8"/>
        <rFont val="Arial"/>
        <family val="2"/>
      </rPr>
      <t xml:space="preserve">Canalizações enterradas ou embebidas no betão </t>
    </r>
    <r>
      <rPr>
        <b/>
        <sz val="11"/>
        <rFont val="Arial"/>
        <family val="2"/>
      </rPr>
      <t xml:space="preserve"> </t>
    </r>
  </si>
  <si>
    <r>
      <t xml:space="preserve"> </t>
    </r>
    <r>
      <rPr>
        <b/>
        <sz val="11"/>
        <color indexed="8"/>
        <rFont val="Arial"/>
        <family val="2"/>
      </rPr>
      <t xml:space="preserve">Canalizações instaladas ao ar </t>
    </r>
    <r>
      <rPr>
        <b/>
        <sz val="11"/>
        <rFont val="Arial"/>
        <family val="2"/>
      </rPr>
      <t xml:space="preserve"> </t>
    </r>
  </si>
  <si>
    <t>Modo de instalação (veja-se quadro 52H)</t>
  </si>
  <si>
    <t>N.º de caminho de cabos</t>
  </si>
  <si>
    <t>N.º de circuitos trifásicos(1)</t>
  </si>
  <si>
    <t>Caminhos de
cabos perfurados
horizontais</t>
  </si>
  <si>
    <t>Caminhos de cabos
perfurados verticais</t>
  </si>
  <si>
    <t>Escadas (para cabos),
consolas, etc..</t>
  </si>
  <si>
    <t>Caminhos de cabos
perfurados horizontais</t>
  </si>
  <si>
    <t>Cabos sem afastamento entre si e afastados dos elementos da construção de d ≥20 mm (2).</t>
  </si>
  <si>
    <t>Cabos encostados (3)</t>
  </si>
  <si>
    <t>Cabos com afastamento entre si ≥ De e afastados dos elementos da construção de d ≥20 mm (4).</t>
  </si>
  <si>
    <t>Cabos com afastamento entre si ≥ De (4).</t>
  </si>
  <si>
    <t>-</t>
  </si>
  <si>
    <t xml:space="preserve">(1) - Para os circuitos constítuidos por vários cabos em paralelo por fase cada grupo de três condutores deve ser considerado com um único circuito para a determinação do número de circuitos trifásicos.
(2) - Cada circuito é constítuido por três cabos monocondutores em esteira horizontal.
(3) - Cada circuito é constítuido por três cabos monocondutores em esteira vertical.
(4) - Cada circuito é constítuido por três cabos monocondutores em triangulo.
d - é a distância dos cabos aos elementos de construção.
De - é diâmetro exterior dos cabos.
</t>
  </si>
  <si>
    <t>QUADRO 52-E5</t>
  </si>
  <si>
    <t>Factores de correcção para agrupamento de condutas com condutores, instalados ao ar, enterradas ou embebidas no betão, em função da sua disposição (horizontal e vertical)
Pag 111 das RTIEBT</t>
  </si>
  <si>
    <t xml:space="preserve">Factores de correcção para agrupamento de diversos circuitos de cabos instalados ao ar, lado a lado, em camada simples, para o método de (a aplicar aos valores dos quadros 52-C7 a 52-C12)
Pag 112 das RTIEBT
</t>
  </si>
  <si>
    <t>QUADRO 52-E4</t>
  </si>
  <si>
    <t>Cabos sem afastamento entre si e afastados dos elementos da construção de d ≥20 mm.</t>
  </si>
  <si>
    <t>Cabos encostados</t>
  </si>
  <si>
    <t>Cabos com afastamento entre si ≥ De</t>
  </si>
  <si>
    <t>Cabos sem afastamento entre si ≥ De e afastados dos elementos da construção de d ≥20 mm (4).</t>
  </si>
  <si>
    <t>Factores de correcção para agrupamento de diversos circuitos de cabos monocondutores, instalados ao ar, lado a lado, em camada simples, para o método de referência F (a aplicar aos valores dos quadros 52-C7 a 52-C12)
Pag 112 das RTIEBT</t>
  </si>
  <si>
    <t xml:space="preserve">  Humidade  </t>
  </si>
  <si>
    <t xml:space="preserve">Natureza do terreno  </t>
  </si>
  <si>
    <r>
      <t xml:space="preserve"> </t>
    </r>
    <r>
      <rPr>
        <sz val="11"/>
        <color indexed="8"/>
        <rFont val="Arial"/>
        <family val="2"/>
      </rPr>
      <t xml:space="preserve">1,25 </t>
    </r>
    <r>
      <rPr>
        <sz val="11"/>
        <rFont val="Arial"/>
        <family val="2"/>
      </rPr>
      <t xml:space="preserve"> </t>
    </r>
  </si>
  <si>
    <r>
      <t xml:space="preserve"> </t>
    </r>
    <r>
      <rPr>
        <sz val="11"/>
        <color indexed="8"/>
        <rFont val="Arial"/>
        <family val="2"/>
      </rPr>
      <t xml:space="preserve">Cabo imerso </t>
    </r>
    <r>
      <rPr>
        <sz val="11"/>
        <rFont val="Arial"/>
        <family val="2"/>
      </rPr>
      <t xml:space="preserve"> </t>
    </r>
  </si>
  <si>
    <r>
      <t xml:space="preserve"> </t>
    </r>
    <r>
      <rPr>
        <sz val="11"/>
        <color indexed="8"/>
        <rFont val="Arial"/>
        <family val="2"/>
      </rPr>
      <t xml:space="preserve">Lodo </t>
    </r>
    <r>
      <rPr>
        <sz val="11"/>
        <rFont val="Arial"/>
        <family val="2"/>
      </rPr>
      <t xml:space="preserve"> </t>
    </r>
  </si>
  <si>
    <r>
      <t xml:space="preserve"> </t>
    </r>
    <r>
      <rPr>
        <sz val="11"/>
        <color indexed="8"/>
        <rFont val="Arial"/>
        <family val="2"/>
      </rPr>
      <t xml:space="preserve">1,21 </t>
    </r>
    <r>
      <rPr>
        <sz val="11"/>
        <rFont val="Arial"/>
        <family val="2"/>
      </rPr>
      <t xml:space="preserve"> </t>
    </r>
  </si>
  <si>
    <r>
      <t xml:space="preserve"> </t>
    </r>
    <r>
      <rPr>
        <sz val="11"/>
        <color indexed="8"/>
        <rFont val="Arial"/>
        <family val="2"/>
      </rPr>
      <t xml:space="preserve">Terreno muito húmido </t>
    </r>
    <r>
      <rPr>
        <sz val="11"/>
        <rFont val="Arial"/>
        <family val="2"/>
      </rPr>
      <t xml:space="preserve"> </t>
    </r>
  </si>
  <si>
    <r>
      <t xml:space="preserve"> </t>
    </r>
    <r>
      <rPr>
        <sz val="11"/>
        <color indexed="8"/>
        <rFont val="Arial"/>
        <family val="2"/>
      </rPr>
      <t xml:space="preserve">Areia </t>
    </r>
    <r>
      <rPr>
        <sz val="11"/>
        <rFont val="Arial"/>
        <family val="2"/>
      </rPr>
      <t xml:space="preserve"> </t>
    </r>
  </si>
  <si>
    <r>
      <t xml:space="preserve"> </t>
    </r>
    <r>
      <rPr>
        <sz val="11"/>
        <color indexed="8"/>
        <rFont val="Arial"/>
        <family val="2"/>
      </rPr>
      <t xml:space="preserve">1,13 </t>
    </r>
    <r>
      <rPr>
        <sz val="11"/>
        <rFont val="Arial"/>
        <family val="2"/>
      </rPr>
      <t xml:space="preserve"> </t>
    </r>
  </si>
  <si>
    <r>
      <t xml:space="preserve"> </t>
    </r>
    <r>
      <rPr>
        <sz val="11"/>
        <color indexed="8"/>
        <rFont val="Arial"/>
        <family val="2"/>
      </rPr>
      <t xml:space="preserve">Terreno húmido </t>
    </r>
    <r>
      <rPr>
        <sz val="11"/>
        <rFont val="Arial"/>
        <family val="2"/>
      </rPr>
      <t xml:space="preserve"> </t>
    </r>
  </si>
  <si>
    <r>
      <t xml:space="preserve"> </t>
    </r>
    <r>
      <rPr>
        <sz val="11"/>
        <color indexed="8"/>
        <rFont val="Arial"/>
        <family val="2"/>
      </rPr>
      <t xml:space="preserve">Argila e Calcário </t>
    </r>
    <r>
      <rPr>
        <sz val="11"/>
        <rFont val="Arial"/>
        <family val="2"/>
      </rPr>
      <t xml:space="preserve"> </t>
    </r>
  </si>
  <si>
    <r>
      <t xml:space="preserve"> </t>
    </r>
    <r>
      <rPr>
        <sz val="11"/>
        <color indexed="8"/>
        <rFont val="Arial"/>
        <family val="2"/>
      </rPr>
      <t xml:space="preserve">Terreno normal </t>
    </r>
    <r>
      <rPr>
        <sz val="11"/>
        <rFont val="Arial"/>
        <family val="2"/>
      </rPr>
      <t xml:space="preserve"> </t>
    </r>
  </si>
  <si>
    <r>
      <t xml:space="preserve"> </t>
    </r>
    <r>
      <rPr>
        <sz val="11"/>
        <color indexed="8"/>
        <rFont val="Arial"/>
        <family val="2"/>
      </rPr>
      <t xml:space="preserve">Terreno seco </t>
    </r>
    <r>
      <rPr>
        <sz val="11"/>
        <rFont val="Arial"/>
        <family val="2"/>
      </rPr>
      <t xml:space="preserve"> </t>
    </r>
  </si>
  <si>
    <r>
      <t xml:space="preserve"> </t>
    </r>
    <r>
      <rPr>
        <sz val="11"/>
        <color indexed="8"/>
        <rFont val="Arial"/>
        <family val="2"/>
      </rPr>
      <t xml:space="preserve">Terreno muito seco </t>
    </r>
    <r>
      <rPr>
        <sz val="11"/>
        <rFont val="Arial"/>
        <family val="2"/>
      </rPr>
      <t xml:space="preserve"> </t>
    </r>
  </si>
  <si>
    <r>
      <t xml:space="preserve"> </t>
    </r>
    <r>
      <rPr>
        <sz val="11"/>
        <color indexed="8"/>
        <rFont val="Arial"/>
        <family val="2"/>
      </rPr>
      <t xml:space="preserve">Cinzas </t>
    </r>
    <r>
      <rPr>
        <sz val="11"/>
        <rFont val="Arial"/>
        <family val="2"/>
      </rPr>
      <t xml:space="preserve"> </t>
    </r>
  </si>
  <si>
    <r>
      <t xml:space="preserve"> </t>
    </r>
    <r>
      <rPr>
        <b/>
        <sz val="11"/>
        <color indexed="8"/>
        <rFont val="Arial"/>
        <family val="2"/>
      </rPr>
      <t xml:space="preserve">Resistividade térmica </t>
    </r>
    <r>
      <rPr>
        <b/>
        <sz val="11"/>
        <rFont val="Arial"/>
        <family val="2"/>
      </rPr>
      <t xml:space="preserve">do terreno (k.m/W)  </t>
    </r>
  </si>
  <si>
    <r>
      <t xml:space="preserve"> </t>
    </r>
    <r>
      <rPr>
        <b/>
        <sz val="11"/>
        <color indexed="8"/>
        <rFont val="Arial"/>
        <family val="2"/>
      </rPr>
      <t xml:space="preserve">Factor de </t>
    </r>
    <r>
      <rPr>
        <b/>
        <sz val="11"/>
        <rFont val="Arial"/>
        <family val="2"/>
      </rPr>
      <t>correcção</t>
    </r>
  </si>
  <si>
    <r>
      <t xml:space="preserve"> </t>
    </r>
    <r>
      <rPr>
        <b/>
        <sz val="11"/>
        <color indexed="8"/>
        <rFont val="Arial"/>
        <family val="2"/>
      </rPr>
      <t xml:space="preserve">Observações </t>
    </r>
    <r>
      <rPr>
        <b/>
        <sz val="11"/>
        <rFont val="Arial"/>
        <family val="2"/>
      </rPr>
      <t xml:space="preserve"> </t>
    </r>
  </si>
  <si>
    <t>QUADRO 52-E6</t>
  </si>
  <si>
    <t>Factores de correcção aplicáveis a cabos enterrados em função da
resistividade térmica do solo
Pag 113 das RTIEBT</t>
  </si>
  <si>
    <t>Secções de condutores</t>
  </si>
  <si>
    <t>Métodos de instalação segundo o quadro 52H das RTIEBT</t>
  </si>
  <si>
    <t>A</t>
  </si>
  <si>
    <t>A2</t>
  </si>
  <si>
    <t>B</t>
  </si>
  <si>
    <t>B2</t>
  </si>
  <si>
    <t>D</t>
  </si>
  <si>
    <t>E</t>
  </si>
  <si>
    <t>F</t>
  </si>
  <si>
    <t>G</t>
  </si>
  <si>
    <t>Material Condutores</t>
  </si>
  <si>
    <t>Tipo de Circuito</t>
  </si>
  <si>
    <t>Material de isolamento do cabo/condutor</t>
  </si>
  <si>
    <t>XLPE</t>
  </si>
  <si>
    <t>EPR</t>
  </si>
  <si>
    <t>Mineral</t>
  </si>
  <si>
    <r>
      <t>Condutores isolados a policloreto de vinilo (</t>
    </r>
    <r>
      <rPr>
        <b/>
        <sz val="11"/>
        <color indexed="8"/>
        <rFont val="Arial"/>
        <family val="2"/>
      </rPr>
      <t>PVC</t>
    </r>
    <r>
      <rPr>
        <sz val="11"/>
        <color indexed="8"/>
        <rFont val="Arial"/>
        <family val="2"/>
      </rPr>
      <t xml:space="preserve">), para:
</t>
    </r>
    <r>
      <rPr>
        <b/>
        <sz val="11"/>
        <color indexed="8"/>
        <rFont val="Arial"/>
        <family val="2"/>
      </rPr>
      <t>- 3 Condutores carregados;</t>
    </r>
    <r>
      <rPr>
        <sz val="11"/>
        <color indexed="8"/>
        <rFont val="Arial"/>
        <family val="2"/>
      </rPr>
      <t xml:space="preserve">
- Cobre ou Alumínio;
- Temperatura da alma condutora: 70ºC;
- Temperatura ambiente: 30ºC</t>
    </r>
  </si>
  <si>
    <r>
      <t>Condutores isolados a policloreto reticulado (</t>
    </r>
    <r>
      <rPr>
        <b/>
        <sz val="11"/>
        <color indexed="8"/>
        <rFont val="Arial"/>
        <family val="2"/>
      </rPr>
      <t>XLPE</t>
    </r>
    <r>
      <rPr>
        <sz val="11"/>
        <color indexed="8"/>
        <rFont val="Arial"/>
        <family val="2"/>
      </rPr>
      <t>) ou etileno-propileno(</t>
    </r>
    <r>
      <rPr>
        <b/>
        <sz val="11"/>
        <color indexed="8"/>
        <rFont val="Arial"/>
        <family val="2"/>
      </rPr>
      <t>EPR</t>
    </r>
    <r>
      <rPr>
        <sz val="11"/>
        <color indexed="8"/>
        <rFont val="Arial"/>
        <family val="2"/>
      </rPr>
      <t xml:space="preserve">), para:
</t>
    </r>
    <r>
      <rPr>
        <b/>
        <sz val="11"/>
        <color indexed="8"/>
        <rFont val="Arial"/>
        <family val="2"/>
      </rPr>
      <t>- 3 Condutores carregados;</t>
    </r>
    <r>
      <rPr>
        <sz val="11"/>
        <color indexed="8"/>
        <rFont val="Arial"/>
        <family val="2"/>
      </rPr>
      <t xml:space="preserve">
- Cobre ou Alumínio;
- Temperatura da alma condutora: 90ºC;
- Temperatura ambiente: 30ºC</t>
    </r>
  </si>
  <si>
    <r>
      <t>Condutores isolados a policloreto reticulado (</t>
    </r>
    <r>
      <rPr>
        <b/>
        <sz val="11"/>
        <color indexed="8"/>
        <rFont val="Arial"/>
        <family val="2"/>
      </rPr>
      <t>XLPE</t>
    </r>
    <r>
      <rPr>
        <sz val="11"/>
        <color indexed="8"/>
        <rFont val="Arial"/>
        <family val="2"/>
      </rPr>
      <t>) ou etileno-propileno(</t>
    </r>
    <r>
      <rPr>
        <b/>
        <sz val="11"/>
        <color indexed="8"/>
        <rFont val="Arial"/>
        <family val="2"/>
      </rPr>
      <t>EPR</t>
    </r>
    <r>
      <rPr>
        <sz val="11"/>
        <color indexed="8"/>
        <rFont val="Arial"/>
        <family val="2"/>
      </rPr>
      <t xml:space="preserve">), para:
</t>
    </r>
    <r>
      <rPr>
        <b/>
        <sz val="11"/>
        <color indexed="8"/>
        <rFont val="Arial"/>
        <family val="2"/>
      </rPr>
      <t>- 2 Condutores carregados;</t>
    </r>
    <r>
      <rPr>
        <sz val="11"/>
        <color indexed="8"/>
        <rFont val="Arial"/>
        <family val="2"/>
      </rPr>
      <t xml:space="preserve">
- Cobre ou Alumínio;
- Temperatura da alma condutora: 90ºC;
- Temperatura ambiente: 30ºC</t>
    </r>
  </si>
  <si>
    <r>
      <t>Condutores isolados a policloreto de vinilo (</t>
    </r>
    <r>
      <rPr>
        <b/>
        <sz val="11"/>
        <color indexed="8"/>
        <rFont val="Arial"/>
        <family val="2"/>
      </rPr>
      <t>PVC</t>
    </r>
    <r>
      <rPr>
        <sz val="11"/>
        <color indexed="8"/>
        <rFont val="Arial"/>
        <family val="2"/>
      </rPr>
      <t xml:space="preserve">), para:
</t>
    </r>
    <r>
      <rPr>
        <b/>
        <sz val="11"/>
        <color indexed="8"/>
        <rFont val="Arial"/>
        <family val="2"/>
      </rPr>
      <t>- 2 Condutores carregados;</t>
    </r>
    <r>
      <rPr>
        <sz val="11"/>
        <color indexed="8"/>
        <rFont val="Arial"/>
        <family val="2"/>
      </rPr>
      <t xml:space="preserve">
- Cobre ou Alumínio;
- Temperatura da alma condutora: 70ºC;
- Temperatura ambiente: 30ºC</t>
    </r>
  </si>
  <si>
    <r>
      <t xml:space="preserve">Um cabo de </t>
    </r>
    <r>
      <rPr>
        <b/>
        <u/>
        <sz val="10"/>
        <rFont val="Arial"/>
        <family val="2"/>
      </rPr>
      <t>dois condutores ou dois cabos monocondutores</t>
    </r>
    <r>
      <rPr>
        <b/>
        <sz val="10"/>
        <rFont val="Arial"/>
        <family val="2"/>
      </rPr>
      <t xml:space="preserve"> carregados (2)</t>
    </r>
  </si>
  <si>
    <r>
      <t xml:space="preserve">Um cabo de </t>
    </r>
    <r>
      <rPr>
        <b/>
        <u/>
        <sz val="10"/>
        <rFont val="Arial"/>
        <family val="2"/>
      </rPr>
      <t>dois
condutores ou dois cabos
monocondutores</t>
    </r>
    <r>
      <rPr>
        <b/>
        <sz val="10"/>
        <rFont val="Arial"/>
        <family val="2"/>
      </rPr>
      <t xml:space="preserve">
carregados (2)</t>
    </r>
  </si>
  <si>
    <r>
      <t xml:space="preserve"> </t>
    </r>
    <r>
      <rPr>
        <b/>
        <u/>
        <sz val="11"/>
        <color indexed="8"/>
        <rFont val="Arial"/>
        <family val="2"/>
      </rPr>
      <t>Três condutores carregados em esteira</t>
    </r>
  </si>
  <si>
    <r>
      <t xml:space="preserve">Correntes admissíveis, em amperes, para os </t>
    </r>
    <r>
      <rPr>
        <b/>
        <u/>
        <sz val="11"/>
        <color indexed="8"/>
        <rFont val="Arial"/>
        <family val="2"/>
      </rPr>
      <t>métodos de referência A, B e C</t>
    </r>
    <r>
      <rPr>
        <b/>
        <sz val="11"/>
        <color indexed="8"/>
        <rFont val="Arial"/>
        <family val="2"/>
      </rPr>
      <t xml:space="preserve"> (páginas 100 e 101 das RTIEBT)</t>
    </r>
  </si>
  <si>
    <r>
      <t xml:space="preserve">Correntes admissíveis, em amperes, para os </t>
    </r>
    <r>
      <rPr>
        <b/>
        <u/>
        <sz val="11"/>
        <color indexed="8"/>
        <rFont val="Arial"/>
        <family val="2"/>
      </rPr>
      <t xml:space="preserve">métodos de referência A, B e C </t>
    </r>
    <r>
      <rPr>
        <b/>
        <sz val="11"/>
        <color indexed="8"/>
        <rFont val="Arial"/>
        <family val="2"/>
      </rPr>
      <t>(páginas 99 e 100 das RTIEBT)</t>
    </r>
  </si>
  <si>
    <r>
      <t xml:space="preserve">Correntes admissíveis, em amperes, para os </t>
    </r>
    <r>
      <rPr>
        <b/>
        <u/>
        <sz val="11"/>
        <color indexed="8"/>
        <rFont val="Arial"/>
        <family val="2"/>
      </rPr>
      <t>métodos de referência A, B e C</t>
    </r>
    <r>
      <rPr>
        <b/>
        <sz val="11"/>
        <color indexed="8"/>
        <rFont val="Arial"/>
        <family val="2"/>
      </rPr>
      <t xml:space="preserve"> (página 99 RTIEBT)</t>
    </r>
  </si>
  <si>
    <r>
      <t xml:space="preserve">Correntes admissíveis, em amperes, para os </t>
    </r>
    <r>
      <rPr>
        <b/>
        <u/>
        <sz val="11"/>
        <color indexed="8"/>
        <rFont val="Arial"/>
        <family val="2"/>
      </rPr>
      <t>métodos de referência A, B e C</t>
    </r>
    <r>
      <rPr>
        <b/>
        <sz val="11"/>
        <color indexed="8"/>
        <rFont val="Arial"/>
        <family val="2"/>
      </rPr>
      <t xml:space="preserve"> (página 98 RTIEBT)</t>
    </r>
  </si>
  <si>
    <r>
      <t xml:space="preserve">Correntes admissíveis, em ampéres, para os </t>
    </r>
    <r>
      <rPr>
        <b/>
        <u/>
        <sz val="11"/>
        <color indexed="8"/>
        <rFont val="Arial"/>
        <family val="2"/>
      </rPr>
      <t>métodos de referência E, F e G</t>
    </r>
    <r>
      <rPr>
        <b/>
        <sz val="11"/>
        <color indexed="8"/>
        <rFont val="Arial"/>
        <family val="2"/>
      </rPr>
      <t xml:space="preserve"> (página 105 das RTIEBT):</t>
    </r>
  </si>
  <si>
    <r>
      <t xml:space="preserve">Correntes admissíveis, em ampéres, para os métodos de </t>
    </r>
    <r>
      <rPr>
        <b/>
        <u/>
        <sz val="11"/>
        <color indexed="8"/>
        <rFont val="Arial"/>
        <family val="2"/>
      </rPr>
      <t>referência E, F e G</t>
    </r>
    <r>
      <rPr>
        <b/>
        <sz val="11"/>
        <color indexed="8"/>
        <rFont val="Arial"/>
        <family val="2"/>
      </rPr>
      <t xml:space="preserve"> (página 106 das RTIEBT):</t>
    </r>
  </si>
  <si>
    <r>
      <t xml:space="preserve">Correntes admissíveis, em ampéres, para os </t>
    </r>
    <r>
      <rPr>
        <b/>
        <u/>
        <sz val="11"/>
        <color indexed="8"/>
        <rFont val="Arial"/>
        <family val="2"/>
      </rPr>
      <t>métodos de referência E, F e G</t>
    </r>
    <r>
      <rPr>
        <b/>
        <sz val="11"/>
        <color indexed="8"/>
        <rFont val="Arial"/>
        <family val="2"/>
      </rPr>
      <t xml:space="preserve"> (páginas 106 e 107 das RTIEBT):</t>
    </r>
  </si>
  <si>
    <r>
      <t xml:space="preserve">Correntes admissíveis, em ampéres, para os </t>
    </r>
    <r>
      <rPr>
        <b/>
        <u/>
        <sz val="11"/>
        <color indexed="8"/>
        <rFont val="Arial"/>
        <family val="2"/>
      </rPr>
      <t>métodos de referência A2 e B2</t>
    </r>
    <r>
      <rPr>
        <b/>
        <sz val="11"/>
        <color indexed="8"/>
        <rFont val="Arial"/>
        <family val="2"/>
      </rPr>
      <t xml:space="preserve"> (páginas 107 e 108 das RTIEBT):</t>
    </r>
  </si>
  <si>
    <r>
      <t xml:space="preserve">Correntes admissíveis, em ampéres, para os </t>
    </r>
    <r>
      <rPr>
        <b/>
        <u/>
        <sz val="11"/>
        <color indexed="8"/>
        <rFont val="Arial"/>
        <family val="2"/>
      </rPr>
      <t>métodos de referência A2 e B2</t>
    </r>
    <r>
      <rPr>
        <b/>
        <sz val="11"/>
        <color indexed="8"/>
        <rFont val="Arial"/>
        <family val="2"/>
      </rPr>
      <t xml:space="preserve"> (páginas 108 e 109 das RTIEBT):</t>
    </r>
  </si>
  <si>
    <r>
      <t xml:space="preserve">Correntes admissíveis, em ampéres, </t>
    </r>
    <r>
      <rPr>
        <b/>
        <u/>
        <sz val="11"/>
        <color indexed="8"/>
        <rFont val="Arial"/>
        <family val="2"/>
      </rPr>
      <t>para os métodos de referência D</t>
    </r>
    <r>
      <rPr>
        <b/>
        <sz val="11"/>
        <color indexed="8"/>
        <rFont val="Arial"/>
        <family val="2"/>
      </rPr>
      <t xml:space="preserve"> (página 109 das RTIEBT):</t>
    </r>
  </si>
  <si>
    <r>
      <t xml:space="preserve">Correntes admissíveis, em ampéres, para o </t>
    </r>
    <r>
      <rPr>
        <b/>
        <u/>
        <sz val="11"/>
        <color indexed="8"/>
        <rFont val="Arial"/>
        <family val="2"/>
      </rPr>
      <t>método de referência C</t>
    </r>
    <r>
      <rPr>
        <b/>
        <sz val="11"/>
        <color indexed="8"/>
        <rFont val="Arial"/>
        <family val="2"/>
      </rPr>
      <t xml:space="preserve"> (páginas 102 e 103 das RTIEBT)</t>
    </r>
    <r>
      <rPr>
        <b/>
        <sz val="11"/>
        <color indexed="8"/>
        <rFont val="Arial"/>
        <family val="2"/>
      </rPr>
      <t>:</t>
    </r>
  </si>
  <si>
    <r>
      <t xml:space="preserve">Correntes admissíveis, em ampéres, para os </t>
    </r>
    <r>
      <rPr>
        <b/>
        <u/>
        <sz val="11"/>
        <color indexed="8"/>
        <rFont val="Arial"/>
        <family val="2"/>
      </rPr>
      <t>métodos de referência E, F e G</t>
    </r>
    <r>
      <rPr>
        <b/>
        <sz val="11"/>
        <color indexed="8"/>
        <rFont val="Arial"/>
        <family val="2"/>
      </rPr>
      <t xml:space="preserve"> (página 103 das RTIEBT)</t>
    </r>
    <r>
      <rPr>
        <b/>
        <sz val="11"/>
        <color indexed="8"/>
        <rFont val="Arial"/>
        <family val="2"/>
      </rPr>
      <t>:</t>
    </r>
  </si>
  <si>
    <r>
      <t xml:space="preserve">Correntes admissíveis, em ampéres, para os </t>
    </r>
    <r>
      <rPr>
        <b/>
        <u/>
        <sz val="11"/>
        <color indexed="8"/>
        <rFont val="Arial"/>
        <family val="2"/>
      </rPr>
      <t>métodos de referência E, F e G</t>
    </r>
    <r>
      <rPr>
        <b/>
        <sz val="11"/>
        <color indexed="8"/>
        <rFont val="Arial"/>
        <family val="2"/>
      </rPr>
      <t xml:space="preserve"> (página 104 das RTIEBT)</t>
    </r>
    <r>
      <rPr>
        <b/>
        <sz val="11"/>
        <color indexed="8"/>
        <rFont val="Arial"/>
        <family val="2"/>
      </rPr>
      <t>:</t>
    </r>
  </si>
  <si>
    <r>
      <t xml:space="preserve">Correntes admissíveis, em ampéres, para os </t>
    </r>
    <r>
      <rPr>
        <b/>
        <u/>
        <sz val="11"/>
        <color indexed="8"/>
        <rFont val="Arial"/>
        <family val="2"/>
      </rPr>
      <t>métodos de referência E, F e G</t>
    </r>
    <r>
      <rPr>
        <b/>
        <sz val="11"/>
        <color indexed="8"/>
        <rFont val="Arial"/>
        <family val="2"/>
      </rPr>
      <t xml:space="preserve"> (páginas 104 e 105 das RTIEBT)</t>
    </r>
    <r>
      <rPr>
        <b/>
        <sz val="11"/>
        <color indexed="8"/>
        <rFont val="Arial"/>
        <family val="2"/>
      </rPr>
      <t>:</t>
    </r>
  </si>
  <si>
    <r>
      <t xml:space="preserve">Condutores com </t>
    </r>
    <r>
      <rPr>
        <b/>
        <sz val="11"/>
        <color indexed="8"/>
        <rFont val="Arial"/>
        <family val="2"/>
      </rPr>
      <t>isolamento mineral</t>
    </r>
    <r>
      <rPr>
        <sz val="11"/>
        <color indexed="8"/>
        <rFont val="Arial"/>
        <family val="2"/>
      </rPr>
      <t xml:space="preserve">, para: 
- Condutores e baínha em </t>
    </r>
    <r>
      <rPr>
        <b/>
        <sz val="11"/>
        <color indexed="8"/>
        <rFont val="Arial"/>
        <family val="2"/>
      </rPr>
      <t>cobre</t>
    </r>
    <r>
      <rPr>
        <sz val="11"/>
        <color indexed="8"/>
        <rFont val="Arial"/>
        <family val="2"/>
      </rPr>
      <t xml:space="preserve">
- Bainha em PVC ou cabo nú e acessível
- Temperatura da bainha: 70ºC
- Temperatura ambiente: 30ºC</t>
    </r>
  </si>
  <si>
    <r>
      <t xml:space="preserve">Condutores com </t>
    </r>
    <r>
      <rPr>
        <b/>
        <sz val="11"/>
        <color indexed="8"/>
        <rFont val="Arial"/>
        <family val="2"/>
      </rPr>
      <t xml:space="preserve">isolamento mineral, </t>
    </r>
    <r>
      <rPr>
        <sz val="11"/>
        <color indexed="8"/>
        <rFont val="Arial"/>
        <family val="2"/>
      </rPr>
      <t xml:space="preserve">para:
- Condutores e baínha em </t>
    </r>
    <r>
      <rPr>
        <b/>
        <sz val="11"/>
        <color indexed="8"/>
        <rFont val="Arial"/>
        <family val="2"/>
      </rPr>
      <t>cobre</t>
    </r>
    <r>
      <rPr>
        <sz val="11"/>
        <color indexed="8"/>
        <rFont val="Arial"/>
        <family val="2"/>
      </rPr>
      <t xml:space="preserve">
- Cabo nú e inacessível (1)
- Temperatura da bainha: 105ºC
- Temperatura ambiente: 30ºC</t>
    </r>
  </si>
  <si>
    <r>
      <t xml:space="preserve">Condutores com </t>
    </r>
    <r>
      <rPr>
        <b/>
        <sz val="11"/>
        <color indexed="8"/>
        <rFont val="Arial"/>
        <family val="2"/>
      </rPr>
      <t xml:space="preserve">isolamento mineral, </t>
    </r>
    <r>
      <rPr>
        <sz val="11"/>
        <color indexed="8"/>
        <rFont val="Arial"/>
        <family val="2"/>
      </rPr>
      <t xml:space="preserve">para:
- Condutores e baínha em </t>
    </r>
    <r>
      <rPr>
        <b/>
        <sz val="11"/>
        <color indexed="8"/>
        <rFont val="Arial"/>
        <family val="2"/>
      </rPr>
      <t>cobre</t>
    </r>
    <r>
      <rPr>
        <sz val="11"/>
        <color indexed="8"/>
        <rFont val="Arial"/>
        <family val="2"/>
      </rPr>
      <t xml:space="preserve">
- Bainha em PVC ou cabo nú e acessível (1)
- Temperatura da bainha: 70ºC
- Temperatura ambiente: 30ºC</t>
    </r>
  </si>
  <si>
    <r>
      <t>Condutores isolados a policloreto de vinilo (</t>
    </r>
    <r>
      <rPr>
        <b/>
        <sz val="11"/>
        <color indexed="8"/>
        <rFont val="Arial"/>
        <family val="2"/>
      </rPr>
      <t>PVC</t>
    </r>
    <r>
      <rPr>
        <sz val="11"/>
        <color indexed="8"/>
        <rFont val="Arial"/>
        <family val="2"/>
      </rPr>
      <t xml:space="preserve">), para:
- Condutores e baínha em </t>
    </r>
    <r>
      <rPr>
        <b/>
        <sz val="11"/>
        <color indexed="8"/>
        <rFont val="Arial"/>
        <family val="2"/>
      </rPr>
      <t>cobre</t>
    </r>
    <r>
      <rPr>
        <sz val="11"/>
        <color indexed="8"/>
        <rFont val="Arial"/>
        <family val="2"/>
      </rPr>
      <t xml:space="preserve">
- Cabo nú e inacessível (1)
- Temperatura da bainha: 105ºC
- Temperatura ambiente: 30ºC</t>
    </r>
  </si>
  <si>
    <r>
      <t>Condutores isolados a policloreto de vinilo</t>
    </r>
    <r>
      <rPr>
        <b/>
        <sz val="11"/>
        <color indexed="8"/>
        <rFont val="Arial"/>
        <family val="2"/>
      </rPr>
      <t xml:space="preserve"> (PVC),</t>
    </r>
    <r>
      <rPr>
        <sz val="11"/>
        <color indexed="8"/>
        <rFont val="Arial"/>
        <family val="2"/>
      </rPr>
      <t xml:space="preserve"> para:
</t>
    </r>
    <r>
      <rPr>
        <b/>
        <sz val="11"/>
        <color indexed="8"/>
        <rFont val="Arial"/>
        <family val="2"/>
      </rPr>
      <t>- Alumínio;</t>
    </r>
    <r>
      <rPr>
        <sz val="11"/>
        <color indexed="8"/>
        <rFont val="Arial"/>
        <family val="2"/>
      </rPr>
      <t xml:space="preserve">
- Temperatura da alma condutora: 70ºC;
- Temperatura ambiente: 30ºC</t>
    </r>
  </si>
  <si>
    <r>
      <t>Condutores isolados a polietileno reticulado</t>
    </r>
    <r>
      <rPr>
        <b/>
        <sz val="11"/>
        <color indexed="8"/>
        <rFont val="Arial"/>
        <family val="2"/>
      </rPr>
      <t xml:space="preserve"> (XLPE) </t>
    </r>
    <r>
      <rPr>
        <sz val="11"/>
        <color indexed="8"/>
        <rFont val="Arial"/>
        <family val="2"/>
      </rPr>
      <t>ou etileno-propileno</t>
    </r>
    <r>
      <rPr>
        <b/>
        <sz val="11"/>
        <color indexed="8"/>
        <rFont val="Arial"/>
        <family val="2"/>
      </rPr>
      <t xml:space="preserve"> (EPR)</t>
    </r>
    <r>
      <rPr>
        <sz val="11"/>
        <color indexed="8"/>
        <rFont val="Arial"/>
        <family val="2"/>
      </rPr>
      <t>, para:
-</t>
    </r>
    <r>
      <rPr>
        <b/>
        <sz val="11"/>
        <color indexed="8"/>
        <rFont val="Arial"/>
        <family val="2"/>
      </rPr>
      <t xml:space="preserve"> Cobre</t>
    </r>
    <r>
      <rPr>
        <sz val="11"/>
        <color indexed="8"/>
        <rFont val="Arial"/>
        <family val="2"/>
      </rPr>
      <t xml:space="preserve">
- Temperatura da alma condutora: 90ºC
- Temperatura ambiente: 30ºC</t>
    </r>
  </si>
  <si>
    <r>
      <t>Condutores isolados a polietileno reticulado</t>
    </r>
    <r>
      <rPr>
        <b/>
        <sz val="11"/>
        <color indexed="8"/>
        <rFont val="Arial"/>
        <family val="2"/>
      </rPr>
      <t xml:space="preserve"> (XLPE)</t>
    </r>
    <r>
      <rPr>
        <sz val="11"/>
        <color indexed="8"/>
        <rFont val="Arial"/>
        <family val="2"/>
      </rPr>
      <t xml:space="preserve"> ou etileno-propileno</t>
    </r>
    <r>
      <rPr>
        <b/>
        <sz val="11"/>
        <color indexed="8"/>
        <rFont val="Arial"/>
        <family val="2"/>
      </rPr>
      <t xml:space="preserve"> (EPR)</t>
    </r>
    <r>
      <rPr>
        <sz val="11"/>
        <color indexed="8"/>
        <rFont val="Arial"/>
        <family val="2"/>
      </rPr>
      <t xml:space="preserve">, para:
</t>
    </r>
    <r>
      <rPr>
        <b/>
        <sz val="11"/>
        <color indexed="8"/>
        <rFont val="Arial"/>
        <family val="2"/>
      </rPr>
      <t>- Alumínio</t>
    </r>
    <r>
      <rPr>
        <sz val="11"/>
        <color indexed="8"/>
        <rFont val="Arial"/>
        <family val="2"/>
      </rPr>
      <t xml:space="preserve">
- Temperatura da alma condutora: 90ºC
- Temperatura ambiente: 30ºC</t>
    </r>
  </si>
  <si>
    <r>
      <t>Condutores isolados a policloreto de vinilo</t>
    </r>
    <r>
      <rPr>
        <b/>
        <sz val="11"/>
        <color indexed="8"/>
        <rFont val="Arial"/>
        <family val="2"/>
      </rPr>
      <t xml:space="preserve"> (PVC)</t>
    </r>
    <r>
      <rPr>
        <sz val="11"/>
        <color indexed="8"/>
        <rFont val="Arial"/>
        <family val="2"/>
      </rPr>
      <t xml:space="preserve">, para:
- </t>
    </r>
    <r>
      <rPr>
        <b/>
        <sz val="11"/>
        <color indexed="8"/>
        <rFont val="Arial"/>
        <family val="2"/>
      </rPr>
      <t>2 ou 3</t>
    </r>
    <r>
      <rPr>
        <sz val="11"/>
        <color indexed="8"/>
        <rFont val="Arial"/>
        <family val="2"/>
      </rPr>
      <t xml:space="preserve"> Condutores carregados;
- </t>
    </r>
    <r>
      <rPr>
        <b/>
        <sz val="11"/>
        <color indexed="8"/>
        <rFont val="Arial"/>
        <family val="2"/>
      </rPr>
      <t>Cobre</t>
    </r>
    <r>
      <rPr>
        <sz val="11"/>
        <color indexed="8"/>
        <rFont val="Arial"/>
        <family val="2"/>
      </rPr>
      <t xml:space="preserve"> ou </t>
    </r>
    <r>
      <rPr>
        <b/>
        <sz val="11"/>
        <color indexed="8"/>
        <rFont val="Arial"/>
        <family val="2"/>
      </rPr>
      <t>Alumínio</t>
    </r>
    <r>
      <rPr>
        <sz val="11"/>
        <color indexed="8"/>
        <rFont val="Arial"/>
        <family val="2"/>
      </rPr>
      <t>;
- Temperatura da alma condutora: 70ºC;
- Temperatura ambiente: 30ºC</t>
    </r>
  </si>
  <si>
    <r>
      <t>Condutores isolados a policloreto reticulado</t>
    </r>
    <r>
      <rPr>
        <b/>
        <sz val="11"/>
        <color indexed="8"/>
        <rFont val="Arial"/>
        <family val="2"/>
      </rPr>
      <t xml:space="preserve"> (XLPE) ou </t>
    </r>
    <r>
      <rPr>
        <sz val="11"/>
        <color indexed="8"/>
        <rFont val="Arial"/>
        <family val="2"/>
      </rPr>
      <t>etileno-propileno</t>
    </r>
    <r>
      <rPr>
        <b/>
        <sz val="11"/>
        <color indexed="8"/>
        <rFont val="Arial"/>
        <family val="2"/>
      </rPr>
      <t xml:space="preserve"> (EPR)</t>
    </r>
    <r>
      <rPr>
        <sz val="11"/>
        <color indexed="8"/>
        <rFont val="Arial"/>
        <family val="2"/>
      </rPr>
      <t xml:space="preserve">, para:
- </t>
    </r>
    <r>
      <rPr>
        <b/>
        <sz val="11"/>
        <color indexed="8"/>
        <rFont val="Arial"/>
        <family val="2"/>
      </rPr>
      <t>2 ou 3</t>
    </r>
    <r>
      <rPr>
        <sz val="11"/>
        <color indexed="8"/>
        <rFont val="Arial"/>
        <family val="2"/>
      </rPr>
      <t xml:space="preserve"> Condutores carregados;
- </t>
    </r>
    <r>
      <rPr>
        <b/>
        <sz val="11"/>
        <color indexed="8"/>
        <rFont val="Arial"/>
        <family val="2"/>
      </rPr>
      <t xml:space="preserve">Cobre </t>
    </r>
    <r>
      <rPr>
        <sz val="11"/>
        <color indexed="8"/>
        <rFont val="Arial"/>
        <family val="2"/>
      </rPr>
      <t>ou</t>
    </r>
    <r>
      <rPr>
        <b/>
        <sz val="11"/>
        <color indexed="8"/>
        <rFont val="Arial"/>
        <family val="2"/>
      </rPr>
      <t xml:space="preserve"> Alumínio</t>
    </r>
    <r>
      <rPr>
        <sz val="11"/>
        <color indexed="8"/>
        <rFont val="Arial"/>
        <family val="2"/>
      </rPr>
      <t>;
- Temperatura da alma condutora: 90ºC;
- Temperatura ambiente: 30ºC</t>
    </r>
  </si>
  <si>
    <t>Correntes admissíveis, em amperes,para o método de referência C (páginas 101 e 102 das RTIEBT):</t>
  </si>
  <si>
    <r>
      <rPr>
        <b/>
        <sz val="10"/>
        <rFont val="Arial"/>
        <family val="2"/>
      </rPr>
      <t xml:space="preserve">Um cabo de </t>
    </r>
    <r>
      <rPr>
        <b/>
        <u/>
        <sz val="10"/>
        <rFont val="Arial"/>
        <family val="2"/>
      </rPr>
      <t>dois condutores ou dois cabos monocondutores</t>
    </r>
    <r>
      <rPr>
        <b/>
        <sz val="10"/>
        <rFont val="Arial"/>
        <family val="2"/>
      </rPr>
      <t xml:space="preserve"> carregados (2)</t>
    </r>
  </si>
  <si>
    <t>N.º linha</t>
  </si>
  <si>
    <t>Valores das Intensidades de Corrente Máxima Admissível segundo as RTIEBT, mediante o material constituinte do isolamento dos condutores e os seguintes métodos de referência:</t>
  </si>
  <si>
    <t>Dispositivo de protecção</t>
  </si>
  <si>
    <t>Disjuntor</t>
  </si>
  <si>
    <t>C.C.Fusíveis</t>
  </si>
  <si>
    <r>
      <t xml:space="preserve"> </t>
    </r>
    <r>
      <rPr>
        <sz val="11"/>
        <color indexed="8"/>
        <rFont val="Arial"/>
        <family val="2"/>
      </rPr>
      <t xml:space="preserve">2 a 4 </t>
    </r>
    <r>
      <rPr>
        <sz val="11"/>
        <rFont val="Arial"/>
        <family val="2"/>
      </rPr>
      <t xml:space="preserve"> </t>
    </r>
  </si>
  <si>
    <r>
      <t xml:space="preserve"> </t>
    </r>
    <r>
      <rPr>
        <sz val="11"/>
        <color indexed="8"/>
        <rFont val="Arial"/>
        <family val="2"/>
      </rPr>
      <t xml:space="preserve">5 a 9 </t>
    </r>
    <r>
      <rPr>
        <sz val="11"/>
        <rFont val="Arial"/>
        <family val="2"/>
      </rPr>
      <t xml:space="preserve"> </t>
    </r>
  </si>
  <si>
    <r>
      <t xml:space="preserve"> </t>
    </r>
    <r>
      <rPr>
        <sz val="11"/>
        <color indexed="8"/>
        <rFont val="Arial"/>
        <family val="2"/>
      </rPr>
      <t xml:space="preserve">15 a 19 </t>
    </r>
    <r>
      <rPr>
        <sz val="11"/>
        <rFont val="Arial"/>
        <family val="2"/>
      </rPr>
      <t xml:space="preserve"> </t>
    </r>
  </si>
  <si>
    <r>
      <t xml:space="preserve"> </t>
    </r>
    <r>
      <rPr>
        <sz val="11"/>
        <color indexed="8"/>
        <rFont val="Arial"/>
        <family val="2"/>
      </rPr>
      <t xml:space="preserve">20 a 24 </t>
    </r>
    <r>
      <rPr>
        <sz val="11"/>
        <rFont val="Arial"/>
        <family val="2"/>
      </rPr>
      <t xml:space="preserve"> </t>
    </r>
  </si>
  <si>
    <r>
      <t xml:space="preserve"> </t>
    </r>
    <r>
      <rPr>
        <sz val="11"/>
        <color indexed="8"/>
        <rFont val="Arial"/>
        <family val="2"/>
      </rPr>
      <t xml:space="preserve">25 a 29 </t>
    </r>
    <r>
      <rPr>
        <sz val="11"/>
        <rFont val="Arial"/>
        <family val="2"/>
      </rPr>
      <t xml:space="preserve"> </t>
    </r>
  </si>
  <si>
    <r>
      <t xml:space="preserve"> </t>
    </r>
    <r>
      <rPr>
        <sz val="11"/>
        <color indexed="8"/>
        <rFont val="Arial"/>
        <family val="2"/>
      </rPr>
      <t xml:space="preserve">30 a 34 </t>
    </r>
    <r>
      <rPr>
        <sz val="11"/>
        <rFont val="Arial"/>
        <family val="2"/>
      </rPr>
      <t xml:space="preserve"> </t>
    </r>
  </si>
  <si>
    <r>
      <t xml:space="preserve"> </t>
    </r>
    <r>
      <rPr>
        <sz val="11"/>
        <color indexed="8"/>
        <rFont val="Arial"/>
        <family val="2"/>
      </rPr>
      <t xml:space="preserve">35 a 39 </t>
    </r>
    <r>
      <rPr>
        <sz val="11"/>
        <rFont val="Arial"/>
        <family val="2"/>
      </rPr>
      <t xml:space="preserve"> </t>
    </r>
  </si>
  <si>
    <r>
      <t xml:space="preserve"> </t>
    </r>
    <r>
      <rPr>
        <sz val="11"/>
        <color indexed="8"/>
        <rFont val="Arial"/>
        <family val="2"/>
      </rPr>
      <t xml:space="preserve">40 a 49 </t>
    </r>
    <r>
      <rPr>
        <sz val="11"/>
        <rFont val="Arial"/>
        <family val="2"/>
      </rPr>
      <t xml:space="preserve"> </t>
    </r>
  </si>
  <si>
    <r>
      <t xml:space="preserve"> </t>
    </r>
    <r>
      <rPr>
        <sz val="11"/>
        <color indexed="8"/>
        <rFont val="Arial"/>
        <family val="2"/>
      </rPr>
      <t xml:space="preserve">50 e mais </t>
    </r>
    <r>
      <rPr>
        <sz val="11"/>
        <rFont val="Arial"/>
        <family val="2"/>
      </rPr>
      <t xml:space="preserve"> </t>
    </r>
  </si>
  <si>
    <t>Fusíveis</t>
  </si>
  <si>
    <r>
      <t xml:space="preserve"> </t>
    </r>
    <r>
      <rPr>
        <sz val="11"/>
        <color indexed="8"/>
        <rFont val="Arial"/>
        <family val="2"/>
      </rPr>
      <t>-</t>
    </r>
    <r>
      <rPr>
        <sz val="11"/>
        <rFont val="Arial"/>
        <family val="2"/>
      </rPr>
      <t xml:space="preserve"> </t>
    </r>
  </si>
  <si>
    <t>Disjuntores</t>
  </si>
  <si>
    <r>
      <t xml:space="preserve"> </t>
    </r>
    <r>
      <rPr>
        <b/>
        <sz val="11"/>
        <color indexed="8"/>
        <rFont val="Arial"/>
        <family val="2"/>
      </rPr>
      <t xml:space="preserve">Número de instalações a jusante </t>
    </r>
    <r>
      <rPr>
        <b/>
        <sz val="11"/>
        <rFont val="Arial"/>
        <family val="2"/>
      </rPr>
      <t xml:space="preserve"> </t>
    </r>
  </si>
  <si>
    <r>
      <t xml:space="preserve"> </t>
    </r>
    <r>
      <rPr>
        <b/>
        <sz val="11"/>
        <color indexed="8"/>
        <rFont val="Arial"/>
        <family val="2"/>
      </rPr>
      <t xml:space="preserve">Coeficiente de simultaneidade </t>
    </r>
    <r>
      <rPr>
        <b/>
        <sz val="11"/>
        <rFont val="Arial"/>
        <family val="2"/>
      </rPr>
      <t xml:space="preserve"> </t>
    </r>
  </si>
  <si>
    <r>
      <t xml:space="preserve"> </t>
    </r>
    <r>
      <rPr>
        <b/>
        <sz val="11"/>
        <color indexed="8"/>
        <rFont val="Arial"/>
        <family val="2"/>
      </rPr>
      <t>I</t>
    </r>
    <r>
      <rPr>
        <b/>
        <vertAlign val="subscript"/>
        <sz val="11"/>
        <color indexed="8"/>
        <rFont val="Arial"/>
        <family val="2"/>
      </rPr>
      <t xml:space="preserve">n 
</t>
    </r>
    <r>
      <rPr>
        <b/>
        <vertAlign val="superscript"/>
        <sz val="11"/>
        <color indexed="8"/>
        <rFont val="Arial"/>
        <family val="2"/>
      </rPr>
      <t>(Calibre)</t>
    </r>
    <r>
      <rPr>
        <b/>
        <sz val="11"/>
        <rFont val="Arial"/>
        <family val="2"/>
      </rPr>
      <t xml:space="preserve"> </t>
    </r>
  </si>
  <si>
    <r>
      <t xml:space="preserve"> I</t>
    </r>
    <r>
      <rPr>
        <b/>
        <vertAlign val="subscript"/>
        <sz val="11"/>
        <rFont val="Arial"/>
        <family val="2"/>
      </rPr>
      <t>1</t>
    </r>
    <r>
      <rPr>
        <b/>
        <sz val="11"/>
        <rFont val="Arial"/>
        <family val="2"/>
      </rPr>
      <t xml:space="preserve"> 
(I</t>
    </r>
    <r>
      <rPr>
        <b/>
        <vertAlign val="subscript"/>
        <sz val="11"/>
        <rFont val="Arial"/>
        <family val="2"/>
      </rPr>
      <t>nf</t>
    </r>
    <r>
      <rPr>
        <b/>
        <sz val="11"/>
        <rFont val="Arial"/>
        <family val="2"/>
      </rPr>
      <t xml:space="preserve">) </t>
    </r>
  </si>
  <si>
    <r>
      <t xml:space="preserve"> </t>
    </r>
    <r>
      <rPr>
        <b/>
        <sz val="11"/>
        <color indexed="8"/>
        <rFont val="Arial"/>
        <family val="2"/>
      </rPr>
      <t>I</t>
    </r>
    <r>
      <rPr>
        <b/>
        <vertAlign val="subscript"/>
        <sz val="11"/>
        <color indexed="8"/>
        <rFont val="Arial"/>
        <family val="2"/>
      </rPr>
      <t xml:space="preserve">2
</t>
    </r>
    <r>
      <rPr>
        <b/>
        <sz val="11"/>
        <color indexed="8"/>
        <rFont val="Arial"/>
        <family val="2"/>
      </rPr>
      <t>(I</t>
    </r>
    <r>
      <rPr>
        <b/>
        <vertAlign val="subscript"/>
        <sz val="11"/>
        <color indexed="8"/>
        <rFont val="Arial"/>
        <family val="2"/>
      </rPr>
      <t>nf</t>
    </r>
    <r>
      <rPr>
        <b/>
        <sz val="11"/>
        <color indexed="8"/>
        <rFont val="Arial"/>
        <family val="2"/>
      </rPr>
      <t>)</t>
    </r>
    <r>
      <rPr>
        <b/>
        <sz val="11"/>
        <rFont val="Arial"/>
        <family val="2"/>
      </rPr>
      <t xml:space="preserve"> </t>
    </r>
  </si>
  <si>
    <r>
      <t xml:space="preserve"> </t>
    </r>
    <r>
      <rPr>
        <b/>
        <sz val="11"/>
        <color indexed="8"/>
        <rFont val="Arial"/>
        <family val="2"/>
      </rPr>
      <t xml:space="preserve">Secção </t>
    </r>
    <r>
      <rPr>
        <b/>
        <sz val="11"/>
        <rFont val="Arial"/>
        <family val="2"/>
      </rPr>
      <t xml:space="preserve"> dos condutores de fase [mm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]</t>
    </r>
  </si>
  <si>
    <r>
      <t xml:space="preserve"> Secção  de condutor neutro e de protecção
[mm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]</t>
    </r>
  </si>
  <si>
    <r>
      <t xml:space="preserve"> </t>
    </r>
    <r>
      <rPr>
        <sz val="11"/>
        <color indexed="8"/>
        <rFont val="Arial"/>
        <family val="2"/>
      </rPr>
      <t>--</t>
    </r>
    <r>
      <rPr>
        <sz val="11"/>
        <rFont val="Arial"/>
        <family val="2"/>
      </rPr>
      <t xml:space="preserve"> </t>
    </r>
  </si>
  <si>
    <r>
      <t>Diâmetro nominal dos tubos (</t>
    </r>
    <r>
      <rPr>
        <b/>
        <sz val="11"/>
        <color indexed="8"/>
        <rFont val="Symbol"/>
        <family val="1"/>
        <charset val="2"/>
      </rPr>
      <t>Æ</t>
    </r>
    <r>
      <rPr>
        <b/>
        <sz val="11"/>
        <color indexed="8"/>
        <rFont val="Arial"/>
        <family val="2"/>
      </rPr>
      <t>), em função do n.º de condutores
[mm]</t>
    </r>
  </si>
  <si>
    <r>
      <rPr>
        <b/>
        <sz val="11"/>
        <color indexed="8"/>
        <rFont val="Arial"/>
        <family val="2"/>
      </rPr>
      <t>Secção
nominal
dos
condutores
[mm</t>
    </r>
    <r>
      <rPr>
        <b/>
        <vertAlign val="superscript"/>
        <sz val="11"/>
        <color indexed="8"/>
        <rFont val="Arial"/>
        <family val="2"/>
      </rPr>
      <t>2</t>
    </r>
    <r>
      <rPr>
        <b/>
        <sz val="11"/>
        <color indexed="8"/>
        <rFont val="Arial"/>
        <family val="2"/>
      </rPr>
      <t>]</t>
    </r>
    <r>
      <rPr>
        <sz val="11"/>
        <color indexed="8"/>
        <rFont val="Arial"/>
        <family val="2"/>
      </rPr>
      <t xml:space="preserve"> </t>
    </r>
  </si>
  <si>
    <t>[XV</t>
  </si>
  <si>
    <t>Material condutor</t>
  </si>
  <si>
    <t>Material do isolamento do condutor</t>
  </si>
  <si>
    <t>Poder de corte  a instalar
[kA]</t>
  </si>
  <si>
    <t>Método de referência</t>
  </si>
  <si>
    <t>N.º de cabos agrup.</t>
  </si>
  <si>
    <t>L
[m]</t>
  </si>
  <si>
    <t>Quadro</t>
  </si>
  <si>
    <t>Circuito</t>
  </si>
  <si>
    <t>Condutor</t>
  </si>
  <si>
    <r>
      <t>Secção
[mm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]</t>
    </r>
  </si>
  <si>
    <t>CÁLCULO DAS INTENSIDADES DE CORRENTE ELÉCTRICA DE CURTO-CIRCUITO
 TRIFÁSICO E SIMÉTRICO NA ORIGEM DA INSTALAÇÃO ELÉCTRICA</t>
  </si>
  <si>
    <t>Transformador</t>
  </si>
  <si>
    <t>Quadro elétrico</t>
  </si>
  <si>
    <t>Material constituinte dos barramentos</t>
  </si>
  <si>
    <r>
      <t>Tensão mecânica de segurança à flexão
[daN/cm</t>
    </r>
    <r>
      <rPr>
        <b/>
        <vertAlign val="superscript"/>
        <sz val="12"/>
        <color indexed="8"/>
        <rFont val="Arial"/>
        <family val="2"/>
      </rPr>
      <t>2</t>
    </r>
    <r>
      <rPr>
        <b/>
        <sz val="12"/>
        <color indexed="8"/>
        <rFont val="Arial"/>
        <family val="2"/>
      </rPr>
      <t>]</t>
    </r>
  </si>
  <si>
    <r>
      <t>Módulo de elasticidade (Young)
[daN/cm</t>
    </r>
    <r>
      <rPr>
        <b/>
        <vertAlign val="superscript"/>
        <sz val="12"/>
        <color indexed="8"/>
        <rFont val="Arial"/>
        <family val="2"/>
      </rPr>
      <t>2</t>
    </r>
    <r>
      <rPr>
        <b/>
        <sz val="12"/>
        <color indexed="8"/>
        <rFont val="Arial"/>
        <family val="2"/>
      </rPr>
      <t>]</t>
    </r>
  </si>
  <si>
    <t>Geometria dos barramentos a adoptar</t>
  </si>
  <si>
    <t>Caraterísticas a verificar</t>
  </si>
  <si>
    <t xml:space="preserve">Características do barramento escolhido </t>
  </si>
  <si>
    <t>Verificações:
Flecha resultante do peso do barramento &lt; 0,5%;
Módulo de resistência à flexão &gt; Resistência mínima à flexão;
 Intensidade de corrente máxima &gt; Intensidade de corrente de serviço.</t>
  </si>
  <si>
    <t>Disposição</t>
  </si>
  <si>
    <t>Distância entre fases
[cm]</t>
  </si>
  <si>
    <t>Distância entre apoios
[cm]</t>
  </si>
  <si>
    <t>Força eletrodinâmica por unidade de comprimento
[daN/cm]</t>
  </si>
  <si>
    <t>Momento flector máximo
[daN.cm]</t>
  </si>
  <si>
    <r>
      <t>Resistência mínima à flexão
[cm</t>
    </r>
    <r>
      <rPr>
        <b/>
        <vertAlign val="superscript"/>
        <sz val="12"/>
        <color indexed="8"/>
        <rFont val="Arial"/>
        <family val="2"/>
      </rPr>
      <t>3</t>
    </r>
    <r>
      <rPr>
        <b/>
        <sz val="12"/>
        <color indexed="8"/>
        <rFont val="Arial"/>
        <family val="2"/>
      </rPr>
      <t>]</t>
    </r>
  </si>
  <si>
    <t>N.º de Barramentos a instalar</t>
  </si>
  <si>
    <t>Dimensões
(axb)
[mm]</t>
  </si>
  <si>
    <r>
      <t>Corrente máxima admissível (I</t>
    </r>
    <r>
      <rPr>
        <b/>
        <vertAlign val="subscript"/>
        <sz val="12"/>
        <color indexed="8"/>
        <rFont val="Arial"/>
        <family val="2"/>
      </rPr>
      <t>z</t>
    </r>
    <r>
      <rPr>
        <b/>
        <sz val="12"/>
        <color indexed="8"/>
        <rFont val="Arial"/>
        <family val="2"/>
      </rPr>
      <t>)
[A]</t>
    </r>
  </si>
  <si>
    <t>Peso linear
[daN/m]</t>
  </si>
  <si>
    <r>
      <t>Momento de inércia
(I)
[cm</t>
    </r>
    <r>
      <rPr>
        <b/>
        <vertAlign val="superscript"/>
        <sz val="12"/>
        <color indexed="8"/>
        <rFont val="Arial"/>
        <family val="2"/>
      </rPr>
      <t>4</t>
    </r>
    <r>
      <rPr>
        <b/>
        <sz val="12"/>
        <color indexed="8"/>
        <rFont val="Arial"/>
        <family val="2"/>
      </rPr>
      <t>]</t>
    </r>
  </si>
  <si>
    <r>
      <t>Módulo de resistência à flexão [W]
[cm</t>
    </r>
    <r>
      <rPr>
        <b/>
        <vertAlign val="superscript"/>
        <sz val="12"/>
        <color indexed="8"/>
        <rFont val="Arial"/>
        <family val="2"/>
      </rPr>
      <t>3</t>
    </r>
    <r>
      <rPr>
        <b/>
        <sz val="12"/>
        <color indexed="8"/>
        <rFont val="Arial"/>
        <family val="2"/>
      </rPr>
      <t>]</t>
    </r>
  </si>
  <si>
    <t>Flecha máxima resultante
do próprio peso
[%]</t>
  </si>
  <si>
    <t>Intervalos
proíbidos [cm]</t>
  </si>
  <si>
    <t>45-55Hz</t>
  </si>
  <si>
    <t>90-110Hz</t>
  </si>
  <si>
    <t>Barra Rectangular</t>
  </si>
  <si>
    <t>Ao Alto</t>
  </si>
  <si>
    <t>DIMENSIONAMENTO DOS BARRAMENTOS DOS QUADROS ELÉCTRICOS</t>
  </si>
  <si>
    <t>×</t>
  </si>
  <si>
    <t>VD Ø</t>
  </si>
  <si>
    <r>
      <t>mm</t>
    </r>
    <r>
      <rPr>
        <vertAlign val="superscript"/>
        <sz val="11"/>
        <color rgb="FF000080"/>
        <rFont val="Arial"/>
        <family val="2"/>
      </rPr>
      <t>2</t>
    </r>
    <r>
      <rPr>
        <sz val="11"/>
        <color rgb="FF000080"/>
        <rFont val="Arial"/>
        <family val="2"/>
      </rPr>
      <t>]</t>
    </r>
  </si>
  <si>
    <t>Tipo de condutores
e fim ao que se destinam</t>
  </si>
  <si>
    <t>Q.G.B.T. / Q.E.</t>
  </si>
  <si>
    <r>
      <t>I</t>
    </r>
    <r>
      <rPr>
        <b/>
        <vertAlign val="subscript"/>
        <sz val="11"/>
        <rFont val="Arial"/>
        <family val="2"/>
      </rPr>
      <t>b</t>
    </r>
    <r>
      <rPr>
        <b/>
        <sz val="11"/>
        <rFont val="Arial"/>
        <family val="2"/>
      </rPr>
      <t>/I</t>
    </r>
    <r>
      <rPr>
        <b/>
        <vertAlign val="subscript"/>
        <sz val="11"/>
        <rFont val="Arial"/>
        <family val="2"/>
      </rPr>
      <t xml:space="preserve">z
</t>
    </r>
    <r>
      <rPr>
        <b/>
        <sz val="11"/>
        <rFont val="Arial"/>
        <family val="2"/>
      </rPr>
      <t>[%]</t>
    </r>
  </si>
  <si>
    <r>
      <t>I</t>
    </r>
    <r>
      <rPr>
        <b/>
        <vertAlign val="subscript"/>
        <sz val="11"/>
        <rFont val="Arial"/>
        <family val="2"/>
      </rPr>
      <t>b</t>
    </r>
    <r>
      <rPr>
        <b/>
        <sz val="11"/>
        <rFont val="Arial"/>
        <family val="2"/>
      </rPr>
      <t xml:space="preserve"> ≤  In  ≤ I</t>
    </r>
    <r>
      <rPr>
        <b/>
        <vertAlign val="subscript"/>
        <sz val="11"/>
        <rFont val="Arial"/>
        <family val="2"/>
      </rPr>
      <t>z</t>
    </r>
    <r>
      <rPr>
        <b/>
        <sz val="11"/>
        <rFont val="Arial"/>
        <family val="2"/>
      </rPr>
      <t xml:space="preserve">
e
I</t>
    </r>
    <r>
      <rPr>
        <b/>
        <vertAlign val="subscript"/>
        <sz val="11"/>
        <rFont val="Arial"/>
        <family val="2"/>
      </rPr>
      <t>2</t>
    </r>
    <r>
      <rPr>
        <b/>
        <sz val="11"/>
        <rFont val="Arial"/>
        <family val="2"/>
      </rPr>
      <t xml:space="preserve"> ≤ 1,45 I</t>
    </r>
    <r>
      <rPr>
        <b/>
        <vertAlign val="subscript"/>
        <sz val="11"/>
        <rFont val="Arial"/>
        <family val="2"/>
      </rPr>
      <t>z</t>
    </r>
  </si>
  <si>
    <r>
      <t>Resistência condutores (R)
[</t>
    </r>
    <r>
      <rPr>
        <b/>
        <sz val="10"/>
        <rFont val="Symbol"/>
        <family val="1"/>
        <charset val="2"/>
      </rPr>
      <t>W</t>
    </r>
    <r>
      <rPr>
        <b/>
        <sz val="10"/>
        <rFont val="Arial"/>
        <family val="2"/>
      </rPr>
      <t>]</t>
    </r>
  </si>
  <si>
    <r>
      <t>Reactância condutores (X)
[</t>
    </r>
    <r>
      <rPr>
        <b/>
        <sz val="10"/>
        <rFont val="Symbol"/>
        <family val="1"/>
        <charset val="2"/>
      </rPr>
      <t>W</t>
    </r>
    <r>
      <rPr>
        <b/>
        <sz val="10"/>
        <rFont val="Arial"/>
        <family val="2"/>
      </rPr>
      <t>]</t>
    </r>
  </si>
  <si>
    <r>
      <t>I</t>
    </r>
    <r>
      <rPr>
        <b/>
        <vertAlign val="subscript"/>
        <sz val="11"/>
        <rFont val="Arial"/>
        <family val="2"/>
      </rPr>
      <t>b</t>
    </r>
    <r>
      <rPr>
        <b/>
        <sz val="11"/>
        <rFont val="Arial"/>
        <family val="2"/>
      </rPr>
      <t xml:space="preserve">
[A]</t>
    </r>
  </si>
  <si>
    <t>Intensidade de corrente primária</t>
  </si>
  <si>
    <t>Factor m</t>
  </si>
  <si>
    <t>Intensidade de corrente nominal (ou regulada) da protecção mais alta do lado de Baixa Tensão</t>
  </si>
  <si>
    <r>
      <t>(I</t>
    </r>
    <r>
      <rPr>
        <b/>
        <vertAlign val="subscript"/>
        <sz val="12"/>
        <rFont val="Arial"/>
        <family val="2"/>
      </rPr>
      <t>BT</t>
    </r>
    <r>
      <rPr>
        <b/>
        <sz val="12"/>
        <rFont val="Arial"/>
        <family val="2"/>
      </rPr>
      <t>)</t>
    </r>
  </si>
  <si>
    <r>
      <t>Coeficiente de coordenação MT/BT (1,4 para I</t>
    </r>
    <r>
      <rPr>
        <vertAlign val="subscript"/>
        <sz val="12"/>
        <rFont val="Arial"/>
        <family val="2"/>
      </rPr>
      <t>BT</t>
    </r>
    <r>
      <rPr>
        <sz val="12"/>
        <rFont val="Arial"/>
        <family val="2"/>
      </rPr>
      <t xml:space="preserve"> &lt; 315 e 1,6 para I</t>
    </r>
    <r>
      <rPr>
        <vertAlign val="subscript"/>
        <sz val="12"/>
        <rFont val="Arial"/>
        <family val="2"/>
      </rPr>
      <t>BT</t>
    </r>
    <r>
      <rPr>
        <sz val="12"/>
        <rFont val="Arial"/>
        <family val="2"/>
      </rPr>
      <t xml:space="preserve"> ≥ 315A)</t>
    </r>
  </si>
  <si>
    <r>
      <t>(k</t>
    </r>
    <r>
      <rPr>
        <b/>
        <vertAlign val="subscript"/>
        <sz val="12"/>
        <rFont val="Arial"/>
        <family val="2"/>
      </rPr>
      <t>c</t>
    </r>
    <r>
      <rPr>
        <b/>
        <sz val="12"/>
        <rFont val="Arial"/>
        <family val="2"/>
      </rPr>
      <t>)</t>
    </r>
  </si>
  <si>
    <r>
      <rPr>
        <b/>
        <sz val="12"/>
        <rFont val="Arial"/>
        <family val="2"/>
      </rPr>
      <t xml:space="preserve">Condição 1: </t>
    </r>
    <r>
      <rPr>
        <sz val="12"/>
        <rFont val="Arial"/>
        <family val="2"/>
      </rPr>
      <t>Para I</t>
    </r>
    <r>
      <rPr>
        <vertAlign val="subscript"/>
        <sz val="12"/>
        <rFont val="Arial"/>
        <family val="2"/>
      </rPr>
      <t>A</t>
    </r>
    <r>
      <rPr>
        <sz val="12"/>
        <rFont val="Arial"/>
        <family val="2"/>
      </rPr>
      <t>, o tempo de fusão deverá ser ≥ 40ms</t>
    </r>
  </si>
  <si>
    <r>
      <rPr>
        <b/>
        <sz val="14"/>
        <rFont val="Arial"/>
        <family val="2"/>
      </rPr>
      <t>Condição 2:</t>
    </r>
    <r>
      <rPr>
        <sz val="14"/>
        <rFont val="Arial"/>
        <family val="2"/>
      </rPr>
      <t xml:space="preserve"> O calibre dos fusíveis deverá ser menor que 3,33 vezes a corrente primária</t>
    </r>
  </si>
  <si>
    <r>
      <rPr>
        <b/>
        <sz val="14"/>
        <rFont val="Arial"/>
        <family val="2"/>
      </rPr>
      <t>Condição 3:</t>
    </r>
    <r>
      <rPr>
        <sz val="14"/>
        <rFont val="Arial"/>
        <family val="2"/>
      </rPr>
      <t xml:space="preserve"> O calibre dos fusíveis deverá ser maior que 1,3 vezes a corrente primária</t>
    </r>
  </si>
  <si>
    <r>
      <rPr>
        <b/>
        <sz val="14"/>
        <rFont val="Arial"/>
        <family val="2"/>
      </rPr>
      <t>Condição 4:</t>
    </r>
    <r>
      <rPr>
        <sz val="14"/>
        <rFont val="Arial"/>
        <family val="2"/>
      </rPr>
      <t xml:space="preserve"> O calibre dos fusíveis deverá ser maior que:</t>
    </r>
  </si>
  <si>
    <t>Calibre dos fusíveis a adoptar:</t>
  </si>
  <si>
    <t>Condição 1</t>
  </si>
  <si>
    <t>Condição 2</t>
  </si>
  <si>
    <t>Condição 3</t>
  </si>
  <si>
    <t>Condição 4</t>
  </si>
  <si>
    <t>Verif Final</t>
  </si>
  <si>
    <t>Calibres normalizados [A]</t>
  </si>
  <si>
    <t>DIMENSIONAMENTO DOS FUSÍVEIS DE MT</t>
  </si>
  <si>
    <t>DIMENSIONAMENTO DAS CANALIZAÇÕES E ÓRGÃOS DE PROTECÇÃO PRINCIPAIS</t>
  </si>
  <si>
    <r>
      <t>Impedância a montante
[</t>
    </r>
    <r>
      <rPr>
        <b/>
        <sz val="11"/>
        <rFont val="Symbol"/>
        <family val="1"/>
        <charset val="2"/>
      </rPr>
      <t>W</t>
    </r>
    <r>
      <rPr>
        <b/>
        <sz val="11"/>
        <rFont val="Arial"/>
        <family val="2"/>
      </rPr>
      <t>]</t>
    </r>
  </si>
  <si>
    <r>
      <t>I</t>
    </r>
    <r>
      <rPr>
        <b/>
        <vertAlign val="subscript"/>
        <sz val="11"/>
        <rFont val="Arial"/>
        <family val="2"/>
      </rPr>
      <t>z</t>
    </r>
    <r>
      <rPr>
        <b/>
        <sz val="11"/>
        <rFont val="Arial"/>
        <family val="2"/>
      </rPr>
      <t xml:space="preserve">
[A]</t>
    </r>
  </si>
  <si>
    <t>Corrente de Curto Circuito no Quadro
[kA]</t>
  </si>
  <si>
    <r>
      <t>Massa volúmica
(γ)
[g/cm</t>
    </r>
    <r>
      <rPr>
        <b/>
        <vertAlign val="superscript"/>
        <sz val="12"/>
        <color indexed="8"/>
        <rFont val="Arial"/>
        <family val="2"/>
      </rPr>
      <t>3</t>
    </r>
    <r>
      <rPr>
        <b/>
        <sz val="12"/>
        <color indexed="8"/>
        <rFont val="Arial"/>
        <family val="2"/>
      </rPr>
      <t>]</t>
    </r>
  </si>
  <si>
    <t>Tipo de elétrodo</t>
  </si>
  <si>
    <t>Vareta ou tubo</t>
  </si>
  <si>
    <t>Número de elétrodos</t>
  </si>
  <si>
    <t>(n)</t>
  </si>
  <si>
    <t>Resistividade do solo</t>
  </si>
  <si>
    <r>
      <t>(</t>
    </r>
    <r>
      <rPr>
        <b/>
        <sz val="10"/>
        <rFont val="Calibri"/>
        <family val="2"/>
      </rPr>
      <t>ρ</t>
    </r>
    <r>
      <rPr>
        <b/>
        <vertAlign val="subscript"/>
        <sz val="10"/>
        <rFont val="Arial"/>
        <family val="2"/>
      </rPr>
      <t>s</t>
    </r>
    <r>
      <rPr>
        <b/>
        <sz val="10"/>
        <rFont val="Arial"/>
        <family val="2"/>
      </rPr>
      <t>)</t>
    </r>
  </si>
  <si>
    <r>
      <rPr>
        <sz val="10"/>
        <rFont val="Calibri"/>
        <family val="2"/>
      </rPr>
      <t>Ω</t>
    </r>
    <r>
      <rPr>
        <sz val="10"/>
        <rFont val="Arial"/>
        <family val="2"/>
      </rPr>
      <t>.m</t>
    </r>
  </si>
  <si>
    <t>Comprimento do elétrodo</t>
  </si>
  <si>
    <t>(L)</t>
  </si>
  <si>
    <t>m</t>
  </si>
  <si>
    <t>Diâmetro do elétrodo</t>
  </si>
  <si>
    <t>(d)</t>
  </si>
  <si>
    <r>
      <t>(p</t>
    </r>
    <r>
      <rPr>
        <b/>
        <vertAlign val="subscript"/>
        <sz val="10"/>
        <rFont val="Arial"/>
        <family val="2"/>
      </rPr>
      <t>e</t>
    </r>
    <r>
      <rPr>
        <b/>
        <sz val="10"/>
        <rFont val="Arial"/>
        <family val="2"/>
      </rPr>
      <t>)</t>
    </r>
  </si>
  <si>
    <t>Ω</t>
  </si>
  <si>
    <t>Chapa retangular enterrada verticalmente</t>
  </si>
  <si>
    <t>(D)</t>
  </si>
  <si>
    <t>Largura do elétrodo</t>
  </si>
  <si>
    <r>
      <t>Resistência elétrica de contato à terra:
Para 1 elétrodo (R</t>
    </r>
    <r>
      <rPr>
        <vertAlign val="subscript"/>
        <sz val="10"/>
        <rFont val="Arial"/>
        <family val="2"/>
      </rPr>
      <t>1</t>
    </r>
    <r>
      <rPr>
        <sz val="10"/>
        <rFont val="Arial"/>
        <family val="2"/>
      </rPr>
      <t>), para vários elétrodos (R</t>
    </r>
    <r>
      <rPr>
        <vertAlign val="subscript"/>
        <sz val="10"/>
        <rFont val="Arial"/>
        <family val="2"/>
      </rPr>
      <t>(n)</t>
    </r>
    <r>
      <rPr>
        <sz val="10"/>
        <rFont val="Arial"/>
        <family val="2"/>
      </rPr>
      <t>)</t>
    </r>
  </si>
  <si>
    <r>
      <t>Superfície de contato à terra
(deverá ser superior a 1m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)</t>
    </r>
  </si>
  <si>
    <r>
      <t>m</t>
    </r>
    <r>
      <rPr>
        <vertAlign val="superscript"/>
        <sz val="10"/>
        <rFont val="Arial"/>
        <family val="2"/>
      </rPr>
      <t>2</t>
    </r>
  </si>
  <si>
    <t>Caso o instalador opte pela instalação de chapas 
retangulares enterradas verticalmente</t>
  </si>
  <si>
    <t>Caso o instalador opte pela instalação de varetas:</t>
  </si>
  <si>
    <t>Distância entre elétrodos</t>
  </si>
  <si>
    <t>Resistência elétrica de contato à terra (editar fórmula):</t>
  </si>
  <si>
    <t>DIMENSIONAMENTO DE ELÉTRODOS DE TERRA</t>
  </si>
  <si>
    <t>Profundidade de enterramento da parte superior do elétrodo (deverá ser igual ou superior a 0,8m)</t>
  </si>
  <si>
    <t>DIMENSIONAMENTO GRELHAS DE VENTILAÇÃO
NATURAL PARA POSTOS DE TRANSFORMAÇÃO</t>
  </si>
  <si>
    <t>S
[kVA]</t>
  </si>
  <si>
    <t>Perdas em vazio e em serviço normal de transformadores em Banho de Óleo</t>
  </si>
  <si>
    <r>
      <t>p</t>
    </r>
    <r>
      <rPr>
        <vertAlign val="subscript"/>
        <sz val="11"/>
        <color rgb="FF000000"/>
        <rFont val="Arial"/>
        <family val="2"/>
      </rPr>
      <t>0</t>
    </r>
  </si>
  <si>
    <r>
      <t>p</t>
    </r>
    <r>
      <rPr>
        <vertAlign val="subscript"/>
        <sz val="11"/>
        <color rgb="FF000000"/>
        <rFont val="Arial"/>
        <family val="2"/>
      </rPr>
      <t>cw</t>
    </r>
  </si>
  <si>
    <r>
      <t>U</t>
    </r>
    <r>
      <rPr>
        <b/>
        <vertAlign val="subscript"/>
        <sz val="11"/>
        <color rgb="FF000000"/>
        <rFont val="Arial"/>
        <family val="2"/>
      </rPr>
      <t>1</t>
    </r>
    <r>
      <rPr>
        <b/>
        <sz val="11"/>
        <color indexed="8"/>
        <rFont val="Arial"/>
        <family val="2"/>
      </rPr>
      <t xml:space="preserve"> ≤ 24kV
[kW]</t>
    </r>
  </si>
  <si>
    <r>
      <t>24 ≤ U</t>
    </r>
    <r>
      <rPr>
        <b/>
        <vertAlign val="subscript"/>
        <sz val="11"/>
        <color rgb="FF000000"/>
        <rFont val="Arial"/>
        <family val="2"/>
      </rPr>
      <t>1</t>
    </r>
    <r>
      <rPr>
        <b/>
        <sz val="11"/>
        <color indexed="8"/>
        <rFont val="Arial"/>
        <family val="2"/>
      </rPr>
      <t xml:space="preserve"> ≤ 36kV
[kW]</t>
    </r>
  </si>
  <si>
    <t>Perdas em vazio e em serviço normal de transformadores do tipo Seco</t>
  </si>
  <si>
    <t>Coeficientes de sobrecarga (c) e diferenças de temperatura entre o ar interior (considerado a 40ºC) e o ar exterior (∆θ) "standard" para efeitos de dimensionamento de grelhas de ventilação</t>
  </si>
  <si>
    <t>Características 
da zona abastecida</t>
  </si>
  <si>
    <t>Residencial</t>
  </si>
  <si>
    <t>Comercial/Serviços</t>
  </si>
  <si>
    <r>
      <t xml:space="preserve">Mista </t>
    </r>
    <r>
      <rPr>
        <sz val="8"/>
        <color rgb="FF000000"/>
        <rFont val="Arial"/>
        <family val="2"/>
      </rPr>
      <t>(Residencial/Comercial/Serviços)</t>
    </r>
  </si>
  <si>
    <t>Industrial</t>
  </si>
  <si>
    <t>Veraneio (Praias/Termas)</t>
  </si>
  <si>
    <t>Inverno</t>
  </si>
  <si>
    <t>Verão</t>
  </si>
  <si>
    <t>c</t>
  </si>
  <si>
    <t>∆θ [ºC]</t>
  </si>
  <si>
    <t>Tipo de Cabina</t>
  </si>
  <si>
    <t>Altura (H) [m]</t>
  </si>
  <si>
    <t>Alturas "Standard" de Cabinas</t>
  </si>
  <si>
    <t>Baixa</t>
  </si>
  <si>
    <t>Alta</t>
  </si>
  <si>
    <t>Nível de tensão primário</t>
  </si>
  <si>
    <t>Época mais quente do ano</t>
  </si>
  <si>
    <t>Tipo de Posto de Transformação</t>
  </si>
  <si>
    <t>Cabine Baixa</t>
  </si>
  <si>
    <t>Perdas em vazio</t>
  </si>
  <si>
    <t>Potência do(s) transformador(es)</t>
  </si>
  <si>
    <r>
      <t>(p</t>
    </r>
    <r>
      <rPr>
        <b/>
        <vertAlign val="subscript"/>
        <sz val="10"/>
        <rFont val="Arial"/>
        <family val="2"/>
      </rPr>
      <t>0</t>
    </r>
    <r>
      <rPr>
        <b/>
        <sz val="10"/>
        <rFont val="Arial"/>
        <family val="2"/>
      </rPr>
      <t>)</t>
    </r>
  </si>
  <si>
    <t>Perdas em carga</t>
  </si>
  <si>
    <r>
      <t>(p</t>
    </r>
    <r>
      <rPr>
        <b/>
        <vertAlign val="subscript"/>
        <sz val="10"/>
        <rFont val="Arial"/>
        <family val="2"/>
      </rPr>
      <t>cw</t>
    </r>
    <r>
      <rPr>
        <b/>
        <sz val="10"/>
        <rFont val="Arial"/>
        <family val="2"/>
      </rPr>
      <t>)</t>
    </r>
  </si>
  <si>
    <t>Altura do Posto de Transformação</t>
  </si>
  <si>
    <t>(H)</t>
  </si>
  <si>
    <t>Cabine Alta</t>
  </si>
  <si>
    <t>kW</t>
  </si>
  <si>
    <t>Pode modificar manualmente!</t>
  </si>
  <si>
    <t>Tipo de Transformador</t>
  </si>
  <si>
    <t>Banho de Óleo</t>
  </si>
  <si>
    <t>Coeficiente de sobrecarga</t>
  </si>
  <si>
    <t>(∆θ)</t>
  </si>
  <si>
    <t>Diferença de temperatura entre o ar interior (considerado a 40ºC) e o ar exterior</t>
  </si>
  <si>
    <t>ºC</t>
  </si>
  <si>
    <t>Caraterísticas das zona abastecida</t>
  </si>
  <si>
    <t>Aberturas de entrada</t>
  </si>
  <si>
    <t>Altura pretendida</t>
  </si>
  <si>
    <t>Aberturas de saída</t>
  </si>
  <si>
    <t>Largura necessária</t>
  </si>
  <si>
    <r>
      <t>(H</t>
    </r>
    <r>
      <rPr>
        <b/>
        <vertAlign val="subscript"/>
        <sz val="10"/>
        <rFont val="Arial"/>
        <family val="2"/>
      </rPr>
      <t>E</t>
    </r>
    <r>
      <rPr>
        <b/>
        <sz val="10"/>
        <rFont val="Arial"/>
        <family val="2"/>
      </rPr>
      <t>)</t>
    </r>
  </si>
  <si>
    <r>
      <t>(L</t>
    </r>
    <r>
      <rPr>
        <b/>
        <vertAlign val="subscript"/>
        <sz val="10"/>
        <rFont val="Arial"/>
        <family val="2"/>
      </rPr>
      <t>E</t>
    </r>
    <r>
      <rPr>
        <b/>
        <sz val="10"/>
        <rFont val="Arial"/>
        <family val="2"/>
      </rPr>
      <t>)</t>
    </r>
  </si>
  <si>
    <r>
      <t>(H</t>
    </r>
    <r>
      <rPr>
        <b/>
        <vertAlign val="subscript"/>
        <sz val="10"/>
        <rFont val="Arial"/>
        <family val="2"/>
      </rPr>
      <t>S</t>
    </r>
    <r>
      <rPr>
        <b/>
        <sz val="10"/>
        <rFont val="Arial"/>
        <family val="2"/>
      </rPr>
      <t>)</t>
    </r>
  </si>
  <si>
    <r>
      <t>(L</t>
    </r>
    <r>
      <rPr>
        <b/>
        <vertAlign val="subscript"/>
        <sz val="10"/>
        <rFont val="Arial"/>
        <family val="2"/>
      </rPr>
      <t>S</t>
    </r>
    <r>
      <rPr>
        <b/>
        <sz val="10"/>
        <rFont val="Arial"/>
        <family val="2"/>
      </rPr>
      <t>)</t>
    </r>
  </si>
  <si>
    <t>Se pretender, pode trocar a largura com a altura</t>
  </si>
  <si>
    <t>Secção mínima de abertura das grelhas de ventilação:</t>
  </si>
  <si>
    <t>f.p.
(cosφ)</t>
  </si>
  <si>
    <r>
      <t>I</t>
    </r>
    <r>
      <rPr>
        <b/>
        <vertAlign val="subscript"/>
        <sz val="11"/>
        <rFont val="Arial"/>
        <family val="2"/>
      </rPr>
      <t>n</t>
    </r>
    <r>
      <rPr>
        <b/>
        <sz val="11"/>
        <rFont val="Arial"/>
        <family val="2"/>
      </rPr>
      <t xml:space="preserve">
[A]</t>
    </r>
  </si>
  <si>
    <r>
      <t>I</t>
    </r>
    <r>
      <rPr>
        <b/>
        <vertAlign val="subscript"/>
        <sz val="11"/>
        <rFont val="Arial"/>
        <family val="2"/>
      </rPr>
      <t>2</t>
    </r>
    <r>
      <rPr>
        <b/>
        <sz val="11"/>
        <rFont val="Arial"/>
        <family val="2"/>
      </rPr>
      <t xml:space="preserve">                                                [A]</t>
    </r>
  </si>
  <si>
    <r>
      <t>Factor de correcção ao I</t>
    </r>
    <r>
      <rPr>
        <b/>
        <vertAlign val="subscript"/>
        <sz val="11"/>
        <rFont val="Arial"/>
        <family val="2"/>
      </rPr>
      <t>z</t>
    </r>
  </si>
  <si>
    <t>Modo de Instalação</t>
  </si>
  <si>
    <t>5A</t>
  </si>
  <si>
    <t>E ou F</t>
  </si>
  <si>
    <t>B ou B2</t>
  </si>
  <si>
    <r>
      <t>Queda de tensão
acumulada (</t>
    </r>
    <r>
      <rPr>
        <b/>
        <sz val="11"/>
        <rFont val="Symbol"/>
        <family val="1"/>
        <charset val="2"/>
      </rPr>
      <t>D</t>
    </r>
    <r>
      <rPr>
        <b/>
        <sz val="11"/>
        <rFont val="Arial"/>
        <family val="2"/>
      </rPr>
      <t>U')
[%]</t>
    </r>
  </si>
  <si>
    <r>
      <t>Queda de tensão
relativa
(</t>
    </r>
    <r>
      <rPr>
        <b/>
        <sz val="11"/>
        <rFont val="Symbol"/>
        <family val="1"/>
        <charset val="2"/>
      </rPr>
      <t>D</t>
    </r>
    <r>
      <rPr>
        <b/>
        <sz val="11"/>
        <rFont val="Arial"/>
        <family val="2"/>
      </rPr>
      <t>U)
[%]</t>
    </r>
  </si>
  <si>
    <r>
      <t>Queda de tensão
relativa
(</t>
    </r>
    <r>
      <rPr>
        <b/>
        <sz val="11"/>
        <rFont val="Symbol"/>
        <family val="1"/>
        <charset val="2"/>
      </rPr>
      <t>e</t>
    </r>
    <r>
      <rPr>
        <b/>
        <sz val="11"/>
        <rFont val="Arial"/>
        <family val="2"/>
      </rPr>
      <t>)
[V]</t>
    </r>
  </si>
  <si>
    <r>
      <t>Queda de tensão
acumulada 
(</t>
    </r>
    <r>
      <rPr>
        <b/>
        <sz val="11"/>
        <rFont val="Symbol"/>
        <family val="1"/>
        <charset val="2"/>
      </rPr>
      <t>e</t>
    </r>
    <r>
      <rPr>
        <b/>
        <sz val="11"/>
        <rFont val="Arial"/>
        <family val="2"/>
      </rPr>
      <t>')
[V]</t>
    </r>
  </si>
  <si>
    <r>
      <t>I</t>
    </r>
    <r>
      <rPr>
        <b/>
        <vertAlign val="subscript"/>
        <sz val="11"/>
        <rFont val="Arial"/>
        <family val="2"/>
      </rPr>
      <t>z</t>
    </r>
    <r>
      <rPr>
        <b/>
        <sz val="11"/>
        <rFont val="Arial"/>
        <family val="2"/>
      </rPr>
      <t>' 
(</t>
    </r>
    <r>
      <rPr>
        <b/>
        <sz val="8"/>
        <rFont val="Arial"/>
        <family val="2"/>
      </rPr>
      <t>Corrigido</t>
    </r>
    <r>
      <rPr>
        <b/>
        <sz val="11"/>
        <rFont val="Arial"/>
        <family val="2"/>
      </rPr>
      <t>)
[A]</t>
    </r>
  </si>
  <si>
    <t>Intensidade de corrente à entrada do Quadro
[A]</t>
  </si>
  <si>
    <t>Localização</t>
  </si>
  <si>
    <t>N.º do Caminho de Cabos</t>
  </si>
  <si>
    <t>Número de Luminárias</t>
  </si>
  <si>
    <t>Comprimento [m]</t>
  </si>
  <si>
    <t>Peso luminária [daN]</t>
  </si>
  <si>
    <t>Peso por metro de luminárias
[daN/m]</t>
  </si>
  <si>
    <t>Características dos cabos condutores a instalar no caminho de cabos</t>
  </si>
  <si>
    <t>Coeficiente de evolução do caminho de cabos</t>
  </si>
  <si>
    <t>Características dos caminhos de cabos a instalar</t>
  </si>
  <si>
    <t>Qt</t>
  </si>
  <si>
    <r>
      <t>Diâmetro exterior (</t>
    </r>
    <r>
      <rPr>
        <b/>
        <sz val="11"/>
        <color indexed="8"/>
        <rFont val="Symbol"/>
        <family val="1"/>
        <charset val="2"/>
      </rPr>
      <t>Æ</t>
    </r>
    <r>
      <rPr>
        <b/>
        <sz val="11"/>
        <color indexed="8"/>
        <rFont val="Arial"/>
        <family val="2"/>
      </rPr>
      <t>)
[mm]</t>
    </r>
  </si>
  <si>
    <t>Peso linear
de cada cabo
[daN/m]</t>
  </si>
  <si>
    <r>
      <t>Secção de cada cabo
[mm</t>
    </r>
    <r>
      <rPr>
        <b/>
        <vertAlign val="superscript"/>
        <sz val="11"/>
        <color indexed="8"/>
        <rFont val="Arial"/>
        <family val="2"/>
      </rPr>
      <t>2</t>
    </r>
    <r>
      <rPr>
        <b/>
        <sz val="11"/>
        <color indexed="8"/>
        <rFont val="Arial"/>
        <family val="2"/>
      </rPr>
      <t>]</t>
    </r>
  </si>
  <si>
    <t>Peso linear
total
[daN/m]</t>
  </si>
  <si>
    <r>
      <t>Secção total
[mm</t>
    </r>
    <r>
      <rPr>
        <b/>
        <vertAlign val="superscript"/>
        <sz val="11"/>
        <color indexed="8"/>
        <rFont val="Arial"/>
        <family val="2"/>
      </rPr>
      <t>2</t>
    </r>
    <r>
      <rPr>
        <b/>
        <sz val="11"/>
        <color indexed="8"/>
        <rFont val="Arial"/>
        <family val="2"/>
      </rPr>
      <t>]</t>
    </r>
  </si>
  <si>
    <t>Piso -1</t>
  </si>
  <si>
    <t>DIMENSIONAMENTO DOS CAMINHOS DE CABOS</t>
  </si>
  <si>
    <t>A preencher apenas no caso de serem instaladas luminárias por debaixo dos caminhos de cabos</t>
  </si>
  <si>
    <t>0.1</t>
  </si>
  <si>
    <t>Piso 0</t>
  </si>
  <si>
    <t>0.2</t>
  </si>
  <si>
    <t>Designação do cabo / condutor elétrico a estabelecer</t>
  </si>
  <si>
    <r>
      <t>LXV 1×70mm</t>
    </r>
    <r>
      <rPr>
        <vertAlign val="superscript"/>
        <sz val="11"/>
        <color rgb="FF000000"/>
        <rFont val="Arial"/>
        <family val="2"/>
      </rPr>
      <t>2</t>
    </r>
  </si>
  <si>
    <t>Altura pretendida
[mm]</t>
  </si>
  <si>
    <t>Largura
mínima
[mm]</t>
  </si>
  <si>
    <t>Largura normalizada adotada
[mm]</t>
  </si>
  <si>
    <t>Marca / referência</t>
  </si>
  <si>
    <r>
      <rPr>
        <b/>
        <sz val="11"/>
        <color rgb="FF000000"/>
        <rFont val="Arial"/>
        <family val="2"/>
      </rPr>
      <t xml:space="preserve">Peso </t>
    </r>
    <r>
      <rPr>
        <b/>
        <sz val="11"/>
        <color indexed="8"/>
        <rFont val="Arial"/>
        <family val="2"/>
      </rPr>
      <t>linear a suportar pelo caminho de cabos
[daN/m]</t>
    </r>
  </si>
  <si>
    <r>
      <t>XV 5G2,5mm</t>
    </r>
    <r>
      <rPr>
        <vertAlign val="superscript"/>
        <sz val="11"/>
        <color rgb="FF000000"/>
        <rFont val="Arial"/>
        <family val="2"/>
      </rPr>
      <t>2</t>
    </r>
  </si>
  <si>
    <r>
      <t>XV 3G1,5mm</t>
    </r>
    <r>
      <rPr>
        <vertAlign val="superscript"/>
        <sz val="11"/>
        <color rgb="FF000000"/>
        <rFont val="Arial"/>
        <family val="2"/>
      </rPr>
      <t>2</t>
    </r>
  </si>
  <si>
    <t>Argon / 1010101004</t>
  </si>
  <si>
    <r>
      <t>XV 5G16mm</t>
    </r>
    <r>
      <rPr>
        <vertAlign val="superscript"/>
        <sz val="11"/>
        <color rgb="FF000000"/>
        <rFont val="Arial"/>
        <family val="2"/>
      </rPr>
      <t>2</t>
    </r>
  </si>
  <si>
    <r>
      <t>XV 5G6mm</t>
    </r>
    <r>
      <rPr>
        <vertAlign val="superscript"/>
        <sz val="11"/>
        <color rgb="FF000000"/>
        <rFont val="Arial"/>
        <family val="2"/>
      </rPr>
      <t>2</t>
    </r>
  </si>
  <si>
    <t>-1.1</t>
  </si>
  <si>
    <t>-1.2</t>
  </si>
  <si>
    <t>-1.3</t>
  </si>
  <si>
    <t>-1.4</t>
  </si>
  <si>
    <t>-1.5</t>
  </si>
  <si>
    <t>-1.6</t>
  </si>
  <si>
    <t>-1.7</t>
  </si>
  <si>
    <t>-1.8</t>
  </si>
  <si>
    <t>-1.9</t>
  </si>
  <si>
    <t>-1.10</t>
  </si>
  <si>
    <t>-1.11</t>
  </si>
  <si>
    <t>-2.1</t>
  </si>
  <si>
    <t>-2.2</t>
  </si>
  <si>
    <t>-2.3</t>
  </si>
  <si>
    <t>Piso -2</t>
  </si>
  <si>
    <r>
      <t>LXV 1×150mm</t>
    </r>
    <r>
      <rPr>
        <vertAlign val="superscript"/>
        <sz val="11"/>
        <color rgb="FF000000"/>
        <rFont val="Arial"/>
        <family val="2"/>
      </rPr>
      <t>2</t>
    </r>
  </si>
  <si>
    <r>
      <t>XZ1(frs) 4G×1,5mm</t>
    </r>
    <r>
      <rPr>
        <vertAlign val="superscript"/>
        <sz val="11"/>
        <color rgb="FF000000"/>
        <rFont val="Arial"/>
        <family val="2"/>
      </rPr>
      <t>2</t>
    </r>
  </si>
  <si>
    <t>Argon / 1010102018</t>
  </si>
  <si>
    <t>Argon / 1010102016</t>
  </si>
  <si>
    <r>
      <t>XV 5G10mm</t>
    </r>
    <r>
      <rPr>
        <vertAlign val="superscript"/>
        <sz val="11"/>
        <color rgb="FF000000"/>
        <rFont val="Arial"/>
        <family val="2"/>
      </rPr>
      <t>2</t>
    </r>
  </si>
  <si>
    <r>
      <t>XV 3G2,5mm</t>
    </r>
    <r>
      <rPr>
        <vertAlign val="superscript"/>
        <sz val="11"/>
        <color rgb="FF000000"/>
        <rFont val="Arial"/>
        <family val="2"/>
      </rPr>
      <t>2</t>
    </r>
  </si>
  <si>
    <r>
      <t>XV 5G10mm</t>
    </r>
    <r>
      <rPr>
        <vertAlign val="superscript"/>
        <sz val="11"/>
        <color rgb="FF000000"/>
        <rFont val="Arial"/>
        <family val="2"/>
      </rPr>
      <t>2</t>
    </r>
    <r>
      <rPr>
        <sz val="11"/>
        <color indexed="8"/>
        <rFont val="Arial"/>
        <family val="2"/>
      </rPr>
      <t xml:space="preserve"> </t>
    </r>
  </si>
  <si>
    <r>
      <t>XV 3×25+2G16mm</t>
    </r>
    <r>
      <rPr>
        <vertAlign val="superscript"/>
        <sz val="11"/>
        <color rgb="FF000000"/>
        <rFont val="Arial"/>
        <family val="2"/>
      </rPr>
      <t>2</t>
    </r>
  </si>
  <si>
    <t>Argon / 1010102014</t>
  </si>
  <si>
    <t>Divisão</t>
  </si>
  <si>
    <r>
      <t>Área (A) 
[m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]</t>
    </r>
  </si>
  <si>
    <r>
      <t>N.º de blocos autómomos instalados (n</t>
    </r>
    <r>
      <rPr>
        <b/>
        <vertAlign val="subscript"/>
        <sz val="10"/>
        <rFont val="Arial"/>
        <family val="2"/>
      </rPr>
      <t>i</t>
    </r>
    <r>
      <rPr>
        <b/>
        <sz val="10"/>
        <rFont val="Arial"/>
        <family val="2"/>
      </rPr>
      <t>)</t>
    </r>
  </si>
  <si>
    <r>
      <t>N.º de luminárias com kit de segurança (n</t>
    </r>
    <r>
      <rPr>
        <b/>
        <vertAlign val="subscript"/>
        <sz val="10"/>
        <rFont val="Arial"/>
        <family val="2"/>
      </rPr>
      <t>j</t>
    </r>
    <r>
      <rPr>
        <b/>
        <sz val="10"/>
        <rFont val="Arial"/>
        <family val="2"/>
      </rPr>
      <t>)</t>
    </r>
  </si>
  <si>
    <t>Fluxo luminoso dos blocos autónomos (φ)  
[lm]</t>
  </si>
  <si>
    <t>Fluxo luminoso das luminárias com kit de segurança (φ)  
[lm]</t>
  </si>
  <si>
    <r>
      <t>Iluminância 
obtida (I) [lum/m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]</t>
    </r>
  </si>
  <si>
    <r>
      <t>Condição a verificar 
(Iluminância 
&gt; 5 lm/m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)</t>
    </r>
  </si>
  <si>
    <t>Nota: Considerou-se como referência o bloco autónomo URA21LED - 100 Lm 1 hora IP 42 standard da Legrand. (Anexo III.4)</t>
  </si>
  <si>
    <t>VERIFICAÇÃO DOS NÍVEIS DE ILUMINÂNCIA GARANTIDOS PELOS BLOCOS AUTÓNOMOS, 
PARA EFEITOS DE "ILUMINAÇÃO AMBIENTE", SEGUNDO O DISPOSTO NO Art.º  801.2.1.5.3.1.4 das RTIEBT</t>
  </si>
  <si>
    <t>presente instalação</t>
  </si>
  <si>
    <t>Não aplicável à</t>
  </si>
  <si>
    <t>CÁLCULO DAS INTENSIDADES DE CORRENTE ELÉCTRICA DE 
CURTO-CIRCUITO TRIFÁSICO E SIMÉTRICO NA ORIGEM DA 
INSTALAÇÃO ELÉCTRICA ABASTECIDA POR GERADOR DE SOCORRO</t>
  </si>
  <si>
    <t>Tensão nominal</t>
  </si>
  <si>
    <r>
      <t>(U</t>
    </r>
    <r>
      <rPr>
        <b/>
        <vertAlign val="subscript"/>
        <sz val="12"/>
        <rFont val="Arial"/>
        <family val="2"/>
      </rPr>
      <t>n</t>
    </r>
    <r>
      <rPr>
        <b/>
        <sz val="12"/>
        <rFont val="Arial"/>
        <family val="2"/>
      </rPr>
      <t>)</t>
    </r>
  </si>
  <si>
    <t>Número de geradores de socorro a instalar</t>
  </si>
  <si>
    <r>
      <t>(n</t>
    </r>
    <r>
      <rPr>
        <b/>
        <vertAlign val="subscript"/>
        <sz val="12"/>
        <rFont val="Arial"/>
        <family val="2"/>
      </rPr>
      <t>G</t>
    </r>
    <r>
      <rPr>
        <b/>
        <sz val="12"/>
        <rFont val="Arial"/>
        <family val="2"/>
      </rPr>
      <t>)</t>
    </r>
  </si>
  <si>
    <t>Potência nominal dos geradores de socorro</t>
  </si>
  <si>
    <r>
      <t>(S</t>
    </r>
    <r>
      <rPr>
        <b/>
        <vertAlign val="subscript"/>
        <sz val="12"/>
        <rFont val="Arial"/>
        <family val="2"/>
      </rPr>
      <t>nG</t>
    </r>
    <r>
      <rPr>
        <b/>
        <sz val="12"/>
        <rFont val="Arial"/>
        <family val="2"/>
      </rPr>
      <t>)</t>
    </r>
  </si>
  <si>
    <t>Reactância sub-transitória dos geradores</t>
  </si>
  <si>
    <r>
      <t>(X</t>
    </r>
    <r>
      <rPr>
        <b/>
        <vertAlign val="subscript"/>
        <sz val="12"/>
        <rFont val="Arial"/>
        <family val="2"/>
      </rPr>
      <t>d</t>
    </r>
    <r>
      <rPr>
        <b/>
        <sz val="12"/>
        <rFont val="Arial"/>
        <family val="2"/>
      </rPr>
      <t>")</t>
    </r>
  </si>
  <si>
    <t>Impedância de curto-circuito 
dos geradores de socorro</t>
  </si>
  <si>
    <t>Corrente de curto-circuito trifásico e simétrico 
aos terminais do gerador de socorro</t>
  </si>
  <si>
    <t>DIMENSIONAMENTO DA BACIA DE RENTENÇÃO 
EM CASO DE ESCORRÊNCIA DO ÓLEO 
DO TRANSFORMADOR DE POTÊNCIA</t>
  </si>
  <si>
    <t>(m)</t>
  </si>
  <si>
    <t>kg</t>
  </si>
  <si>
    <t>Massa volúmica do óleo mineral utilizado nos transformadores</t>
  </si>
  <si>
    <t>(ρ)</t>
  </si>
  <si>
    <r>
      <t>kg/m</t>
    </r>
    <r>
      <rPr>
        <vertAlign val="superscript"/>
        <sz val="12"/>
        <rFont val="Arial"/>
        <family val="2"/>
      </rPr>
      <t>3</t>
    </r>
  </si>
  <si>
    <t>https://oilregeneration.globecore.com/transformer-oil-density-and-viscosity.html</t>
  </si>
  <si>
    <t>Massa total de óleo do(s) transformador(es)</t>
  </si>
  <si>
    <t>Volume necessário para albergar 
o óleo do(s) transformador(es)</t>
  </si>
  <si>
    <r>
      <t>m</t>
    </r>
    <r>
      <rPr>
        <vertAlign val="superscript"/>
        <sz val="12"/>
        <rFont val="Arial"/>
        <family val="2"/>
      </rPr>
      <t>3</t>
    </r>
  </si>
  <si>
    <t>Formato do reservatório</t>
  </si>
  <si>
    <t>Prisma Quadrangular</t>
  </si>
  <si>
    <t>Altura mínima necessária</t>
  </si>
  <si>
    <t>Queda de tensão
a montante
[V]</t>
  </si>
  <si>
    <t>Coeficiente K</t>
  </si>
  <si>
    <r>
      <t>Secção mínima
 (s</t>
    </r>
    <r>
      <rPr>
        <b/>
        <vertAlign val="subscript"/>
        <sz val="11"/>
        <rFont val="Arial"/>
        <family val="2"/>
      </rPr>
      <t>min</t>
    </r>
    <r>
      <rPr>
        <b/>
        <sz val="11"/>
        <rFont val="Arial"/>
        <family val="2"/>
      </rPr>
      <t xml:space="preserve">) 
</t>
    </r>
    <r>
      <rPr>
        <b/>
        <sz val="8"/>
        <rFont val="Arial"/>
        <family val="2"/>
      </rPr>
      <t>para suportar a fadiga térmica</t>
    </r>
    <r>
      <rPr>
        <b/>
        <sz val="11"/>
        <rFont val="Arial"/>
        <family val="2"/>
      </rPr>
      <t xml:space="preserve">
[mm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]</t>
    </r>
  </si>
  <si>
    <t>Tempo de corte
máximo do órgão de protecção [s]</t>
  </si>
  <si>
    <r>
      <t>I</t>
    </r>
    <r>
      <rPr>
        <b/>
        <vertAlign val="subscript"/>
        <sz val="11"/>
        <rFont val="Arial"/>
        <family val="2"/>
      </rPr>
      <t>cc</t>
    </r>
    <r>
      <rPr>
        <b/>
        <sz val="11"/>
        <rFont val="Arial"/>
        <family val="2"/>
      </rPr>
      <t xml:space="preserve"> máximo 
</t>
    </r>
    <r>
      <rPr>
        <b/>
        <sz val="7"/>
        <rFont val="Arial"/>
        <family val="2"/>
      </rPr>
      <t>(no final desta canalização)</t>
    </r>
    <r>
      <rPr>
        <b/>
        <sz val="11"/>
        <rFont val="Arial"/>
        <family val="2"/>
      </rPr>
      <t xml:space="preserve">
[kA]</t>
    </r>
  </si>
  <si>
    <t>Monocondutor</t>
  </si>
  <si>
    <t>Tipo de Cabo 
(se aplicável)</t>
  </si>
  <si>
    <t>Tomadas Monofásicas (4)</t>
  </si>
  <si>
    <t>Tomadas Monofásicas (6)</t>
  </si>
  <si>
    <t>Tomadas Monofásicas (2)</t>
  </si>
  <si>
    <t>Tomadas Monofásicas (3)</t>
  </si>
  <si>
    <t>Ar condicionado 1</t>
  </si>
  <si>
    <t>Ar condicionado 2</t>
  </si>
  <si>
    <t>Forno</t>
  </si>
  <si>
    <t>Iluminação Nave(1)</t>
  </si>
  <si>
    <t>Iluminação Nave(2)</t>
  </si>
  <si>
    <t>Iluminação Nave(3)</t>
  </si>
  <si>
    <t>Tomadas Monofásicas (7)</t>
  </si>
  <si>
    <t>Iluminaçao IS</t>
  </si>
  <si>
    <t>Iluminaçao Corredor</t>
  </si>
  <si>
    <t>Ar Condicionado</t>
  </si>
  <si>
    <t>Potência nominal
do circuito
[kW]</t>
  </si>
  <si>
    <t>Tomadas Monofásicas (1)</t>
  </si>
  <si>
    <t>Tomadas Monofásicas (5)</t>
  </si>
  <si>
    <t>Multicondutor</t>
  </si>
  <si>
    <t>Quadro das Maquinas -  Q_PS1</t>
  </si>
  <si>
    <t>Quadro Da Nave - Q_PS2</t>
  </si>
  <si>
    <t>Quadro da Manutençao - Q_PS3</t>
  </si>
  <si>
    <t>Quadro do Receçao - Q_PS4</t>
  </si>
  <si>
    <t>Quadro do Piso 1 - Q_Piso1</t>
  </si>
  <si>
    <t>Quadro Refeitorio - Q_PS5</t>
  </si>
  <si>
    <t>Quadro do Estufa - Q_PS6</t>
  </si>
  <si>
    <t>Maquina 1</t>
  </si>
  <si>
    <t>Maquina 2</t>
  </si>
  <si>
    <t>Maquina 3</t>
  </si>
  <si>
    <t>Maquina 4</t>
  </si>
  <si>
    <t>Maquina 5</t>
  </si>
  <si>
    <t>Maquina 6</t>
  </si>
  <si>
    <t>Portao Motorizado 1</t>
  </si>
  <si>
    <t>Portao Motorizado 2</t>
  </si>
  <si>
    <t>Maquina 7</t>
  </si>
  <si>
    <t>Q.G.B.T. / Q_PS1</t>
  </si>
  <si>
    <t>Q.G.B.T. / Q_PS2</t>
  </si>
  <si>
    <t>Q.G.B.T. / Q_PS3</t>
  </si>
  <si>
    <t>Q.G.B.T. / Q_PS4</t>
  </si>
  <si>
    <t>Q.G.B.T. / Q_PS6</t>
  </si>
  <si>
    <t>Q_PS4. / Q_PS5</t>
  </si>
  <si>
    <t>Iluminação Nave(4)</t>
  </si>
  <si>
    <t>Iluminação Nave(5)</t>
  </si>
  <si>
    <t>Iluminação Nave(6)</t>
  </si>
  <si>
    <t>Iluminação Nave(7)</t>
  </si>
  <si>
    <t>Iluminação Nave(8)</t>
  </si>
  <si>
    <t>Iluminação Nave(9)</t>
  </si>
  <si>
    <t>Iluminação Nave(10)</t>
  </si>
  <si>
    <t>Iluminaçao (1)</t>
  </si>
  <si>
    <t>Iluminaçao (2)</t>
  </si>
  <si>
    <t>Iluminaçao (3)</t>
  </si>
  <si>
    <t>Iluminaçao (4)</t>
  </si>
  <si>
    <t>Iluminaçao (5)</t>
  </si>
  <si>
    <t>Q.G.B.T. / Q_PS1.1</t>
  </si>
  <si>
    <t>Frigorifico</t>
  </si>
  <si>
    <t>Maquina de secar</t>
  </si>
  <si>
    <t>Maquina de lavar louça</t>
  </si>
  <si>
    <t>Maquina</t>
  </si>
  <si>
    <t>Iluminaçao Arrecadaçao</t>
  </si>
  <si>
    <t>Iluminaçao Sala Desenho</t>
  </si>
  <si>
    <t>Iluminação Corredor</t>
  </si>
  <si>
    <t>Iluminação Reuniao</t>
  </si>
  <si>
    <t>Iluminaçao Arquivo</t>
  </si>
  <si>
    <t>Iluminaçao Escadas</t>
  </si>
  <si>
    <t>Iluminaçao Secretaria</t>
  </si>
  <si>
    <t>Iluminaçao Auditorio</t>
  </si>
  <si>
    <t xml:space="preserve">Iluminaçao Corredor </t>
  </si>
  <si>
    <t>Iluminaçao Informatica</t>
  </si>
  <si>
    <t>Iluminaçao Administraçao</t>
  </si>
  <si>
    <t>Tomadas Reuniao</t>
  </si>
  <si>
    <t>Tomadas Arquivo</t>
  </si>
  <si>
    <t>Tomadas IS</t>
  </si>
  <si>
    <t>Tomadas Sala Desenho</t>
  </si>
  <si>
    <t>Tomadas Secretaria</t>
  </si>
  <si>
    <t>Tomadas Auditorio</t>
  </si>
  <si>
    <t>Tomadas Informatica</t>
  </si>
  <si>
    <t>Tomadas Administraçao</t>
  </si>
  <si>
    <t>Ar condicionado 3</t>
  </si>
  <si>
    <t>Ar condicionado 4</t>
  </si>
  <si>
    <t>Ar condicionado 5</t>
  </si>
  <si>
    <t>Ar condicionado 6</t>
  </si>
  <si>
    <t>1,45×Iz
[A]</t>
  </si>
  <si>
    <t>Tomadas Trifasicas (3)</t>
  </si>
  <si>
    <t>Exaustor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</si>
</sst>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000"/>
    <numFmt numFmtId="166" formatCode="0.00000"/>
    <numFmt numFmtId="167" formatCode="0.0000"/>
    <numFmt numFmtId="168" formatCode="0.0"/>
  </numFmts>
  <fonts count="77" x14ac:knownFonts="1">
    <font>
      <sz val="11"/>
      <color theme="1"/>
      <name val="Calibri"/>
      <family val="2"/>
      <scheme val="minor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b/>
      <vertAlign val="superscript"/>
      <sz val="11"/>
      <color indexed="8"/>
      <name val="Arial"/>
      <family val="2"/>
    </font>
    <font>
      <b/>
      <sz val="11"/>
      <color indexed="8"/>
      <name val="Symbol"/>
      <family val="1"/>
      <charset val="2"/>
    </font>
    <font>
      <b/>
      <vertAlign val="subscript"/>
      <sz val="11"/>
      <color indexed="8"/>
      <name val="Arial"/>
      <family val="2"/>
    </font>
    <font>
      <sz val="11"/>
      <color indexed="18"/>
      <name val="Arial"/>
      <family val="2"/>
    </font>
    <font>
      <sz val="11"/>
      <name val="Calibri"/>
      <family val="2"/>
    </font>
    <font>
      <sz val="11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7.9"/>
      <color indexed="8"/>
      <name val="Arial"/>
      <family val="2"/>
    </font>
    <font>
      <b/>
      <sz val="9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u/>
      <sz val="11"/>
      <color indexed="8"/>
      <name val="Arial"/>
      <family val="2"/>
    </font>
    <font>
      <b/>
      <u/>
      <sz val="10"/>
      <name val="Arial"/>
      <family val="2"/>
    </font>
    <font>
      <b/>
      <vertAlign val="subscript"/>
      <sz val="11"/>
      <name val="Arial"/>
      <family val="2"/>
    </font>
    <font>
      <b/>
      <vertAlign val="superscript"/>
      <sz val="11"/>
      <name val="Arial"/>
      <family val="2"/>
    </font>
    <font>
      <vertAlign val="superscript"/>
      <sz val="11"/>
      <color indexed="8"/>
      <name val="Arial"/>
      <family val="2"/>
    </font>
    <font>
      <b/>
      <sz val="12"/>
      <color indexed="8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sz val="12"/>
      <name val="Arial"/>
      <family val="2"/>
    </font>
    <font>
      <b/>
      <vertAlign val="subscript"/>
      <sz val="12"/>
      <name val="Arial"/>
      <family val="2"/>
    </font>
    <font>
      <sz val="12"/>
      <color indexed="8"/>
      <name val="Arial"/>
      <family val="2"/>
    </font>
    <font>
      <u/>
      <sz val="10"/>
      <name val="Arial"/>
      <family val="2"/>
    </font>
    <font>
      <b/>
      <u/>
      <sz val="11"/>
      <name val="Arial"/>
      <family val="2"/>
    </font>
    <font>
      <sz val="8"/>
      <name val="Calibri"/>
      <family val="2"/>
    </font>
    <font>
      <sz val="10"/>
      <name val="Arial"/>
      <family val="2"/>
    </font>
    <font>
      <sz val="11"/>
      <color rgb="FF000080"/>
      <name val="Arial"/>
      <family val="2"/>
    </font>
    <font>
      <b/>
      <sz val="16"/>
      <name val="Arial"/>
      <family val="2"/>
    </font>
    <font>
      <b/>
      <vertAlign val="superscript"/>
      <sz val="12"/>
      <color indexed="8"/>
      <name val="Arial"/>
      <family val="2"/>
    </font>
    <font>
      <b/>
      <vertAlign val="subscript"/>
      <sz val="12"/>
      <color indexed="8"/>
      <name val="Arial"/>
      <family val="2"/>
    </font>
    <font>
      <vertAlign val="superscript"/>
      <sz val="11"/>
      <color rgb="FF000080"/>
      <name val="Arial"/>
      <family val="2"/>
    </font>
    <font>
      <sz val="11"/>
      <color rgb="FF000080"/>
      <name val="Calibri"/>
      <family val="2"/>
    </font>
    <font>
      <b/>
      <sz val="11"/>
      <color rgb="FF000080"/>
      <name val="Arial"/>
      <family val="2"/>
    </font>
    <font>
      <b/>
      <sz val="10"/>
      <name val="Symbol"/>
      <family val="1"/>
      <charset val="2"/>
    </font>
    <font>
      <b/>
      <sz val="11"/>
      <name val="Symbol"/>
      <family val="1"/>
      <charset val="2"/>
    </font>
    <font>
      <b/>
      <sz val="8"/>
      <name val="Arial"/>
      <family val="2"/>
    </font>
    <font>
      <vertAlign val="subscript"/>
      <sz val="12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0"/>
      <name val="Calibri"/>
      <family val="2"/>
    </font>
    <font>
      <b/>
      <vertAlign val="subscript"/>
      <sz val="10"/>
      <name val="Arial"/>
      <family val="2"/>
    </font>
    <font>
      <sz val="10"/>
      <name val="Calibri"/>
      <family val="2"/>
    </font>
    <font>
      <vertAlign val="subscript"/>
      <sz val="10"/>
      <name val="Arial"/>
      <family val="2"/>
    </font>
    <font>
      <sz val="9"/>
      <name val="Arial"/>
      <family val="2"/>
    </font>
    <font>
      <vertAlign val="superscript"/>
      <sz val="10"/>
      <name val="Arial"/>
      <family val="2"/>
    </font>
    <font>
      <vertAlign val="subscript"/>
      <sz val="11"/>
      <color rgb="FF000000"/>
      <name val="Arial"/>
      <family val="2"/>
    </font>
    <font>
      <b/>
      <vertAlign val="subscript"/>
      <sz val="11"/>
      <color rgb="FF000000"/>
      <name val="Arial"/>
      <family val="2"/>
    </font>
    <font>
      <b/>
      <sz val="11.5"/>
      <color indexed="8"/>
      <name val="Arial"/>
      <family val="2"/>
    </font>
    <font>
      <sz val="8"/>
      <color rgb="FF000000"/>
      <name val="Arial"/>
      <family val="2"/>
    </font>
    <font>
      <sz val="10"/>
      <color theme="1"/>
      <name val="Arial"/>
      <family val="2"/>
    </font>
    <font>
      <b/>
      <sz val="14"/>
      <color indexed="8"/>
      <name val="Arial"/>
      <family val="2"/>
    </font>
    <font>
      <vertAlign val="superscript"/>
      <sz val="11"/>
      <color rgb="FF000000"/>
      <name val="Arial"/>
      <family val="2"/>
    </font>
    <font>
      <b/>
      <sz val="11"/>
      <color rgb="FF000000"/>
      <name val="Arial"/>
      <family val="2"/>
    </font>
    <font>
      <b/>
      <vertAlign val="superscript"/>
      <sz val="10"/>
      <name val="Arial"/>
      <family val="2"/>
    </font>
    <font>
      <sz val="10"/>
      <color rgb="FF000080"/>
      <name val="Arial"/>
      <family val="2"/>
    </font>
    <font>
      <sz val="8"/>
      <color theme="1"/>
      <name val="Arial"/>
      <family val="2"/>
    </font>
    <font>
      <b/>
      <sz val="11.5"/>
      <name val="Arial"/>
      <family val="2"/>
    </font>
    <font>
      <vertAlign val="superscript"/>
      <sz val="12"/>
      <name val="Arial"/>
      <family val="2"/>
    </font>
    <font>
      <u/>
      <sz val="11"/>
      <color theme="10"/>
      <name val="Calibri"/>
      <family val="2"/>
      <scheme val="minor"/>
    </font>
    <font>
      <u/>
      <sz val="12"/>
      <color theme="10"/>
      <name val="Arial"/>
      <family val="2"/>
    </font>
    <font>
      <b/>
      <sz val="13"/>
      <name val="Arial"/>
      <family val="2"/>
    </font>
    <font>
      <b/>
      <sz val="7"/>
      <name val="Arial"/>
      <family val="2"/>
    </font>
    <font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BACEE4"/>
        <bgColor indexed="64"/>
      </patternFill>
    </fill>
    <fill>
      <patternFill patternType="solid">
        <fgColor rgb="FFFFEB9C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</fills>
  <borders count="289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/>
      <top/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medium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ck">
        <color indexed="64"/>
      </right>
      <top/>
      <bottom style="hair">
        <color indexed="64"/>
      </bottom>
      <diagonal/>
    </border>
    <border>
      <left style="medium">
        <color indexed="64"/>
      </left>
      <right style="thick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4">
    <xf numFmtId="0" fontId="0" fillId="0" borderId="0"/>
    <xf numFmtId="9" fontId="44" fillId="0" borderId="0" applyFont="0" applyFill="0" applyBorder="0" applyAlignment="0" applyProtection="0"/>
    <xf numFmtId="0" fontId="65" fillId="0" borderId="0" applyNumberFormat="0" applyFill="0" applyBorder="0" applyAlignment="0" applyProtection="0"/>
    <xf numFmtId="0" fontId="73" fillId="17" borderId="0" applyNumberFormat="0" applyBorder="0" applyAlignment="0" applyProtection="0"/>
  </cellStyleXfs>
  <cellXfs count="1670">
    <xf numFmtId="0" fontId="0" fillId="0" borderId="0" xfId="0"/>
    <xf numFmtId="0" fontId="1" fillId="0" borderId="0" xfId="0" applyFont="1"/>
    <xf numFmtId="0" fontId="7" fillId="0" borderId="0" xfId="0" applyFont="1"/>
    <xf numFmtId="0" fontId="8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8" fillId="0" borderId="0" xfId="0" applyFont="1"/>
    <xf numFmtId="0" fontId="8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8" fillId="0" borderId="8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9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0" fillId="0" borderId="23" xfId="0" applyBorder="1"/>
    <xf numFmtId="0" fontId="2" fillId="0" borderId="24" xfId="0" applyFont="1" applyBorder="1" applyAlignment="1">
      <alignment vertical="center" wrapText="1"/>
    </xf>
    <xf numFmtId="0" fontId="9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8" fillId="0" borderId="16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8" fillId="0" borderId="6" xfId="0" applyFont="1" applyBorder="1" applyAlignment="1">
      <alignment horizontal="left" indent="1"/>
    </xf>
    <xf numFmtId="0" fontId="8" fillId="0" borderId="6" xfId="0" applyFont="1" applyBorder="1" applyAlignment="1">
      <alignment horizontal="center"/>
    </xf>
    <xf numFmtId="0" fontId="8" fillId="0" borderId="9" xfId="0" applyFont="1" applyBorder="1" applyAlignment="1">
      <alignment horizontal="left" indent="1"/>
    </xf>
    <xf numFmtId="0" fontId="8" fillId="0" borderId="12" xfId="0" applyFont="1" applyBorder="1" applyAlignment="1">
      <alignment horizontal="left" indent="1"/>
    </xf>
    <xf numFmtId="0" fontId="8" fillId="0" borderId="25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8" fillId="0" borderId="7" xfId="0" quotePrefix="1" applyFont="1" applyBorder="1" applyAlignment="1">
      <alignment horizontal="center" vertical="center"/>
    </xf>
    <xf numFmtId="0" fontId="8" fillId="0" borderId="22" xfId="0" quotePrefix="1" applyFont="1" applyBorder="1" applyAlignment="1">
      <alignment horizontal="center" vertical="center"/>
    </xf>
    <xf numFmtId="0" fontId="1" fillId="0" borderId="26" xfId="0" applyFont="1" applyBorder="1" applyAlignment="1">
      <alignment vertical="center" wrapText="1"/>
    </xf>
    <xf numFmtId="0" fontId="1" fillId="0" borderId="0" xfId="0" applyFont="1" applyAlignment="1">
      <alignment horizontal="left" vertical="center" wrapText="1" indent="1"/>
    </xf>
    <xf numFmtId="0" fontId="1" fillId="0" borderId="0" xfId="0" applyFont="1" applyAlignment="1">
      <alignment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/>
    </xf>
    <xf numFmtId="0" fontId="8" fillId="0" borderId="9" xfId="0" quotePrefix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8" fillId="0" borderId="6" xfId="0" quotePrefix="1" applyFont="1" applyBorder="1" applyAlignment="1">
      <alignment horizontal="center" vertical="center"/>
    </xf>
    <xf numFmtId="0" fontId="8" fillId="0" borderId="10" xfId="0" quotePrefix="1" applyFont="1" applyBorder="1" applyAlignment="1">
      <alignment horizontal="center" vertical="center"/>
    </xf>
    <xf numFmtId="0" fontId="8" fillId="0" borderId="17" xfId="0" quotePrefix="1" applyFont="1" applyBorder="1" applyAlignment="1">
      <alignment horizontal="center" vertical="center"/>
    </xf>
    <xf numFmtId="0" fontId="1" fillId="0" borderId="13" xfId="0" quotePrefix="1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9" fillId="0" borderId="0" xfId="0" applyFont="1"/>
    <xf numFmtId="0" fontId="9" fillId="0" borderId="0" xfId="0" applyFont="1" applyAlignment="1">
      <alignment vertical="center"/>
    </xf>
    <xf numFmtId="0" fontId="1" fillId="0" borderId="6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 wrapText="1"/>
    </xf>
    <xf numFmtId="0" fontId="2" fillId="3" borderId="29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2" fillId="4" borderId="28" xfId="0" applyFont="1" applyFill="1" applyBorder="1" applyAlignment="1">
      <alignment horizontal="center" vertical="center" wrapText="1"/>
    </xf>
    <xf numFmtId="0" fontId="2" fillId="4" borderId="29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9" fillId="3" borderId="19" xfId="0" applyFont="1" applyFill="1" applyBorder="1" applyAlignment="1">
      <alignment horizontal="center"/>
    </xf>
    <xf numFmtId="0" fontId="9" fillId="3" borderId="8" xfId="0" applyFont="1" applyFill="1" applyBorder="1" applyAlignment="1">
      <alignment horizontal="center"/>
    </xf>
    <xf numFmtId="0" fontId="9" fillId="3" borderId="5" xfId="0" applyFont="1" applyFill="1" applyBorder="1" applyAlignment="1">
      <alignment horizontal="center"/>
    </xf>
    <xf numFmtId="0" fontId="9" fillId="4" borderId="5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0" fontId="9" fillId="4" borderId="18" xfId="0" applyFont="1" applyFill="1" applyBorder="1" applyAlignment="1">
      <alignment horizontal="center" vertical="center"/>
    </xf>
    <xf numFmtId="0" fontId="9" fillId="4" borderId="19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/>
    </xf>
    <xf numFmtId="0" fontId="9" fillId="4" borderId="8" xfId="0" applyFont="1" applyFill="1" applyBorder="1" applyAlignment="1">
      <alignment horizontal="center"/>
    </xf>
    <xf numFmtId="0" fontId="13" fillId="5" borderId="2" xfId="0" applyFont="1" applyFill="1" applyBorder="1" applyAlignment="1">
      <alignment horizontal="center" vertical="center" wrapText="1"/>
    </xf>
    <xf numFmtId="0" fontId="13" fillId="5" borderId="3" xfId="0" applyFont="1" applyFill="1" applyBorder="1" applyAlignment="1">
      <alignment horizontal="center" vertical="center" wrapText="1"/>
    </xf>
    <xf numFmtId="0" fontId="9" fillId="5" borderId="19" xfId="0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/>
    </xf>
    <xf numFmtId="0" fontId="10" fillId="5" borderId="21" xfId="0" applyFont="1" applyFill="1" applyBorder="1" applyAlignment="1">
      <alignment horizontal="center" vertical="center" wrapText="1"/>
    </xf>
    <xf numFmtId="0" fontId="13" fillId="5" borderId="21" xfId="0" applyFont="1" applyFill="1" applyBorder="1" applyAlignment="1">
      <alignment horizontal="center" vertical="center" wrapText="1"/>
    </xf>
    <xf numFmtId="0" fontId="13" fillId="5" borderId="22" xfId="0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1" fillId="0" borderId="30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" fillId="0" borderId="26" xfId="0" applyFont="1" applyBorder="1"/>
    <xf numFmtId="0" fontId="1" fillId="0" borderId="0" xfId="0" applyFont="1" applyAlignment="1">
      <alignment horizontal="center"/>
    </xf>
    <xf numFmtId="0" fontId="1" fillId="0" borderId="31" xfId="0" applyFont="1" applyBorder="1"/>
    <xf numFmtId="0" fontId="1" fillId="0" borderId="1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8" fillId="0" borderId="12" xfId="0" quotePrefix="1" applyFont="1" applyBorder="1" applyAlignment="1">
      <alignment horizontal="center" vertical="center"/>
    </xf>
    <xf numFmtId="0" fontId="8" fillId="0" borderId="13" xfId="0" quotePrefix="1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2" fontId="1" fillId="0" borderId="6" xfId="0" applyNumberFormat="1" applyFont="1" applyBorder="1" applyAlignment="1">
      <alignment horizontal="center" vertical="center"/>
    </xf>
    <xf numFmtId="2" fontId="1" fillId="0" borderId="9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8" fillId="6" borderId="11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/>
    </xf>
    <xf numFmtId="0" fontId="9" fillId="7" borderId="19" xfId="0" applyFont="1" applyFill="1" applyBorder="1" applyAlignment="1">
      <alignment horizontal="center" vertical="center"/>
    </xf>
    <xf numFmtId="0" fontId="9" fillId="7" borderId="8" xfId="0" applyFont="1" applyFill="1" applyBorder="1" applyAlignment="1">
      <alignment horizontal="center" vertical="center"/>
    </xf>
    <xf numFmtId="0" fontId="9" fillId="7" borderId="11" xfId="0" applyFont="1" applyFill="1" applyBorder="1" applyAlignment="1">
      <alignment horizontal="center" vertical="center"/>
    </xf>
    <xf numFmtId="0" fontId="8" fillId="0" borderId="16" xfId="0" quotePrefix="1" applyFont="1" applyBorder="1" applyAlignment="1">
      <alignment horizontal="center" vertical="center"/>
    </xf>
    <xf numFmtId="0" fontId="1" fillId="0" borderId="16" xfId="0" applyFont="1" applyBorder="1" applyAlignment="1">
      <alignment horizontal="left" vertical="center" wrapText="1" indent="1"/>
    </xf>
    <xf numFmtId="0" fontId="1" fillId="0" borderId="14" xfId="0" applyFont="1" applyBorder="1" applyAlignment="1">
      <alignment horizontal="left" vertical="center" wrapText="1" indent="1"/>
    </xf>
    <xf numFmtId="0" fontId="1" fillId="0" borderId="9" xfId="0" applyFont="1" applyBorder="1" applyAlignment="1">
      <alignment horizontal="left" vertical="center" wrapText="1" indent="1"/>
    </xf>
    <xf numFmtId="0" fontId="1" fillId="0" borderId="32" xfId="0" applyFont="1" applyBorder="1" applyAlignment="1">
      <alignment horizontal="left" vertical="center" wrapText="1" indent="1"/>
    </xf>
    <xf numFmtId="0" fontId="9" fillId="0" borderId="1" xfId="0" applyFont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 wrapText="1"/>
    </xf>
    <xf numFmtId="0" fontId="9" fillId="0" borderId="34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 wrapText="1"/>
    </xf>
    <xf numFmtId="0" fontId="9" fillId="0" borderId="35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1" fillId="0" borderId="9" xfId="0" quotePrefix="1" applyFont="1" applyBorder="1" applyAlignment="1">
      <alignment horizontal="center" vertical="center"/>
    </xf>
    <xf numFmtId="0" fontId="1" fillId="0" borderId="12" xfId="0" quotePrefix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2" xfId="0" applyFont="1" applyBorder="1"/>
    <xf numFmtId="2" fontId="1" fillId="0" borderId="7" xfId="0" applyNumberFormat="1" applyFont="1" applyBorder="1" applyAlignment="1">
      <alignment horizontal="center" vertical="center"/>
    </xf>
    <xf numFmtId="2" fontId="1" fillId="0" borderId="10" xfId="0" applyNumberFormat="1" applyFont="1" applyBorder="1" applyAlignment="1">
      <alignment horizontal="center" vertical="center"/>
    </xf>
    <xf numFmtId="2" fontId="1" fillId="0" borderId="13" xfId="0" applyNumberFormat="1" applyFont="1" applyBorder="1"/>
    <xf numFmtId="2" fontId="1" fillId="0" borderId="9" xfId="0" quotePrefix="1" applyNumberFormat="1" applyFont="1" applyBorder="1" applyAlignment="1">
      <alignment horizontal="center" vertical="center"/>
    </xf>
    <xf numFmtId="2" fontId="1" fillId="0" borderId="12" xfId="0" quotePrefix="1" applyNumberFormat="1" applyFont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6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36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26" fillId="0" borderId="0" xfId="0" applyFont="1"/>
    <xf numFmtId="0" fontId="22" fillId="2" borderId="0" xfId="0" applyFont="1" applyFill="1" applyAlignment="1">
      <alignment horizontal="right" vertical="center" wrapText="1" indent="1"/>
    </xf>
    <xf numFmtId="0" fontId="24" fillId="2" borderId="0" xfId="0" applyFont="1" applyFill="1" applyAlignment="1">
      <alignment vertical="center"/>
    </xf>
    <xf numFmtId="0" fontId="1" fillId="0" borderId="45" xfId="0" applyFont="1" applyBorder="1"/>
    <xf numFmtId="0" fontId="2" fillId="0" borderId="45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49" fontId="1" fillId="2" borderId="19" xfId="0" applyNumberFormat="1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164" fontId="1" fillId="2" borderId="16" xfId="0" applyNumberFormat="1" applyFont="1" applyFill="1" applyBorder="1" applyAlignment="1">
      <alignment horizontal="center" vertical="center" wrapText="1"/>
    </xf>
    <xf numFmtId="167" fontId="1" fillId="2" borderId="16" xfId="0" applyNumberFormat="1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49" fontId="1" fillId="2" borderId="8" xfId="0" applyNumberFormat="1" applyFont="1" applyFill="1" applyBorder="1" applyAlignment="1">
      <alignment horizontal="center" vertical="center" wrapText="1"/>
    </xf>
    <xf numFmtId="164" fontId="1" fillId="2" borderId="9" xfId="0" applyNumberFormat="1" applyFont="1" applyFill="1" applyBorder="1" applyAlignment="1">
      <alignment horizontal="center" vertical="center" wrapText="1"/>
    </xf>
    <xf numFmtId="167" fontId="1" fillId="2" borderId="9" xfId="0" applyNumberFormat="1" applyFont="1" applyFill="1" applyBorder="1" applyAlignment="1">
      <alignment horizontal="center" vertical="center" wrapText="1"/>
    </xf>
    <xf numFmtId="49" fontId="1" fillId="2" borderId="11" xfId="0" applyNumberFormat="1" applyFont="1" applyFill="1" applyBorder="1" applyAlignment="1">
      <alignment horizontal="center" vertical="center" wrapText="1"/>
    </xf>
    <xf numFmtId="164" fontId="1" fillId="2" borderId="12" xfId="0" applyNumberFormat="1" applyFont="1" applyFill="1" applyBorder="1" applyAlignment="1">
      <alignment horizontal="center" vertical="center" wrapText="1"/>
    </xf>
    <xf numFmtId="167" fontId="1" fillId="2" borderId="12" xfId="0" applyNumberFormat="1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 wrapText="1"/>
    </xf>
    <xf numFmtId="0" fontId="9" fillId="2" borderId="22" xfId="0" applyFont="1" applyFill="1" applyBorder="1" applyAlignment="1">
      <alignment horizontal="center" vertical="center" wrapText="1"/>
    </xf>
    <xf numFmtId="49" fontId="8" fillId="2" borderId="8" xfId="0" applyNumberFormat="1" applyFont="1" applyFill="1" applyBorder="1" applyAlignment="1">
      <alignment horizontal="center" vertical="center" wrapText="1"/>
    </xf>
    <xf numFmtId="166" fontId="1" fillId="2" borderId="9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167" fontId="1" fillId="2" borderId="0" xfId="0" applyNumberFormat="1" applyFont="1" applyFill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10" borderId="27" xfId="0" applyFont="1" applyFill="1" applyBorder="1" applyAlignment="1">
      <alignment vertical="center" wrapText="1"/>
    </xf>
    <xf numFmtId="0" fontId="1" fillId="10" borderId="28" xfId="0" applyFont="1" applyFill="1" applyBorder="1" applyAlignment="1">
      <alignment vertical="center" wrapText="1"/>
    </xf>
    <xf numFmtId="1" fontId="1" fillId="0" borderId="0" xfId="0" applyNumberFormat="1" applyFont="1"/>
    <xf numFmtId="0" fontId="1" fillId="0" borderId="0" xfId="0" applyFont="1" applyAlignment="1">
      <alignment horizontal="right"/>
    </xf>
    <xf numFmtId="0" fontId="24" fillId="0" borderId="0" xfId="0" applyFont="1" applyAlignment="1">
      <alignment vertical="center"/>
    </xf>
    <xf numFmtId="0" fontId="1" fillId="0" borderId="16" xfId="0" quotePrefix="1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168" fontId="1" fillId="0" borderId="0" xfId="0" applyNumberFormat="1" applyFont="1" applyAlignment="1">
      <alignment horizontal="center" vertical="center"/>
    </xf>
    <xf numFmtId="0" fontId="24" fillId="2" borderId="59" xfId="0" applyFont="1" applyFill="1" applyBorder="1" applyAlignment="1">
      <alignment vertical="center"/>
    </xf>
    <xf numFmtId="0" fontId="22" fillId="2" borderId="58" xfId="0" applyFont="1" applyFill="1" applyBorder="1" applyAlignment="1">
      <alignment horizontal="right" vertical="center" wrapText="1" indent="1"/>
    </xf>
    <xf numFmtId="0" fontId="24" fillId="0" borderId="52" xfId="0" applyFont="1" applyBorder="1" applyAlignment="1">
      <alignment vertical="center"/>
    </xf>
    <xf numFmtId="0" fontId="22" fillId="2" borderId="109" xfId="0" applyFont="1" applyFill="1" applyBorder="1" applyAlignment="1">
      <alignment horizontal="right" vertical="center" wrapText="1" indent="1"/>
    </xf>
    <xf numFmtId="0" fontId="24" fillId="0" borderId="108" xfId="0" applyFont="1" applyBorder="1" applyAlignment="1">
      <alignment vertical="center"/>
    </xf>
    <xf numFmtId="0" fontId="24" fillId="2" borderId="110" xfId="0" applyFont="1" applyFill="1" applyBorder="1" applyAlignment="1">
      <alignment vertical="center"/>
    </xf>
    <xf numFmtId="0" fontId="2" fillId="0" borderId="161" xfId="0" applyFont="1" applyBorder="1" applyAlignment="1">
      <alignment horizontal="left" vertical="center" indent="1"/>
    </xf>
    <xf numFmtId="0" fontId="2" fillId="0" borderId="129" xfId="0" applyFont="1" applyBorder="1" applyAlignment="1">
      <alignment horizontal="left" vertical="center" indent="1"/>
    </xf>
    <xf numFmtId="4" fontId="9" fillId="0" borderId="129" xfId="0" applyNumberFormat="1" applyFont="1" applyBorder="1" applyAlignment="1">
      <alignment horizontal="left" vertical="center" indent="1"/>
    </xf>
    <xf numFmtId="0" fontId="22" fillId="11" borderId="109" xfId="0" applyFont="1" applyFill="1" applyBorder="1" applyAlignment="1">
      <alignment horizontal="right" vertical="center" wrapText="1" indent="1"/>
    </xf>
    <xf numFmtId="2" fontId="24" fillId="11" borderId="108" xfId="0" applyNumberFormat="1" applyFont="1" applyFill="1" applyBorder="1" applyAlignment="1">
      <alignment vertical="center"/>
    </xf>
    <xf numFmtId="0" fontId="24" fillId="11" borderId="110" xfId="0" applyFont="1" applyFill="1" applyBorder="1" applyAlignment="1">
      <alignment vertical="center"/>
    </xf>
    <xf numFmtId="0" fontId="22" fillId="11" borderId="58" xfId="0" applyFont="1" applyFill="1" applyBorder="1" applyAlignment="1">
      <alignment horizontal="right" vertical="center" wrapText="1" indent="1"/>
    </xf>
    <xf numFmtId="2" fontId="24" fillId="11" borderId="52" xfId="0" applyNumberFormat="1" applyFont="1" applyFill="1" applyBorder="1" applyAlignment="1">
      <alignment vertical="center"/>
    </xf>
    <xf numFmtId="0" fontId="24" fillId="11" borderId="59" xfId="0" applyFont="1" applyFill="1" applyBorder="1" applyAlignment="1">
      <alignment vertical="center"/>
    </xf>
    <xf numFmtId="0" fontId="26" fillId="0" borderId="0" xfId="0" applyFont="1" applyAlignment="1">
      <alignment horizontal="center" vertical="center"/>
    </xf>
    <xf numFmtId="0" fontId="22" fillId="11" borderId="126" xfId="0" applyFont="1" applyFill="1" applyBorder="1" applyAlignment="1">
      <alignment horizontal="right" vertical="center" wrapText="1" indent="1"/>
    </xf>
    <xf numFmtId="0" fontId="22" fillId="2" borderId="120" xfId="0" applyFont="1" applyFill="1" applyBorder="1" applyAlignment="1">
      <alignment horizontal="right" vertical="center" wrapText="1" indent="1"/>
    </xf>
    <xf numFmtId="0" fontId="22" fillId="2" borderId="175" xfId="0" applyFont="1" applyFill="1" applyBorder="1" applyAlignment="1">
      <alignment horizontal="right" vertical="center" wrapText="1" indent="1"/>
    </xf>
    <xf numFmtId="0" fontId="22" fillId="11" borderId="0" xfId="0" applyFont="1" applyFill="1" applyAlignment="1">
      <alignment horizontal="right" vertical="center" wrapText="1" indent="1"/>
    </xf>
    <xf numFmtId="2" fontId="24" fillId="11" borderId="173" xfId="0" applyNumberFormat="1" applyFont="1" applyFill="1" applyBorder="1" applyAlignment="1">
      <alignment vertical="center"/>
    </xf>
    <xf numFmtId="0" fontId="24" fillId="11" borderId="89" xfId="0" applyFont="1" applyFill="1" applyBorder="1" applyAlignment="1">
      <alignment vertical="center"/>
    </xf>
    <xf numFmtId="0" fontId="22" fillId="11" borderId="179" xfId="0" applyFont="1" applyFill="1" applyBorder="1" applyAlignment="1">
      <alignment horizontal="right" vertical="center" wrapText="1" indent="1"/>
    </xf>
    <xf numFmtId="2" fontId="24" fillId="11" borderId="180" xfId="0" applyNumberFormat="1" applyFont="1" applyFill="1" applyBorder="1" applyAlignment="1">
      <alignment vertical="center"/>
    </xf>
    <xf numFmtId="0" fontId="24" fillId="11" borderId="181" xfId="0" applyFont="1" applyFill="1" applyBorder="1" applyAlignment="1">
      <alignment vertical="center"/>
    </xf>
    <xf numFmtId="0" fontId="22" fillId="11" borderId="183" xfId="0" applyFont="1" applyFill="1" applyBorder="1" applyAlignment="1">
      <alignment horizontal="right" vertical="center" wrapText="1" indent="1"/>
    </xf>
    <xf numFmtId="2" fontId="24" fillId="11" borderId="184" xfId="0" applyNumberFormat="1" applyFont="1" applyFill="1" applyBorder="1" applyAlignment="1">
      <alignment vertical="center"/>
    </xf>
    <xf numFmtId="0" fontId="24" fillId="11" borderId="185" xfId="0" applyFont="1" applyFill="1" applyBorder="1" applyAlignment="1">
      <alignment vertical="center"/>
    </xf>
    <xf numFmtId="0" fontId="22" fillId="11" borderId="112" xfId="0" applyFont="1" applyFill="1" applyBorder="1" applyAlignment="1">
      <alignment horizontal="right" vertical="center" wrapText="1" indent="1"/>
    </xf>
    <xf numFmtId="1" fontId="22" fillId="11" borderId="111" xfId="0" applyNumberFormat="1" applyFont="1" applyFill="1" applyBorder="1" applyAlignment="1">
      <alignment vertical="center"/>
    </xf>
    <xf numFmtId="0" fontId="22" fillId="11" borderId="113" xfId="0" applyFont="1" applyFill="1" applyBorder="1" applyAlignment="1">
      <alignment vertical="center"/>
    </xf>
    <xf numFmtId="0" fontId="24" fillId="2" borderId="0" xfId="0" applyFont="1" applyFill="1" applyAlignment="1">
      <alignment vertical="center" wrapText="1"/>
    </xf>
    <xf numFmtId="0" fontId="22" fillId="2" borderId="0" xfId="0" applyFont="1" applyFill="1" applyAlignment="1">
      <alignment vertical="center" wrapText="1"/>
    </xf>
    <xf numFmtId="0" fontId="26" fillId="0" borderId="192" xfId="0" applyFont="1" applyBorder="1" applyAlignment="1">
      <alignment horizontal="center" vertical="center"/>
    </xf>
    <xf numFmtId="0" fontId="26" fillId="0" borderId="193" xfId="0" applyFont="1" applyBorder="1" applyAlignment="1">
      <alignment horizontal="center" vertical="center"/>
    </xf>
    <xf numFmtId="0" fontId="26" fillId="0" borderId="194" xfId="0" applyFont="1" applyBorder="1" applyAlignment="1">
      <alignment horizontal="center" vertical="center"/>
    </xf>
    <xf numFmtId="0" fontId="26" fillId="0" borderId="195" xfId="0" applyFont="1" applyBorder="1" applyAlignment="1">
      <alignment horizontal="center" vertical="center"/>
    </xf>
    <xf numFmtId="0" fontId="26" fillId="0" borderId="127" xfId="0" applyFont="1" applyBorder="1" applyAlignment="1">
      <alignment horizontal="center" vertical="center"/>
    </xf>
    <xf numFmtId="0" fontId="26" fillId="0" borderId="196" xfId="0" applyFont="1" applyBorder="1" applyAlignment="1">
      <alignment horizontal="center" vertical="center"/>
    </xf>
    <xf numFmtId="0" fontId="26" fillId="0" borderId="197" xfId="0" applyFont="1" applyBorder="1" applyAlignment="1">
      <alignment horizontal="center" vertical="center"/>
    </xf>
    <xf numFmtId="0" fontId="26" fillId="0" borderId="198" xfId="0" applyFont="1" applyBorder="1" applyAlignment="1">
      <alignment horizontal="center" vertical="center"/>
    </xf>
    <xf numFmtId="0" fontId="26" fillId="0" borderId="162" xfId="0" applyFont="1" applyBorder="1" applyAlignment="1">
      <alignment horizontal="center" vertical="center"/>
    </xf>
    <xf numFmtId="0" fontId="26" fillId="0" borderId="117" xfId="0" applyFont="1" applyBorder="1" applyAlignment="1">
      <alignment horizontal="center" vertical="center"/>
    </xf>
    <xf numFmtId="0" fontId="26" fillId="0" borderId="199" xfId="0" applyFont="1" applyBorder="1" applyAlignment="1">
      <alignment horizontal="center" vertical="center"/>
    </xf>
    <xf numFmtId="0" fontId="26" fillId="0" borderId="200" xfId="0" applyFont="1" applyBorder="1" applyAlignment="1">
      <alignment horizontal="center" vertical="center"/>
    </xf>
    <xf numFmtId="0" fontId="26" fillId="0" borderId="201" xfId="0" applyFont="1" applyBorder="1" applyAlignment="1">
      <alignment horizontal="center" vertical="center"/>
    </xf>
    <xf numFmtId="0" fontId="26" fillId="0" borderId="55" xfId="0" applyFont="1" applyBorder="1" applyAlignment="1">
      <alignment horizontal="center" vertical="center"/>
    </xf>
    <xf numFmtId="0" fontId="26" fillId="0" borderId="104" xfId="0" applyFont="1" applyBorder="1" applyAlignment="1">
      <alignment horizontal="center" vertical="center"/>
    </xf>
    <xf numFmtId="0" fontId="27" fillId="2" borderId="0" xfId="0" applyFont="1" applyFill="1" applyAlignment="1">
      <alignment horizontal="center" vertical="center" wrapText="1"/>
    </xf>
    <xf numFmtId="0" fontId="17" fillId="2" borderId="0" xfId="0" applyFont="1" applyFill="1" applyAlignment="1">
      <alignment horizontal="center" vertical="center" wrapText="1"/>
    </xf>
    <xf numFmtId="1" fontId="8" fillId="0" borderId="134" xfId="0" applyNumberFormat="1" applyFont="1" applyBorder="1" applyAlignment="1">
      <alignment horizontal="center" vertical="center"/>
    </xf>
    <xf numFmtId="1" fontId="8" fillId="0" borderId="51" xfId="0" applyNumberFormat="1" applyFont="1" applyBorder="1" applyAlignment="1">
      <alignment horizontal="center" vertical="center"/>
    </xf>
    <xf numFmtId="0" fontId="45" fillId="0" borderId="0" xfId="0" applyFont="1"/>
    <xf numFmtId="0" fontId="30" fillId="2" borderId="168" xfId="0" applyFont="1" applyFill="1" applyBorder="1" applyAlignment="1">
      <alignment horizontal="left" vertical="center" indent="1"/>
    </xf>
    <xf numFmtId="0" fontId="30" fillId="2" borderId="137" xfId="0" applyFont="1" applyFill="1" applyBorder="1" applyAlignment="1">
      <alignment horizontal="center" vertical="center"/>
    </xf>
    <xf numFmtId="2" fontId="30" fillId="2" borderId="135" xfId="0" applyNumberFormat="1" applyFont="1" applyFill="1" applyBorder="1" applyAlignment="1">
      <alignment horizontal="center" vertical="center"/>
    </xf>
    <xf numFmtId="0" fontId="30" fillId="2" borderId="133" xfId="0" applyFont="1" applyFill="1" applyBorder="1" applyAlignment="1">
      <alignment horizontal="left" vertical="center" indent="1"/>
    </xf>
    <xf numFmtId="0" fontId="30" fillId="2" borderId="109" xfId="0" applyFont="1" applyFill="1" applyBorder="1" applyAlignment="1">
      <alignment horizontal="center" vertical="center"/>
    </xf>
    <xf numFmtId="2" fontId="11" fillId="2" borderId="107" xfId="0" applyNumberFormat="1" applyFont="1" applyFill="1" applyBorder="1" applyAlignment="1">
      <alignment horizontal="right" vertical="center" indent="1"/>
    </xf>
    <xf numFmtId="0" fontId="30" fillId="2" borderId="131" xfId="0" applyFont="1" applyFill="1" applyBorder="1" applyAlignment="1">
      <alignment horizontal="left" vertical="center" indent="1"/>
    </xf>
    <xf numFmtId="0" fontId="30" fillId="2" borderId="58" xfId="0" applyFont="1" applyFill="1" applyBorder="1" applyAlignment="1">
      <alignment horizontal="center" vertical="center"/>
    </xf>
    <xf numFmtId="1" fontId="11" fillId="2" borderId="101" xfId="0" applyNumberFormat="1" applyFont="1" applyFill="1" applyBorder="1" applyAlignment="1">
      <alignment horizontal="right" vertical="center" indent="1"/>
    </xf>
    <xf numFmtId="1" fontId="30" fillId="2" borderId="58" xfId="0" applyNumberFormat="1" applyFont="1" applyFill="1" applyBorder="1" applyAlignment="1">
      <alignment vertical="center"/>
    </xf>
    <xf numFmtId="0" fontId="30" fillId="2" borderId="59" xfId="0" applyFont="1" applyFill="1" applyBorder="1" applyAlignment="1">
      <alignment horizontal="left" vertical="center"/>
    </xf>
    <xf numFmtId="2" fontId="30" fillId="2" borderId="58" xfId="0" applyNumberFormat="1" applyFont="1" applyFill="1" applyBorder="1" applyAlignment="1">
      <alignment horizontal="right" vertical="center"/>
    </xf>
    <xf numFmtId="2" fontId="11" fillId="2" borderId="101" xfId="0" applyNumberFormat="1" applyFont="1" applyFill="1" applyBorder="1" applyAlignment="1">
      <alignment horizontal="right" vertical="center" indent="1"/>
    </xf>
    <xf numFmtId="2" fontId="30" fillId="11" borderId="120" xfId="0" applyNumberFormat="1" applyFont="1" applyFill="1" applyBorder="1" applyAlignment="1">
      <alignment vertical="center"/>
    </xf>
    <xf numFmtId="0" fontId="48" fillId="11" borderId="132" xfId="0" applyFont="1" applyFill="1" applyBorder="1" applyAlignment="1">
      <alignment horizontal="left" vertical="center"/>
    </xf>
    <xf numFmtId="0" fontId="30" fillId="2" borderId="58" xfId="0" applyFont="1" applyFill="1" applyBorder="1" applyAlignment="1">
      <alignment horizontal="right" vertical="center" wrapText="1"/>
    </xf>
    <xf numFmtId="0" fontId="30" fillId="2" borderId="59" xfId="0" applyFont="1" applyFill="1" applyBorder="1" applyAlignment="1">
      <alignment horizontal="left" vertical="center" wrapText="1"/>
    </xf>
    <xf numFmtId="2" fontId="30" fillId="11" borderId="208" xfId="0" applyNumberFormat="1" applyFont="1" applyFill="1" applyBorder="1" applyAlignment="1">
      <alignment vertical="center"/>
    </xf>
    <xf numFmtId="0" fontId="30" fillId="11" borderId="32" xfId="0" applyFont="1" applyFill="1" applyBorder="1" applyAlignment="1">
      <alignment horizontal="left" vertical="center"/>
    </xf>
    <xf numFmtId="0" fontId="30" fillId="2" borderId="0" xfId="0" applyFont="1" applyFill="1" applyAlignment="1">
      <alignment horizontal="left" vertical="center" indent="1"/>
    </xf>
    <xf numFmtId="2" fontId="30" fillId="2" borderId="0" xfId="0" applyNumberFormat="1" applyFont="1" applyFill="1" applyAlignment="1">
      <alignment vertical="center"/>
    </xf>
    <xf numFmtId="0" fontId="48" fillId="2" borderId="0" xfId="0" applyFont="1" applyFill="1" applyAlignment="1">
      <alignment horizontal="left" vertical="center"/>
    </xf>
    <xf numFmtId="2" fontId="30" fillId="11" borderId="112" xfId="0" applyNumberFormat="1" applyFont="1" applyFill="1" applyBorder="1" applyAlignment="1">
      <alignment vertical="center"/>
    </xf>
    <xf numFmtId="0" fontId="48" fillId="11" borderId="113" xfId="0" applyFont="1" applyFill="1" applyBorder="1" applyAlignment="1">
      <alignment horizontal="left" vertical="center"/>
    </xf>
    <xf numFmtId="1" fontId="30" fillId="2" borderId="58" xfId="0" applyNumberFormat="1" applyFont="1" applyFill="1" applyBorder="1" applyAlignment="1">
      <alignment horizontal="right" vertical="center"/>
    </xf>
    <xf numFmtId="0" fontId="45" fillId="0" borderId="0" xfId="0" applyFont="1" applyAlignment="1">
      <alignment vertical="center"/>
    </xf>
    <xf numFmtId="0" fontId="30" fillId="11" borderId="207" xfId="0" applyFont="1" applyFill="1" applyBorder="1" applyAlignment="1">
      <alignment horizontal="left" vertical="center" indent="1"/>
    </xf>
    <xf numFmtId="0" fontId="1" fillId="0" borderId="209" xfId="0" applyFont="1" applyBorder="1" applyAlignment="1">
      <alignment horizontal="center" vertical="center"/>
    </xf>
    <xf numFmtId="0" fontId="1" fillId="0" borderId="210" xfId="0" applyFont="1" applyBorder="1" applyAlignment="1">
      <alignment horizontal="center" vertical="center"/>
    </xf>
    <xf numFmtId="2" fontId="1" fillId="0" borderId="211" xfId="0" applyNumberFormat="1" applyFont="1" applyBorder="1" applyAlignment="1">
      <alignment horizontal="center" vertical="center"/>
    </xf>
    <xf numFmtId="2" fontId="1" fillId="0" borderId="212" xfId="0" applyNumberFormat="1" applyFont="1" applyBorder="1" applyAlignment="1">
      <alignment horizontal="center" vertical="center"/>
    </xf>
    <xf numFmtId="2" fontId="1" fillId="0" borderId="213" xfId="0" applyNumberFormat="1" applyFont="1" applyBorder="1" applyAlignment="1">
      <alignment horizontal="center" vertical="center"/>
    </xf>
    <xf numFmtId="2" fontId="1" fillId="0" borderId="214" xfId="0" applyNumberFormat="1" applyFont="1" applyBorder="1" applyAlignment="1">
      <alignment horizontal="center" vertical="center"/>
    </xf>
    <xf numFmtId="0" fontId="1" fillId="0" borderId="215" xfId="0" applyFont="1" applyBorder="1" applyAlignment="1">
      <alignment horizontal="center" vertical="center"/>
    </xf>
    <xf numFmtId="0" fontId="1" fillId="0" borderId="148" xfId="0" applyFont="1" applyBorder="1" applyAlignment="1">
      <alignment horizontal="center" vertical="center"/>
    </xf>
    <xf numFmtId="2" fontId="1" fillId="0" borderId="216" xfId="0" applyNumberFormat="1" applyFont="1" applyBorder="1" applyAlignment="1">
      <alignment horizontal="center" vertical="center"/>
    </xf>
    <xf numFmtId="0" fontId="1" fillId="0" borderId="129" xfId="0" applyFont="1" applyBorder="1" applyAlignment="1">
      <alignment horizontal="center" vertical="center"/>
    </xf>
    <xf numFmtId="2" fontId="1" fillId="0" borderId="217" xfId="0" applyNumberFormat="1" applyFont="1" applyBorder="1" applyAlignment="1">
      <alignment horizontal="center" vertical="center"/>
    </xf>
    <xf numFmtId="0" fontId="1" fillId="0" borderId="128" xfId="0" applyFont="1" applyBorder="1" applyAlignment="1">
      <alignment horizontal="center" vertical="center"/>
    </xf>
    <xf numFmtId="2" fontId="1" fillId="0" borderId="218" xfId="0" applyNumberFormat="1" applyFont="1" applyBorder="1" applyAlignment="1">
      <alignment horizontal="center" vertical="center"/>
    </xf>
    <xf numFmtId="2" fontId="1" fillId="0" borderId="219" xfId="0" applyNumberFormat="1" applyFont="1" applyBorder="1" applyAlignment="1">
      <alignment horizontal="center" vertical="center"/>
    </xf>
    <xf numFmtId="2" fontId="1" fillId="0" borderId="220" xfId="0" applyNumberFormat="1" applyFont="1" applyBorder="1" applyAlignment="1">
      <alignment horizontal="center" vertical="center"/>
    </xf>
    <xf numFmtId="1" fontId="1" fillId="0" borderId="212" xfId="0" applyNumberFormat="1" applyFont="1" applyBorder="1" applyAlignment="1">
      <alignment horizontal="center" vertical="center"/>
    </xf>
    <xf numFmtId="1" fontId="1" fillId="0" borderId="214" xfId="0" applyNumberFormat="1" applyFont="1" applyBorder="1" applyAlignment="1">
      <alignment horizontal="center" vertical="center"/>
    </xf>
    <xf numFmtId="1" fontId="1" fillId="0" borderId="219" xfId="0" applyNumberFormat="1" applyFont="1" applyBorder="1" applyAlignment="1">
      <alignment horizontal="center" vertical="center"/>
    </xf>
    <xf numFmtId="1" fontId="1" fillId="0" borderId="216" xfId="0" applyNumberFormat="1" applyFont="1" applyBorder="1" applyAlignment="1">
      <alignment horizontal="center" vertical="center"/>
    </xf>
    <xf numFmtId="1" fontId="1" fillId="0" borderId="217" xfId="0" applyNumberFormat="1" applyFont="1" applyBorder="1" applyAlignment="1">
      <alignment horizontal="center" vertical="center"/>
    </xf>
    <xf numFmtId="1" fontId="1" fillId="0" borderId="220" xfId="0" applyNumberFormat="1" applyFont="1" applyBorder="1" applyAlignment="1">
      <alignment horizontal="center" vertical="center"/>
    </xf>
    <xf numFmtId="0" fontId="1" fillId="0" borderId="55" xfId="0" applyFont="1" applyBorder="1" applyAlignment="1">
      <alignment horizontal="center" vertical="center"/>
    </xf>
    <xf numFmtId="0" fontId="1" fillId="0" borderId="195" xfId="0" applyFont="1" applyBorder="1" applyAlignment="1">
      <alignment horizontal="center" vertical="center"/>
    </xf>
    <xf numFmtId="0" fontId="30" fillId="11" borderId="168" xfId="0" applyFont="1" applyFill="1" applyBorder="1" applyAlignment="1">
      <alignment horizontal="left" vertical="center" indent="1"/>
    </xf>
    <xf numFmtId="0" fontId="30" fillId="11" borderId="137" xfId="0" applyFont="1" applyFill="1" applyBorder="1" applyAlignment="1">
      <alignment horizontal="center" vertical="center"/>
    </xf>
    <xf numFmtId="2" fontId="30" fillId="11" borderId="135" xfId="0" applyNumberFormat="1" applyFont="1" applyFill="1" applyBorder="1" applyAlignment="1">
      <alignment horizontal="center" vertical="center"/>
    </xf>
    <xf numFmtId="0" fontId="30" fillId="11" borderId="136" xfId="0" applyFont="1" applyFill="1" applyBorder="1" applyAlignment="1">
      <alignment vertical="center" wrapText="1"/>
    </xf>
    <xf numFmtId="0" fontId="30" fillId="11" borderId="138" xfId="0" applyFont="1" applyFill="1" applyBorder="1" applyAlignment="1">
      <alignment vertical="center" wrapText="1"/>
    </xf>
    <xf numFmtId="0" fontId="30" fillId="11" borderId="133" xfId="0" applyFont="1" applyFill="1" applyBorder="1" applyAlignment="1">
      <alignment horizontal="left" vertical="center" indent="1"/>
    </xf>
    <xf numFmtId="0" fontId="30" fillId="11" borderId="109" xfId="0" applyFont="1" applyFill="1" applyBorder="1" applyAlignment="1">
      <alignment horizontal="center" vertical="center"/>
    </xf>
    <xf numFmtId="2" fontId="30" fillId="11" borderId="107" xfId="0" applyNumberFormat="1" applyFont="1" applyFill="1" applyBorder="1" applyAlignment="1">
      <alignment horizontal="center" vertical="center"/>
    </xf>
    <xf numFmtId="0" fontId="30" fillId="11" borderId="108" xfId="0" applyFont="1" applyFill="1" applyBorder="1" applyAlignment="1">
      <alignment horizontal="right" vertical="center" wrapText="1"/>
    </xf>
    <xf numFmtId="0" fontId="30" fillId="11" borderId="110" xfId="0" applyFont="1" applyFill="1" applyBorder="1" applyAlignment="1">
      <alignment horizontal="left" vertical="center" wrapText="1"/>
    </xf>
    <xf numFmtId="0" fontId="30" fillId="11" borderId="131" xfId="0" applyFont="1" applyFill="1" applyBorder="1" applyAlignment="1">
      <alignment horizontal="left" vertical="center" indent="1"/>
    </xf>
    <xf numFmtId="0" fontId="30" fillId="11" borderId="58" xfId="0" applyFont="1" applyFill="1" applyBorder="1" applyAlignment="1">
      <alignment horizontal="center" vertical="center"/>
    </xf>
    <xf numFmtId="1" fontId="11" fillId="11" borderId="101" xfId="0" applyNumberFormat="1" applyFont="1" applyFill="1" applyBorder="1" applyAlignment="1">
      <alignment horizontal="right" vertical="center" indent="1"/>
    </xf>
    <xf numFmtId="2" fontId="30" fillId="11" borderId="58" xfId="0" applyNumberFormat="1" applyFont="1" applyFill="1" applyBorder="1" applyAlignment="1">
      <alignment horizontal="right" vertical="center"/>
    </xf>
    <xf numFmtId="0" fontId="30" fillId="11" borderId="59" xfId="0" applyFont="1" applyFill="1" applyBorder="1" applyAlignment="1">
      <alignment horizontal="left" vertical="center"/>
    </xf>
    <xf numFmtId="0" fontId="56" fillId="0" borderId="0" xfId="0" applyFont="1" applyAlignment="1">
      <alignment vertical="center"/>
    </xf>
    <xf numFmtId="0" fontId="30" fillId="0" borderId="133" xfId="0" applyFont="1" applyBorder="1" applyAlignment="1">
      <alignment horizontal="left" vertical="center" indent="1"/>
    </xf>
    <xf numFmtId="0" fontId="30" fillId="0" borderId="109" xfId="0" applyFont="1" applyBorder="1" applyAlignment="1">
      <alignment horizontal="center" vertical="center"/>
    </xf>
    <xf numFmtId="2" fontId="30" fillId="0" borderId="107" xfId="0" applyNumberFormat="1" applyFont="1" applyBorder="1" applyAlignment="1">
      <alignment horizontal="center" vertical="center"/>
    </xf>
    <xf numFmtId="1" fontId="11" fillId="0" borderId="107" xfId="0" applyNumberFormat="1" applyFont="1" applyBorder="1" applyAlignment="1">
      <alignment horizontal="right" vertical="center" indent="1"/>
    </xf>
    <xf numFmtId="2" fontId="30" fillId="0" borderId="108" xfId="0" applyNumberFormat="1" applyFont="1" applyBorder="1" applyAlignment="1">
      <alignment vertical="center" wrapText="1"/>
    </xf>
    <xf numFmtId="2" fontId="30" fillId="0" borderId="110" xfId="0" applyNumberFormat="1" applyFont="1" applyBorder="1" applyAlignment="1">
      <alignment vertical="center" wrapText="1"/>
    </xf>
    <xf numFmtId="1" fontId="11" fillId="0" borderId="121" xfId="0" applyNumberFormat="1" applyFont="1" applyBorder="1" applyAlignment="1">
      <alignment horizontal="right" vertical="center" indent="1"/>
    </xf>
    <xf numFmtId="2" fontId="30" fillId="0" borderId="122" xfId="0" applyNumberFormat="1" applyFont="1" applyBorder="1" applyAlignment="1">
      <alignment vertical="center" wrapText="1"/>
    </xf>
    <xf numFmtId="2" fontId="30" fillId="0" borderId="145" xfId="0" applyNumberFormat="1" applyFont="1" applyBorder="1" applyAlignment="1">
      <alignment vertical="center" wrapText="1"/>
    </xf>
    <xf numFmtId="0" fontId="30" fillId="0" borderId="194" xfId="0" applyFont="1" applyBorder="1" applyAlignment="1">
      <alignment horizontal="left" vertical="center" indent="1"/>
    </xf>
    <xf numFmtId="0" fontId="30" fillId="11" borderId="223" xfId="0" applyFont="1" applyFill="1" applyBorder="1" applyAlignment="1">
      <alignment horizontal="left" vertical="center" indent="1"/>
    </xf>
    <xf numFmtId="1" fontId="11" fillId="11" borderId="124" xfId="0" applyNumberFormat="1" applyFont="1" applyFill="1" applyBorder="1" applyAlignment="1">
      <alignment horizontal="right" vertical="center" indent="1"/>
    </xf>
    <xf numFmtId="2" fontId="30" fillId="11" borderId="125" xfId="0" applyNumberFormat="1" applyFont="1" applyFill="1" applyBorder="1" applyAlignment="1">
      <alignment vertical="center"/>
    </xf>
    <xf numFmtId="1" fontId="30" fillId="11" borderId="143" xfId="0" applyNumberFormat="1" applyFont="1" applyFill="1" applyBorder="1" applyAlignment="1">
      <alignment vertical="center"/>
    </xf>
    <xf numFmtId="0" fontId="30" fillId="11" borderId="201" xfId="0" applyFont="1" applyFill="1" applyBorder="1" applyAlignment="1">
      <alignment horizontal="left" vertical="center" indent="1"/>
    </xf>
    <xf numFmtId="1" fontId="11" fillId="11" borderId="102" xfId="0" applyNumberFormat="1" applyFont="1" applyFill="1" applyBorder="1" applyAlignment="1">
      <alignment horizontal="right" vertical="center" indent="1"/>
    </xf>
    <xf numFmtId="1" fontId="30" fillId="11" borderId="113" xfId="0" applyNumberFormat="1" applyFont="1" applyFill="1" applyBorder="1" applyAlignment="1">
      <alignment vertical="center"/>
    </xf>
    <xf numFmtId="2" fontId="30" fillId="11" borderId="111" xfId="0" applyNumberFormat="1" applyFont="1" applyFill="1" applyBorder="1" applyAlignment="1">
      <alignment vertical="center"/>
    </xf>
    <xf numFmtId="0" fontId="30" fillId="0" borderId="225" xfId="0" applyFont="1" applyBorder="1" applyAlignment="1">
      <alignment horizontal="left" vertical="center" indent="1"/>
    </xf>
    <xf numFmtId="2" fontId="30" fillId="11" borderId="126" xfId="0" applyNumberFormat="1" applyFont="1" applyFill="1" applyBorder="1" applyAlignment="1">
      <alignment vertical="center"/>
    </xf>
    <xf numFmtId="0" fontId="30" fillId="11" borderId="143" xfId="0" applyFont="1" applyFill="1" applyBorder="1" applyAlignment="1">
      <alignment horizontal="left" vertical="center"/>
    </xf>
    <xf numFmtId="0" fontId="1" fillId="0" borderId="67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2" fillId="0" borderId="99" xfId="0" applyFont="1" applyBorder="1" applyAlignment="1">
      <alignment horizontal="center" vertical="center" wrapText="1"/>
    </xf>
    <xf numFmtId="0" fontId="2" fillId="0" borderId="99" xfId="0" applyFont="1" applyBorder="1" applyAlignment="1">
      <alignment horizontal="center" vertical="center"/>
    </xf>
    <xf numFmtId="0" fontId="24" fillId="11" borderId="52" xfId="0" applyFont="1" applyFill="1" applyBorder="1" applyAlignment="1">
      <alignment vertical="center"/>
    </xf>
    <xf numFmtId="165" fontId="24" fillId="11" borderId="52" xfId="0" applyNumberFormat="1" applyFont="1" applyFill="1" applyBorder="1" applyAlignment="1">
      <alignment vertical="center"/>
    </xf>
    <xf numFmtId="166" fontId="24" fillId="11" borderId="52" xfId="0" applyNumberFormat="1" applyFont="1" applyFill="1" applyBorder="1" applyAlignment="1">
      <alignment vertical="center"/>
    </xf>
    <xf numFmtId="2" fontId="24" fillId="11" borderId="111" xfId="0" applyNumberFormat="1" applyFont="1" applyFill="1" applyBorder="1" applyAlignment="1">
      <alignment vertical="center"/>
    </xf>
    <xf numFmtId="0" fontId="24" fillId="11" borderId="113" xfId="0" applyFont="1" applyFill="1" applyBorder="1" applyAlignment="1">
      <alignment vertical="center"/>
    </xf>
    <xf numFmtId="0" fontId="1" fillId="11" borderId="134" xfId="0" applyFont="1" applyFill="1" applyBorder="1" applyAlignment="1">
      <alignment horizontal="center" vertical="center"/>
    </xf>
    <xf numFmtId="11" fontId="1" fillId="11" borderId="134" xfId="0" applyNumberFormat="1" applyFont="1" applyFill="1" applyBorder="1" applyAlignment="1">
      <alignment horizontal="center" vertical="center"/>
    </xf>
    <xf numFmtId="0" fontId="1" fillId="11" borderId="51" xfId="0" applyFont="1" applyFill="1" applyBorder="1" applyAlignment="1">
      <alignment horizontal="center" vertical="center"/>
    </xf>
    <xf numFmtId="11" fontId="1" fillId="11" borderId="51" xfId="0" applyNumberFormat="1" applyFont="1" applyFill="1" applyBorder="1" applyAlignment="1">
      <alignment horizontal="center" vertical="center"/>
    </xf>
    <xf numFmtId="2" fontId="1" fillId="11" borderId="134" xfId="0" applyNumberFormat="1" applyFont="1" applyFill="1" applyBorder="1" applyAlignment="1">
      <alignment horizontal="center" vertical="center"/>
    </xf>
    <xf numFmtId="2" fontId="1" fillId="11" borderId="51" xfId="0" applyNumberFormat="1" applyFont="1" applyFill="1" applyBorder="1" applyAlignment="1">
      <alignment horizontal="center" vertical="center"/>
    </xf>
    <xf numFmtId="2" fontId="1" fillId="11" borderId="53" xfId="0" applyNumberFormat="1" applyFont="1" applyFill="1" applyBorder="1" applyAlignment="1">
      <alignment horizontal="center" vertical="center"/>
    </xf>
    <xf numFmtId="0" fontId="21" fillId="11" borderId="160" xfId="0" applyFont="1" applyFill="1" applyBorder="1" applyAlignment="1">
      <alignment horizontal="center" vertical="center" wrapText="1"/>
    </xf>
    <xf numFmtId="164" fontId="1" fillId="11" borderId="134" xfId="0" applyNumberFormat="1" applyFont="1" applyFill="1" applyBorder="1" applyAlignment="1">
      <alignment horizontal="center" vertical="center"/>
    </xf>
    <xf numFmtId="10" fontId="1" fillId="11" borderId="134" xfId="0" applyNumberFormat="1" applyFont="1" applyFill="1" applyBorder="1" applyAlignment="1">
      <alignment horizontal="center" vertical="center"/>
    </xf>
    <xf numFmtId="10" fontId="1" fillId="11" borderId="51" xfId="0" applyNumberFormat="1" applyFont="1" applyFill="1" applyBorder="1" applyAlignment="1">
      <alignment horizontal="center" vertical="center"/>
    </xf>
    <xf numFmtId="2" fontId="1" fillId="0" borderId="136" xfId="0" applyNumberFormat="1" applyFont="1" applyBorder="1" applyAlignment="1">
      <alignment horizontal="center" vertical="center"/>
    </xf>
    <xf numFmtId="2" fontId="1" fillId="0" borderId="52" xfId="0" applyNumberFormat="1" applyFont="1" applyBorder="1" applyAlignment="1">
      <alignment horizontal="center" vertical="center"/>
    </xf>
    <xf numFmtId="0" fontId="1" fillId="0" borderId="229" xfId="0" applyFont="1" applyBorder="1" applyAlignment="1">
      <alignment horizontal="center" vertical="center"/>
    </xf>
    <xf numFmtId="0" fontId="1" fillId="0" borderId="230" xfId="0" applyFont="1" applyBorder="1" applyAlignment="1">
      <alignment horizontal="center" vertical="center"/>
    </xf>
    <xf numFmtId="0" fontId="1" fillId="11" borderId="136" xfId="0" applyFont="1" applyFill="1" applyBorder="1" applyAlignment="1">
      <alignment horizontal="center" vertical="center"/>
    </xf>
    <xf numFmtId="0" fontId="1" fillId="11" borderId="52" xfId="0" applyFont="1" applyFill="1" applyBorder="1" applyAlignment="1">
      <alignment horizontal="center" vertical="center"/>
    </xf>
    <xf numFmtId="2" fontId="1" fillId="11" borderId="135" xfId="0" applyNumberFormat="1" applyFont="1" applyFill="1" applyBorder="1" applyAlignment="1">
      <alignment horizontal="center" vertical="center"/>
    </xf>
    <xf numFmtId="2" fontId="1" fillId="11" borderId="101" xfId="0" applyNumberFormat="1" applyFont="1" applyFill="1" applyBorder="1" applyAlignment="1">
      <alignment horizontal="center" vertical="center"/>
    </xf>
    <xf numFmtId="167" fontId="1" fillId="11" borderId="136" xfId="0" applyNumberFormat="1" applyFont="1" applyFill="1" applyBorder="1" applyAlignment="1">
      <alignment horizontal="center" vertical="center"/>
    </xf>
    <xf numFmtId="167" fontId="1" fillId="11" borderId="52" xfId="0" applyNumberFormat="1" applyFont="1" applyFill="1" applyBorder="1" applyAlignment="1">
      <alignment horizontal="center" vertical="center"/>
    </xf>
    <xf numFmtId="0" fontId="6" fillId="11" borderId="138" xfId="0" applyFont="1" applyFill="1" applyBorder="1" applyAlignment="1">
      <alignment horizontal="center" vertical="center"/>
    </xf>
    <xf numFmtId="0" fontId="6" fillId="11" borderId="59" xfId="0" applyFont="1" applyFill="1" applyBorder="1" applyAlignment="1">
      <alignment horizontal="center" vertical="center"/>
    </xf>
    <xf numFmtId="0" fontId="21" fillId="11" borderId="245" xfId="0" applyFont="1" applyFill="1" applyBorder="1" applyAlignment="1">
      <alignment horizontal="center" vertical="center" wrapText="1"/>
    </xf>
    <xf numFmtId="0" fontId="1" fillId="11" borderId="169" xfId="0" applyFont="1" applyFill="1" applyBorder="1" applyAlignment="1">
      <alignment horizontal="center" vertical="center"/>
    </xf>
    <xf numFmtId="0" fontId="1" fillId="11" borderId="170" xfId="0" applyFont="1" applyFill="1" applyBorder="1" applyAlignment="1">
      <alignment horizontal="center" vertical="center"/>
    </xf>
    <xf numFmtId="0" fontId="2" fillId="2" borderId="253" xfId="0" applyFont="1" applyFill="1" applyBorder="1" applyAlignment="1">
      <alignment horizontal="center" vertical="center" wrapText="1"/>
    </xf>
    <xf numFmtId="0" fontId="2" fillId="2" borderId="257" xfId="0" applyFont="1" applyFill="1" applyBorder="1" applyAlignment="1">
      <alignment horizontal="center" vertical="center" wrapText="1"/>
    </xf>
    <xf numFmtId="0" fontId="2" fillId="0" borderId="233" xfId="0" applyFont="1" applyBorder="1" applyAlignment="1">
      <alignment horizontal="center" vertical="center" wrapText="1"/>
    </xf>
    <xf numFmtId="0" fontId="1" fillId="0" borderId="134" xfId="0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2" fillId="0" borderId="221" xfId="0" applyFont="1" applyBorder="1" applyAlignment="1">
      <alignment horizontal="center" vertical="center" wrapText="1"/>
    </xf>
    <xf numFmtId="0" fontId="1" fillId="0" borderId="265" xfId="0" applyFont="1" applyBorder="1" applyAlignment="1">
      <alignment horizontal="center" vertical="center"/>
    </xf>
    <xf numFmtId="0" fontId="1" fillId="0" borderId="139" xfId="0" applyFont="1" applyBorder="1" applyAlignment="1">
      <alignment horizontal="center" vertical="center"/>
    </xf>
    <xf numFmtId="0" fontId="1" fillId="0" borderId="54" xfId="0" applyFont="1" applyBorder="1" applyAlignment="1">
      <alignment horizontal="center" vertical="center"/>
    </xf>
    <xf numFmtId="0" fontId="1" fillId="0" borderId="57" xfId="0" applyFont="1" applyBorder="1" applyAlignment="1">
      <alignment horizontal="center" vertical="center"/>
    </xf>
    <xf numFmtId="0" fontId="2" fillId="11" borderId="258" xfId="0" applyFont="1" applyFill="1" applyBorder="1" applyAlignment="1">
      <alignment horizontal="center" vertical="center" wrapText="1"/>
    </xf>
    <xf numFmtId="0" fontId="1" fillId="0" borderId="264" xfId="0" applyFont="1" applyBorder="1" applyAlignment="1">
      <alignment horizontal="left" vertical="center" indent="1"/>
    </xf>
    <xf numFmtId="0" fontId="1" fillId="0" borderId="230" xfId="0" applyFont="1" applyBorder="1" applyAlignment="1">
      <alignment horizontal="left" vertical="center" indent="1"/>
    </xf>
    <xf numFmtId="0" fontId="1" fillId="0" borderId="228" xfId="0" applyFont="1" applyBorder="1" applyAlignment="1">
      <alignment horizontal="left" vertical="center" indent="1"/>
    </xf>
    <xf numFmtId="0" fontId="1" fillId="0" borderId="229" xfId="0" applyFont="1" applyBorder="1" applyAlignment="1">
      <alignment horizontal="left" vertical="center" indent="1"/>
    </xf>
    <xf numFmtId="0" fontId="1" fillId="0" borderId="232" xfId="0" applyFont="1" applyBorder="1" applyAlignment="1">
      <alignment horizontal="left" vertical="center" indent="1"/>
    </xf>
    <xf numFmtId="0" fontId="1" fillId="0" borderId="235" xfId="0" applyFont="1" applyBorder="1" applyAlignment="1">
      <alignment horizontal="left" vertical="center" indent="1"/>
    </xf>
    <xf numFmtId="0" fontId="2" fillId="11" borderId="99" xfId="0" applyFont="1" applyFill="1" applyBorder="1" applyAlignment="1">
      <alignment horizontal="center" vertical="center" wrapText="1"/>
    </xf>
    <xf numFmtId="0" fontId="2" fillId="11" borderId="163" xfId="0" applyFont="1" applyFill="1" applyBorder="1" applyAlignment="1">
      <alignment horizontal="center" vertical="center" wrapText="1"/>
    </xf>
    <xf numFmtId="2" fontId="1" fillId="11" borderId="265" xfId="0" applyNumberFormat="1" applyFont="1" applyFill="1" applyBorder="1" applyAlignment="1">
      <alignment horizontal="center" vertical="center"/>
    </xf>
    <xf numFmtId="2" fontId="1" fillId="11" borderId="139" xfId="0" applyNumberFormat="1" applyFont="1" applyFill="1" applyBorder="1" applyAlignment="1">
      <alignment horizontal="center" vertical="center"/>
    </xf>
    <xf numFmtId="2" fontId="1" fillId="11" borderId="54" xfId="0" applyNumberFormat="1" applyFont="1" applyFill="1" applyBorder="1" applyAlignment="1">
      <alignment horizontal="center" vertical="center"/>
    </xf>
    <xf numFmtId="2" fontId="1" fillId="11" borderId="57" xfId="0" applyNumberFormat="1" applyFont="1" applyFill="1" applyBorder="1" applyAlignment="1">
      <alignment horizontal="center" vertical="center"/>
    </xf>
    <xf numFmtId="0" fontId="2" fillId="11" borderId="173" xfId="0" applyFont="1" applyFill="1" applyBorder="1" applyAlignment="1">
      <alignment horizontal="center" vertical="center" wrapText="1"/>
    </xf>
    <xf numFmtId="164" fontId="1" fillId="0" borderId="265" xfId="0" applyNumberFormat="1" applyFont="1" applyBorder="1" applyAlignment="1">
      <alignment horizontal="center" vertical="center"/>
    </xf>
    <xf numFmtId="164" fontId="1" fillId="0" borderId="51" xfId="0" applyNumberFormat="1" applyFont="1" applyBorder="1" applyAlignment="1">
      <alignment horizontal="center" vertical="center"/>
    </xf>
    <xf numFmtId="164" fontId="1" fillId="0" borderId="54" xfId="0" applyNumberFormat="1" applyFont="1" applyBorder="1" applyAlignment="1">
      <alignment horizontal="center" vertical="center"/>
    </xf>
    <xf numFmtId="164" fontId="1" fillId="0" borderId="139" xfId="0" applyNumberFormat="1" applyFont="1" applyBorder="1" applyAlignment="1">
      <alignment horizontal="center" vertical="center"/>
    </xf>
    <xf numFmtId="164" fontId="1" fillId="0" borderId="134" xfId="0" applyNumberFormat="1" applyFont="1" applyBorder="1" applyAlignment="1">
      <alignment horizontal="center" vertical="center"/>
    </xf>
    <xf numFmtId="164" fontId="1" fillId="0" borderId="57" xfId="0" applyNumberFormat="1" applyFont="1" applyBorder="1" applyAlignment="1">
      <alignment horizontal="center" vertical="center"/>
    </xf>
    <xf numFmtId="168" fontId="1" fillId="0" borderId="265" xfId="0" applyNumberFormat="1" applyFont="1" applyBorder="1" applyAlignment="1">
      <alignment horizontal="center" vertical="center"/>
    </xf>
    <xf numFmtId="168" fontId="1" fillId="0" borderId="51" xfId="0" applyNumberFormat="1" applyFont="1" applyBorder="1" applyAlignment="1">
      <alignment horizontal="center" vertical="center"/>
    </xf>
    <xf numFmtId="168" fontId="1" fillId="0" borderId="54" xfId="0" applyNumberFormat="1" applyFont="1" applyBorder="1" applyAlignment="1">
      <alignment horizontal="center" vertical="center"/>
    </xf>
    <xf numFmtId="168" fontId="1" fillId="0" borderId="139" xfId="0" applyNumberFormat="1" applyFont="1" applyBorder="1" applyAlignment="1">
      <alignment horizontal="center" vertical="center"/>
    </xf>
    <xf numFmtId="168" fontId="1" fillId="0" borderId="134" xfId="0" applyNumberFormat="1" applyFont="1" applyBorder="1" applyAlignment="1">
      <alignment horizontal="center" vertical="center"/>
    </xf>
    <xf numFmtId="168" fontId="1" fillId="0" borderId="57" xfId="0" applyNumberFormat="1" applyFont="1" applyBorder="1" applyAlignment="1">
      <alignment horizontal="center" vertical="center"/>
    </xf>
    <xf numFmtId="0" fontId="1" fillId="0" borderId="259" xfId="0" applyFont="1" applyBorder="1" applyAlignment="1">
      <alignment horizontal="left" vertical="center" indent="1"/>
    </xf>
    <xf numFmtId="168" fontId="1" fillId="0" borderId="247" xfId="0" applyNumberFormat="1" applyFont="1" applyBorder="1" applyAlignment="1">
      <alignment horizontal="center" vertical="center"/>
    </xf>
    <xf numFmtId="164" fontId="1" fillId="0" borderId="247" xfId="0" applyNumberFormat="1" applyFont="1" applyBorder="1" applyAlignment="1">
      <alignment horizontal="center" vertical="center"/>
    </xf>
    <xf numFmtId="0" fontId="1" fillId="0" borderId="231" xfId="0" applyFont="1" applyBorder="1" applyAlignment="1">
      <alignment horizontal="left" vertical="center" indent="1"/>
    </xf>
    <xf numFmtId="0" fontId="1" fillId="0" borderId="53" xfId="0" applyFont="1" applyBorder="1" applyAlignment="1">
      <alignment horizontal="center" vertical="center"/>
    </xf>
    <xf numFmtId="168" fontId="1" fillId="0" borderId="53" xfId="0" applyNumberFormat="1" applyFont="1" applyBorder="1" applyAlignment="1">
      <alignment horizontal="center" vertical="center"/>
    </xf>
    <xf numFmtId="164" fontId="1" fillId="0" borderId="53" xfId="0" applyNumberFormat="1" applyFont="1" applyBorder="1" applyAlignment="1">
      <alignment horizontal="center" vertical="center"/>
    </xf>
    <xf numFmtId="2" fontId="1" fillId="11" borderId="99" xfId="0" applyNumberFormat="1" applyFont="1" applyFill="1" applyBorder="1" applyAlignment="1">
      <alignment horizontal="center" vertical="center"/>
    </xf>
    <xf numFmtId="168" fontId="30" fillId="11" borderId="58" xfId="0" applyNumberFormat="1" applyFont="1" applyFill="1" applyBorder="1" applyAlignment="1">
      <alignment horizontal="right" vertical="center"/>
    </xf>
    <xf numFmtId="0" fontId="11" fillId="2" borderId="159" xfId="0" applyFont="1" applyFill="1" applyBorder="1" applyAlignment="1">
      <alignment horizontal="center" vertical="center" wrapText="1"/>
    </xf>
    <xf numFmtId="0" fontId="11" fillId="2" borderId="160" xfId="0" applyFont="1" applyFill="1" applyBorder="1" applyAlignment="1">
      <alignment horizontal="center" vertical="center" wrapText="1"/>
    </xf>
    <xf numFmtId="0" fontId="11" fillId="2" borderId="160" xfId="0" applyFont="1" applyFill="1" applyBorder="1" applyAlignment="1">
      <alignment horizontal="center" vertical="top" wrapText="1"/>
    </xf>
    <xf numFmtId="0" fontId="11" fillId="2" borderId="273" xfId="0" applyFont="1" applyFill="1" applyBorder="1" applyAlignment="1">
      <alignment horizontal="center" vertical="center" wrapText="1"/>
    </xf>
    <xf numFmtId="0" fontId="30" fillId="2" borderId="161" xfId="0" applyFont="1" applyFill="1" applyBorder="1" applyAlignment="1">
      <alignment horizontal="left" indent="1"/>
    </xf>
    <xf numFmtId="0" fontId="30" fillId="2" borderId="134" xfId="0" applyFont="1" applyFill="1" applyBorder="1" applyAlignment="1">
      <alignment horizontal="center"/>
    </xf>
    <xf numFmtId="2" fontId="30" fillId="2" borderId="134" xfId="0" applyNumberFormat="1" applyFont="1" applyFill="1" applyBorder="1" applyAlignment="1">
      <alignment horizontal="center"/>
    </xf>
    <xf numFmtId="0" fontId="61" fillId="2" borderId="252" xfId="0" applyFont="1" applyFill="1" applyBorder="1" applyAlignment="1">
      <alignment horizontal="center"/>
    </xf>
    <xf numFmtId="0" fontId="30" fillId="2" borderId="129" xfId="0" applyFont="1" applyFill="1" applyBorder="1" applyAlignment="1">
      <alignment horizontal="left" indent="1"/>
    </xf>
    <xf numFmtId="0" fontId="30" fillId="2" borderId="51" xfId="0" applyFont="1" applyFill="1" applyBorder="1" applyAlignment="1">
      <alignment horizontal="center"/>
    </xf>
    <xf numFmtId="1" fontId="30" fillId="2" borderId="51" xfId="0" applyNumberFormat="1" applyFont="1" applyFill="1" applyBorder="1" applyAlignment="1">
      <alignment horizontal="center"/>
    </xf>
    <xf numFmtId="0" fontId="61" fillId="2" borderId="162" xfId="0" applyFont="1" applyFill="1" applyBorder="1" applyAlignment="1">
      <alignment horizontal="center"/>
    </xf>
    <xf numFmtId="2" fontId="30" fillId="2" borderId="51" xfId="0" applyNumberFormat="1" applyFont="1" applyFill="1" applyBorder="1" applyAlignment="1">
      <alignment horizontal="center"/>
    </xf>
    <xf numFmtId="0" fontId="30" fillId="2" borderId="128" xfId="0" applyFont="1" applyFill="1" applyBorder="1" applyAlignment="1">
      <alignment horizontal="left" indent="1"/>
    </xf>
    <xf numFmtId="0" fontId="30" fillId="2" borderId="53" xfId="0" applyFont="1" applyFill="1" applyBorder="1" applyAlignment="1">
      <alignment horizontal="center"/>
    </xf>
    <xf numFmtId="2" fontId="30" fillId="2" borderId="53" xfId="0" applyNumberFormat="1" applyFont="1" applyFill="1" applyBorder="1" applyAlignment="1">
      <alignment horizontal="center"/>
    </xf>
    <xf numFmtId="0" fontId="61" fillId="2" borderId="55" xfId="0" applyFont="1" applyFill="1" applyBorder="1" applyAlignment="1">
      <alignment horizontal="center"/>
    </xf>
    <xf numFmtId="1" fontId="30" fillId="11" borderId="58" xfId="0" applyNumberFormat="1" applyFont="1" applyFill="1" applyBorder="1" applyAlignment="1">
      <alignment horizontal="right" vertical="center"/>
    </xf>
    <xf numFmtId="0" fontId="24" fillId="0" borderId="108" xfId="0" applyFont="1" applyBorder="1" applyAlignment="1">
      <alignment horizontal="right" vertical="center"/>
    </xf>
    <xf numFmtId="0" fontId="24" fillId="2" borderId="110" xfId="0" applyFont="1" applyFill="1" applyBorder="1" applyAlignment="1">
      <alignment horizontal="left" vertical="center"/>
    </xf>
    <xf numFmtId="0" fontId="22" fillId="11" borderId="141" xfId="0" applyFont="1" applyFill="1" applyBorder="1" applyAlignment="1">
      <alignment horizontal="right" vertical="center" wrapText="1" indent="1"/>
    </xf>
    <xf numFmtId="2" fontId="24" fillId="11" borderId="140" xfId="0" applyNumberFormat="1" applyFont="1" applyFill="1" applyBorder="1" applyAlignment="1">
      <alignment vertical="center"/>
    </xf>
    <xf numFmtId="0" fontId="24" fillId="11" borderId="142" xfId="0" applyFont="1" applyFill="1" applyBorder="1" applyAlignment="1">
      <alignment vertical="center"/>
    </xf>
    <xf numFmtId="0" fontId="22" fillId="11" borderId="120" xfId="0" applyFont="1" applyFill="1" applyBorder="1" applyAlignment="1">
      <alignment horizontal="right" vertical="center" wrapText="1" indent="1"/>
    </xf>
    <xf numFmtId="0" fontId="22" fillId="11" borderId="137" xfId="0" applyFont="1" applyFill="1" applyBorder="1" applyAlignment="1">
      <alignment horizontal="right" vertical="center" wrapText="1" indent="1"/>
    </xf>
    <xf numFmtId="2" fontId="24" fillId="11" borderId="136" xfId="0" applyNumberFormat="1" applyFont="1" applyFill="1" applyBorder="1" applyAlignment="1">
      <alignment vertical="center"/>
    </xf>
    <xf numFmtId="0" fontId="24" fillId="11" borderId="138" xfId="0" applyFont="1" applyFill="1" applyBorder="1" applyAlignment="1">
      <alignment vertical="center"/>
    </xf>
    <xf numFmtId="0" fontId="24" fillId="0" borderId="119" xfId="0" applyFont="1" applyBorder="1" applyAlignment="1">
      <alignment vertical="center"/>
    </xf>
    <xf numFmtId="0" fontId="24" fillId="2" borderId="132" xfId="0" applyFont="1" applyFill="1" applyBorder="1" applyAlignment="1">
      <alignment vertical="center"/>
    </xf>
    <xf numFmtId="0" fontId="22" fillId="2" borderId="137" xfId="0" applyFont="1" applyFill="1" applyBorder="1" applyAlignment="1">
      <alignment horizontal="right" vertical="center" wrapText="1" indent="1"/>
    </xf>
    <xf numFmtId="0" fontId="22" fillId="0" borderId="58" xfId="0" applyFont="1" applyBorder="1" applyAlignment="1">
      <alignment horizontal="right" vertical="center" wrapText="1" indent="1"/>
    </xf>
    <xf numFmtId="0" fontId="24" fillId="0" borderId="59" xfId="0" applyFont="1" applyBorder="1" applyAlignment="1">
      <alignment vertical="center"/>
    </xf>
    <xf numFmtId="0" fontId="65" fillId="0" borderId="0" xfId="2" applyAlignment="1">
      <alignment horizontal="left" vertical="center"/>
    </xf>
    <xf numFmtId="164" fontId="24" fillId="11" borderId="111" xfId="0" applyNumberFormat="1" applyFont="1" applyFill="1" applyBorder="1" applyAlignment="1">
      <alignment vertical="center"/>
    </xf>
    <xf numFmtId="0" fontId="8" fillId="0" borderId="18" xfId="0" applyFont="1" applyBorder="1" applyAlignment="1">
      <alignment horizontal="center" vertical="center"/>
    </xf>
    <xf numFmtId="0" fontId="1" fillId="13" borderId="0" xfId="0" applyFont="1" applyFill="1"/>
    <xf numFmtId="0" fontId="1" fillId="0" borderId="40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76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 wrapText="1"/>
    </xf>
    <xf numFmtId="0" fontId="1" fillId="0" borderId="276" xfId="0" applyFont="1" applyBorder="1" applyAlignment="1">
      <alignment horizontal="center" vertical="center" wrapText="1"/>
    </xf>
    <xf numFmtId="0" fontId="1" fillId="0" borderId="116" xfId="0" applyFont="1" applyBorder="1"/>
    <xf numFmtId="0" fontId="1" fillId="12" borderId="47" xfId="0" applyFont="1" applyFill="1" applyBorder="1"/>
    <xf numFmtId="0" fontId="1" fillId="12" borderId="51" xfId="0" applyFont="1" applyFill="1" applyBorder="1" applyAlignment="1">
      <alignment horizontal="center" vertical="center" wrapText="1"/>
    </xf>
    <xf numFmtId="0" fontId="1" fillId="12" borderId="47" xfId="0" applyFont="1" applyFill="1" applyBorder="1" applyAlignment="1">
      <alignment horizontal="center" vertical="center" wrapText="1"/>
    </xf>
    <xf numFmtId="0" fontId="1" fillId="12" borderId="51" xfId="0" applyFont="1" applyFill="1" applyBorder="1" applyAlignment="1">
      <alignment horizontal="center" vertical="center"/>
    </xf>
    <xf numFmtId="0" fontId="1" fillId="12" borderId="51" xfId="0" applyFont="1" applyFill="1" applyBorder="1"/>
    <xf numFmtId="0" fontId="1" fillId="12" borderId="53" xfId="0" applyFont="1" applyFill="1" applyBorder="1" applyAlignment="1">
      <alignment horizontal="center" vertical="center" wrapText="1"/>
    </xf>
    <xf numFmtId="0" fontId="9" fillId="12" borderId="41" xfId="0" applyFont="1" applyFill="1" applyBorder="1" applyAlignment="1">
      <alignment horizontal="left" vertical="center" indent="1"/>
    </xf>
    <xf numFmtId="0" fontId="9" fillId="12" borderId="164" xfId="0" applyFont="1" applyFill="1" applyBorder="1" applyAlignment="1">
      <alignment horizontal="left" vertical="center" indent="1"/>
    </xf>
    <xf numFmtId="1" fontId="9" fillId="12" borderId="165" xfId="0" applyNumberFormat="1" applyFont="1" applyFill="1" applyBorder="1" applyAlignment="1">
      <alignment horizontal="center" vertical="center" wrapText="1"/>
    </xf>
    <xf numFmtId="0" fontId="9" fillId="12" borderId="165" xfId="0" applyFont="1" applyFill="1" applyBorder="1" applyAlignment="1">
      <alignment horizontal="center" vertical="center" wrapText="1"/>
    </xf>
    <xf numFmtId="1" fontId="9" fillId="12" borderId="98" xfId="0" applyNumberFormat="1" applyFont="1" applyFill="1" applyBorder="1" applyAlignment="1">
      <alignment horizontal="center" vertical="center" wrapText="1"/>
    </xf>
    <xf numFmtId="0" fontId="9" fillId="12" borderId="98" xfId="0" applyFont="1" applyFill="1" applyBorder="1" applyAlignment="1" applyProtection="1">
      <alignment horizontal="center" vertical="center" wrapText="1"/>
      <protection locked="0"/>
    </xf>
    <xf numFmtId="10" fontId="37" fillId="12" borderId="226" xfId="0" applyNumberFormat="1" applyFont="1" applyFill="1" applyBorder="1" applyAlignment="1">
      <alignment horizontal="center" vertical="center" wrapText="1"/>
    </xf>
    <xf numFmtId="0" fontId="37" fillId="12" borderId="164" xfId="0" applyFont="1" applyFill="1" applyBorder="1" applyAlignment="1">
      <alignment horizontal="center" vertical="center" wrapText="1"/>
    </xf>
    <xf numFmtId="166" fontId="9" fillId="12" borderId="226" xfId="0" applyNumberFormat="1" applyFont="1" applyFill="1" applyBorder="1" applyAlignment="1">
      <alignment horizontal="center" vertical="center" wrapText="1"/>
    </xf>
    <xf numFmtId="166" fontId="9" fillId="12" borderId="165" xfId="0" applyNumberFormat="1" applyFont="1" applyFill="1" applyBorder="1" applyAlignment="1">
      <alignment horizontal="center" vertical="center" wrapText="1"/>
    </xf>
    <xf numFmtId="166" fontId="9" fillId="12" borderId="164" xfId="0" applyNumberFormat="1" applyFont="1" applyFill="1" applyBorder="1" applyAlignment="1">
      <alignment horizontal="center" vertical="center" wrapText="1"/>
    </xf>
    <xf numFmtId="1" fontId="9" fillId="12" borderId="226" xfId="0" applyNumberFormat="1" applyFont="1" applyFill="1" applyBorder="1" applyAlignment="1">
      <alignment horizontal="center" vertical="center" wrapText="1"/>
    </xf>
    <xf numFmtId="2" fontId="9" fillId="12" borderId="165" xfId="0" applyNumberFormat="1" applyFont="1" applyFill="1" applyBorder="1" applyAlignment="1">
      <alignment horizontal="center" vertical="center" wrapText="1"/>
    </xf>
    <xf numFmtId="10" fontId="9" fillId="12" borderId="105" xfId="1" applyNumberFormat="1" applyFont="1" applyFill="1" applyBorder="1" applyAlignment="1">
      <alignment horizontal="center" vertical="center" wrapText="1"/>
    </xf>
    <xf numFmtId="10" fontId="9" fillId="12" borderId="164" xfId="0" applyNumberFormat="1" applyFont="1" applyFill="1" applyBorder="1" applyAlignment="1">
      <alignment horizontal="center" vertical="center" wrapText="1"/>
    </xf>
    <xf numFmtId="2" fontId="9" fillId="12" borderId="226" xfId="0" applyNumberFormat="1" applyFont="1" applyFill="1" applyBorder="1" applyAlignment="1">
      <alignment horizontal="center" vertical="center" wrapText="1"/>
    </xf>
    <xf numFmtId="0" fontId="9" fillId="12" borderId="164" xfId="0" applyFont="1" applyFill="1" applyBorder="1" applyAlignment="1">
      <alignment horizontal="center" vertical="center" wrapText="1"/>
    </xf>
    <xf numFmtId="0" fontId="1" fillId="15" borderId="47" xfId="0" applyFont="1" applyFill="1" applyBorder="1"/>
    <xf numFmtId="0" fontId="1" fillId="15" borderId="51" xfId="0" applyFont="1" applyFill="1" applyBorder="1"/>
    <xf numFmtId="0" fontId="1" fillId="15" borderId="53" xfId="0" applyFont="1" applyFill="1" applyBorder="1"/>
    <xf numFmtId="0" fontId="9" fillId="13" borderId="98" xfId="0" applyFont="1" applyFill="1" applyBorder="1" applyAlignment="1">
      <alignment horizontal="center" vertical="center" wrapText="1"/>
    </xf>
    <xf numFmtId="0" fontId="9" fillId="13" borderId="51" xfId="0" applyFont="1" applyFill="1" applyBorder="1" applyAlignment="1">
      <alignment horizontal="center" vertical="center" wrapText="1"/>
    </xf>
    <xf numFmtId="0" fontId="8" fillId="13" borderId="9" xfId="0" applyFont="1" applyFill="1" applyBorder="1" applyAlignment="1">
      <alignment horizontal="center" vertical="center"/>
    </xf>
    <xf numFmtId="0" fontId="15" fillId="0" borderId="0" xfId="0" applyFont="1"/>
    <xf numFmtId="0" fontId="69" fillId="0" borderId="0" xfId="0" applyFont="1"/>
    <xf numFmtId="0" fontId="1" fillId="0" borderId="119" xfId="0" applyFont="1" applyBorder="1"/>
    <xf numFmtId="0" fontId="1" fillId="0" borderId="120" xfId="0" applyFont="1" applyBorder="1"/>
    <xf numFmtId="0" fontId="1" fillId="15" borderId="0" xfId="0" applyFont="1" applyFill="1"/>
    <xf numFmtId="0" fontId="1" fillId="15" borderId="57" xfId="0" applyFont="1" applyFill="1" applyBorder="1"/>
    <xf numFmtId="0" fontId="9" fillId="13" borderId="57" xfId="0" applyFont="1" applyFill="1" applyBorder="1" applyAlignment="1">
      <alignment horizontal="center" vertical="center" wrapText="1"/>
    </xf>
    <xf numFmtId="0" fontId="1" fillId="12" borderId="0" xfId="0" applyFont="1" applyFill="1" applyAlignment="1">
      <alignment horizontal="center" vertical="center"/>
    </xf>
    <xf numFmtId="0" fontId="1" fillId="12" borderId="0" xfId="0" applyFont="1" applyFill="1"/>
    <xf numFmtId="0" fontId="1" fillId="15" borderId="115" xfId="0" applyFont="1" applyFill="1" applyBorder="1"/>
    <xf numFmtId="0" fontId="1" fillId="15" borderId="108" xfId="0" applyFont="1" applyFill="1" applyBorder="1"/>
    <xf numFmtId="0" fontId="1" fillId="15" borderId="52" xfId="0" applyFont="1" applyFill="1" applyBorder="1"/>
    <xf numFmtId="0" fontId="1" fillId="15" borderId="111" xfId="0" applyFont="1" applyFill="1" applyBorder="1"/>
    <xf numFmtId="0" fontId="1" fillId="12" borderId="115" xfId="0" applyFont="1" applyFill="1" applyBorder="1"/>
    <xf numFmtId="0" fontId="1" fillId="12" borderId="52" xfId="0" applyFont="1" applyFill="1" applyBorder="1"/>
    <xf numFmtId="0" fontId="9" fillId="12" borderId="98" xfId="0" applyFont="1" applyFill="1" applyBorder="1" applyAlignment="1">
      <alignment horizontal="center" vertical="center" wrapText="1"/>
    </xf>
    <xf numFmtId="0" fontId="9" fillId="13" borderId="53" xfId="0" applyFont="1" applyFill="1" applyBorder="1" applyAlignment="1">
      <alignment horizontal="center" vertical="center" wrapText="1"/>
    </xf>
    <xf numFmtId="0" fontId="9" fillId="12" borderId="156" xfId="0" applyFont="1" applyFill="1" applyBorder="1" applyAlignment="1">
      <alignment horizontal="center" vertical="center" wrapText="1"/>
    </xf>
    <xf numFmtId="0" fontId="9" fillId="12" borderId="105" xfId="0" applyFont="1" applyFill="1" applyBorder="1" applyAlignment="1">
      <alignment horizontal="center" vertical="center" wrapText="1"/>
    </xf>
    <xf numFmtId="2" fontId="9" fillId="12" borderId="164" xfId="0" applyNumberFormat="1" applyFont="1" applyFill="1" applyBorder="1" applyAlignment="1">
      <alignment horizontal="center" vertical="center" wrapText="1"/>
    </xf>
    <xf numFmtId="0" fontId="9" fillId="12" borderId="231" xfId="0" applyFont="1" applyFill="1" applyBorder="1" applyAlignment="1">
      <alignment horizontal="center" vertical="center" wrapText="1"/>
    </xf>
    <xf numFmtId="2" fontId="9" fillId="12" borderId="98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77" xfId="0" applyFont="1" applyBorder="1" applyAlignment="1">
      <alignment horizontal="center" vertical="center" wrapText="1"/>
    </xf>
    <xf numFmtId="0" fontId="1" fillId="0" borderId="87" xfId="0" applyFont="1" applyBorder="1" applyAlignment="1">
      <alignment horizontal="center" vertical="center" wrapText="1"/>
    </xf>
    <xf numFmtId="0" fontId="1" fillId="12" borderId="27" xfId="0" applyFont="1" applyFill="1" applyBorder="1"/>
    <xf numFmtId="0" fontId="1" fillId="12" borderId="88" xfId="0" applyFont="1" applyFill="1" applyBorder="1"/>
    <xf numFmtId="0" fontId="1" fillId="12" borderId="129" xfId="0" applyFont="1" applyFill="1" applyBorder="1" applyAlignment="1">
      <alignment horizontal="center" vertical="center"/>
    </xf>
    <xf numFmtId="0" fontId="1" fillId="12" borderId="117" xfId="0" applyFont="1" applyFill="1" applyBorder="1" applyAlignment="1">
      <alignment horizontal="center" vertical="center" wrapText="1"/>
    </xf>
    <xf numFmtId="0" fontId="1" fillId="12" borderId="147" xfId="0" applyFont="1" applyFill="1" applyBorder="1" applyAlignment="1">
      <alignment horizontal="center" vertical="center" wrapText="1"/>
    </xf>
    <xf numFmtId="2" fontId="8" fillId="16" borderId="47" xfId="0" applyNumberFormat="1" applyFont="1" applyFill="1" applyBorder="1" applyAlignment="1">
      <alignment horizontal="center" vertical="center" wrapText="1"/>
    </xf>
    <xf numFmtId="0" fontId="8" fillId="16" borderId="47" xfId="0" applyFont="1" applyFill="1" applyBorder="1" applyAlignment="1">
      <alignment horizontal="center" vertical="center" wrapText="1"/>
    </xf>
    <xf numFmtId="0" fontId="9" fillId="16" borderId="47" xfId="0" applyFont="1" applyFill="1" applyBorder="1" applyAlignment="1">
      <alignment horizontal="center" vertical="center" wrapText="1"/>
    </xf>
    <xf numFmtId="1" fontId="8" fillId="16" borderId="47" xfId="0" applyNumberFormat="1" applyFont="1" applyFill="1" applyBorder="1" applyAlignment="1">
      <alignment horizontal="center" vertical="center" wrapText="1"/>
    </xf>
    <xf numFmtId="0" fontId="8" fillId="16" borderId="51" xfId="0" applyFont="1" applyFill="1" applyBorder="1" applyAlignment="1">
      <alignment horizontal="center" vertical="center" wrapText="1"/>
    </xf>
    <xf numFmtId="0" fontId="1" fillId="16" borderId="51" xfId="0" applyFont="1" applyFill="1" applyBorder="1" applyAlignment="1">
      <alignment horizontal="center" vertical="center" wrapText="1"/>
    </xf>
    <xf numFmtId="1" fontId="8" fillId="16" borderId="51" xfId="0" applyNumberFormat="1" applyFont="1" applyFill="1" applyBorder="1" applyAlignment="1">
      <alignment horizontal="center" vertical="center" wrapText="1"/>
    </xf>
    <xf numFmtId="2" fontId="8" fillId="16" borderId="51" xfId="0" applyNumberFormat="1" applyFont="1" applyFill="1" applyBorder="1" applyAlignment="1">
      <alignment horizontal="center" vertical="center" wrapText="1"/>
    </xf>
    <xf numFmtId="0" fontId="9" fillId="16" borderId="51" xfId="0" applyFont="1" applyFill="1" applyBorder="1" applyAlignment="1">
      <alignment horizontal="center" vertical="center" wrapText="1"/>
    </xf>
    <xf numFmtId="168" fontId="8" fillId="16" borderId="51" xfId="0" applyNumberFormat="1" applyFont="1" applyFill="1" applyBorder="1" applyAlignment="1">
      <alignment horizontal="center" vertical="center" wrapText="1"/>
    </xf>
    <xf numFmtId="0" fontId="1" fillId="16" borderId="53" xfId="0" applyFont="1" applyFill="1" applyBorder="1" applyAlignment="1">
      <alignment horizontal="center" vertical="center" wrapText="1"/>
    </xf>
    <xf numFmtId="10" fontId="8" fillId="16" borderId="47" xfId="1" applyNumberFormat="1" applyFont="1" applyFill="1" applyBorder="1" applyAlignment="1">
      <alignment horizontal="center" vertical="center" wrapText="1"/>
    </xf>
    <xf numFmtId="10" fontId="8" fillId="16" borderId="51" xfId="1" applyNumberFormat="1" applyFont="1" applyFill="1" applyBorder="1" applyAlignment="1">
      <alignment horizontal="center" vertical="center" wrapText="1"/>
    </xf>
    <xf numFmtId="0" fontId="36" fillId="16" borderId="51" xfId="0" applyFont="1" applyFill="1" applyBorder="1" applyAlignment="1">
      <alignment horizontal="center" vertical="center" wrapText="1"/>
    </xf>
    <xf numFmtId="0" fontId="31" fillId="16" borderId="51" xfId="0" applyFont="1" applyFill="1" applyBorder="1" applyAlignment="1">
      <alignment horizontal="center" vertical="center" wrapText="1"/>
    </xf>
    <xf numFmtId="0" fontId="31" fillId="16" borderId="51" xfId="0" applyFont="1" applyFill="1" applyBorder="1" applyAlignment="1">
      <alignment horizontal="center" wrapText="1"/>
    </xf>
    <xf numFmtId="0" fontId="31" fillId="16" borderId="162" xfId="0" applyFont="1" applyFill="1" applyBorder="1" applyAlignment="1">
      <alignment horizontal="center" vertical="center" wrapText="1"/>
    </xf>
    <xf numFmtId="0" fontId="1" fillId="16" borderId="281" xfId="0" applyFont="1" applyFill="1" applyBorder="1" applyAlignment="1">
      <alignment horizontal="center" vertical="center"/>
    </xf>
    <xf numFmtId="0" fontId="1" fillId="16" borderId="277" xfId="0" applyFont="1" applyFill="1" applyBorder="1" applyAlignment="1">
      <alignment horizontal="center" vertical="center"/>
    </xf>
    <xf numFmtId="0" fontId="1" fillId="16" borderId="282" xfId="0" applyFont="1" applyFill="1" applyBorder="1" applyAlignment="1">
      <alignment horizontal="center" vertical="center"/>
    </xf>
    <xf numFmtId="0" fontId="1" fillId="16" borderId="103" xfId="0" applyFont="1" applyFill="1" applyBorder="1" applyAlignment="1">
      <alignment horizontal="center" vertical="center"/>
    </xf>
    <xf numFmtId="0" fontId="1" fillId="16" borderId="129" xfId="0" applyFont="1" applyFill="1" applyBorder="1" applyAlignment="1">
      <alignment horizontal="center" vertical="center"/>
    </xf>
    <xf numFmtId="0" fontId="1" fillId="16" borderId="51" xfId="0" applyFont="1" applyFill="1" applyBorder="1" applyAlignment="1">
      <alignment horizontal="center" vertical="center"/>
    </xf>
    <xf numFmtId="0" fontId="1" fillId="16" borderId="52" xfId="0" applyFont="1" applyFill="1" applyBorder="1" applyAlignment="1">
      <alignment horizontal="center" vertical="center"/>
    </xf>
    <xf numFmtId="0" fontId="1" fillId="16" borderId="117" xfId="0" applyFont="1" applyFill="1" applyBorder="1" applyAlignment="1">
      <alignment horizontal="center" vertical="center"/>
    </xf>
    <xf numFmtId="0" fontId="1" fillId="16" borderId="117" xfId="0" applyFont="1" applyFill="1" applyBorder="1" applyAlignment="1">
      <alignment horizontal="center" vertical="center" wrapText="1"/>
    </xf>
    <xf numFmtId="0" fontId="1" fillId="16" borderId="147" xfId="0" applyFont="1" applyFill="1" applyBorder="1" applyAlignment="1">
      <alignment horizontal="center" vertical="center" wrapText="1"/>
    </xf>
    <xf numFmtId="0" fontId="1" fillId="16" borderId="103" xfId="0" applyFont="1" applyFill="1" applyBorder="1" applyAlignment="1">
      <alignment horizontal="center" vertical="center" wrapText="1"/>
    </xf>
    <xf numFmtId="0" fontId="1" fillId="16" borderId="146" xfId="0" applyFont="1" applyFill="1" applyBorder="1" applyAlignment="1">
      <alignment horizontal="center" vertical="center" wrapText="1"/>
    </xf>
    <xf numFmtId="0" fontId="9" fillId="13" borderId="47" xfId="0" applyFont="1" applyFill="1" applyBorder="1" applyAlignment="1">
      <alignment horizontal="center" vertical="center" wrapText="1"/>
    </xf>
    <xf numFmtId="0" fontId="1" fillId="11" borderId="139" xfId="0" applyFont="1" applyFill="1" applyBorder="1" applyAlignment="1">
      <alignment horizontal="center" vertical="center"/>
    </xf>
    <xf numFmtId="0" fontId="72" fillId="0" borderId="0" xfId="0" applyFont="1" applyAlignment="1">
      <alignment horizontal="center" vertical="center"/>
    </xf>
    <xf numFmtId="0" fontId="9" fillId="13" borderId="54" xfId="0" applyFont="1" applyFill="1" applyBorder="1" applyAlignment="1">
      <alignment horizontal="center" vertical="center" wrapText="1"/>
    </xf>
    <xf numFmtId="0" fontId="0" fillId="0" borderId="229" xfId="0" applyBorder="1"/>
    <xf numFmtId="0" fontId="0" fillId="0" borderId="230" xfId="0" applyBorder="1"/>
    <xf numFmtId="0" fontId="0" fillId="0" borderId="134" xfId="0" applyBorder="1"/>
    <xf numFmtId="0" fontId="0" fillId="0" borderId="51" xfId="0" applyBorder="1"/>
    <xf numFmtId="0" fontId="0" fillId="0" borderId="134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9" xfId="0" applyBorder="1" applyAlignment="1">
      <alignment horizontal="center"/>
    </xf>
    <xf numFmtId="0" fontId="0" fillId="0" borderId="170" xfId="0" applyBorder="1" applyAlignment="1">
      <alignment horizontal="center"/>
    </xf>
    <xf numFmtId="0" fontId="75" fillId="12" borderId="229" xfId="3" applyFont="1" applyFill="1" applyBorder="1" applyAlignment="1">
      <alignment horizontal="center" vertical="center"/>
    </xf>
    <xf numFmtId="0" fontId="75" fillId="12" borderId="134" xfId="3" applyFont="1" applyFill="1" applyBorder="1" applyAlignment="1">
      <alignment horizontal="center" vertical="center"/>
    </xf>
    <xf numFmtId="0" fontId="75" fillId="12" borderId="230" xfId="3" applyFont="1" applyFill="1" applyBorder="1" applyAlignment="1">
      <alignment horizontal="center" vertical="center"/>
    </xf>
    <xf numFmtId="0" fontId="75" fillId="12" borderId="51" xfId="3" applyFont="1" applyFill="1" applyBorder="1" applyAlignment="1">
      <alignment horizontal="center" vertical="center"/>
    </xf>
    <xf numFmtId="0" fontId="75" fillId="12" borderId="139" xfId="3" applyFont="1" applyFill="1" applyBorder="1" applyAlignment="1">
      <alignment horizontal="center" vertical="center"/>
    </xf>
    <xf numFmtId="4" fontId="9" fillId="0" borderId="270" xfId="0" applyNumberFormat="1" applyFont="1" applyBorder="1" applyAlignment="1">
      <alignment horizontal="left" vertical="center" indent="1"/>
    </xf>
    <xf numFmtId="1" fontId="8" fillId="0" borderId="139" xfId="0" applyNumberFormat="1" applyFont="1" applyBorder="1" applyAlignment="1">
      <alignment horizontal="center" vertical="center"/>
    </xf>
    <xf numFmtId="2" fontId="1" fillId="0" borderId="140" xfId="0" applyNumberFormat="1" applyFont="1" applyBorder="1" applyAlignment="1">
      <alignment horizontal="center" vertical="center"/>
    </xf>
    <xf numFmtId="0" fontId="1" fillId="0" borderId="228" xfId="0" applyFont="1" applyBorder="1" applyAlignment="1">
      <alignment horizontal="center" vertical="center"/>
    </xf>
    <xf numFmtId="11" fontId="1" fillId="11" borderId="139" xfId="0" applyNumberFormat="1" applyFont="1" applyFill="1" applyBorder="1" applyAlignment="1">
      <alignment horizontal="center" vertical="center"/>
    </xf>
    <xf numFmtId="0" fontId="1" fillId="11" borderId="140" xfId="0" applyFont="1" applyFill="1" applyBorder="1" applyAlignment="1">
      <alignment horizontal="center" vertical="center"/>
    </xf>
    <xf numFmtId="0" fontId="0" fillId="0" borderId="228" xfId="0" applyBorder="1"/>
    <xf numFmtId="0" fontId="0" fillId="0" borderId="139" xfId="0" applyBorder="1"/>
    <xf numFmtId="0" fontId="0" fillId="0" borderId="139" xfId="0" applyBorder="1" applyAlignment="1">
      <alignment horizontal="center"/>
    </xf>
    <xf numFmtId="0" fontId="0" fillId="0" borderId="167" xfId="0" applyBorder="1" applyAlignment="1">
      <alignment horizontal="center"/>
    </xf>
    <xf numFmtId="2" fontId="1" fillId="11" borderId="284" xfId="0" applyNumberFormat="1" applyFont="1" applyFill="1" applyBorder="1" applyAlignment="1">
      <alignment horizontal="center" vertical="center"/>
    </xf>
    <xf numFmtId="167" fontId="1" fillId="11" borderId="140" xfId="0" applyNumberFormat="1" applyFont="1" applyFill="1" applyBorder="1" applyAlignment="1">
      <alignment horizontal="center" vertical="center"/>
    </xf>
    <xf numFmtId="0" fontId="75" fillId="12" borderId="228" xfId="3" applyFont="1" applyFill="1" applyBorder="1" applyAlignment="1">
      <alignment horizontal="center" vertical="center"/>
    </xf>
    <xf numFmtId="10" fontId="1" fillId="11" borderId="139" xfId="0" applyNumberFormat="1" applyFont="1" applyFill="1" applyBorder="1" applyAlignment="1">
      <alignment horizontal="center" vertical="center"/>
    </xf>
    <xf numFmtId="0" fontId="1" fillId="11" borderId="167" xfId="0" applyFont="1" applyFill="1" applyBorder="1" applyAlignment="1">
      <alignment horizontal="center" vertical="center"/>
    </xf>
    <xf numFmtId="0" fontId="6" fillId="11" borderId="14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1" fontId="2" fillId="12" borderId="0" xfId="0" applyNumberFormat="1" applyFont="1" applyFill="1"/>
    <xf numFmtId="1" fontId="2" fillId="14" borderId="0" xfId="0" applyNumberFormat="1" applyFont="1" applyFill="1"/>
    <xf numFmtId="1" fontId="2" fillId="0" borderId="0" xfId="0" applyNumberFormat="1" applyFont="1"/>
    <xf numFmtId="0" fontId="1" fillId="12" borderId="268" xfId="0" applyFont="1" applyFill="1" applyBorder="1" applyAlignment="1">
      <alignment horizontal="center" vertical="center"/>
    </xf>
    <xf numFmtId="0" fontId="1" fillId="12" borderId="57" xfId="0" applyFont="1" applyFill="1" applyBorder="1" applyAlignment="1">
      <alignment horizontal="center" vertical="center"/>
    </xf>
    <xf numFmtId="0" fontId="1" fillId="16" borderId="57" xfId="0" applyFont="1" applyFill="1" applyBorder="1" applyAlignment="1">
      <alignment horizontal="center" vertical="center"/>
    </xf>
    <xf numFmtId="0" fontId="1" fillId="16" borderId="108" xfId="0" applyFont="1" applyFill="1" applyBorder="1" applyAlignment="1">
      <alignment horizontal="center" vertical="center"/>
    </xf>
    <xf numFmtId="0" fontId="1" fillId="16" borderId="285" xfId="0" applyFont="1" applyFill="1" applyBorder="1" applyAlignment="1">
      <alignment horizontal="center" vertical="center"/>
    </xf>
    <xf numFmtId="0" fontId="1" fillId="16" borderId="285" xfId="0" applyFont="1" applyFill="1" applyBorder="1" applyAlignment="1">
      <alignment horizontal="center" vertical="center" wrapText="1"/>
    </xf>
    <xf numFmtId="0" fontId="1" fillId="12" borderId="285" xfId="0" applyFont="1" applyFill="1" applyBorder="1" applyAlignment="1">
      <alignment horizontal="center" vertical="center" wrapText="1"/>
    </xf>
    <xf numFmtId="0" fontId="1" fillId="12" borderId="286" xfId="0" applyFont="1" applyFill="1" applyBorder="1" applyAlignment="1">
      <alignment horizontal="center" vertical="center" wrapText="1"/>
    </xf>
    <xf numFmtId="0" fontId="1" fillId="12" borderId="85" xfId="0" applyFont="1" applyFill="1" applyBorder="1" applyAlignment="1">
      <alignment horizontal="center" vertical="center"/>
    </xf>
    <xf numFmtId="0" fontId="1" fillId="16" borderId="128" xfId="0" applyFont="1" applyFill="1" applyBorder="1" applyAlignment="1">
      <alignment horizontal="center" vertical="center"/>
    </xf>
    <xf numFmtId="0" fontId="1" fillId="16" borderId="53" xfId="0" applyFont="1" applyFill="1" applyBorder="1" applyAlignment="1">
      <alignment horizontal="center" vertical="center"/>
    </xf>
    <xf numFmtId="0" fontId="1" fillId="16" borderId="111" xfId="0" applyFont="1" applyFill="1" applyBorder="1" applyAlignment="1">
      <alignment horizontal="center" vertical="center"/>
    </xf>
    <xf numFmtId="0" fontId="1" fillId="16" borderId="104" xfId="0" applyFont="1" applyFill="1" applyBorder="1" applyAlignment="1">
      <alignment horizontal="center" vertical="center"/>
    </xf>
    <xf numFmtId="0" fontId="1" fillId="12" borderId="46" xfId="0" applyFont="1" applyFill="1" applyBorder="1"/>
    <xf numFmtId="0" fontId="1" fillId="16" borderId="104" xfId="0" applyFont="1" applyFill="1" applyBorder="1" applyAlignment="1">
      <alignment horizontal="center" vertical="center" wrapText="1"/>
    </xf>
    <xf numFmtId="0" fontId="1" fillId="16" borderId="287" xfId="0" applyFont="1" applyFill="1" applyBorder="1" applyAlignment="1">
      <alignment horizontal="center" vertical="center" wrapText="1"/>
    </xf>
    <xf numFmtId="0" fontId="0" fillId="0" borderId="85" xfId="0" applyBorder="1"/>
    <xf numFmtId="0" fontId="1" fillId="12" borderId="128" xfId="0" applyFont="1" applyFill="1" applyBorder="1" applyAlignment="1">
      <alignment horizontal="center" vertical="center"/>
    </xf>
    <xf numFmtId="0" fontId="1" fillId="12" borderId="53" xfId="0" applyFont="1" applyFill="1" applyBorder="1" applyAlignment="1">
      <alignment horizontal="center" vertical="center"/>
    </xf>
    <xf numFmtId="0" fontId="1" fillId="12" borderId="104" xfId="0" applyFont="1" applyFill="1" applyBorder="1" applyAlignment="1">
      <alignment horizontal="center" vertical="center" wrapText="1"/>
    </xf>
    <xf numFmtId="0" fontId="1" fillId="12" borderId="287" xfId="0" applyFont="1" applyFill="1" applyBorder="1" applyAlignment="1">
      <alignment horizontal="center" vertical="center" wrapText="1"/>
    </xf>
    <xf numFmtId="0" fontId="1" fillId="0" borderId="85" xfId="0" applyFont="1" applyBorder="1"/>
    <xf numFmtId="0" fontId="1" fillId="15" borderId="85" xfId="0" applyFont="1" applyFill="1" applyBorder="1"/>
    <xf numFmtId="0" fontId="8" fillId="18" borderId="57" xfId="0" applyFont="1" applyFill="1" applyBorder="1" applyAlignment="1">
      <alignment horizontal="center" vertical="center" wrapText="1"/>
    </xf>
    <xf numFmtId="0" fontId="1" fillId="18" borderId="57" xfId="0" applyFont="1" applyFill="1" applyBorder="1" applyAlignment="1">
      <alignment horizontal="center" vertical="center" wrapText="1"/>
    </xf>
    <xf numFmtId="0" fontId="9" fillId="18" borderId="57" xfId="0" applyFont="1" applyFill="1" applyBorder="1" applyAlignment="1">
      <alignment horizontal="center" vertical="center" wrapText="1"/>
    </xf>
    <xf numFmtId="2" fontId="8" fillId="18" borderId="57" xfId="0" applyNumberFormat="1" applyFont="1" applyFill="1" applyBorder="1" applyAlignment="1">
      <alignment horizontal="center" vertical="center" wrapText="1"/>
    </xf>
    <xf numFmtId="10" fontId="8" fillId="18" borderId="57" xfId="1" applyNumberFormat="1" applyFont="1" applyFill="1" applyBorder="1" applyAlignment="1">
      <alignment horizontal="center" vertical="center" wrapText="1"/>
    </xf>
    <xf numFmtId="0" fontId="31" fillId="18" borderId="57" xfId="0" applyFont="1" applyFill="1" applyBorder="1" applyAlignment="1">
      <alignment horizontal="center" vertical="center" wrapText="1"/>
    </xf>
    <xf numFmtId="0" fontId="31" fillId="18" borderId="269" xfId="0" applyFont="1" applyFill="1" applyBorder="1" applyAlignment="1">
      <alignment horizontal="center" vertical="center" wrapText="1"/>
    </xf>
    <xf numFmtId="0" fontId="8" fillId="18" borderId="51" xfId="0" applyFont="1" applyFill="1" applyBorder="1" applyAlignment="1">
      <alignment horizontal="center" vertical="center" wrapText="1"/>
    </xf>
    <xf numFmtId="0" fontId="9" fillId="18" borderId="51" xfId="0" applyFont="1" applyFill="1" applyBorder="1" applyAlignment="1">
      <alignment horizontal="center" vertical="center" wrapText="1"/>
    </xf>
    <xf numFmtId="2" fontId="8" fillId="18" borderId="51" xfId="0" applyNumberFormat="1" applyFont="1" applyFill="1" applyBorder="1" applyAlignment="1">
      <alignment horizontal="center" vertical="center" wrapText="1"/>
    </xf>
    <xf numFmtId="10" fontId="8" fillId="18" borderId="51" xfId="1" applyNumberFormat="1" applyFont="1" applyFill="1" applyBorder="1" applyAlignment="1">
      <alignment horizontal="center" vertical="center" wrapText="1"/>
    </xf>
    <xf numFmtId="0" fontId="36" fillId="18" borderId="51" xfId="0" applyFont="1" applyFill="1" applyBorder="1" applyAlignment="1">
      <alignment horizontal="center" vertical="center" wrapText="1"/>
    </xf>
    <xf numFmtId="0" fontId="31" fillId="18" borderId="51" xfId="0" applyFont="1" applyFill="1" applyBorder="1" applyAlignment="1">
      <alignment horizontal="center" vertical="center" wrapText="1"/>
    </xf>
    <xf numFmtId="0" fontId="31" fillId="18" borderId="162" xfId="0" applyFont="1" applyFill="1" applyBorder="1" applyAlignment="1">
      <alignment horizontal="center" vertical="center" wrapText="1"/>
    </xf>
    <xf numFmtId="0" fontId="8" fillId="18" borderId="47" xfId="0" applyFont="1" applyFill="1" applyBorder="1" applyAlignment="1">
      <alignment horizontal="center" vertical="center" wrapText="1"/>
    </xf>
    <xf numFmtId="0" fontId="1" fillId="18" borderId="47" xfId="0" applyFont="1" applyFill="1" applyBorder="1" applyAlignment="1">
      <alignment horizontal="center" vertical="center" wrapText="1"/>
    </xf>
    <xf numFmtId="0" fontId="9" fillId="18" borderId="47" xfId="0" applyFont="1" applyFill="1" applyBorder="1" applyAlignment="1">
      <alignment horizontal="center" vertical="center" wrapText="1"/>
    </xf>
    <xf numFmtId="1" fontId="9" fillId="18" borderId="47" xfId="0" applyNumberFormat="1" applyFont="1" applyFill="1" applyBorder="1" applyAlignment="1">
      <alignment horizontal="center" vertical="center" wrapText="1"/>
    </xf>
    <xf numFmtId="1" fontId="8" fillId="18" borderId="47" xfId="0" applyNumberFormat="1" applyFont="1" applyFill="1" applyBorder="1" applyAlignment="1">
      <alignment horizontal="center" vertical="center" wrapText="1"/>
    </xf>
    <xf numFmtId="1" fontId="9" fillId="18" borderId="51" xfId="0" applyNumberFormat="1" applyFont="1" applyFill="1" applyBorder="1" applyAlignment="1">
      <alignment horizontal="center" vertical="center" wrapText="1"/>
    </xf>
    <xf numFmtId="1" fontId="8" fillId="18" borderId="57" xfId="0" applyNumberFormat="1" applyFont="1" applyFill="1" applyBorder="1" applyAlignment="1">
      <alignment horizontal="center" vertical="center" wrapText="1"/>
    </xf>
    <xf numFmtId="1" fontId="8" fillId="18" borderId="51" xfId="0" applyNumberFormat="1" applyFont="1" applyFill="1" applyBorder="1" applyAlignment="1">
      <alignment horizontal="center" vertical="center" wrapText="1"/>
    </xf>
    <xf numFmtId="1" fontId="9" fillId="18" borderId="57" xfId="0" applyNumberFormat="1" applyFont="1" applyFill="1" applyBorder="1" applyAlignment="1">
      <alignment horizontal="center" vertical="center" wrapText="1"/>
    </xf>
    <xf numFmtId="0" fontId="1" fillId="18" borderId="51" xfId="0" applyFont="1" applyFill="1" applyBorder="1" applyAlignment="1">
      <alignment horizontal="center"/>
    </xf>
    <xf numFmtId="0" fontId="8" fillId="19" borderId="51" xfId="0" applyFont="1" applyFill="1" applyBorder="1" applyAlignment="1">
      <alignment horizontal="center" vertical="center" wrapText="1"/>
    </xf>
    <xf numFmtId="0" fontId="9" fillId="19" borderId="51" xfId="0" applyFont="1" applyFill="1" applyBorder="1" applyAlignment="1">
      <alignment horizontal="center" vertical="center" wrapText="1"/>
    </xf>
    <xf numFmtId="2" fontId="8" fillId="19" borderId="51" xfId="0" applyNumberFormat="1" applyFont="1" applyFill="1" applyBorder="1" applyAlignment="1">
      <alignment horizontal="center" vertical="center" wrapText="1"/>
    </xf>
    <xf numFmtId="10" fontId="8" fillId="19" borderId="51" xfId="1" applyNumberFormat="1" applyFont="1" applyFill="1" applyBorder="1" applyAlignment="1">
      <alignment horizontal="center" vertical="center" wrapText="1"/>
    </xf>
    <xf numFmtId="0" fontId="36" fillId="19" borderId="51" xfId="0" applyFont="1" applyFill="1" applyBorder="1" applyAlignment="1">
      <alignment horizontal="center" vertical="center" wrapText="1"/>
    </xf>
    <xf numFmtId="0" fontId="31" fillId="19" borderId="51" xfId="0" applyFont="1" applyFill="1" applyBorder="1" applyAlignment="1">
      <alignment horizontal="center" vertical="center" wrapText="1"/>
    </xf>
    <xf numFmtId="0" fontId="31" fillId="19" borderId="162" xfId="0" applyFont="1" applyFill="1" applyBorder="1" applyAlignment="1">
      <alignment horizontal="center" vertical="center" wrapText="1"/>
    </xf>
    <xf numFmtId="0" fontId="8" fillId="19" borderId="53" xfId="0" applyFont="1" applyFill="1" applyBorder="1" applyAlignment="1">
      <alignment horizontal="center" vertical="center" wrapText="1"/>
    </xf>
    <xf numFmtId="2" fontId="8" fillId="19" borderId="53" xfId="0" applyNumberFormat="1" applyFont="1" applyFill="1" applyBorder="1" applyAlignment="1">
      <alignment horizontal="center" vertical="center" wrapText="1"/>
    </xf>
    <xf numFmtId="0" fontId="36" fillId="19" borderId="53" xfId="0" applyFont="1" applyFill="1" applyBorder="1" applyAlignment="1">
      <alignment horizontal="center" vertical="center" wrapText="1"/>
    </xf>
    <xf numFmtId="0" fontId="31" fillId="19" borderId="53" xfId="0" applyFont="1" applyFill="1" applyBorder="1" applyAlignment="1">
      <alignment horizontal="center" vertical="center" wrapText="1"/>
    </xf>
    <xf numFmtId="1" fontId="9" fillId="19" borderId="51" xfId="0" applyNumberFormat="1" applyFont="1" applyFill="1" applyBorder="1" applyAlignment="1">
      <alignment horizontal="center" vertical="center" wrapText="1"/>
    </xf>
    <xf numFmtId="1" fontId="8" fillId="19" borderId="51" xfId="0" applyNumberFormat="1" applyFont="1" applyFill="1" applyBorder="1" applyAlignment="1">
      <alignment horizontal="center" vertical="center" wrapText="1"/>
    </xf>
    <xf numFmtId="0" fontId="8" fillId="20" borderId="51" xfId="0" applyFont="1" applyFill="1" applyBorder="1" applyAlignment="1">
      <alignment horizontal="center" vertical="center" wrapText="1"/>
    </xf>
    <xf numFmtId="0" fontId="1" fillId="20" borderId="51" xfId="0" applyFont="1" applyFill="1" applyBorder="1" applyAlignment="1">
      <alignment horizontal="center" vertical="center" wrapText="1"/>
    </xf>
    <xf numFmtId="0" fontId="9" fillId="20" borderId="51" xfId="0" applyFont="1" applyFill="1" applyBorder="1" applyAlignment="1">
      <alignment horizontal="center" vertical="center" wrapText="1"/>
    </xf>
    <xf numFmtId="1" fontId="9" fillId="20" borderId="51" xfId="0" applyNumberFormat="1" applyFont="1" applyFill="1" applyBorder="1" applyAlignment="1">
      <alignment horizontal="center" vertical="center" wrapText="1"/>
    </xf>
    <xf numFmtId="2" fontId="8" fillId="20" borderId="51" xfId="0" applyNumberFormat="1" applyFont="1" applyFill="1" applyBorder="1" applyAlignment="1">
      <alignment horizontal="center" vertical="center" wrapText="1"/>
    </xf>
    <xf numFmtId="10" fontId="8" fillId="20" borderId="51" xfId="1" applyNumberFormat="1" applyFont="1" applyFill="1" applyBorder="1" applyAlignment="1">
      <alignment horizontal="center" vertical="center" wrapText="1"/>
    </xf>
    <xf numFmtId="1" fontId="8" fillId="20" borderId="51" xfId="0" applyNumberFormat="1" applyFont="1" applyFill="1" applyBorder="1" applyAlignment="1">
      <alignment horizontal="center" vertical="center" wrapText="1"/>
    </xf>
    <xf numFmtId="0" fontId="31" fillId="20" borderId="51" xfId="0" applyFont="1" applyFill="1" applyBorder="1" applyAlignment="1">
      <alignment horizontal="center" vertical="center" wrapText="1"/>
    </xf>
    <xf numFmtId="0" fontId="8" fillId="21" borderId="51" xfId="0" applyFont="1" applyFill="1" applyBorder="1" applyAlignment="1">
      <alignment horizontal="center" vertical="center" wrapText="1"/>
    </xf>
    <xf numFmtId="0" fontId="1" fillId="21" borderId="51" xfId="0" applyFont="1" applyFill="1" applyBorder="1" applyAlignment="1">
      <alignment horizontal="center" vertical="center" wrapText="1"/>
    </xf>
    <xf numFmtId="0" fontId="9" fillId="21" borderId="51" xfId="0" applyFont="1" applyFill="1" applyBorder="1" applyAlignment="1">
      <alignment horizontal="center" vertical="center" wrapText="1"/>
    </xf>
    <xf numFmtId="1" fontId="9" fillId="21" borderId="51" xfId="0" applyNumberFormat="1" applyFont="1" applyFill="1" applyBorder="1" applyAlignment="1">
      <alignment horizontal="center" vertical="center" wrapText="1"/>
    </xf>
    <xf numFmtId="2" fontId="8" fillId="21" borderId="51" xfId="0" applyNumberFormat="1" applyFont="1" applyFill="1" applyBorder="1" applyAlignment="1">
      <alignment horizontal="center" vertical="center" wrapText="1"/>
    </xf>
    <xf numFmtId="10" fontId="8" fillId="21" borderId="51" xfId="1" applyNumberFormat="1" applyFont="1" applyFill="1" applyBorder="1" applyAlignment="1">
      <alignment horizontal="center" vertical="center" wrapText="1"/>
    </xf>
    <xf numFmtId="0" fontId="8" fillId="21" borderId="53" xfId="0" applyFont="1" applyFill="1" applyBorder="1" applyAlignment="1">
      <alignment horizontal="center" vertical="center" wrapText="1"/>
    </xf>
    <xf numFmtId="0" fontId="1" fillId="21" borderId="53" xfId="0" applyFont="1" applyFill="1" applyBorder="1" applyAlignment="1">
      <alignment horizontal="center" vertical="center" wrapText="1"/>
    </xf>
    <xf numFmtId="0" fontId="9" fillId="21" borderId="53" xfId="0" applyFont="1" applyFill="1" applyBorder="1" applyAlignment="1">
      <alignment horizontal="center" vertical="center" wrapText="1"/>
    </xf>
    <xf numFmtId="1" fontId="9" fillId="21" borderId="53" xfId="0" applyNumberFormat="1" applyFont="1" applyFill="1" applyBorder="1" applyAlignment="1">
      <alignment horizontal="center" vertical="center" wrapText="1"/>
    </xf>
    <xf numFmtId="2" fontId="8" fillId="21" borderId="53" xfId="0" applyNumberFormat="1" applyFont="1" applyFill="1" applyBorder="1" applyAlignment="1">
      <alignment horizontal="center" vertical="center" wrapText="1"/>
    </xf>
    <xf numFmtId="10" fontId="8" fillId="21" borderId="53" xfId="1" applyNumberFormat="1" applyFont="1" applyFill="1" applyBorder="1" applyAlignment="1">
      <alignment horizontal="center" vertical="center" wrapText="1"/>
    </xf>
    <xf numFmtId="0" fontId="31" fillId="21" borderId="53" xfId="0" applyFont="1" applyFill="1" applyBorder="1" applyAlignment="1">
      <alignment horizontal="center" vertical="center" wrapText="1"/>
    </xf>
    <xf numFmtId="0" fontId="31" fillId="21" borderId="55" xfId="0" applyFont="1" applyFill="1" applyBorder="1" applyAlignment="1">
      <alignment horizontal="center" vertical="center" wrapText="1"/>
    </xf>
    <xf numFmtId="1" fontId="8" fillId="21" borderId="51" xfId="0" applyNumberFormat="1" applyFont="1" applyFill="1" applyBorder="1" applyAlignment="1">
      <alignment horizontal="center" vertical="center" wrapText="1"/>
    </xf>
    <xf numFmtId="0" fontId="31" fillId="21" borderId="51" xfId="0" applyFont="1" applyFill="1" applyBorder="1" applyAlignment="1">
      <alignment horizontal="center" vertical="center" wrapText="1"/>
    </xf>
    <xf numFmtId="0" fontId="31" fillId="21" borderId="162" xfId="0" applyFont="1" applyFill="1" applyBorder="1" applyAlignment="1">
      <alignment horizontal="center" vertical="center" wrapText="1"/>
    </xf>
    <xf numFmtId="1" fontId="8" fillId="21" borderId="53" xfId="0" applyNumberFormat="1" applyFont="1" applyFill="1" applyBorder="1" applyAlignment="1">
      <alignment horizontal="center" vertical="center" wrapText="1"/>
    </xf>
    <xf numFmtId="1" fontId="9" fillId="13" borderId="47" xfId="0" applyNumberFormat="1" applyFont="1" applyFill="1" applyBorder="1" applyAlignment="1">
      <alignment horizontal="center" vertical="center" wrapText="1"/>
    </xf>
    <xf numFmtId="1" fontId="9" fillId="13" borderId="98" xfId="0" applyNumberFormat="1" applyFont="1" applyFill="1" applyBorder="1" applyAlignment="1">
      <alignment horizontal="center" vertical="center" wrapText="1"/>
    </xf>
    <xf numFmtId="1" fontId="9" fillId="13" borderId="51" xfId="0" applyNumberFormat="1" applyFont="1" applyFill="1" applyBorder="1" applyAlignment="1">
      <alignment horizontal="center" vertical="center" wrapText="1"/>
    </xf>
    <xf numFmtId="1" fontId="9" fillId="22" borderId="47" xfId="0" applyNumberFormat="1" applyFont="1" applyFill="1" applyBorder="1" applyAlignment="1">
      <alignment horizontal="center" vertical="center" wrapText="1"/>
    </xf>
    <xf numFmtId="1" fontId="9" fillId="22" borderId="51" xfId="0" applyNumberFormat="1" applyFont="1" applyFill="1" applyBorder="1" applyAlignment="1">
      <alignment horizontal="center" vertical="center" wrapText="1"/>
    </xf>
    <xf numFmtId="1" fontId="9" fillId="19" borderId="53" xfId="0" applyNumberFormat="1" applyFont="1" applyFill="1" applyBorder="1" applyAlignment="1">
      <alignment horizontal="center" vertical="center" wrapText="1"/>
    </xf>
    <xf numFmtId="1" fontId="8" fillId="19" borderId="53" xfId="0" applyNumberFormat="1" applyFont="1" applyFill="1" applyBorder="1" applyAlignment="1">
      <alignment horizontal="center" vertical="center" wrapText="1"/>
    </xf>
    <xf numFmtId="0" fontId="1" fillId="0" borderId="108" xfId="0" applyFont="1" applyBorder="1"/>
    <xf numFmtId="0" fontId="1" fillId="0" borderId="109" xfId="0" applyFont="1" applyBorder="1"/>
    <xf numFmtId="10" fontId="31" fillId="18" borderId="47" xfId="0" applyNumberFormat="1" applyFont="1" applyFill="1" applyBorder="1" applyAlignment="1">
      <alignment horizontal="center" vertical="center" wrapText="1"/>
    </xf>
    <xf numFmtId="0" fontId="31" fillId="18" borderId="47" xfId="0" applyFont="1" applyFill="1" applyBorder="1" applyAlignment="1">
      <alignment horizontal="center" vertical="center" wrapText="1"/>
    </xf>
    <xf numFmtId="166" fontId="8" fillId="18" borderId="47" xfId="0" applyNumberFormat="1" applyFont="1" applyFill="1" applyBorder="1" applyAlignment="1">
      <alignment horizontal="center" vertical="center" wrapText="1"/>
    </xf>
    <xf numFmtId="2" fontId="8" fillId="18" borderId="47" xfId="0" applyNumberFormat="1" applyFont="1" applyFill="1" applyBorder="1" applyAlignment="1">
      <alignment horizontal="center" vertical="center" wrapText="1"/>
    </xf>
    <xf numFmtId="10" fontId="8" fillId="18" borderId="47" xfId="1" applyNumberFormat="1" applyFont="1" applyFill="1" applyBorder="1" applyAlignment="1">
      <alignment horizontal="center" vertical="center" wrapText="1"/>
    </xf>
    <xf numFmtId="10" fontId="1" fillId="18" borderId="47" xfId="0" applyNumberFormat="1" applyFont="1" applyFill="1" applyBorder="1" applyAlignment="1">
      <alignment horizontal="center" vertical="center" wrapText="1"/>
    </xf>
    <xf numFmtId="0" fontId="36" fillId="18" borderId="47" xfId="0" applyFont="1" applyFill="1" applyBorder="1" applyAlignment="1">
      <alignment horizontal="center" vertical="center" wrapText="1"/>
    </xf>
    <xf numFmtId="0" fontId="1" fillId="12" borderId="47" xfId="0" applyFont="1" applyFill="1" applyBorder="1" applyAlignment="1">
      <alignment horizontal="center" vertical="center"/>
    </xf>
    <xf numFmtId="0" fontId="1" fillId="16" borderId="47" xfId="0" applyFont="1" applyFill="1" applyBorder="1" applyAlignment="1">
      <alignment horizontal="center" vertical="center"/>
    </xf>
    <xf numFmtId="0" fontId="1" fillId="16" borderId="47" xfId="0" applyFont="1" applyFill="1" applyBorder="1" applyAlignment="1">
      <alignment horizontal="center" vertical="center" wrapText="1"/>
    </xf>
    <xf numFmtId="0" fontId="1" fillId="0" borderId="47" xfId="0" applyFont="1" applyBorder="1"/>
    <xf numFmtId="0" fontId="1" fillId="18" borderId="51" xfId="0" applyFont="1" applyFill="1" applyBorder="1" applyAlignment="1">
      <alignment horizontal="center" vertical="center" wrapText="1"/>
    </xf>
    <xf numFmtId="10" fontId="31" fillId="18" borderId="51" xfId="0" applyNumberFormat="1" applyFont="1" applyFill="1" applyBorder="1" applyAlignment="1">
      <alignment horizontal="center" vertical="center" wrapText="1"/>
    </xf>
    <xf numFmtId="166" fontId="8" fillId="18" borderId="51" xfId="0" applyNumberFormat="1" applyFont="1" applyFill="1" applyBorder="1" applyAlignment="1">
      <alignment horizontal="center" vertical="center" wrapText="1"/>
    </xf>
    <xf numFmtId="10" fontId="1" fillId="18" borderId="51" xfId="0" applyNumberFormat="1" applyFont="1" applyFill="1" applyBorder="1" applyAlignment="1">
      <alignment horizontal="center" vertical="center" wrapText="1"/>
    </xf>
    <xf numFmtId="0" fontId="1" fillId="0" borderId="51" xfId="0" applyFont="1" applyBorder="1"/>
    <xf numFmtId="0" fontId="1" fillId="19" borderId="51" xfId="0" applyFont="1" applyFill="1" applyBorder="1" applyAlignment="1">
      <alignment horizontal="center" vertical="center" wrapText="1"/>
    </xf>
    <xf numFmtId="10" fontId="31" fillId="19" borderId="51" xfId="0" applyNumberFormat="1" applyFont="1" applyFill="1" applyBorder="1" applyAlignment="1">
      <alignment horizontal="center" vertical="center" wrapText="1"/>
    </xf>
    <xf numFmtId="166" fontId="8" fillId="19" borderId="51" xfId="0" applyNumberFormat="1" applyFont="1" applyFill="1" applyBorder="1" applyAlignment="1">
      <alignment horizontal="center" vertical="center" wrapText="1"/>
    </xf>
    <xf numFmtId="10" fontId="1" fillId="19" borderId="51" xfId="0" applyNumberFormat="1" applyFont="1" applyFill="1" applyBorder="1" applyAlignment="1">
      <alignment horizontal="center" vertical="center" wrapText="1"/>
    </xf>
    <xf numFmtId="10" fontId="31" fillId="21" borderId="51" xfId="0" applyNumberFormat="1" applyFont="1" applyFill="1" applyBorder="1" applyAlignment="1">
      <alignment horizontal="center" vertical="center" wrapText="1"/>
    </xf>
    <xf numFmtId="166" fontId="8" fillId="21" borderId="51" xfId="0" applyNumberFormat="1" applyFont="1" applyFill="1" applyBorder="1" applyAlignment="1">
      <alignment horizontal="center" vertical="center" wrapText="1"/>
    </xf>
    <xf numFmtId="10" fontId="1" fillId="21" borderId="51" xfId="0" applyNumberFormat="1" applyFont="1" applyFill="1" applyBorder="1" applyAlignment="1">
      <alignment horizontal="center" vertical="center" wrapText="1"/>
    </xf>
    <xf numFmtId="10" fontId="31" fillId="21" borderId="53" xfId="0" applyNumberFormat="1" applyFont="1" applyFill="1" applyBorder="1" applyAlignment="1">
      <alignment horizontal="center" vertical="center" wrapText="1"/>
    </xf>
    <xf numFmtId="166" fontId="8" fillId="21" borderId="53" xfId="0" applyNumberFormat="1" applyFont="1" applyFill="1" applyBorder="1" applyAlignment="1">
      <alignment horizontal="center" vertical="center" wrapText="1"/>
    </xf>
    <xf numFmtId="0" fontId="1" fillId="12" borderId="53" xfId="0" applyFont="1" applyFill="1" applyBorder="1"/>
    <xf numFmtId="0" fontId="1" fillId="0" borderId="53" xfId="0" applyFont="1" applyBorder="1"/>
    <xf numFmtId="0" fontId="1" fillId="0" borderId="111" xfId="0" applyFont="1" applyBorder="1"/>
    <xf numFmtId="0" fontId="1" fillId="0" borderId="112" xfId="0" applyFont="1" applyBorder="1"/>
    <xf numFmtId="0" fontId="1" fillId="12" borderId="116" xfId="0" applyFont="1" applyFill="1" applyBorder="1" applyAlignment="1">
      <alignment horizontal="center" vertical="center"/>
    </xf>
    <xf numFmtId="0" fontId="1" fillId="12" borderId="283" xfId="0" applyFont="1" applyFill="1" applyBorder="1" applyAlignment="1">
      <alignment horizontal="center" vertical="center"/>
    </xf>
    <xf numFmtId="0" fontId="1" fillId="16" borderId="115" xfId="0" applyFont="1" applyFill="1" applyBorder="1" applyAlignment="1">
      <alignment horizontal="center" vertical="center"/>
    </xf>
    <xf numFmtId="0" fontId="1" fillId="12" borderId="130" xfId="0" applyFont="1" applyFill="1" applyBorder="1"/>
    <xf numFmtId="0" fontId="1" fillId="12" borderId="103" xfId="0" applyFont="1" applyFill="1" applyBorder="1" applyAlignment="1">
      <alignment horizontal="center" vertical="center" wrapText="1"/>
    </xf>
    <xf numFmtId="0" fontId="1" fillId="12" borderId="146" xfId="0" applyFont="1" applyFill="1" applyBorder="1" applyAlignment="1">
      <alignment horizontal="center" vertical="center" wrapText="1"/>
    </xf>
    <xf numFmtId="0" fontId="1" fillId="12" borderId="58" xfId="0" applyFont="1" applyFill="1" applyBorder="1" applyAlignment="1">
      <alignment horizontal="center" vertical="center"/>
    </xf>
    <xf numFmtId="0" fontId="1" fillId="12" borderId="131" xfId="0" applyFont="1" applyFill="1" applyBorder="1"/>
    <xf numFmtId="0" fontId="1" fillId="0" borderId="58" xfId="0" applyFont="1" applyBorder="1"/>
    <xf numFmtId="0" fontId="1" fillId="12" borderId="112" xfId="0" applyFont="1" applyFill="1" applyBorder="1" applyAlignment="1">
      <alignment horizontal="center" vertical="center"/>
    </xf>
    <xf numFmtId="0" fontId="1" fillId="12" borderId="149" xfId="0" applyFont="1" applyFill="1" applyBorder="1"/>
    <xf numFmtId="0" fontId="1" fillId="12" borderId="111" xfId="0" applyFont="1" applyFill="1" applyBorder="1"/>
    <xf numFmtId="0" fontId="1" fillId="12" borderId="85" xfId="0" applyFont="1" applyFill="1" applyBorder="1"/>
    <xf numFmtId="0" fontId="2" fillId="12" borderId="98" xfId="0" applyFont="1" applyFill="1" applyBorder="1" applyAlignment="1">
      <alignment horizontal="center" vertical="center" wrapText="1"/>
    </xf>
    <xf numFmtId="1" fontId="8" fillId="0" borderId="98" xfId="0" applyNumberFormat="1" applyFont="1" applyBorder="1" applyAlignment="1">
      <alignment horizontal="center" vertical="center" wrapText="1"/>
    </xf>
    <xf numFmtId="0" fontId="37" fillId="12" borderId="0" xfId="0" applyFont="1" applyFill="1" applyAlignment="1">
      <alignment wrapText="1"/>
    </xf>
    <xf numFmtId="0" fontId="31" fillId="16" borderId="54" xfId="0" applyFont="1" applyFill="1" applyBorder="1" applyAlignment="1">
      <alignment horizontal="center" vertical="center" wrapText="1"/>
    </xf>
    <xf numFmtId="0" fontId="8" fillId="16" borderId="283" xfId="0" applyFont="1" applyFill="1" applyBorder="1" applyAlignment="1">
      <alignment horizontal="left" vertical="center" wrapText="1" indent="1"/>
    </xf>
    <xf numFmtId="10" fontId="6" fillId="16" borderId="47" xfId="0" applyNumberFormat="1" applyFont="1" applyFill="1" applyBorder="1" applyAlignment="1">
      <alignment horizontal="center" vertical="center" wrapText="1"/>
    </xf>
    <xf numFmtId="0" fontId="31" fillId="16" borderId="47" xfId="0" applyFont="1" applyFill="1" applyBorder="1" applyAlignment="1">
      <alignment horizontal="center" vertical="center" wrapText="1"/>
    </xf>
    <xf numFmtId="166" fontId="8" fillId="16" borderId="47" xfId="0" applyNumberFormat="1" applyFont="1" applyFill="1" applyBorder="1" applyAlignment="1">
      <alignment horizontal="center" vertical="center" wrapText="1"/>
    </xf>
    <xf numFmtId="10" fontId="1" fillId="16" borderId="47" xfId="0" applyNumberFormat="1" applyFont="1" applyFill="1" applyBorder="1" applyAlignment="1">
      <alignment horizontal="center" vertical="center" wrapText="1"/>
    </xf>
    <xf numFmtId="0" fontId="36" fillId="16" borderId="47" xfId="0" applyFont="1" applyFill="1" applyBorder="1" applyAlignment="1">
      <alignment horizontal="center" vertical="center" wrapText="1"/>
    </xf>
    <xf numFmtId="0" fontId="31" fillId="16" borderId="47" xfId="0" applyFont="1" applyFill="1" applyBorder="1" applyAlignment="1">
      <alignment horizontal="center" vertical="center"/>
    </xf>
    <xf numFmtId="0" fontId="31" fillId="16" borderId="47" xfId="0" applyFont="1" applyFill="1" applyBorder="1" applyAlignment="1">
      <alignment horizontal="center" wrapText="1"/>
    </xf>
    <xf numFmtId="0" fontId="31" fillId="16" borderId="50" xfId="0" applyFont="1" applyFill="1" applyBorder="1" applyAlignment="1">
      <alignment horizontal="center" vertical="center" wrapText="1"/>
    </xf>
    <xf numFmtId="0" fontId="8" fillId="16" borderId="129" xfId="0" applyFont="1" applyFill="1" applyBorder="1" applyAlignment="1">
      <alignment horizontal="left" vertical="center" wrapText="1" indent="1"/>
    </xf>
    <xf numFmtId="10" fontId="6" fillId="16" borderId="51" xfId="0" applyNumberFormat="1" applyFont="1" applyFill="1" applyBorder="1" applyAlignment="1">
      <alignment horizontal="center" vertical="center" wrapText="1"/>
    </xf>
    <xf numFmtId="166" fontId="8" fillId="16" borderId="51" xfId="0" applyNumberFormat="1" applyFont="1" applyFill="1" applyBorder="1" applyAlignment="1">
      <alignment horizontal="center" vertical="center" wrapText="1"/>
    </xf>
    <xf numFmtId="10" fontId="1" fillId="16" borderId="51" xfId="0" applyNumberFormat="1" applyFont="1" applyFill="1" applyBorder="1" applyAlignment="1">
      <alignment horizontal="center" vertical="center" wrapText="1"/>
    </xf>
    <xf numFmtId="0" fontId="31" fillId="16" borderId="51" xfId="0" applyFont="1" applyFill="1" applyBorder="1" applyAlignment="1">
      <alignment horizontal="center" vertical="center"/>
    </xf>
    <xf numFmtId="0" fontId="8" fillId="20" borderId="129" xfId="0" applyFont="1" applyFill="1" applyBorder="1" applyAlignment="1">
      <alignment horizontal="left" vertical="center" wrapText="1" indent="1"/>
    </xf>
    <xf numFmtId="10" fontId="6" fillId="20" borderId="51" xfId="0" applyNumberFormat="1" applyFont="1" applyFill="1" applyBorder="1" applyAlignment="1">
      <alignment horizontal="center" vertical="center" wrapText="1"/>
    </xf>
    <xf numFmtId="166" fontId="8" fillId="20" borderId="51" xfId="0" applyNumberFormat="1" applyFont="1" applyFill="1" applyBorder="1" applyAlignment="1">
      <alignment horizontal="center" vertical="center" wrapText="1"/>
    </xf>
    <xf numFmtId="10" fontId="1" fillId="20" borderId="51" xfId="0" applyNumberFormat="1" applyFont="1" applyFill="1" applyBorder="1" applyAlignment="1">
      <alignment horizontal="center" vertical="center" wrapText="1"/>
    </xf>
    <xf numFmtId="0" fontId="36" fillId="20" borderId="51" xfId="0" applyFont="1" applyFill="1" applyBorder="1" applyAlignment="1">
      <alignment horizontal="center" vertical="center" wrapText="1"/>
    </xf>
    <xf numFmtId="0" fontId="31" fillId="20" borderId="162" xfId="0" applyFont="1" applyFill="1" applyBorder="1" applyAlignment="1">
      <alignment horizontal="center" vertical="center" wrapText="1"/>
    </xf>
    <xf numFmtId="168" fontId="8" fillId="20" borderId="51" xfId="0" applyNumberFormat="1" applyFont="1" applyFill="1" applyBorder="1" applyAlignment="1">
      <alignment horizontal="center" vertical="center" wrapText="1"/>
    </xf>
    <xf numFmtId="0" fontId="8" fillId="21" borderId="129" xfId="0" applyFont="1" applyFill="1" applyBorder="1" applyAlignment="1">
      <alignment horizontal="left" vertical="center" wrapText="1" indent="1"/>
    </xf>
    <xf numFmtId="10" fontId="6" fillId="21" borderId="51" xfId="0" applyNumberFormat="1" applyFont="1" applyFill="1" applyBorder="1" applyAlignment="1">
      <alignment horizontal="center" vertical="center" wrapText="1"/>
    </xf>
    <xf numFmtId="0" fontId="36" fillId="21" borderId="51" xfId="0" applyFont="1" applyFill="1" applyBorder="1" applyAlignment="1">
      <alignment horizontal="center" vertical="center" wrapText="1"/>
    </xf>
    <xf numFmtId="0" fontId="8" fillId="18" borderId="129" xfId="0" applyFont="1" applyFill="1" applyBorder="1" applyAlignment="1">
      <alignment horizontal="left" vertical="center" wrapText="1" indent="1"/>
    </xf>
    <xf numFmtId="0" fontId="8" fillId="19" borderId="129" xfId="0" applyFont="1" applyFill="1" applyBorder="1" applyAlignment="1">
      <alignment horizontal="left" vertical="center" wrapText="1" indent="1"/>
    </xf>
    <xf numFmtId="10" fontId="6" fillId="18" borderId="51" xfId="0" applyNumberFormat="1" applyFont="1" applyFill="1" applyBorder="1" applyAlignment="1">
      <alignment horizontal="center" vertical="center" wrapText="1"/>
    </xf>
    <xf numFmtId="10" fontId="6" fillId="19" borderId="51" xfId="0" applyNumberFormat="1" applyFont="1" applyFill="1" applyBorder="1" applyAlignment="1">
      <alignment horizontal="center" vertical="center" wrapText="1"/>
    </xf>
    <xf numFmtId="0" fontId="8" fillId="21" borderId="128" xfId="0" applyFont="1" applyFill="1" applyBorder="1" applyAlignment="1">
      <alignment horizontal="left" vertical="center" wrapText="1" indent="1"/>
    </xf>
    <xf numFmtId="0" fontId="1" fillId="21" borderId="53" xfId="0" applyFont="1" applyFill="1" applyBorder="1"/>
    <xf numFmtId="10" fontId="6" fillId="21" borderId="53" xfId="0" applyNumberFormat="1" applyFont="1" applyFill="1" applyBorder="1" applyAlignment="1">
      <alignment horizontal="center" vertical="center" wrapText="1"/>
    </xf>
    <xf numFmtId="10" fontId="1" fillId="21" borderId="53" xfId="0" applyNumberFormat="1" applyFont="1" applyFill="1" applyBorder="1" applyAlignment="1">
      <alignment horizontal="center" vertical="center" wrapText="1"/>
    </xf>
    <xf numFmtId="0" fontId="31" fillId="16" borderId="288" xfId="0" applyFont="1" applyFill="1" applyBorder="1" applyAlignment="1">
      <alignment horizontal="center" vertical="center" wrapText="1"/>
    </xf>
    <xf numFmtId="0" fontId="31" fillId="16" borderId="59" xfId="0" applyFont="1" applyFill="1" applyBorder="1" applyAlignment="1">
      <alignment horizontal="center" vertical="center" wrapText="1"/>
    </xf>
    <xf numFmtId="0" fontId="8" fillId="16" borderId="266" xfId="0" applyFont="1" applyFill="1" applyBorder="1" applyAlignment="1">
      <alignment horizontal="left" vertical="center" wrapText="1" indent="1"/>
    </xf>
    <xf numFmtId="0" fontId="8" fillId="16" borderId="54" xfId="0" applyFont="1" applyFill="1" applyBorder="1" applyAlignment="1">
      <alignment horizontal="center" vertical="center" wrapText="1"/>
    </xf>
    <xf numFmtId="0" fontId="1" fillId="16" borderId="54" xfId="0" applyFont="1" applyFill="1" applyBorder="1" applyAlignment="1">
      <alignment horizontal="center" vertical="center" wrapText="1"/>
    </xf>
    <xf numFmtId="0" fontId="9" fillId="16" borderId="54" xfId="0" applyFont="1" applyFill="1" applyBorder="1" applyAlignment="1">
      <alignment horizontal="center" vertical="center" wrapText="1"/>
    </xf>
    <xf numFmtId="1" fontId="9" fillId="13" borderId="54" xfId="0" applyNumberFormat="1" applyFont="1" applyFill="1" applyBorder="1" applyAlignment="1">
      <alignment horizontal="center" vertical="center" wrapText="1"/>
    </xf>
    <xf numFmtId="1" fontId="9" fillId="22" borderId="54" xfId="0" applyNumberFormat="1" applyFont="1" applyFill="1" applyBorder="1" applyAlignment="1">
      <alignment horizontal="center" vertical="center" wrapText="1"/>
    </xf>
    <xf numFmtId="1" fontId="8" fillId="16" borderId="54" xfId="0" applyNumberFormat="1" applyFont="1" applyFill="1" applyBorder="1" applyAlignment="1">
      <alignment horizontal="center" vertical="center" wrapText="1"/>
    </xf>
    <xf numFmtId="10" fontId="6" fillId="16" borderId="54" xfId="0" applyNumberFormat="1" applyFont="1" applyFill="1" applyBorder="1" applyAlignment="1">
      <alignment horizontal="center" vertical="center" wrapText="1"/>
    </xf>
    <xf numFmtId="166" fontId="8" fillId="16" borderId="54" xfId="0" applyNumberFormat="1" applyFont="1" applyFill="1" applyBorder="1" applyAlignment="1">
      <alignment horizontal="center" vertical="center" wrapText="1"/>
    </xf>
    <xf numFmtId="2" fontId="8" fillId="16" borderId="54" xfId="0" applyNumberFormat="1" applyFont="1" applyFill="1" applyBorder="1" applyAlignment="1">
      <alignment horizontal="center" vertical="center" wrapText="1"/>
    </xf>
    <xf numFmtId="10" fontId="8" fillId="16" borderId="54" xfId="1" applyNumberFormat="1" applyFont="1" applyFill="1" applyBorder="1" applyAlignment="1">
      <alignment horizontal="center" vertical="center" wrapText="1"/>
    </xf>
    <xf numFmtId="10" fontId="1" fillId="16" borderId="54" xfId="0" applyNumberFormat="1" applyFont="1" applyFill="1" applyBorder="1" applyAlignment="1">
      <alignment horizontal="center" vertical="center" wrapText="1"/>
    </xf>
    <xf numFmtId="0" fontId="36" fillId="16" borderId="54" xfId="0" applyFont="1" applyFill="1" applyBorder="1" applyAlignment="1">
      <alignment horizontal="center" vertical="center" wrapText="1"/>
    </xf>
    <xf numFmtId="0" fontId="31" fillId="16" borderId="54" xfId="0" applyFont="1" applyFill="1" applyBorder="1" applyAlignment="1">
      <alignment horizontal="center" vertical="center"/>
    </xf>
    <xf numFmtId="0" fontId="31" fillId="16" borderId="54" xfId="0" applyFont="1" applyFill="1" applyBorder="1" applyAlignment="1">
      <alignment horizontal="center" wrapText="1"/>
    </xf>
    <xf numFmtId="0" fontId="31" fillId="16" borderId="267" xfId="0" applyFont="1" applyFill="1" applyBorder="1" applyAlignment="1">
      <alignment horizontal="center" vertical="center" wrapText="1"/>
    </xf>
    <xf numFmtId="0" fontId="31" fillId="16" borderId="132" xfId="0" applyFont="1" applyFill="1" applyBorder="1" applyAlignment="1">
      <alignment horizontal="center" vertical="center" wrapText="1"/>
    </xf>
    <xf numFmtId="0" fontId="8" fillId="18" borderId="268" xfId="0" applyFont="1" applyFill="1" applyBorder="1" applyAlignment="1">
      <alignment horizontal="left" vertical="center" wrapText="1" indent="1"/>
    </xf>
    <xf numFmtId="166" fontId="8" fillId="18" borderId="57" xfId="0" applyNumberFormat="1" applyFont="1" applyFill="1" applyBorder="1" applyAlignment="1">
      <alignment horizontal="center" vertical="center" wrapText="1"/>
    </xf>
    <xf numFmtId="10" fontId="1" fillId="18" borderId="57" xfId="0" applyNumberFormat="1" applyFont="1" applyFill="1" applyBorder="1" applyAlignment="1">
      <alignment horizontal="center" vertical="center" wrapText="1"/>
    </xf>
    <xf numFmtId="0" fontId="8" fillId="20" borderId="283" xfId="0" applyFont="1" applyFill="1" applyBorder="1" applyAlignment="1">
      <alignment horizontal="left" vertical="center" wrapText="1" indent="1"/>
    </xf>
    <xf numFmtId="1" fontId="8" fillId="20" borderId="47" xfId="0" applyNumberFormat="1" applyFont="1" applyFill="1" applyBorder="1" applyAlignment="1">
      <alignment horizontal="center" vertical="center" wrapText="1"/>
    </xf>
    <xf numFmtId="0" fontId="8" fillId="20" borderId="47" xfId="0" applyFont="1" applyFill="1" applyBorder="1" applyAlignment="1">
      <alignment horizontal="center" vertical="center" wrapText="1"/>
    </xf>
    <xf numFmtId="0" fontId="1" fillId="20" borderId="47" xfId="0" applyFont="1" applyFill="1" applyBorder="1" applyAlignment="1">
      <alignment horizontal="center" vertical="center" wrapText="1"/>
    </xf>
    <xf numFmtId="0" fontId="9" fillId="20" borderId="47" xfId="0" applyFont="1" applyFill="1" applyBorder="1" applyAlignment="1">
      <alignment horizontal="center" vertical="center" wrapText="1"/>
    </xf>
    <xf numFmtId="1" fontId="9" fillId="20" borderId="47" xfId="0" applyNumberFormat="1" applyFont="1" applyFill="1" applyBorder="1" applyAlignment="1">
      <alignment horizontal="center" vertical="center" wrapText="1"/>
    </xf>
    <xf numFmtId="10" fontId="6" fillId="20" borderId="47" xfId="0" applyNumberFormat="1" applyFont="1" applyFill="1" applyBorder="1" applyAlignment="1">
      <alignment horizontal="center" vertical="center" wrapText="1"/>
    </xf>
    <xf numFmtId="0" fontId="31" fillId="20" borderId="47" xfId="0" applyFont="1" applyFill="1" applyBorder="1" applyAlignment="1">
      <alignment horizontal="center" vertical="center" wrapText="1"/>
    </xf>
    <xf numFmtId="166" fontId="8" fillId="20" borderId="47" xfId="0" applyNumberFormat="1" applyFont="1" applyFill="1" applyBorder="1" applyAlignment="1">
      <alignment horizontal="center" vertical="center" wrapText="1"/>
    </xf>
    <xf numFmtId="2" fontId="8" fillId="20" borderId="47" xfId="0" applyNumberFormat="1" applyFont="1" applyFill="1" applyBorder="1" applyAlignment="1">
      <alignment horizontal="center" vertical="center" wrapText="1"/>
    </xf>
    <xf numFmtId="10" fontId="8" fillId="20" borderId="47" xfId="1" applyNumberFormat="1" applyFont="1" applyFill="1" applyBorder="1" applyAlignment="1">
      <alignment horizontal="center" vertical="center" wrapText="1"/>
    </xf>
    <xf numFmtId="10" fontId="1" fillId="20" borderId="47" xfId="0" applyNumberFormat="1" applyFont="1" applyFill="1" applyBorder="1" applyAlignment="1">
      <alignment horizontal="center" vertical="center" wrapText="1"/>
    </xf>
    <xf numFmtId="0" fontId="36" fillId="20" borderId="47" xfId="0" applyFont="1" applyFill="1" applyBorder="1" applyAlignment="1">
      <alignment horizontal="center" vertical="center" wrapText="1"/>
    </xf>
    <xf numFmtId="0" fontId="31" fillId="20" borderId="50" xfId="0" applyFont="1" applyFill="1" applyBorder="1" applyAlignment="1">
      <alignment horizontal="center" vertical="center" wrapText="1"/>
    </xf>
    <xf numFmtId="0" fontId="36" fillId="21" borderId="53" xfId="0" applyFont="1" applyFill="1" applyBorder="1" applyAlignment="1">
      <alignment horizontal="center" vertical="center" wrapText="1"/>
    </xf>
    <xf numFmtId="0" fontId="31" fillId="20" borderId="53" xfId="0" applyFont="1" applyFill="1" applyBorder="1" applyAlignment="1">
      <alignment horizontal="center" vertical="center" wrapText="1"/>
    </xf>
    <xf numFmtId="0" fontId="8" fillId="18" borderId="283" xfId="0" applyFont="1" applyFill="1" applyBorder="1" applyAlignment="1">
      <alignment horizontal="left" vertical="center" wrapText="1" indent="1"/>
    </xf>
    <xf numFmtId="0" fontId="31" fillId="18" borderId="50" xfId="0" applyFont="1" applyFill="1" applyBorder="1" applyAlignment="1">
      <alignment horizontal="center" vertical="center" wrapText="1"/>
    </xf>
    <xf numFmtId="0" fontId="8" fillId="19" borderId="128" xfId="0" applyFont="1" applyFill="1" applyBorder="1" applyAlignment="1">
      <alignment horizontal="left" vertical="center" wrapText="1" indent="1"/>
    </xf>
    <xf numFmtId="0" fontId="1" fillId="19" borderId="53" xfId="0" applyFont="1" applyFill="1" applyBorder="1" applyAlignment="1">
      <alignment horizontal="center" vertical="center" wrapText="1"/>
    </xf>
    <xf numFmtId="0" fontId="9" fillId="19" borderId="53" xfId="0" applyFont="1" applyFill="1" applyBorder="1" applyAlignment="1">
      <alignment horizontal="center" vertical="center" wrapText="1"/>
    </xf>
    <xf numFmtId="10" fontId="31" fillId="19" borderId="53" xfId="0" applyNumberFormat="1" applyFont="1" applyFill="1" applyBorder="1" applyAlignment="1">
      <alignment horizontal="center" vertical="center" wrapText="1"/>
    </xf>
    <xf numFmtId="166" fontId="8" fillId="19" borderId="53" xfId="0" applyNumberFormat="1" applyFont="1" applyFill="1" applyBorder="1" applyAlignment="1">
      <alignment horizontal="center" vertical="center" wrapText="1"/>
    </xf>
    <xf numFmtId="10" fontId="8" fillId="19" borderId="53" xfId="1" applyNumberFormat="1" applyFont="1" applyFill="1" applyBorder="1" applyAlignment="1">
      <alignment horizontal="center" vertical="center" wrapText="1"/>
    </xf>
    <xf numFmtId="10" fontId="1" fillId="19" borderId="53" xfId="0" applyNumberFormat="1" applyFont="1" applyFill="1" applyBorder="1" applyAlignment="1">
      <alignment horizontal="center" vertical="center" wrapText="1"/>
    </xf>
    <xf numFmtId="0" fontId="31" fillId="19" borderId="55" xfId="0" applyFont="1" applyFill="1" applyBorder="1" applyAlignment="1">
      <alignment horizontal="center" vertical="center" wrapText="1"/>
    </xf>
    <xf numFmtId="10" fontId="6" fillId="18" borderId="57" xfId="0" applyNumberFormat="1" applyFont="1" applyFill="1" applyBorder="1" applyAlignment="1">
      <alignment horizontal="center" vertical="center" wrapText="1"/>
    </xf>
    <xf numFmtId="10" fontId="6" fillId="18" borderId="47" xfId="0" applyNumberFormat="1" applyFont="1" applyFill="1" applyBorder="1" applyAlignment="1">
      <alignment horizontal="center" vertical="center" wrapText="1"/>
    </xf>
    <xf numFmtId="0" fontId="8" fillId="20" borderId="128" xfId="0" applyFont="1" applyFill="1" applyBorder="1" applyAlignment="1">
      <alignment horizontal="left" vertical="center" wrapText="1" indent="1"/>
    </xf>
    <xf numFmtId="0" fontId="8" fillId="20" borderId="53" xfId="0" applyFont="1" applyFill="1" applyBorder="1" applyAlignment="1">
      <alignment horizontal="center" vertical="center" wrapText="1"/>
    </xf>
    <xf numFmtId="0" fontId="1" fillId="20" borderId="53" xfId="0" applyFont="1" applyFill="1" applyBorder="1" applyAlignment="1">
      <alignment horizontal="center" vertical="center" wrapText="1"/>
    </xf>
    <xf numFmtId="0" fontId="9" fillId="20" borderId="53" xfId="0" applyFont="1" applyFill="1" applyBorder="1" applyAlignment="1">
      <alignment horizontal="center" vertical="center" wrapText="1"/>
    </xf>
    <xf numFmtId="1" fontId="9" fillId="20" borderId="53" xfId="0" applyNumberFormat="1" applyFont="1" applyFill="1" applyBorder="1" applyAlignment="1">
      <alignment horizontal="center" vertical="center" wrapText="1"/>
    </xf>
    <xf numFmtId="1" fontId="8" fillId="20" borderId="53" xfId="0" applyNumberFormat="1" applyFont="1" applyFill="1" applyBorder="1" applyAlignment="1">
      <alignment horizontal="center" vertical="center" wrapText="1"/>
    </xf>
    <xf numFmtId="10" fontId="6" fillId="20" borderId="53" xfId="0" applyNumberFormat="1" applyFont="1" applyFill="1" applyBorder="1" applyAlignment="1">
      <alignment horizontal="center" vertical="center" wrapText="1"/>
    </xf>
    <xf numFmtId="166" fontId="8" fillId="20" borderId="53" xfId="0" applyNumberFormat="1" applyFont="1" applyFill="1" applyBorder="1" applyAlignment="1">
      <alignment horizontal="center" vertical="center" wrapText="1"/>
    </xf>
    <xf numFmtId="2" fontId="8" fillId="20" borderId="53" xfId="0" applyNumberFormat="1" applyFont="1" applyFill="1" applyBorder="1" applyAlignment="1">
      <alignment horizontal="center" vertical="center" wrapText="1"/>
    </xf>
    <xf numFmtId="10" fontId="8" fillId="20" borderId="53" xfId="1" applyNumberFormat="1" applyFont="1" applyFill="1" applyBorder="1" applyAlignment="1">
      <alignment horizontal="center" vertical="center" wrapText="1"/>
    </xf>
    <xf numFmtId="10" fontId="1" fillId="20" borderId="53" xfId="0" applyNumberFormat="1" applyFont="1" applyFill="1" applyBorder="1" applyAlignment="1">
      <alignment horizontal="center" vertical="center" wrapText="1"/>
    </xf>
    <xf numFmtId="0" fontId="31" fillId="20" borderId="55" xfId="0" applyFont="1" applyFill="1" applyBorder="1" applyAlignment="1">
      <alignment horizontal="center" vertical="center" wrapText="1"/>
    </xf>
    <xf numFmtId="0" fontId="31" fillId="21" borderId="51" xfId="0" applyFont="1" applyFill="1" applyBorder="1" applyAlignment="1">
      <alignment horizontal="center" vertical="center"/>
    </xf>
    <xf numFmtId="0" fontId="31" fillId="21" borderId="51" xfId="0" applyFont="1" applyFill="1" applyBorder="1" applyAlignment="1">
      <alignment horizontal="center" wrapText="1"/>
    </xf>
    <xf numFmtId="0" fontId="31" fillId="21" borderId="53" xfId="0" applyFont="1" applyFill="1" applyBorder="1" applyAlignment="1">
      <alignment horizontal="center" vertical="center"/>
    </xf>
    <xf numFmtId="0" fontId="31" fillId="21" borderId="53" xfId="0" applyFont="1" applyFill="1" applyBorder="1" applyAlignment="1">
      <alignment horizontal="center" wrapText="1"/>
    </xf>
    <xf numFmtId="0" fontId="31" fillId="19" borderId="51" xfId="0" applyFont="1" applyFill="1" applyBorder="1" applyAlignment="1">
      <alignment horizontal="center" vertical="center"/>
    </xf>
    <xf numFmtId="0" fontId="31" fillId="19" borderId="51" xfId="0" applyFont="1" applyFill="1" applyBorder="1" applyAlignment="1">
      <alignment horizontal="center" wrapText="1"/>
    </xf>
    <xf numFmtId="0" fontId="31" fillId="18" borderId="57" xfId="0" applyFont="1" applyFill="1" applyBorder="1" applyAlignment="1">
      <alignment horizontal="center" vertical="center"/>
    </xf>
    <xf numFmtId="0" fontId="31" fillId="18" borderId="57" xfId="0" applyFont="1" applyFill="1" applyBorder="1" applyAlignment="1">
      <alignment horizontal="center" wrapText="1"/>
    </xf>
    <xf numFmtId="0" fontId="31" fillId="18" borderId="51" xfId="0" applyFont="1" applyFill="1" applyBorder="1" applyAlignment="1">
      <alignment horizontal="center" vertical="center"/>
    </xf>
    <xf numFmtId="0" fontId="31" fillId="18" borderId="51" xfId="0" applyFont="1" applyFill="1" applyBorder="1" applyAlignment="1">
      <alignment horizontal="center" wrapText="1"/>
    </xf>
    <xf numFmtId="0" fontId="31" fillId="20" borderId="53" xfId="0" applyFont="1" applyFill="1" applyBorder="1" applyAlignment="1">
      <alignment horizontal="center" vertical="center"/>
    </xf>
    <xf numFmtId="0" fontId="31" fillId="20" borderId="53" xfId="0" applyFont="1" applyFill="1" applyBorder="1" applyAlignment="1">
      <alignment horizontal="center" wrapText="1"/>
    </xf>
    <xf numFmtId="0" fontId="31" fillId="18" borderId="47" xfId="0" applyFont="1" applyFill="1" applyBorder="1" applyAlignment="1">
      <alignment horizontal="center" vertical="center"/>
    </xf>
    <xf numFmtId="0" fontId="31" fillId="18" borderId="47" xfId="0" applyFont="1" applyFill="1" applyBorder="1" applyAlignment="1">
      <alignment horizontal="center" wrapText="1"/>
    </xf>
    <xf numFmtId="0" fontId="31" fillId="19" borderId="53" xfId="0" applyFont="1" applyFill="1" applyBorder="1" applyAlignment="1">
      <alignment horizontal="center" vertical="center"/>
    </xf>
    <xf numFmtId="0" fontId="31" fillId="19" borderId="53" xfId="0" applyFont="1" applyFill="1" applyBorder="1" applyAlignment="1">
      <alignment horizontal="center" wrapText="1"/>
    </xf>
    <xf numFmtId="0" fontId="31" fillId="20" borderId="47" xfId="0" applyFont="1" applyFill="1" applyBorder="1" applyAlignment="1">
      <alignment horizontal="center" vertical="center"/>
    </xf>
    <xf numFmtId="0" fontId="31" fillId="20" borderId="47" xfId="0" applyFont="1" applyFill="1" applyBorder="1" applyAlignment="1">
      <alignment horizontal="center" wrapText="1"/>
    </xf>
    <xf numFmtId="0" fontId="31" fillId="20" borderId="51" xfId="0" applyFont="1" applyFill="1" applyBorder="1" applyAlignment="1">
      <alignment horizontal="center" vertical="center"/>
    </xf>
    <xf numFmtId="0" fontId="31" fillId="20" borderId="51" xfId="0" applyFont="1" applyFill="1" applyBorder="1" applyAlignment="1">
      <alignment horizontal="center" wrapText="1"/>
    </xf>
    <xf numFmtId="0" fontId="31" fillId="12" borderId="100" xfId="0" applyFont="1" applyFill="1" applyBorder="1" applyAlignment="1">
      <alignment horizontal="center" vertical="center" wrapText="1"/>
    </xf>
    <xf numFmtId="0" fontId="36" fillId="12" borderId="99" xfId="0" applyFont="1" applyFill="1" applyBorder="1" applyAlignment="1">
      <alignment horizontal="center" vertical="center" wrapText="1"/>
    </xf>
    <xf numFmtId="0" fontId="31" fillId="12" borderId="99" xfId="0" applyFont="1" applyFill="1" applyBorder="1" applyAlignment="1">
      <alignment horizontal="center" vertical="center" wrapText="1"/>
    </xf>
    <xf numFmtId="0" fontId="31" fillId="12" borderId="99" xfId="0" applyFont="1" applyFill="1" applyBorder="1" applyAlignment="1">
      <alignment horizontal="center" wrapText="1"/>
    </xf>
    <xf numFmtId="0" fontId="31" fillId="12" borderId="54" xfId="0" applyFont="1" applyFill="1" applyBorder="1" applyAlignment="1">
      <alignment horizontal="center" vertical="center" wrapText="1"/>
    </xf>
    <xf numFmtId="0" fontId="31" fillId="12" borderId="221" xfId="0" applyFont="1" applyFill="1" applyBorder="1" applyAlignment="1">
      <alignment horizontal="center" vertical="center" wrapText="1"/>
    </xf>
    <xf numFmtId="0" fontId="24" fillId="11" borderId="131" xfId="0" applyFont="1" applyFill="1" applyBorder="1" applyAlignment="1">
      <alignment horizontal="left" vertical="center" wrapText="1" indent="1"/>
    </xf>
    <xf numFmtId="0" fontId="24" fillId="11" borderId="58" xfId="0" applyFont="1" applyFill="1" applyBorder="1" applyAlignment="1">
      <alignment horizontal="left" vertical="center" wrapText="1" indent="1"/>
    </xf>
    <xf numFmtId="0" fontId="24" fillId="2" borderId="0" xfId="0" applyFont="1" applyFill="1" applyAlignment="1">
      <alignment horizontal="left" vertical="center" wrapText="1" indent="1"/>
    </xf>
    <xf numFmtId="0" fontId="24" fillId="2" borderId="136" xfId="0" applyFont="1" applyFill="1" applyBorder="1" applyAlignment="1">
      <alignment horizontal="center" vertical="center"/>
    </xf>
    <xf numFmtId="0" fontId="24" fillId="2" borderId="138" xfId="0" applyFont="1" applyFill="1" applyBorder="1" applyAlignment="1">
      <alignment horizontal="center" vertical="center"/>
    </xf>
    <xf numFmtId="0" fontId="24" fillId="11" borderId="149" xfId="0" applyFont="1" applyFill="1" applyBorder="1" applyAlignment="1">
      <alignment horizontal="left" vertical="center" wrapText="1" indent="1"/>
    </xf>
    <xf numFmtId="0" fontId="24" fillId="11" borderId="112" xfId="0" applyFont="1" applyFill="1" applyBorder="1" applyAlignment="1">
      <alignment horizontal="left" vertical="center" wrapText="1" indent="1"/>
    </xf>
    <xf numFmtId="0" fontId="24" fillId="2" borderId="131" xfId="0" applyFont="1" applyFill="1" applyBorder="1" applyAlignment="1">
      <alignment horizontal="left" vertical="center" wrapText="1" indent="1"/>
    </xf>
    <xf numFmtId="0" fontId="24" fillId="2" borderId="58" xfId="0" applyFont="1" applyFill="1" applyBorder="1" applyAlignment="1">
      <alignment horizontal="left" vertical="center" wrapText="1" indent="1"/>
    </xf>
    <xf numFmtId="0" fontId="24" fillId="2" borderId="168" xfId="0" applyFont="1" applyFill="1" applyBorder="1" applyAlignment="1">
      <alignment horizontal="left" vertical="center" wrapText="1" indent="1"/>
    </xf>
    <xf numFmtId="0" fontId="24" fillId="2" borderId="137" xfId="0" applyFont="1" applyFill="1" applyBorder="1" applyAlignment="1">
      <alignment horizontal="left" vertical="center" wrapText="1" indent="1"/>
    </xf>
    <xf numFmtId="0" fontId="24" fillId="11" borderId="119" xfId="0" applyFont="1" applyFill="1" applyBorder="1" applyAlignment="1">
      <alignment horizontal="center" vertical="center"/>
    </xf>
    <xf numFmtId="0" fontId="24" fillId="11" borderId="132" xfId="0" applyFont="1" applyFill="1" applyBorder="1" applyAlignment="1">
      <alignment horizontal="center" vertical="center"/>
    </xf>
    <xf numFmtId="0" fontId="24" fillId="2" borderId="133" xfId="0" applyFont="1" applyFill="1" applyBorder="1" applyAlignment="1">
      <alignment horizontal="left" vertical="center" wrapText="1" indent="1"/>
    </xf>
    <xf numFmtId="0" fontId="24" fillId="2" borderId="109" xfId="0" applyFont="1" applyFill="1" applyBorder="1" applyAlignment="1">
      <alignment horizontal="left" vertical="center" wrapText="1" indent="1"/>
    </xf>
    <xf numFmtId="0" fontId="24" fillId="11" borderId="154" xfId="0" applyFont="1" applyFill="1" applyBorder="1" applyAlignment="1">
      <alignment horizontal="left" vertical="center" wrapText="1" indent="1"/>
    </xf>
    <xf numFmtId="0" fontId="24" fillId="11" borderId="120" xfId="0" applyFont="1" applyFill="1" applyBorder="1" applyAlignment="1">
      <alignment horizontal="left" vertical="center" wrapText="1" indent="1"/>
    </xf>
    <xf numFmtId="0" fontId="32" fillId="2" borderId="67" xfId="0" applyFont="1" applyFill="1" applyBorder="1" applyAlignment="1">
      <alignment horizontal="center" vertical="center" wrapText="1"/>
    </xf>
    <xf numFmtId="0" fontId="32" fillId="2" borderId="68" xfId="0" applyFont="1" applyFill="1" applyBorder="1" applyAlignment="1">
      <alignment horizontal="center" vertical="center" wrapText="1"/>
    </xf>
    <xf numFmtId="0" fontId="32" fillId="2" borderId="69" xfId="0" applyFont="1" applyFill="1" applyBorder="1" applyAlignment="1">
      <alignment horizontal="center" vertical="center" wrapText="1"/>
    </xf>
    <xf numFmtId="0" fontId="22" fillId="2" borderId="152" xfId="0" applyFont="1" applyFill="1" applyBorder="1" applyAlignment="1">
      <alignment horizontal="center" vertical="center"/>
    </xf>
    <xf numFmtId="0" fontId="22" fillId="2" borderId="153" xfId="0" applyFont="1" applyFill="1" applyBorder="1" applyAlignment="1">
      <alignment horizontal="center" vertical="center"/>
    </xf>
    <xf numFmtId="0" fontId="22" fillId="2" borderId="150" xfId="0" applyFont="1" applyFill="1" applyBorder="1" applyAlignment="1">
      <alignment horizontal="center" vertical="center"/>
    </xf>
    <xf numFmtId="0" fontId="22" fillId="2" borderId="151" xfId="0" applyFont="1" applyFill="1" applyBorder="1" applyAlignment="1">
      <alignment horizontal="center" vertical="center"/>
    </xf>
    <xf numFmtId="0" fontId="24" fillId="2" borderId="154" xfId="0" applyFont="1" applyFill="1" applyBorder="1" applyAlignment="1">
      <alignment horizontal="left" vertical="center" wrapText="1" indent="1"/>
    </xf>
    <xf numFmtId="0" fontId="24" fillId="2" borderId="120" xfId="0" applyFont="1" applyFill="1" applyBorder="1" applyAlignment="1">
      <alignment horizontal="left" vertical="center" wrapText="1" indent="1"/>
    </xf>
    <xf numFmtId="0" fontId="24" fillId="11" borderId="168" xfId="0" applyFont="1" applyFill="1" applyBorder="1" applyAlignment="1">
      <alignment horizontal="left" vertical="center" wrapText="1" indent="1"/>
    </xf>
    <xf numFmtId="0" fontId="24" fillId="11" borderId="137" xfId="0" applyFont="1" applyFill="1" applyBorder="1" applyAlignment="1">
      <alignment horizontal="left" vertical="center" wrapText="1" indent="1"/>
    </xf>
    <xf numFmtId="0" fontId="24" fillId="11" borderId="166" xfId="0" applyFont="1" applyFill="1" applyBorder="1" applyAlignment="1">
      <alignment horizontal="left" vertical="center" wrapText="1" indent="1"/>
    </xf>
    <xf numFmtId="0" fontId="24" fillId="11" borderId="141" xfId="0" applyFont="1" applyFill="1" applyBorder="1" applyAlignment="1">
      <alignment horizontal="left" vertical="center" wrapText="1" indent="1"/>
    </xf>
    <xf numFmtId="0" fontId="24" fillId="0" borderId="131" xfId="0" applyFont="1" applyBorder="1" applyAlignment="1">
      <alignment horizontal="left" vertical="center" wrapText="1" indent="1"/>
    </xf>
    <xf numFmtId="0" fontId="24" fillId="0" borderId="58" xfId="0" applyFont="1" applyBorder="1" applyAlignment="1">
      <alignment horizontal="left" vertical="center" wrapText="1" indent="1"/>
    </xf>
    <xf numFmtId="0" fontId="24" fillId="2" borderId="52" xfId="0" applyFont="1" applyFill="1" applyBorder="1" applyAlignment="1">
      <alignment horizontal="center" vertical="center"/>
    </xf>
    <xf numFmtId="0" fontId="24" fillId="2" borderId="59" xfId="0" applyFont="1" applyFill="1" applyBorder="1" applyAlignment="1">
      <alignment horizontal="center" vertical="center"/>
    </xf>
    <xf numFmtId="0" fontId="63" fillId="2" borderId="67" xfId="0" applyFont="1" applyFill="1" applyBorder="1" applyAlignment="1">
      <alignment horizontal="right" vertical="center" wrapText="1" indent="2"/>
    </xf>
    <xf numFmtId="0" fontId="63" fillId="2" borderId="68" xfId="0" applyFont="1" applyFill="1" applyBorder="1" applyAlignment="1">
      <alignment horizontal="right" vertical="center" wrapText="1" indent="2"/>
    </xf>
    <xf numFmtId="0" fontId="63" fillId="2" borderId="69" xfId="0" applyFont="1" applyFill="1" applyBorder="1" applyAlignment="1">
      <alignment horizontal="right" vertical="center" wrapText="1" indent="2"/>
    </xf>
    <xf numFmtId="0" fontId="42" fillId="11" borderId="182" xfId="0" applyFont="1" applyFill="1" applyBorder="1" applyAlignment="1">
      <alignment horizontal="left" vertical="center" wrapText="1" indent="1"/>
    </xf>
    <xf numFmtId="0" fontId="24" fillId="11" borderId="183" xfId="0" applyFont="1" applyFill="1" applyBorder="1" applyAlignment="1">
      <alignment horizontal="left" vertical="center" wrapText="1" indent="1"/>
    </xf>
    <xf numFmtId="0" fontId="43" fillId="11" borderId="149" xfId="0" applyFont="1" applyFill="1" applyBorder="1" applyAlignment="1">
      <alignment horizontal="left" vertical="center" wrapText="1" indent="1"/>
    </xf>
    <xf numFmtId="0" fontId="43" fillId="11" borderId="112" xfId="0" applyFont="1" applyFill="1" applyBorder="1" applyAlignment="1">
      <alignment horizontal="left" vertical="center" wrapText="1" indent="1"/>
    </xf>
    <xf numFmtId="0" fontId="22" fillId="2" borderId="186" xfId="0" applyFont="1" applyFill="1" applyBorder="1" applyAlignment="1">
      <alignment horizontal="center" textRotation="90" wrapText="1"/>
    </xf>
    <xf numFmtId="0" fontId="22" fillId="2" borderId="189" xfId="0" applyFont="1" applyFill="1" applyBorder="1" applyAlignment="1">
      <alignment horizontal="center" textRotation="90" wrapText="1"/>
    </xf>
    <xf numFmtId="0" fontId="22" fillId="2" borderId="187" xfId="0" applyFont="1" applyFill="1" applyBorder="1" applyAlignment="1">
      <alignment horizontal="center" textRotation="90" wrapText="1"/>
    </xf>
    <xf numFmtId="0" fontId="22" fillId="2" borderId="190" xfId="0" applyFont="1" applyFill="1" applyBorder="1" applyAlignment="1">
      <alignment horizontal="center" textRotation="90" wrapText="1"/>
    </xf>
    <xf numFmtId="0" fontId="22" fillId="2" borderId="188" xfId="0" applyFont="1" applyFill="1" applyBorder="1" applyAlignment="1">
      <alignment horizontal="center" textRotation="90" wrapText="1"/>
    </xf>
    <xf numFmtId="0" fontId="22" fillId="2" borderId="191" xfId="0" applyFont="1" applyFill="1" applyBorder="1" applyAlignment="1">
      <alignment horizontal="center" textRotation="90" wrapText="1"/>
    </xf>
    <xf numFmtId="0" fontId="22" fillId="2" borderId="72" xfId="0" applyFont="1" applyFill="1" applyBorder="1" applyAlignment="1">
      <alignment horizontal="center" textRotation="90"/>
    </xf>
    <xf numFmtId="0" fontId="22" fillId="2" borderId="0" xfId="0" applyFont="1" applyFill="1" applyAlignment="1">
      <alignment horizontal="center" textRotation="90"/>
    </xf>
    <xf numFmtId="0" fontId="22" fillId="2" borderId="87" xfId="0" applyFont="1" applyFill="1" applyBorder="1" applyAlignment="1">
      <alignment horizontal="center" textRotation="90" wrapText="1"/>
    </xf>
    <xf numFmtId="0" fontId="22" fillId="2" borderId="89" xfId="0" applyFont="1" applyFill="1" applyBorder="1" applyAlignment="1">
      <alignment horizontal="center" textRotation="90" wrapText="1"/>
    </xf>
    <xf numFmtId="0" fontId="42" fillId="11" borderId="178" xfId="0" applyFont="1" applyFill="1" applyBorder="1" applyAlignment="1">
      <alignment horizontal="left" vertical="center" wrapText="1" indent="1"/>
    </xf>
    <xf numFmtId="0" fontId="24" fillId="11" borderId="179" xfId="0" applyFont="1" applyFill="1" applyBorder="1" applyAlignment="1">
      <alignment horizontal="left" vertical="center" wrapText="1" indent="1"/>
    </xf>
    <xf numFmtId="0" fontId="24" fillId="2" borderId="88" xfId="0" applyFont="1" applyFill="1" applyBorder="1" applyAlignment="1">
      <alignment horizontal="left" vertical="center" wrapText="1" indent="1"/>
    </xf>
    <xf numFmtId="0" fontId="24" fillId="2" borderId="174" xfId="0" applyFont="1" applyFill="1" applyBorder="1" applyAlignment="1">
      <alignment horizontal="left" vertical="center" wrapText="1" indent="1"/>
    </xf>
    <xf numFmtId="0" fontId="24" fillId="2" borderId="175" xfId="0" applyFont="1" applyFill="1" applyBorder="1" applyAlignment="1">
      <alignment horizontal="left" vertical="center" wrapText="1" indent="1"/>
    </xf>
    <xf numFmtId="0" fontId="42" fillId="11" borderId="88" xfId="0" applyFont="1" applyFill="1" applyBorder="1" applyAlignment="1">
      <alignment horizontal="left" vertical="center" wrapText="1" indent="1"/>
    </xf>
    <xf numFmtId="0" fontId="24" fillId="11" borderId="0" xfId="0" applyFont="1" applyFill="1" applyAlignment="1">
      <alignment horizontal="left" vertical="center" wrapText="1" indent="1"/>
    </xf>
    <xf numFmtId="0" fontId="24" fillId="11" borderId="172" xfId="0" applyFont="1" applyFill="1" applyBorder="1" applyAlignment="1">
      <alignment horizontal="left" vertical="center" wrapText="1" indent="1"/>
    </xf>
    <xf numFmtId="0" fontId="24" fillId="11" borderId="126" xfId="0" applyFont="1" applyFill="1" applyBorder="1" applyAlignment="1">
      <alignment horizontal="left" vertical="center" wrapText="1" indent="1"/>
    </xf>
    <xf numFmtId="168" fontId="24" fillId="11" borderId="125" xfId="0" applyNumberFormat="1" applyFont="1" applyFill="1" applyBorder="1" applyAlignment="1">
      <alignment horizontal="center" vertical="center"/>
    </xf>
    <xf numFmtId="168" fontId="24" fillId="11" borderId="143" xfId="0" applyNumberFormat="1" applyFont="1" applyFill="1" applyBorder="1" applyAlignment="1">
      <alignment horizontal="center" vertical="center"/>
    </xf>
    <xf numFmtId="0" fontId="24" fillId="11" borderId="133" xfId="0" applyFont="1" applyFill="1" applyBorder="1" applyAlignment="1">
      <alignment horizontal="left" vertical="center" wrapText="1" indent="1"/>
    </xf>
    <xf numFmtId="0" fontId="24" fillId="11" borderId="109" xfId="0" applyFont="1" applyFill="1" applyBorder="1" applyAlignment="1">
      <alignment horizontal="left" vertical="center" wrapText="1" indent="1"/>
    </xf>
    <xf numFmtId="0" fontId="24" fillId="0" borderId="119" xfId="0" applyFont="1" applyBorder="1" applyAlignment="1">
      <alignment horizontal="right" vertical="center"/>
    </xf>
    <xf numFmtId="0" fontId="24" fillId="0" borderId="173" xfId="0" applyFont="1" applyBorder="1" applyAlignment="1">
      <alignment horizontal="right" vertical="center"/>
    </xf>
    <xf numFmtId="0" fontId="24" fillId="0" borderId="176" xfId="0" applyFont="1" applyBorder="1" applyAlignment="1">
      <alignment horizontal="right" vertical="center"/>
    </xf>
    <xf numFmtId="0" fontId="24" fillId="2" borderId="132" xfId="0" applyFont="1" applyFill="1" applyBorder="1" applyAlignment="1">
      <alignment horizontal="left" vertical="center"/>
    </xf>
    <xf numFmtId="0" fontId="24" fillId="2" borderId="89" xfId="0" applyFont="1" applyFill="1" applyBorder="1" applyAlignment="1">
      <alignment horizontal="left" vertical="center"/>
    </xf>
    <xf numFmtId="0" fontId="24" fillId="2" borderId="177" xfId="0" applyFont="1" applyFill="1" applyBorder="1" applyAlignment="1">
      <alignment horizontal="left" vertical="center"/>
    </xf>
    <xf numFmtId="1" fontId="24" fillId="11" borderId="52" xfId="0" applyNumberFormat="1" applyFont="1" applyFill="1" applyBorder="1" applyAlignment="1">
      <alignment horizontal="center" vertical="center"/>
    </xf>
    <xf numFmtId="1" fontId="24" fillId="11" borderId="59" xfId="0" applyNumberFormat="1" applyFont="1" applyFill="1" applyBorder="1" applyAlignment="1">
      <alignment horizontal="center" vertical="center"/>
    </xf>
    <xf numFmtId="0" fontId="23" fillId="2" borderId="67" xfId="0" applyFont="1" applyFill="1" applyBorder="1" applyAlignment="1">
      <alignment horizontal="center" vertical="center" wrapText="1"/>
    </xf>
    <xf numFmtId="0" fontId="23" fillId="2" borderId="68" xfId="0" applyFont="1" applyFill="1" applyBorder="1" applyAlignment="1">
      <alignment horizontal="center" vertical="center" wrapText="1"/>
    </xf>
    <xf numFmtId="0" fontId="23" fillId="2" borderId="69" xfId="0" applyFont="1" applyFill="1" applyBorder="1" applyAlignment="1">
      <alignment horizontal="center" vertical="center" wrapText="1"/>
    </xf>
    <xf numFmtId="0" fontId="67" fillId="2" borderId="67" xfId="0" applyFont="1" applyFill="1" applyBorder="1" applyAlignment="1">
      <alignment horizontal="right" vertical="center" wrapText="1" indent="2"/>
    </xf>
    <xf numFmtId="0" fontId="67" fillId="2" borderId="68" xfId="0" applyFont="1" applyFill="1" applyBorder="1" applyAlignment="1">
      <alignment horizontal="right" vertical="center" wrapText="1" indent="2"/>
    </xf>
    <xf numFmtId="0" fontId="67" fillId="2" borderId="69" xfId="0" applyFont="1" applyFill="1" applyBorder="1" applyAlignment="1">
      <alignment horizontal="right" vertical="center" wrapText="1" indent="2"/>
    </xf>
    <xf numFmtId="0" fontId="66" fillId="11" borderId="131" xfId="2" applyFont="1" applyFill="1" applyBorder="1" applyAlignment="1">
      <alignment horizontal="left" vertical="center" wrapText="1" indent="1"/>
    </xf>
    <xf numFmtId="0" fontId="66" fillId="11" borderId="58" xfId="2" applyFont="1" applyFill="1" applyBorder="1" applyAlignment="1">
      <alignment horizontal="left" vertical="center" wrapText="1" indent="1"/>
    </xf>
    <xf numFmtId="0" fontId="24" fillId="0" borderId="52" xfId="0" applyFont="1" applyBorder="1" applyAlignment="1">
      <alignment horizontal="center" vertical="center" wrapText="1"/>
    </xf>
    <xf numFmtId="0" fontId="24" fillId="0" borderId="59" xfId="0" applyFont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right" vertical="center" wrapText="1" indent="1"/>
    </xf>
    <xf numFmtId="0" fontId="2" fillId="2" borderId="68" xfId="0" applyFont="1" applyFill="1" applyBorder="1" applyAlignment="1">
      <alignment horizontal="right" vertical="center" indent="1"/>
    </xf>
    <xf numFmtId="0" fontId="2" fillId="2" borderId="69" xfId="0" applyFont="1" applyFill="1" applyBorder="1" applyAlignment="1">
      <alignment horizontal="right" vertical="center" indent="1"/>
    </xf>
    <xf numFmtId="0" fontId="11" fillId="2" borderId="38" xfId="0" applyFont="1" applyFill="1" applyBorder="1" applyAlignment="1">
      <alignment horizontal="center" vertical="center" wrapText="1"/>
    </xf>
    <xf numFmtId="0" fontId="11" fillId="2" borderId="236" xfId="0" applyFont="1" applyFill="1" applyBorder="1" applyAlignment="1">
      <alignment horizontal="center" vertical="center" wrapText="1"/>
    </xf>
    <xf numFmtId="0" fontId="11" fillId="2" borderId="237" xfId="0" applyFont="1" applyFill="1" applyBorder="1" applyAlignment="1">
      <alignment horizontal="center" vertical="center" wrapText="1"/>
    </xf>
    <xf numFmtId="0" fontId="11" fillId="2" borderId="238" xfId="0" applyFont="1" applyFill="1" applyBorder="1" applyAlignment="1">
      <alignment horizontal="center" vertical="center" wrapText="1"/>
    </xf>
    <xf numFmtId="0" fontId="11" fillId="2" borderId="239" xfId="0" applyFont="1" applyFill="1" applyBorder="1" applyAlignment="1">
      <alignment horizontal="center" vertical="center" wrapText="1"/>
    </xf>
    <xf numFmtId="0" fontId="30" fillId="2" borderId="52" xfId="0" applyFont="1" applyFill="1" applyBorder="1" applyAlignment="1">
      <alignment horizontal="center" vertical="center" wrapText="1"/>
    </xf>
    <xf numFmtId="0" fontId="30" fillId="2" borderId="59" xfId="0" applyFont="1" applyFill="1" applyBorder="1" applyAlignment="1">
      <alignment horizontal="center" vertical="center" wrapText="1"/>
    </xf>
    <xf numFmtId="0" fontId="30" fillId="0" borderId="88" xfId="0" applyFont="1" applyBorder="1" applyAlignment="1">
      <alignment horizontal="left" vertical="center" indent="1"/>
    </xf>
    <xf numFmtId="0" fontId="30" fillId="0" borderId="174" xfId="0" applyFont="1" applyBorder="1" applyAlignment="1">
      <alignment horizontal="left" vertical="center" indent="1"/>
    </xf>
    <xf numFmtId="0" fontId="30" fillId="0" borderId="224" xfId="0" applyFont="1" applyBorder="1" applyAlignment="1">
      <alignment horizontal="left" vertical="center" indent="1"/>
    </xf>
    <xf numFmtId="0" fontId="30" fillId="0" borderId="46" xfId="0" applyFont="1" applyBorder="1" applyAlignment="1">
      <alignment horizontal="left" vertical="center" indent="1"/>
    </xf>
    <xf numFmtId="1" fontId="30" fillId="2" borderId="52" xfId="0" applyNumberFormat="1" applyFont="1" applyFill="1" applyBorder="1" applyAlignment="1">
      <alignment horizontal="center" vertical="center"/>
    </xf>
    <xf numFmtId="1" fontId="30" fillId="2" borderId="59" xfId="0" applyNumberFormat="1" applyFont="1" applyFill="1" applyBorder="1" applyAlignment="1">
      <alignment horizontal="center" vertical="center"/>
    </xf>
    <xf numFmtId="0" fontId="30" fillId="0" borderId="52" xfId="0" applyFont="1" applyBorder="1" applyAlignment="1">
      <alignment horizontal="center" vertical="center" wrapText="1"/>
    </xf>
    <xf numFmtId="0" fontId="30" fillId="0" borderId="59" xfId="0" applyFont="1" applyBorder="1" applyAlignment="1">
      <alignment horizontal="center" vertical="center" wrapText="1"/>
    </xf>
    <xf numFmtId="0" fontId="30" fillId="11" borderId="131" xfId="0" applyFont="1" applyFill="1" applyBorder="1" applyAlignment="1">
      <alignment horizontal="left" vertical="center" wrapText="1" indent="1"/>
    </xf>
    <xf numFmtId="0" fontId="30" fillId="11" borderId="58" xfId="0" applyFont="1" applyFill="1" applyBorder="1" applyAlignment="1">
      <alignment horizontal="left" vertical="center" wrapText="1" indent="1"/>
    </xf>
    <xf numFmtId="2" fontId="30" fillId="11" borderId="52" xfId="0" applyNumberFormat="1" applyFont="1" applyFill="1" applyBorder="1" applyAlignment="1">
      <alignment horizontal="center" vertical="center"/>
    </xf>
    <xf numFmtId="2" fontId="30" fillId="11" borderId="59" xfId="0" applyNumberFormat="1" applyFont="1" applyFill="1" applyBorder="1" applyAlignment="1">
      <alignment horizontal="center" vertical="center"/>
    </xf>
    <xf numFmtId="2" fontId="30" fillId="0" borderId="52" xfId="0" applyNumberFormat="1" applyFont="1" applyBorder="1" applyAlignment="1">
      <alignment horizontal="center" vertical="center" wrapText="1"/>
    </xf>
    <xf numFmtId="2" fontId="30" fillId="0" borderId="59" xfId="0" applyNumberFormat="1" applyFont="1" applyBorder="1" applyAlignment="1">
      <alignment horizontal="center" vertical="center" wrapText="1"/>
    </xf>
    <xf numFmtId="0" fontId="50" fillId="11" borderId="172" xfId="0" applyFont="1" applyFill="1" applyBorder="1" applyAlignment="1">
      <alignment horizontal="left" vertical="top" indent="1"/>
    </xf>
    <xf numFmtId="0" fontId="50" fillId="11" borderId="126" xfId="0" applyFont="1" applyFill="1" applyBorder="1" applyAlignment="1">
      <alignment horizontal="left" vertical="top" indent="1"/>
    </xf>
    <xf numFmtId="0" fontId="50" fillId="11" borderId="124" xfId="0" applyFont="1" applyFill="1" applyBorder="1" applyAlignment="1">
      <alignment horizontal="left" vertical="top" indent="1"/>
    </xf>
    <xf numFmtId="0" fontId="30" fillId="2" borderId="131" xfId="0" applyFont="1" applyFill="1" applyBorder="1" applyAlignment="1">
      <alignment horizontal="left" vertical="center" wrapText="1" indent="1"/>
    </xf>
    <xf numFmtId="0" fontId="30" fillId="2" borderId="58" xfId="0" applyFont="1" applyFill="1" applyBorder="1" applyAlignment="1">
      <alignment horizontal="left" vertical="center" wrapText="1" indent="1"/>
    </xf>
    <xf numFmtId="0" fontId="50" fillId="11" borderId="149" xfId="0" applyFont="1" applyFill="1" applyBorder="1" applyAlignment="1">
      <alignment horizontal="left" vertical="top" indent="1"/>
    </xf>
    <xf numFmtId="0" fontId="50" fillId="11" borderId="112" xfId="0" applyFont="1" applyFill="1" applyBorder="1" applyAlignment="1">
      <alignment horizontal="left" vertical="top" indent="1"/>
    </xf>
    <xf numFmtId="0" fontId="50" fillId="11" borderId="102" xfId="0" applyFont="1" applyFill="1" applyBorder="1" applyAlignment="1">
      <alignment horizontal="left" vertical="top" indent="1"/>
    </xf>
    <xf numFmtId="0" fontId="11" fillId="2" borderId="36" xfId="0" applyFont="1" applyFill="1" applyBorder="1" applyAlignment="1">
      <alignment horizontal="center" vertical="center" wrapText="1"/>
    </xf>
    <xf numFmtId="0" fontId="11" fillId="2" borderId="202" xfId="0" applyFont="1" applyFill="1" applyBorder="1" applyAlignment="1">
      <alignment horizontal="center" vertical="center" wrapText="1"/>
    </xf>
    <xf numFmtId="0" fontId="11" fillId="2" borderId="43" xfId="0" applyFont="1" applyFill="1" applyBorder="1" applyAlignment="1">
      <alignment horizontal="center" vertical="center" wrapText="1"/>
    </xf>
    <xf numFmtId="0" fontId="11" fillId="2" borderId="42" xfId="0" applyFont="1" applyFill="1" applyBorder="1" applyAlignment="1">
      <alignment horizontal="center" vertical="center" wrapText="1"/>
    </xf>
    <xf numFmtId="0" fontId="11" fillId="2" borderId="203" xfId="0" applyFont="1" applyFill="1" applyBorder="1" applyAlignment="1">
      <alignment horizontal="center" vertical="center" wrapText="1"/>
    </xf>
    <xf numFmtId="0" fontId="11" fillId="2" borderId="204" xfId="0" applyFont="1" applyFill="1" applyBorder="1" applyAlignment="1">
      <alignment horizontal="center" vertical="center" wrapText="1"/>
    </xf>
    <xf numFmtId="0" fontId="11" fillId="2" borderId="205" xfId="0" applyFont="1" applyFill="1" applyBorder="1" applyAlignment="1">
      <alignment horizontal="center" vertical="center" wrapText="1"/>
    </xf>
    <xf numFmtId="0" fontId="11" fillId="2" borderId="44" xfId="0" applyFont="1" applyFill="1" applyBorder="1" applyAlignment="1">
      <alignment horizontal="center" vertical="center" wrapText="1"/>
    </xf>
    <xf numFmtId="0" fontId="30" fillId="2" borderId="136" xfId="0" applyFont="1" applyFill="1" applyBorder="1" applyAlignment="1">
      <alignment horizontal="center" vertical="center" wrapText="1"/>
    </xf>
    <xf numFmtId="0" fontId="30" fillId="2" borderId="138" xfId="0" applyFont="1" applyFill="1" applyBorder="1" applyAlignment="1">
      <alignment horizontal="center" vertical="center" wrapText="1"/>
    </xf>
    <xf numFmtId="0" fontId="30" fillId="11" borderId="39" xfId="0" applyFont="1" applyFill="1" applyBorder="1" applyAlignment="1">
      <alignment horizontal="left" vertical="center" wrapText="1" indent="1"/>
    </xf>
    <xf numFmtId="0" fontId="30" fillId="11" borderId="206" xfId="0" applyFont="1" applyFill="1" applyBorder="1" applyAlignment="1">
      <alignment horizontal="left" vertical="center" wrapText="1" indent="1"/>
    </xf>
    <xf numFmtId="0" fontId="30" fillId="11" borderId="154" xfId="0" applyFont="1" applyFill="1" applyBorder="1" applyAlignment="1">
      <alignment horizontal="left" vertical="top" wrapText="1" indent="1"/>
    </xf>
    <xf numFmtId="0" fontId="30" fillId="11" borderId="120" xfId="0" applyFont="1" applyFill="1" applyBorder="1" applyAlignment="1">
      <alignment horizontal="left" vertical="top" indent="1"/>
    </xf>
    <xf numFmtId="0" fontId="30" fillId="11" borderId="118" xfId="0" applyFont="1" applyFill="1" applyBorder="1" applyAlignment="1">
      <alignment horizontal="left" vertical="top" indent="1"/>
    </xf>
    <xf numFmtId="0" fontId="22" fillId="12" borderId="67" xfId="0" applyFont="1" applyFill="1" applyBorder="1" applyAlignment="1">
      <alignment horizontal="center" vertical="center" wrapText="1"/>
    </xf>
    <xf numFmtId="0" fontId="22" fillId="12" borderId="68" xfId="0" applyFont="1" applyFill="1" applyBorder="1" applyAlignment="1">
      <alignment horizontal="center" vertical="center" wrapText="1"/>
    </xf>
    <xf numFmtId="0" fontId="22" fillId="12" borderId="69" xfId="0" applyFont="1" applyFill="1" applyBorder="1" applyAlignment="1">
      <alignment horizontal="center" vertical="center" wrapText="1"/>
    </xf>
    <xf numFmtId="2" fontId="9" fillId="12" borderId="105" xfId="0" applyNumberFormat="1" applyFont="1" applyFill="1" applyBorder="1" applyAlignment="1">
      <alignment horizontal="center" vertical="center" wrapText="1"/>
    </xf>
    <xf numFmtId="2" fontId="9" fillId="12" borderId="114" xfId="0" applyNumberFormat="1" applyFont="1" applyFill="1" applyBorder="1" applyAlignment="1">
      <alignment horizontal="center" vertical="center" wrapText="1"/>
    </xf>
    <xf numFmtId="0" fontId="9" fillId="12" borderId="234" xfId="0" applyFont="1" applyFill="1" applyBorder="1" applyAlignment="1">
      <alignment horizontal="center" vertical="center" wrapText="1"/>
    </xf>
    <xf numFmtId="0" fontId="9" fillId="12" borderId="231" xfId="0" applyFont="1" applyFill="1" applyBorder="1" applyAlignment="1">
      <alignment horizontal="center" vertical="center" wrapText="1"/>
    </xf>
    <xf numFmtId="0" fontId="9" fillId="12" borderId="47" xfId="0" applyFont="1" applyFill="1" applyBorder="1" applyAlignment="1">
      <alignment horizontal="center" vertical="center" wrapText="1"/>
    </xf>
    <xf numFmtId="0" fontId="9" fillId="12" borderId="53" xfId="0" applyFont="1" applyFill="1" applyBorder="1" applyAlignment="1">
      <alignment horizontal="center" vertical="center" wrapText="1"/>
    </xf>
    <xf numFmtId="0" fontId="9" fillId="12" borderId="226" xfId="0" applyFont="1" applyFill="1" applyBorder="1" applyAlignment="1">
      <alignment horizontal="center" vertical="center" wrapText="1"/>
    </xf>
    <xf numFmtId="0" fontId="9" fillId="12" borderId="227" xfId="0" applyFont="1" applyFill="1" applyBorder="1" applyAlignment="1">
      <alignment horizontal="center" vertical="center" wrapText="1"/>
    </xf>
    <xf numFmtId="0" fontId="9" fillId="12" borderId="49" xfId="0" applyFont="1" applyFill="1" applyBorder="1" applyAlignment="1">
      <alignment horizontal="center" vertical="center" wrapText="1"/>
    </xf>
    <xf numFmtId="0" fontId="9" fillId="12" borderId="102" xfId="0" applyFont="1" applyFill="1" applyBorder="1" applyAlignment="1">
      <alignment horizontal="center" vertical="center" wrapText="1"/>
    </xf>
    <xf numFmtId="2" fontId="9" fillId="12" borderId="98" xfId="0" applyNumberFormat="1" applyFont="1" applyFill="1" applyBorder="1" applyAlignment="1">
      <alignment horizontal="center" vertical="center" wrapText="1"/>
    </xf>
    <xf numFmtId="2" fontId="9" fillId="12" borderId="275" xfId="0" applyNumberFormat="1" applyFont="1" applyFill="1" applyBorder="1" applyAlignment="1">
      <alignment horizontal="center" vertical="center" wrapText="1"/>
    </xf>
    <xf numFmtId="2" fontId="9" fillId="12" borderId="98" xfId="0" applyNumberFormat="1" applyFont="1" applyFill="1" applyBorder="1" applyAlignment="1">
      <alignment horizontal="center" vertical="center" textRotation="90" wrapText="1"/>
    </xf>
    <xf numFmtId="2" fontId="9" fillId="12" borderId="275" xfId="0" applyNumberFormat="1" applyFont="1" applyFill="1" applyBorder="1" applyAlignment="1">
      <alignment horizontal="center" vertical="center" textRotation="90" wrapText="1"/>
    </xf>
    <xf numFmtId="1" fontId="9" fillId="12" borderId="49" xfId="0" applyNumberFormat="1" applyFont="1" applyFill="1" applyBorder="1" applyAlignment="1">
      <alignment horizontal="center" vertical="center" wrapText="1"/>
    </xf>
    <xf numFmtId="1" fontId="9" fillId="12" borderId="102" xfId="0" applyNumberFormat="1" applyFont="1" applyFill="1" applyBorder="1" applyAlignment="1">
      <alignment horizontal="center" vertical="center" wrapText="1"/>
    </xf>
    <xf numFmtId="0" fontId="9" fillId="12" borderId="283" xfId="0" applyFont="1" applyFill="1" applyBorder="1" applyAlignment="1">
      <alignment horizontal="center" vertical="center" wrapText="1"/>
    </xf>
    <xf numFmtId="0" fontId="9" fillId="12" borderId="50" xfId="0" applyFont="1" applyFill="1" applyBorder="1" applyAlignment="1">
      <alignment horizontal="center" vertical="center" wrapText="1"/>
    </xf>
    <xf numFmtId="0" fontId="9" fillId="12" borderId="128" xfId="0" applyFont="1" applyFill="1" applyBorder="1" applyAlignment="1">
      <alignment horizontal="center" vertical="center" wrapText="1"/>
    </xf>
    <xf numFmtId="0" fontId="9" fillId="12" borderId="55" xfId="0" applyFont="1" applyFill="1" applyBorder="1" applyAlignment="1">
      <alignment horizontal="center" vertical="center" wrapText="1"/>
    </xf>
    <xf numFmtId="0" fontId="9" fillId="12" borderId="130" xfId="0" applyFont="1" applyFill="1" applyBorder="1" applyAlignment="1">
      <alignment horizontal="center" vertical="center" wrapText="1"/>
    </xf>
    <xf numFmtId="0" fontId="9" fillId="12" borderId="149" xfId="0" applyFont="1" applyFill="1" applyBorder="1" applyAlignment="1">
      <alignment horizontal="center" vertical="center"/>
    </xf>
    <xf numFmtId="0" fontId="9" fillId="12" borderId="98" xfId="0" applyFont="1" applyFill="1" applyBorder="1" applyAlignment="1">
      <alignment horizontal="center" vertical="center" wrapText="1"/>
    </xf>
    <xf numFmtId="0" fontId="9" fillId="12" borderId="275" xfId="0" applyFont="1" applyFill="1" applyBorder="1" applyAlignment="1">
      <alignment horizontal="center" vertical="center" wrapText="1"/>
    </xf>
    <xf numFmtId="1" fontId="9" fillId="12" borderId="47" xfId="0" applyNumberFormat="1" applyFont="1" applyFill="1" applyBorder="1" applyAlignment="1">
      <alignment horizontal="center" vertical="center" wrapText="1"/>
    </xf>
    <xf numFmtId="1" fontId="9" fillId="12" borderId="53" xfId="0" applyNumberFormat="1" applyFont="1" applyFill="1" applyBorder="1" applyAlignment="1">
      <alignment horizontal="center" vertical="center" wrapText="1"/>
    </xf>
    <xf numFmtId="0" fontId="9" fillId="13" borderId="47" xfId="0" applyFont="1" applyFill="1" applyBorder="1" applyAlignment="1">
      <alignment horizontal="center" vertical="center" wrapText="1"/>
    </xf>
    <xf numFmtId="0" fontId="9" fillId="13" borderId="53" xfId="0" applyFont="1" applyFill="1" applyBorder="1" applyAlignment="1">
      <alignment horizontal="center" vertical="center" wrapText="1"/>
    </xf>
    <xf numFmtId="0" fontId="9" fillId="12" borderId="157" xfId="0" applyFont="1" applyFill="1" applyBorder="1" applyAlignment="1">
      <alignment horizontal="center" vertical="center" wrapText="1"/>
    </xf>
    <xf numFmtId="0" fontId="9" fillId="12" borderId="156" xfId="0" applyFont="1" applyFill="1" applyBorder="1" applyAlignment="1">
      <alignment horizontal="center" vertical="center" wrapText="1"/>
    </xf>
    <xf numFmtId="0" fontId="9" fillId="12" borderId="157" xfId="0" applyFont="1" applyFill="1" applyBorder="1" applyAlignment="1">
      <alignment horizontal="center" vertical="center"/>
    </xf>
    <xf numFmtId="0" fontId="9" fillId="12" borderId="156" xfId="0" applyFont="1" applyFill="1" applyBorder="1" applyAlignment="1">
      <alignment horizontal="center" vertical="center"/>
    </xf>
    <xf numFmtId="1" fontId="9" fillId="13" borderId="47" xfId="0" applyNumberFormat="1" applyFont="1" applyFill="1" applyBorder="1" applyAlignment="1">
      <alignment horizontal="center" vertical="center" wrapText="1"/>
    </xf>
    <xf numFmtId="1" fontId="9" fillId="13" borderId="53" xfId="0" applyNumberFormat="1" applyFont="1" applyFill="1" applyBorder="1" applyAlignment="1">
      <alignment horizontal="center" vertical="center" wrapText="1"/>
    </xf>
    <xf numFmtId="0" fontId="9" fillId="12" borderId="49" xfId="0" applyFont="1" applyFill="1" applyBorder="1" applyAlignment="1">
      <alignment horizontal="center" vertical="center" textRotation="90" wrapText="1"/>
    </xf>
    <xf numFmtId="0" fontId="9" fillId="12" borderId="102" xfId="0" applyFont="1" applyFill="1" applyBorder="1" applyAlignment="1">
      <alignment horizontal="center" vertical="center" textRotation="90" wrapText="1"/>
    </xf>
    <xf numFmtId="0" fontId="9" fillId="12" borderId="115" xfId="0" applyFont="1" applyFill="1" applyBorder="1" applyAlignment="1">
      <alignment horizontal="center" vertical="center" textRotation="90" wrapText="1"/>
    </xf>
    <xf numFmtId="0" fontId="9" fillId="12" borderId="111" xfId="0" applyFont="1" applyFill="1" applyBorder="1" applyAlignment="1">
      <alignment horizontal="center" vertical="center" textRotation="90" wrapText="1"/>
    </xf>
    <xf numFmtId="0" fontId="11" fillId="12" borderId="49" xfId="0" applyFont="1" applyFill="1" applyBorder="1" applyAlignment="1">
      <alignment horizontal="center" vertical="center" wrapText="1"/>
    </xf>
    <xf numFmtId="0" fontId="11" fillId="12" borderId="102" xfId="0" applyFont="1" applyFill="1" applyBorder="1" applyAlignment="1">
      <alignment horizontal="center" vertical="center" wrapText="1"/>
    </xf>
    <xf numFmtId="0" fontId="11" fillId="12" borderId="157" xfId="0" applyFont="1" applyFill="1" applyBorder="1" applyAlignment="1">
      <alignment horizontal="center" vertical="center" wrapText="1"/>
    </xf>
    <xf numFmtId="0" fontId="11" fillId="12" borderId="156" xfId="0" applyFont="1" applyFill="1" applyBorder="1" applyAlignment="1">
      <alignment horizontal="center" vertical="center" wrapText="1"/>
    </xf>
    <xf numFmtId="0" fontId="9" fillId="12" borderId="47" xfId="0" applyFont="1" applyFill="1" applyBorder="1" applyAlignment="1">
      <alignment horizontal="center" vertical="center" textRotation="90" wrapText="1"/>
    </xf>
    <xf numFmtId="0" fontId="9" fillId="12" borderId="53" xfId="0" applyFont="1" applyFill="1" applyBorder="1" applyAlignment="1">
      <alignment horizontal="center" vertical="center" textRotation="90" wrapText="1"/>
    </xf>
    <xf numFmtId="0" fontId="9" fillId="12" borderId="115" xfId="0" applyFont="1" applyFill="1" applyBorder="1" applyAlignment="1">
      <alignment horizontal="center" vertical="center" wrapText="1"/>
    </xf>
    <xf numFmtId="0" fontId="9" fillId="12" borderId="111" xfId="0" applyFont="1" applyFill="1" applyBorder="1" applyAlignment="1">
      <alignment horizontal="center" vertical="center" wrapText="1"/>
    </xf>
    <xf numFmtId="0" fontId="9" fillId="12" borderId="105" xfId="0" applyFont="1" applyFill="1" applyBorder="1" applyAlignment="1">
      <alignment horizontal="center" vertical="center" wrapText="1"/>
    </xf>
    <xf numFmtId="0" fontId="9" fillId="12" borderId="114" xfId="0" applyFont="1" applyFill="1" applyBorder="1" applyAlignment="1">
      <alignment horizontal="center" vertical="center" wrapText="1"/>
    </xf>
    <xf numFmtId="0" fontId="9" fillId="12" borderId="234" xfId="0" applyFont="1" applyFill="1" applyBorder="1" applyAlignment="1">
      <alignment horizontal="center" vertical="center"/>
    </xf>
    <xf numFmtId="0" fontId="2" fillId="0" borderId="67" xfId="0" applyFont="1" applyBorder="1" applyAlignment="1">
      <alignment horizontal="center" vertical="center"/>
    </xf>
    <xf numFmtId="0" fontId="2" fillId="0" borderId="68" xfId="0" applyFont="1" applyBorder="1" applyAlignment="1">
      <alignment horizontal="center" vertical="center"/>
    </xf>
    <xf numFmtId="0" fontId="2" fillId="0" borderId="69" xfId="0" applyFont="1" applyBorder="1" applyAlignment="1">
      <alignment horizontal="center" vertical="center"/>
    </xf>
    <xf numFmtId="0" fontId="1" fillId="0" borderId="82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83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/>
    </xf>
    <xf numFmtId="0" fontId="1" fillId="0" borderId="74" xfId="0" applyFont="1" applyBorder="1" applyAlignment="1">
      <alignment horizontal="center" vertical="center"/>
    </xf>
    <xf numFmtId="0" fontId="2" fillId="0" borderId="67" xfId="0" applyFont="1" applyBorder="1" applyAlignment="1">
      <alignment horizontal="center" vertical="center" wrapText="1"/>
    </xf>
    <xf numFmtId="0" fontId="2" fillId="0" borderId="68" xfId="0" applyFont="1" applyBorder="1" applyAlignment="1">
      <alignment horizontal="center" vertical="center" wrapText="1"/>
    </xf>
    <xf numFmtId="0" fontId="2" fillId="0" borderId="69" xfId="0" applyFont="1" applyBorder="1" applyAlignment="1">
      <alignment horizontal="center" vertical="center" wrapText="1"/>
    </xf>
    <xf numFmtId="0" fontId="1" fillId="0" borderId="278" xfId="0" applyFont="1" applyBorder="1" applyAlignment="1">
      <alignment horizontal="center" vertical="center"/>
    </xf>
    <xf numFmtId="0" fontId="1" fillId="0" borderId="279" xfId="0" applyFont="1" applyBorder="1" applyAlignment="1">
      <alignment horizontal="center" vertical="center"/>
    </xf>
    <xf numFmtId="0" fontId="1" fillId="0" borderId="280" xfId="0" applyFont="1" applyBorder="1" applyAlignment="1">
      <alignment horizontal="center" vertical="center"/>
    </xf>
    <xf numFmtId="0" fontId="1" fillId="0" borderId="76" xfId="0" applyFont="1" applyBorder="1" applyAlignment="1">
      <alignment horizontal="center" vertical="center" wrapText="1"/>
    </xf>
    <xf numFmtId="0" fontId="1" fillId="0" borderId="68" xfId="0" applyFont="1" applyBorder="1" applyAlignment="1">
      <alignment horizontal="center" vertical="center" wrapText="1"/>
    </xf>
    <xf numFmtId="0" fontId="1" fillId="0" borderId="81" xfId="0" applyFont="1" applyBorder="1" applyAlignment="1">
      <alignment horizontal="center" vertical="center" wrapText="1"/>
    </xf>
    <xf numFmtId="0" fontId="1" fillId="0" borderId="67" xfId="0" applyFont="1" applyBorder="1" applyAlignment="1">
      <alignment horizontal="center" vertical="center" wrapText="1"/>
    </xf>
    <xf numFmtId="0" fontId="9" fillId="22" borderId="41" xfId="0" applyFont="1" applyFill="1" applyBorder="1" applyAlignment="1">
      <alignment horizontal="center" vertical="center"/>
    </xf>
    <xf numFmtId="0" fontId="0" fillId="22" borderId="88" xfId="0" applyFill="1" applyBorder="1" applyAlignment="1">
      <alignment horizontal="center" vertical="center"/>
    </xf>
    <xf numFmtId="0" fontId="0" fillId="22" borderId="46" xfId="0" applyFill="1" applyBorder="1" applyAlignment="1">
      <alignment horizontal="center" vertical="center"/>
    </xf>
    <xf numFmtId="0" fontId="9" fillId="22" borderId="88" xfId="0" applyFont="1" applyFill="1" applyBorder="1" applyAlignment="1">
      <alignment horizontal="center" vertical="center"/>
    </xf>
    <xf numFmtId="0" fontId="72" fillId="22" borderId="88" xfId="0" applyFont="1" applyFill="1" applyBorder="1" applyAlignment="1">
      <alignment horizontal="center" vertical="center"/>
    </xf>
    <xf numFmtId="0" fontId="9" fillId="22" borderId="46" xfId="0" applyFont="1" applyFill="1" applyBorder="1" applyAlignment="1">
      <alignment horizontal="center" vertical="center"/>
    </xf>
    <xf numFmtId="0" fontId="76" fillId="22" borderId="130" xfId="0" applyFont="1" applyFill="1" applyBorder="1" applyAlignment="1">
      <alignment horizontal="center" vertical="center"/>
    </xf>
    <xf numFmtId="0" fontId="76" fillId="22" borderId="131" xfId="0" applyFont="1" applyFill="1" applyBorder="1" applyAlignment="1">
      <alignment horizontal="center" vertical="center"/>
    </xf>
    <xf numFmtId="0" fontId="76" fillId="22" borderId="149" xfId="0" applyFont="1" applyFill="1" applyBorder="1" applyAlignment="1">
      <alignment horizontal="center" vertical="center"/>
    </xf>
    <xf numFmtId="0" fontId="2" fillId="12" borderId="47" xfId="0" applyFont="1" applyFill="1" applyBorder="1" applyAlignment="1">
      <alignment horizontal="center" vertical="center" wrapText="1"/>
    </xf>
    <xf numFmtId="0" fontId="2" fillId="12" borderId="53" xfId="0" applyFont="1" applyFill="1" applyBorder="1" applyAlignment="1">
      <alignment horizontal="center" vertical="center" wrapText="1"/>
    </xf>
    <xf numFmtId="0" fontId="9" fillId="22" borderId="115" xfId="0" applyFont="1" applyFill="1" applyBorder="1" applyAlignment="1">
      <alignment horizontal="center" vertical="center"/>
    </xf>
    <xf numFmtId="0" fontId="9" fillId="22" borderId="52" xfId="0" applyFont="1" applyFill="1" applyBorder="1" applyAlignment="1">
      <alignment horizontal="center" vertical="center"/>
    </xf>
    <xf numFmtId="0" fontId="9" fillId="22" borderId="111" xfId="0" applyFont="1" applyFill="1" applyBorder="1" applyAlignment="1">
      <alignment horizontal="center" vertical="center"/>
    </xf>
    <xf numFmtId="0" fontId="21" fillId="11" borderId="160" xfId="0" applyFont="1" applyFill="1" applyBorder="1" applyAlignment="1">
      <alignment horizontal="center" vertical="center" wrapText="1"/>
    </xf>
    <xf numFmtId="0" fontId="21" fillId="11" borderId="245" xfId="0" applyFont="1" applyFill="1" applyBorder="1" applyAlignment="1">
      <alignment horizontal="center" vertical="center" wrapText="1"/>
    </xf>
    <xf numFmtId="0" fontId="21" fillId="11" borderId="205" xfId="0" applyFont="1" applyFill="1" applyBorder="1" applyAlignment="1">
      <alignment horizontal="center" vertical="center" wrapText="1"/>
    </xf>
    <xf numFmtId="0" fontId="21" fillId="0" borderId="243" xfId="0" applyFont="1" applyBorder="1" applyAlignment="1">
      <alignment horizontal="center" vertical="center" wrapText="1"/>
    </xf>
    <xf numFmtId="0" fontId="21" fillId="0" borderId="160" xfId="0" applyFont="1" applyBorder="1" applyAlignment="1">
      <alignment horizontal="center" vertical="center" wrapText="1"/>
    </xf>
    <xf numFmtId="0" fontId="21" fillId="0" borderId="245" xfId="0" applyFont="1" applyBorder="1" applyAlignment="1">
      <alignment horizontal="center" vertical="center" wrapText="1"/>
    </xf>
    <xf numFmtId="0" fontId="21" fillId="11" borderId="204" xfId="0" applyFont="1" applyFill="1" applyBorder="1" applyAlignment="1">
      <alignment horizontal="center" vertical="center" wrapText="1"/>
    </xf>
    <xf numFmtId="0" fontId="23" fillId="0" borderId="67" xfId="0" applyFont="1" applyBorder="1" applyAlignment="1">
      <alignment horizontal="center" vertical="center" wrapText="1"/>
    </xf>
    <xf numFmtId="0" fontId="23" fillId="0" borderId="68" xfId="0" applyFont="1" applyBorder="1" applyAlignment="1">
      <alignment horizontal="center" vertical="center" wrapText="1"/>
    </xf>
    <xf numFmtId="0" fontId="23" fillId="0" borderId="69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1" fillId="0" borderId="158" xfId="0" applyFont="1" applyBorder="1" applyAlignment="1">
      <alignment horizontal="center" vertical="center" wrapText="1"/>
    </xf>
    <xf numFmtId="0" fontId="21" fillId="0" borderId="159" xfId="0" applyFont="1" applyBorder="1" applyAlignment="1">
      <alignment horizontal="center" vertical="center" wrapText="1"/>
    </xf>
    <xf numFmtId="0" fontId="21" fillId="0" borderId="241" xfId="0" applyFont="1" applyBorder="1" applyAlignment="1">
      <alignment horizontal="center" vertical="center" wrapText="1"/>
    </xf>
    <xf numFmtId="0" fontId="21" fillId="0" borderId="205" xfId="0" applyFont="1" applyBorder="1" applyAlignment="1">
      <alignment horizontal="center" vertical="center" wrapText="1"/>
    </xf>
    <xf numFmtId="0" fontId="21" fillId="0" borderId="242" xfId="0" applyFont="1" applyBorder="1" applyAlignment="1">
      <alignment horizontal="center" vertical="center" wrapText="1"/>
    </xf>
    <xf numFmtId="0" fontId="21" fillId="11" borderId="97" xfId="0" applyFont="1" applyFill="1" applyBorder="1" applyAlignment="1">
      <alignment horizontal="center" vertical="center" wrapText="1"/>
    </xf>
    <xf numFmtId="0" fontId="21" fillId="11" borderId="241" xfId="0" applyFont="1" applyFill="1" applyBorder="1" applyAlignment="1">
      <alignment horizontal="center" vertical="center" wrapText="1"/>
    </xf>
    <xf numFmtId="0" fontId="21" fillId="0" borderId="97" xfId="0" applyFont="1" applyBorder="1" applyAlignment="1">
      <alignment horizontal="center" vertical="center" wrapText="1"/>
    </xf>
    <xf numFmtId="0" fontId="21" fillId="0" borderId="244" xfId="0" applyFont="1" applyBorder="1" applyAlignment="1">
      <alignment horizontal="center" vertical="center" wrapText="1"/>
    </xf>
    <xf numFmtId="0" fontId="21" fillId="11" borderId="240" xfId="0" applyFont="1" applyFill="1" applyBorder="1" applyAlignment="1">
      <alignment horizontal="center" vertical="center" wrapText="1"/>
    </xf>
    <xf numFmtId="0" fontId="14" fillId="11" borderId="43" xfId="0" applyFont="1" applyFill="1" applyBorder="1" applyAlignment="1">
      <alignment horizontal="center" vertical="center" wrapText="1"/>
    </xf>
    <xf numFmtId="0" fontId="14" fillId="11" borderId="44" xfId="0" applyFont="1" applyFill="1" applyBorder="1" applyAlignment="1">
      <alignment horizontal="center" vertical="center" wrapText="1"/>
    </xf>
    <xf numFmtId="0" fontId="21" fillId="0" borderId="160" xfId="0" applyFont="1" applyBorder="1" applyAlignment="1">
      <alignment horizontal="center" vertical="center"/>
    </xf>
    <xf numFmtId="0" fontId="1" fillId="11" borderId="134" xfId="0" applyFont="1" applyFill="1" applyBorder="1" applyAlignment="1">
      <alignment horizontal="center" vertical="center"/>
    </xf>
    <xf numFmtId="0" fontId="1" fillId="11" borderId="57" xfId="0" applyFont="1" applyFill="1" applyBorder="1" applyAlignment="1">
      <alignment horizontal="center" vertical="center"/>
    </xf>
    <xf numFmtId="0" fontId="1" fillId="11" borderId="139" xfId="0" applyFont="1" applyFill="1" applyBorder="1" applyAlignment="1">
      <alignment horizontal="center" vertical="center"/>
    </xf>
    <xf numFmtId="2" fontId="1" fillId="0" borderId="252" xfId="0" applyNumberFormat="1" applyFont="1" applyBorder="1" applyAlignment="1">
      <alignment horizontal="center" vertical="center"/>
    </xf>
    <xf numFmtId="2" fontId="1" fillId="0" borderId="269" xfId="0" applyNumberFormat="1" applyFont="1" applyBorder="1" applyAlignment="1">
      <alignment horizontal="center" vertical="center"/>
    </xf>
    <xf numFmtId="2" fontId="1" fillId="0" borderId="271" xfId="0" applyNumberFormat="1" applyFont="1" applyBorder="1" applyAlignment="1">
      <alignment horizontal="center" vertical="center"/>
    </xf>
    <xf numFmtId="0" fontId="2" fillId="0" borderId="161" xfId="0" applyFont="1" applyBorder="1" applyAlignment="1">
      <alignment horizontal="center" vertical="center"/>
    </xf>
    <xf numFmtId="0" fontId="2" fillId="0" borderId="268" xfId="0" applyFont="1" applyBorder="1" applyAlignment="1">
      <alignment horizontal="center" vertical="center"/>
    </xf>
    <xf numFmtId="0" fontId="2" fillId="0" borderId="270" xfId="0" applyFont="1" applyBorder="1" applyAlignment="1">
      <alignment horizontal="center" vertical="center"/>
    </xf>
    <xf numFmtId="0" fontId="2" fillId="0" borderId="134" xfId="0" applyFont="1" applyBorder="1" applyAlignment="1">
      <alignment horizontal="center" vertical="center"/>
    </xf>
    <xf numFmtId="0" fontId="2" fillId="0" borderId="57" xfId="0" applyFont="1" applyBorder="1" applyAlignment="1">
      <alignment horizontal="center" vertical="center"/>
    </xf>
    <xf numFmtId="0" fontId="2" fillId="0" borderId="139" xfId="0" applyFont="1" applyBorder="1" applyAlignment="1">
      <alignment horizontal="center" vertical="center"/>
    </xf>
    <xf numFmtId="0" fontId="1" fillId="0" borderId="136" xfId="0" applyFont="1" applyBorder="1" applyAlignment="1">
      <alignment horizontal="center" vertical="center"/>
    </xf>
    <xf numFmtId="0" fontId="1" fillId="0" borderId="108" xfId="0" applyFont="1" applyBorder="1" applyAlignment="1">
      <alignment horizontal="center" vertical="center"/>
    </xf>
    <xf numFmtId="0" fontId="1" fillId="0" borderId="140" xfId="0" applyFont="1" applyBorder="1" applyAlignment="1">
      <alignment horizontal="center" vertical="center"/>
    </xf>
    <xf numFmtId="0" fontId="1" fillId="0" borderId="229" xfId="0" applyFont="1" applyBorder="1" applyAlignment="1">
      <alignment horizontal="center" vertical="center"/>
    </xf>
    <xf numFmtId="0" fontId="1" fillId="0" borderId="235" xfId="0" applyFont="1" applyBorder="1" applyAlignment="1">
      <alignment horizontal="center" vertical="center"/>
    </xf>
    <xf numFmtId="0" fontId="1" fillId="0" borderId="228" xfId="0" applyFont="1" applyBorder="1" applyAlignment="1">
      <alignment horizontal="center" vertical="center"/>
    </xf>
    <xf numFmtId="0" fontId="1" fillId="0" borderId="134" xfId="0" applyFont="1" applyBorder="1" applyAlignment="1">
      <alignment horizontal="center" vertical="center"/>
    </xf>
    <xf numFmtId="0" fontId="1" fillId="0" borderId="57" xfId="0" applyFont="1" applyBorder="1" applyAlignment="1">
      <alignment horizontal="center" vertical="center"/>
    </xf>
    <xf numFmtId="0" fontId="1" fillId="0" borderId="139" xfId="0" applyFont="1" applyBorder="1" applyAlignment="1">
      <alignment horizontal="center" vertical="center"/>
    </xf>
    <xf numFmtId="2" fontId="1" fillId="11" borderId="169" xfId="0" applyNumberFormat="1" applyFont="1" applyFill="1" applyBorder="1" applyAlignment="1">
      <alignment horizontal="center" vertical="center"/>
    </xf>
    <xf numFmtId="2" fontId="1" fillId="11" borderId="171" xfId="0" applyNumberFormat="1" applyFont="1" applyFill="1" applyBorder="1" applyAlignment="1">
      <alignment horizontal="center" vertical="center"/>
    </xf>
    <xf numFmtId="2" fontId="1" fillId="11" borderId="167" xfId="0" applyNumberFormat="1" applyFont="1" applyFill="1" applyBorder="1" applyAlignment="1">
      <alignment horizontal="center" vertical="center"/>
    </xf>
    <xf numFmtId="2" fontId="1" fillId="11" borderId="134" xfId="0" applyNumberFormat="1" applyFont="1" applyFill="1" applyBorder="1" applyAlignment="1">
      <alignment horizontal="center" vertical="center"/>
    </xf>
    <xf numFmtId="2" fontId="1" fillId="11" borderId="57" xfId="0" applyNumberFormat="1" applyFont="1" applyFill="1" applyBorder="1" applyAlignment="1">
      <alignment horizontal="center" vertical="center"/>
    </xf>
    <xf numFmtId="0" fontId="1" fillId="0" borderId="137" xfId="0" applyFont="1" applyBorder="1" applyAlignment="1">
      <alignment horizontal="center" vertical="center"/>
    </xf>
    <xf numFmtId="0" fontId="1" fillId="0" borderId="109" xfId="0" applyFont="1" applyBorder="1" applyAlignment="1">
      <alignment horizontal="center" vertical="center"/>
    </xf>
    <xf numFmtId="0" fontId="1" fillId="0" borderId="141" xfId="0" applyFont="1" applyBorder="1" applyAlignment="1">
      <alignment horizontal="center" vertical="center"/>
    </xf>
    <xf numFmtId="2" fontId="1" fillId="11" borderId="170" xfId="0" applyNumberFormat="1" applyFont="1" applyFill="1" applyBorder="1" applyAlignment="1">
      <alignment horizontal="center" vertical="center"/>
    </xf>
    <xf numFmtId="2" fontId="1" fillId="11" borderId="155" xfId="0" applyNumberFormat="1" applyFont="1" applyFill="1" applyBorder="1" applyAlignment="1">
      <alignment horizontal="center" vertical="center"/>
    </xf>
    <xf numFmtId="0" fontId="1" fillId="0" borderId="58" xfId="0" applyFont="1" applyBorder="1" applyAlignment="1">
      <alignment horizontal="center" vertical="center"/>
    </xf>
    <xf numFmtId="0" fontId="1" fillId="0" borderId="120" xfId="0" applyFont="1" applyBorder="1" applyAlignment="1">
      <alignment horizontal="center" vertical="center"/>
    </xf>
    <xf numFmtId="2" fontId="1" fillId="0" borderId="229" xfId="0" applyNumberFormat="1" applyFont="1" applyBorder="1" applyAlignment="1">
      <alignment horizontal="center" vertical="center"/>
    </xf>
    <xf numFmtId="2" fontId="1" fillId="0" borderId="230" xfId="0" applyNumberFormat="1" applyFont="1" applyBorder="1" applyAlignment="1">
      <alignment horizontal="center" vertical="center"/>
    </xf>
    <xf numFmtId="2" fontId="1" fillId="0" borderId="232" xfId="0" applyNumberFormat="1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1" fillId="0" borderId="54" xfId="0" applyFont="1" applyBorder="1" applyAlignment="1">
      <alignment horizontal="center" vertical="center"/>
    </xf>
    <xf numFmtId="2" fontId="1" fillId="0" borderId="134" xfId="0" applyNumberFormat="1" applyFont="1" applyBorder="1" applyAlignment="1">
      <alignment horizontal="center" vertical="center"/>
    </xf>
    <xf numFmtId="2" fontId="1" fillId="0" borderId="51" xfId="0" applyNumberFormat="1" applyFont="1" applyBorder="1" applyAlignment="1">
      <alignment horizontal="center" vertical="center"/>
    </xf>
    <xf numFmtId="2" fontId="1" fillId="0" borderId="54" xfId="0" applyNumberFormat="1" applyFont="1" applyBorder="1" applyAlignment="1">
      <alignment horizontal="center" vertical="center"/>
    </xf>
    <xf numFmtId="1" fontId="1" fillId="0" borderId="134" xfId="0" applyNumberFormat="1" applyFont="1" applyBorder="1" applyAlignment="1">
      <alignment horizontal="center" vertical="center"/>
    </xf>
    <xf numFmtId="1" fontId="1" fillId="0" borderId="51" xfId="0" applyNumberFormat="1" applyFont="1" applyBorder="1" applyAlignment="1">
      <alignment horizontal="center" vertical="center"/>
    </xf>
    <xf numFmtId="1" fontId="1" fillId="0" borderId="54" xfId="0" applyNumberFormat="1" applyFont="1" applyBorder="1" applyAlignment="1">
      <alignment horizontal="center" vertical="center"/>
    </xf>
    <xf numFmtId="0" fontId="1" fillId="11" borderId="51" xfId="0" applyFont="1" applyFill="1" applyBorder="1" applyAlignment="1">
      <alignment horizontal="center" vertical="center"/>
    </xf>
    <xf numFmtId="0" fontId="1" fillId="11" borderId="54" xfId="0" applyFont="1" applyFill="1" applyBorder="1" applyAlignment="1">
      <alignment horizontal="center" vertical="center"/>
    </xf>
    <xf numFmtId="2" fontId="1" fillId="0" borderId="162" xfId="0" applyNumberFormat="1" applyFont="1" applyBorder="1" applyAlignment="1">
      <alignment horizontal="center" vertical="center"/>
    </xf>
    <xf numFmtId="0" fontId="1" fillId="0" borderId="230" xfId="0" applyFont="1" applyBorder="1" applyAlignment="1">
      <alignment horizontal="center" vertical="center"/>
    </xf>
    <xf numFmtId="0" fontId="1" fillId="0" borderId="232" xfId="0" applyFont="1" applyBorder="1" applyAlignment="1">
      <alignment horizontal="center" vertical="center"/>
    </xf>
    <xf numFmtId="2" fontId="1" fillId="0" borderId="267" xfId="0" applyNumberFormat="1" applyFont="1" applyBorder="1" applyAlignment="1">
      <alignment horizontal="center" vertical="center"/>
    </xf>
    <xf numFmtId="0" fontId="2" fillId="0" borderId="129" xfId="0" applyFont="1" applyBorder="1" applyAlignment="1">
      <alignment horizontal="center" vertical="center"/>
    </xf>
    <xf numFmtId="0" fontId="2" fillId="0" borderId="266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54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1" fillId="0" borderId="119" xfId="0" applyFont="1" applyBorder="1" applyAlignment="1">
      <alignment horizontal="center" vertical="center"/>
    </xf>
    <xf numFmtId="2" fontId="1" fillId="0" borderId="228" xfId="0" applyNumberFormat="1" applyFont="1" applyBorder="1" applyAlignment="1">
      <alignment horizontal="center" vertical="center"/>
    </xf>
    <xf numFmtId="2" fontId="1" fillId="0" borderId="139" xfId="0" applyNumberFormat="1" applyFont="1" applyBorder="1" applyAlignment="1">
      <alignment horizontal="center" vertical="center"/>
    </xf>
    <xf numFmtId="1" fontId="1" fillId="0" borderId="139" xfId="0" applyNumberFormat="1" applyFont="1" applyBorder="1" applyAlignment="1">
      <alignment horizontal="center" vertical="center"/>
    </xf>
    <xf numFmtId="2" fontId="1" fillId="0" borderId="235" xfId="0" applyNumberFormat="1" applyFont="1" applyBorder="1" applyAlignment="1">
      <alignment horizontal="center" vertical="center"/>
    </xf>
    <xf numFmtId="2" fontId="1" fillId="0" borderId="57" xfId="0" applyNumberFormat="1" applyFont="1" applyBorder="1" applyAlignment="1">
      <alignment horizontal="center" vertical="center"/>
    </xf>
    <xf numFmtId="1" fontId="1" fillId="0" borderId="57" xfId="0" applyNumberFormat="1" applyFont="1" applyBorder="1" applyAlignment="1">
      <alignment horizontal="center" vertical="center"/>
    </xf>
    <xf numFmtId="0" fontId="57" fillId="0" borderId="67" xfId="0" applyFont="1" applyBorder="1" applyAlignment="1">
      <alignment horizontal="center" vertical="center"/>
    </xf>
    <xf numFmtId="0" fontId="57" fillId="0" borderId="68" xfId="0" applyFont="1" applyBorder="1" applyAlignment="1">
      <alignment horizontal="center" vertical="center"/>
    </xf>
    <xf numFmtId="0" fontId="57" fillId="0" borderId="69" xfId="0" applyFont="1" applyBorder="1" applyAlignment="1">
      <alignment horizontal="center" vertical="center"/>
    </xf>
    <xf numFmtId="0" fontId="2" fillId="0" borderId="255" xfId="0" applyFont="1" applyBorder="1" applyAlignment="1">
      <alignment horizontal="center" vertical="center" wrapText="1"/>
    </xf>
    <xf numFmtId="0" fontId="2" fillId="0" borderId="202" xfId="0" applyFont="1" applyBorder="1" applyAlignment="1">
      <alignment horizontal="center" vertical="center" wrapText="1"/>
    </xf>
    <xf numFmtId="0" fontId="2" fillId="0" borderId="43" xfId="0" applyFont="1" applyBorder="1" applyAlignment="1">
      <alignment horizontal="center" vertical="center" wrapText="1"/>
    </xf>
    <xf numFmtId="2" fontId="1" fillId="0" borderId="248" xfId="0" applyNumberFormat="1" applyFont="1" applyBorder="1" applyAlignment="1">
      <alignment horizontal="center" vertical="center"/>
    </xf>
    <xf numFmtId="2" fontId="1" fillId="0" borderId="221" xfId="0" applyNumberFormat="1" applyFont="1" applyBorder="1" applyAlignment="1">
      <alignment horizontal="center" vertical="center"/>
    </xf>
    <xf numFmtId="2" fontId="1" fillId="0" borderId="251" xfId="0" applyNumberFormat="1" applyFont="1" applyBorder="1" applyAlignment="1">
      <alignment horizontal="center" vertical="center"/>
    </xf>
    <xf numFmtId="2" fontId="1" fillId="0" borderId="195" xfId="0" applyNumberFormat="1" applyFont="1" applyBorder="1" applyAlignment="1">
      <alignment horizontal="center" vertical="center"/>
    </xf>
    <xf numFmtId="2" fontId="1" fillId="0" borderId="55" xfId="0" applyNumberFormat="1" applyFont="1" applyBorder="1" applyAlignment="1">
      <alignment horizontal="center" vertical="center"/>
    </xf>
    <xf numFmtId="2" fontId="1" fillId="0" borderId="259" xfId="0" applyNumberFormat="1" applyFont="1" applyBorder="1" applyAlignment="1">
      <alignment horizontal="center" vertical="center"/>
    </xf>
    <xf numFmtId="2" fontId="1" fillId="0" borderId="233" xfId="0" applyNumberFormat="1" applyFont="1" applyBorder="1" applyAlignment="1">
      <alignment horizontal="center" vertical="center"/>
    </xf>
    <xf numFmtId="2" fontId="1" fillId="0" borderId="261" xfId="0" applyNumberFormat="1" applyFont="1" applyBorder="1" applyAlignment="1">
      <alignment horizontal="center" vertical="center"/>
    </xf>
    <xf numFmtId="2" fontId="1" fillId="0" borderId="247" xfId="0" applyNumberFormat="1" applyFont="1" applyBorder="1" applyAlignment="1">
      <alignment horizontal="center" vertical="center"/>
    </xf>
    <xf numFmtId="2" fontId="1" fillId="0" borderId="99" xfId="0" applyNumberFormat="1" applyFont="1" applyBorder="1" applyAlignment="1">
      <alignment horizontal="center" vertical="center"/>
    </xf>
    <xf numFmtId="2" fontId="1" fillId="0" borderId="250" xfId="0" applyNumberFormat="1" applyFont="1" applyBorder="1" applyAlignment="1">
      <alignment horizontal="center" vertical="center"/>
    </xf>
    <xf numFmtId="1" fontId="1" fillId="0" borderId="247" xfId="0" applyNumberFormat="1" applyFont="1" applyBorder="1" applyAlignment="1">
      <alignment horizontal="center" vertical="center"/>
    </xf>
    <xf numFmtId="1" fontId="1" fillId="0" borderId="99" xfId="0" applyNumberFormat="1" applyFont="1" applyBorder="1" applyAlignment="1">
      <alignment horizontal="center" vertical="center"/>
    </xf>
    <xf numFmtId="1" fontId="1" fillId="0" borderId="250" xfId="0" applyNumberFormat="1" applyFont="1" applyBorder="1" applyAlignment="1">
      <alignment horizontal="center" vertical="center"/>
    </xf>
    <xf numFmtId="0" fontId="1" fillId="0" borderId="247" xfId="0" applyFont="1" applyBorder="1" applyAlignment="1">
      <alignment horizontal="center" vertical="center"/>
    </xf>
    <xf numFmtId="0" fontId="1" fillId="0" borderId="99" xfId="0" applyFont="1" applyBorder="1" applyAlignment="1">
      <alignment horizontal="center" vertical="center"/>
    </xf>
    <xf numFmtId="0" fontId="1" fillId="0" borderId="250" xfId="0" applyFont="1" applyBorder="1" applyAlignment="1">
      <alignment horizontal="center" vertical="center"/>
    </xf>
    <xf numFmtId="2" fontId="1" fillId="11" borderId="247" xfId="0" applyNumberFormat="1" applyFont="1" applyFill="1" applyBorder="1" applyAlignment="1">
      <alignment horizontal="center" vertical="center"/>
    </xf>
    <xf numFmtId="2" fontId="1" fillId="11" borderId="99" xfId="0" applyNumberFormat="1" applyFont="1" applyFill="1" applyBorder="1" applyAlignment="1">
      <alignment horizontal="center" vertical="center"/>
    </xf>
    <xf numFmtId="2" fontId="1" fillId="11" borderId="250" xfId="0" applyNumberFormat="1" applyFont="1" applyFill="1" applyBorder="1" applyAlignment="1">
      <alignment horizontal="center" vertical="center"/>
    </xf>
    <xf numFmtId="0" fontId="2" fillId="0" borderId="246" xfId="0" applyFont="1" applyBorder="1" applyAlignment="1">
      <alignment horizontal="center" vertical="center"/>
    </xf>
    <xf numFmtId="0" fontId="2" fillId="0" borderId="56" xfId="0" applyFont="1" applyBorder="1" applyAlignment="1">
      <alignment horizontal="center" vertical="center"/>
    </xf>
    <xf numFmtId="0" fontId="2" fillId="0" borderId="249" xfId="0" applyFont="1" applyBorder="1" applyAlignment="1">
      <alignment horizontal="center" vertical="center"/>
    </xf>
    <xf numFmtId="0" fontId="2" fillId="0" borderId="247" xfId="0" applyFont="1" applyBorder="1" applyAlignment="1">
      <alignment horizontal="center" vertical="center"/>
    </xf>
    <xf numFmtId="0" fontId="2" fillId="0" borderId="99" xfId="0" applyFont="1" applyBorder="1" applyAlignment="1">
      <alignment horizontal="center" vertical="center"/>
    </xf>
    <xf numFmtId="0" fontId="2" fillId="0" borderId="250" xfId="0" applyFont="1" applyBorder="1" applyAlignment="1">
      <alignment horizontal="center" vertical="center"/>
    </xf>
    <xf numFmtId="0" fontId="1" fillId="0" borderId="259" xfId="0" applyFont="1" applyBorder="1" applyAlignment="1">
      <alignment horizontal="center" vertical="center"/>
    </xf>
    <xf numFmtId="0" fontId="1" fillId="0" borderId="233" xfId="0" applyFont="1" applyBorder="1" applyAlignment="1">
      <alignment horizontal="center" vertical="center"/>
    </xf>
    <xf numFmtId="0" fontId="1" fillId="0" borderId="261" xfId="0" applyFont="1" applyBorder="1" applyAlignment="1">
      <alignment horizontal="center" vertical="center"/>
    </xf>
    <xf numFmtId="0" fontId="1" fillId="0" borderId="254" xfId="0" applyFont="1" applyBorder="1" applyAlignment="1">
      <alignment horizontal="center" vertical="center"/>
    </xf>
    <xf numFmtId="0" fontId="1" fillId="0" borderId="173" xfId="0" applyFont="1" applyBorder="1" applyAlignment="1">
      <alignment horizontal="center" vertical="center"/>
    </xf>
    <xf numFmtId="0" fontId="1" fillId="0" borderId="238" xfId="0" applyFont="1" applyBorder="1" applyAlignment="1">
      <alignment horizontal="center" vertical="center"/>
    </xf>
    <xf numFmtId="2" fontId="1" fillId="11" borderId="260" xfId="0" applyNumberFormat="1" applyFont="1" applyFill="1" applyBorder="1" applyAlignment="1">
      <alignment horizontal="center" vertical="center"/>
    </xf>
    <xf numFmtId="2" fontId="1" fillId="11" borderId="163" xfId="0" applyNumberFormat="1" applyFont="1" applyFill="1" applyBorder="1" applyAlignment="1">
      <alignment horizontal="center" vertical="center"/>
    </xf>
    <xf numFmtId="2" fontId="1" fillId="11" borderId="262" xfId="0" applyNumberFormat="1" applyFont="1" applyFill="1" applyBorder="1" applyAlignment="1">
      <alignment horizontal="center" vertical="center"/>
    </xf>
    <xf numFmtId="0" fontId="1" fillId="11" borderId="99" xfId="0" applyFont="1" applyFill="1" applyBorder="1" applyAlignment="1">
      <alignment horizontal="center" vertical="center"/>
    </xf>
    <xf numFmtId="0" fontId="1" fillId="11" borderId="250" xfId="0" applyFont="1" applyFill="1" applyBorder="1" applyAlignment="1">
      <alignment horizontal="center" vertical="center"/>
    </xf>
    <xf numFmtId="0" fontId="1" fillId="0" borderId="26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36" xfId="0" applyFont="1" applyBorder="1" applyAlignment="1">
      <alignment horizontal="center" vertical="center"/>
    </xf>
    <xf numFmtId="0" fontId="2" fillId="2" borderId="70" xfId="0" applyFont="1" applyFill="1" applyBorder="1" applyAlignment="1">
      <alignment horizontal="center" vertical="center"/>
    </xf>
    <xf numFmtId="0" fontId="2" fillId="2" borderId="56" xfId="0" applyFont="1" applyFill="1" applyBorder="1" applyAlignment="1">
      <alignment horizontal="center" vertical="center"/>
    </xf>
    <xf numFmtId="0" fontId="2" fillId="2" borderId="98" xfId="0" applyFont="1" applyFill="1" applyBorder="1" applyAlignment="1">
      <alignment horizontal="center" vertical="center" wrapText="1"/>
    </xf>
    <xf numFmtId="0" fontId="2" fillId="2" borderId="99" xfId="0" applyFont="1" applyFill="1" applyBorder="1" applyAlignment="1">
      <alignment horizontal="center" vertical="center" wrapText="1"/>
    </xf>
    <xf numFmtId="0" fontId="2" fillId="2" borderId="105" xfId="0" applyFont="1" applyFill="1" applyBorder="1" applyAlignment="1">
      <alignment horizontal="center" vertical="center" wrapText="1"/>
    </xf>
    <xf numFmtId="0" fontId="2" fillId="2" borderId="173" xfId="0" applyFont="1" applyFill="1" applyBorder="1" applyAlignment="1">
      <alignment horizontal="center" vertical="center" wrapText="1"/>
    </xf>
    <xf numFmtId="0" fontId="2" fillId="0" borderId="242" xfId="0" applyFont="1" applyBorder="1" applyAlignment="1">
      <alignment horizontal="center" vertical="center"/>
    </xf>
    <xf numFmtId="0" fontId="2" fillId="0" borderId="97" xfId="0" applyFont="1" applyBorder="1" applyAlignment="1">
      <alignment horizontal="center" vertical="center"/>
    </xf>
    <xf numFmtId="0" fontId="2" fillId="0" borderId="244" xfId="0" applyFont="1" applyBorder="1" applyAlignment="1">
      <alignment horizontal="center" vertical="center"/>
    </xf>
    <xf numFmtId="0" fontId="2" fillId="0" borderId="7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28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1" fillId="0" borderId="231" xfId="0" applyFont="1" applyBorder="1" applyAlignment="1">
      <alignment horizontal="center" vertical="center"/>
    </xf>
    <xf numFmtId="0" fontId="1" fillId="0" borderId="111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2" fontId="1" fillId="11" borderId="156" xfId="0" applyNumberFormat="1" applyFont="1" applyFill="1" applyBorder="1" applyAlignment="1">
      <alignment horizontal="center" vertical="center"/>
    </xf>
    <xf numFmtId="0" fontId="1" fillId="11" borderId="53" xfId="0" applyFont="1" applyFill="1" applyBorder="1" applyAlignment="1">
      <alignment horizontal="center" vertical="center"/>
    </xf>
    <xf numFmtId="0" fontId="2" fillId="0" borderId="148" xfId="0" applyFont="1" applyBorder="1" applyAlignment="1">
      <alignment horizontal="center" vertical="center"/>
    </xf>
    <xf numFmtId="0" fontId="2" fillId="0" borderId="265" xfId="0" applyFont="1" applyBorder="1" applyAlignment="1">
      <alignment horizontal="center" vertical="center"/>
    </xf>
    <xf numFmtId="0" fontId="1" fillId="0" borderId="122" xfId="0" applyFont="1" applyBorder="1" applyAlignment="1">
      <alignment horizontal="center" vertical="center"/>
    </xf>
    <xf numFmtId="0" fontId="1" fillId="0" borderId="264" xfId="0" applyFont="1" applyBorder="1" applyAlignment="1">
      <alignment horizontal="center" vertical="center"/>
    </xf>
    <xf numFmtId="0" fontId="1" fillId="0" borderId="265" xfId="0" applyFont="1" applyBorder="1" applyAlignment="1">
      <alignment horizontal="center" vertical="center"/>
    </xf>
    <xf numFmtId="0" fontId="1" fillId="0" borderId="112" xfId="0" applyFont="1" applyBorder="1" applyAlignment="1">
      <alignment horizontal="center" vertical="center"/>
    </xf>
    <xf numFmtId="2" fontId="1" fillId="0" borderId="231" xfId="0" applyNumberFormat="1" applyFont="1" applyBorder="1" applyAlignment="1">
      <alignment horizontal="center" vertical="center"/>
    </xf>
    <xf numFmtId="2" fontId="1" fillId="0" borderId="53" xfId="0" applyNumberFormat="1" applyFont="1" applyBorder="1" applyAlignment="1">
      <alignment horizontal="center" vertical="center"/>
    </xf>
    <xf numFmtId="1" fontId="1" fillId="0" borderId="53" xfId="0" applyNumberFormat="1" applyFont="1" applyBorder="1" applyAlignment="1">
      <alignment horizontal="center" vertical="center"/>
    </xf>
    <xf numFmtId="0" fontId="2" fillId="0" borderId="256" xfId="0" applyFont="1" applyBorder="1" applyAlignment="1">
      <alignment horizontal="center" vertical="center" wrapText="1"/>
    </xf>
    <xf numFmtId="0" fontId="2" fillId="0" borderId="265" xfId="0" quotePrefix="1" applyFont="1" applyBorder="1" applyAlignment="1">
      <alignment horizontal="center" vertical="center"/>
    </xf>
    <xf numFmtId="2" fontId="1" fillId="11" borderId="272" xfId="0" applyNumberFormat="1" applyFont="1" applyFill="1" applyBorder="1" applyAlignment="1">
      <alignment horizontal="center" vertical="center"/>
    </xf>
    <xf numFmtId="0" fontId="2" fillId="0" borderId="134" xfId="0" quotePrefix="1" applyFont="1" applyBorder="1" applyAlignment="1">
      <alignment horizontal="center" vertical="center"/>
    </xf>
    <xf numFmtId="0" fontId="1" fillId="11" borderId="265" xfId="0" applyFont="1" applyFill="1" applyBorder="1" applyAlignment="1">
      <alignment horizontal="center" vertical="center"/>
    </xf>
    <xf numFmtId="2" fontId="1" fillId="11" borderId="265" xfId="0" applyNumberFormat="1" applyFont="1" applyFill="1" applyBorder="1" applyAlignment="1">
      <alignment horizontal="center" vertical="center"/>
    </xf>
    <xf numFmtId="0" fontId="1" fillId="0" borderId="123" xfId="0" applyFont="1" applyBorder="1" applyAlignment="1">
      <alignment horizontal="center" vertical="center"/>
    </xf>
    <xf numFmtId="2" fontId="1" fillId="0" borderId="264" xfId="0" applyNumberFormat="1" applyFont="1" applyBorder="1" applyAlignment="1">
      <alignment horizontal="center" vertical="center"/>
    </xf>
    <xf numFmtId="2" fontId="1" fillId="0" borderId="265" xfId="0" applyNumberFormat="1" applyFont="1" applyBorder="1" applyAlignment="1">
      <alignment horizontal="center" vertical="center"/>
    </xf>
    <xf numFmtId="1" fontId="1" fillId="0" borderId="265" xfId="0" applyNumberFormat="1" applyFont="1" applyBorder="1" applyAlignment="1">
      <alignment horizontal="center" vertical="center"/>
    </xf>
    <xf numFmtId="0" fontId="2" fillId="2" borderId="36" xfId="0" applyFont="1" applyFill="1" applyBorder="1" applyAlignment="1">
      <alignment horizontal="right" vertical="center" wrapText="1" indent="1"/>
    </xf>
    <xf numFmtId="0" fontId="2" fillId="2" borderId="202" xfId="0" applyFont="1" applyFill="1" applyBorder="1" applyAlignment="1">
      <alignment horizontal="right" vertical="center" wrapText="1" indent="1"/>
    </xf>
    <xf numFmtId="0" fontId="2" fillId="2" borderId="43" xfId="0" applyFont="1" applyFill="1" applyBorder="1" applyAlignment="1">
      <alignment horizontal="right" vertical="center" wrapText="1" indent="1"/>
    </xf>
    <xf numFmtId="0" fontId="30" fillId="2" borderId="274" xfId="0" applyFont="1" applyFill="1" applyBorder="1" applyAlignment="1">
      <alignment horizontal="center" vertical="center"/>
    </xf>
    <xf numFmtId="0" fontId="30" fillId="2" borderId="173" xfId="0" applyFont="1" applyFill="1" applyBorder="1" applyAlignment="1">
      <alignment horizontal="center" vertical="center"/>
    </xf>
    <xf numFmtId="0" fontId="30" fillId="2" borderId="114" xfId="0" applyFont="1" applyFill="1" applyBorder="1" applyAlignment="1">
      <alignment horizontal="center" vertical="center"/>
    </xf>
    <xf numFmtId="0" fontId="62" fillId="0" borderId="0" xfId="0" applyFont="1" applyAlignment="1">
      <alignment horizontal="left"/>
    </xf>
    <xf numFmtId="0" fontId="1" fillId="3" borderId="66" xfId="0" applyFont="1" applyFill="1" applyBorder="1" applyAlignment="1">
      <alignment horizontal="left" vertical="top" wrapText="1"/>
    </xf>
    <xf numFmtId="0" fontId="1" fillId="3" borderId="26" xfId="0" applyFont="1" applyFill="1" applyBorder="1" applyAlignment="1">
      <alignment horizontal="left" vertical="top" wrapText="1"/>
    </xf>
    <xf numFmtId="0" fontId="1" fillId="3" borderId="62" xfId="0" applyFont="1" applyFill="1" applyBorder="1" applyAlignment="1">
      <alignment horizontal="left" vertical="top" wrapText="1"/>
    </xf>
    <xf numFmtId="0" fontId="1" fillId="3" borderId="24" xfId="0" applyFont="1" applyFill="1" applyBorder="1" applyAlignment="1">
      <alignment horizontal="left" vertical="top" wrapText="1"/>
    </xf>
    <xf numFmtId="0" fontId="1" fillId="3" borderId="0" xfId="0" applyFont="1" applyFill="1" applyAlignment="1">
      <alignment horizontal="left" vertical="top" wrapText="1"/>
    </xf>
    <xf numFmtId="0" fontId="1" fillId="3" borderId="30" xfId="0" applyFont="1" applyFill="1" applyBorder="1" applyAlignment="1">
      <alignment horizontal="left" vertical="top" wrapText="1"/>
    </xf>
    <xf numFmtId="0" fontId="1" fillId="3" borderId="82" xfId="0" applyFont="1" applyFill="1" applyBorder="1" applyAlignment="1">
      <alignment horizontal="left" vertical="top" wrapText="1"/>
    </xf>
    <xf numFmtId="0" fontId="1" fillId="3" borderId="31" xfId="0" applyFont="1" applyFill="1" applyBorder="1" applyAlignment="1">
      <alignment horizontal="left" vertical="top" wrapText="1"/>
    </xf>
    <xf numFmtId="0" fontId="1" fillId="3" borderId="83" xfId="0" applyFont="1" applyFill="1" applyBorder="1" applyAlignment="1">
      <alignment horizontal="left" vertical="top" wrapText="1"/>
    </xf>
    <xf numFmtId="0" fontId="1" fillId="4" borderId="66" xfId="0" applyFont="1" applyFill="1" applyBorder="1" applyAlignment="1">
      <alignment horizontal="left" vertical="top" wrapText="1"/>
    </xf>
    <xf numFmtId="0" fontId="1" fillId="4" borderId="26" xfId="0" applyFont="1" applyFill="1" applyBorder="1" applyAlignment="1">
      <alignment horizontal="left" vertical="top" wrapText="1"/>
    </xf>
    <xf numFmtId="0" fontId="1" fillId="4" borderId="62" xfId="0" applyFont="1" applyFill="1" applyBorder="1" applyAlignment="1">
      <alignment horizontal="left" vertical="top" wrapText="1"/>
    </xf>
    <xf numFmtId="0" fontId="1" fillId="4" borderId="24" xfId="0" applyFont="1" applyFill="1" applyBorder="1" applyAlignment="1">
      <alignment horizontal="left" vertical="top" wrapText="1"/>
    </xf>
    <xf numFmtId="0" fontId="1" fillId="4" borderId="0" xfId="0" applyFont="1" applyFill="1" applyAlignment="1">
      <alignment horizontal="left" vertical="top" wrapText="1"/>
    </xf>
    <xf numFmtId="0" fontId="1" fillId="4" borderId="30" xfId="0" applyFont="1" applyFill="1" applyBorder="1" applyAlignment="1">
      <alignment horizontal="left" vertical="top" wrapText="1"/>
    </xf>
    <xf numFmtId="0" fontId="1" fillId="4" borderId="82" xfId="0" applyFont="1" applyFill="1" applyBorder="1" applyAlignment="1">
      <alignment horizontal="left" vertical="top" wrapText="1"/>
    </xf>
    <xf numFmtId="0" fontId="1" fillId="4" borderId="31" xfId="0" applyFont="1" applyFill="1" applyBorder="1" applyAlignment="1">
      <alignment horizontal="left" vertical="top" wrapText="1"/>
    </xf>
    <xf numFmtId="0" fontId="1" fillId="4" borderId="83" xfId="0" applyFont="1" applyFill="1" applyBorder="1" applyAlignment="1">
      <alignment horizontal="left" vertical="top" wrapText="1"/>
    </xf>
    <xf numFmtId="0" fontId="2" fillId="0" borderId="0" xfId="0" applyFont="1" applyAlignment="1">
      <alignment horizontal="center" vertical="center"/>
    </xf>
    <xf numFmtId="0" fontId="2" fillId="3" borderId="33" xfId="0" applyFont="1" applyFill="1" applyBorder="1" applyAlignment="1">
      <alignment horizontal="center" vertical="center" wrapText="1"/>
    </xf>
    <xf numFmtId="0" fontId="2" fillId="3" borderId="34" xfId="0" applyFont="1" applyFill="1" applyBorder="1" applyAlignment="1">
      <alignment horizontal="center" vertical="center" wrapText="1"/>
    </xf>
    <xf numFmtId="0" fontId="2" fillId="3" borderId="35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" fillId="3" borderId="71" xfId="0" applyFont="1" applyFill="1" applyBorder="1" applyAlignment="1">
      <alignment horizontal="left" vertical="center" wrapText="1" indent="1"/>
    </xf>
    <xf numFmtId="0" fontId="1" fillId="3" borderId="72" xfId="0" quotePrefix="1" applyFont="1" applyFill="1" applyBorder="1" applyAlignment="1">
      <alignment horizontal="left" vertical="center" wrapText="1" indent="1"/>
    </xf>
    <xf numFmtId="0" fontId="1" fillId="3" borderId="84" xfId="0" quotePrefix="1" applyFont="1" applyFill="1" applyBorder="1" applyAlignment="1">
      <alignment horizontal="left" vertical="center" wrapText="1" indent="1"/>
    </xf>
    <xf numFmtId="0" fontId="1" fillId="3" borderId="75" xfId="0" quotePrefix="1" applyFont="1" applyFill="1" applyBorder="1" applyAlignment="1">
      <alignment horizontal="left" vertical="center" wrapText="1" indent="1"/>
    </xf>
    <xf numFmtId="0" fontId="1" fillId="3" borderId="85" xfId="0" quotePrefix="1" applyFont="1" applyFill="1" applyBorder="1" applyAlignment="1">
      <alignment horizontal="left" vertical="center" wrapText="1" indent="1"/>
    </xf>
    <xf numFmtId="0" fontId="1" fillId="3" borderId="86" xfId="0" quotePrefix="1" applyFont="1" applyFill="1" applyBorder="1" applyAlignment="1">
      <alignment horizontal="left" vertical="center" wrapText="1" indent="1"/>
    </xf>
    <xf numFmtId="0" fontId="1" fillId="4" borderId="71" xfId="0" applyFont="1" applyFill="1" applyBorder="1" applyAlignment="1">
      <alignment horizontal="left" vertical="center" wrapText="1" indent="1"/>
    </xf>
    <xf numFmtId="0" fontId="1" fillId="4" borderId="72" xfId="0" quotePrefix="1" applyFont="1" applyFill="1" applyBorder="1" applyAlignment="1">
      <alignment horizontal="left" vertical="center" wrapText="1" indent="1"/>
    </xf>
    <xf numFmtId="0" fontId="1" fillId="4" borderId="84" xfId="0" quotePrefix="1" applyFont="1" applyFill="1" applyBorder="1" applyAlignment="1">
      <alignment horizontal="left" vertical="center" wrapText="1" indent="1"/>
    </xf>
    <xf numFmtId="0" fontId="1" fillId="4" borderId="75" xfId="0" quotePrefix="1" applyFont="1" applyFill="1" applyBorder="1" applyAlignment="1">
      <alignment horizontal="left" vertical="center" wrapText="1" indent="1"/>
    </xf>
    <xf numFmtId="0" fontId="1" fillId="4" borderId="85" xfId="0" quotePrefix="1" applyFont="1" applyFill="1" applyBorder="1" applyAlignment="1">
      <alignment horizontal="left" vertical="center" wrapText="1" indent="1"/>
    </xf>
    <xf numFmtId="0" fontId="1" fillId="4" borderId="86" xfId="0" quotePrefix="1" applyFont="1" applyFill="1" applyBorder="1" applyAlignment="1">
      <alignment horizontal="left" vertical="center" wrapText="1" indent="1"/>
    </xf>
    <xf numFmtId="0" fontId="9" fillId="9" borderId="76" xfId="0" applyFont="1" applyFill="1" applyBorder="1" applyAlignment="1">
      <alignment horizontal="center" vertical="center"/>
    </xf>
    <xf numFmtId="0" fontId="9" fillId="9" borderId="68" xfId="0" applyFont="1" applyFill="1" applyBorder="1" applyAlignment="1">
      <alignment horizontal="center" vertical="center"/>
    </xf>
    <xf numFmtId="0" fontId="9" fillId="9" borderId="81" xfId="0" applyFont="1" applyFill="1" applyBorder="1" applyAlignment="1">
      <alignment horizontal="center" vertical="center"/>
    </xf>
    <xf numFmtId="0" fontId="2" fillId="4" borderId="33" xfId="0" applyFont="1" applyFill="1" applyBorder="1" applyAlignment="1">
      <alignment horizontal="center" vertical="center" wrapText="1"/>
    </xf>
    <xf numFmtId="0" fontId="2" fillId="4" borderId="34" xfId="0" applyFont="1" applyFill="1" applyBorder="1" applyAlignment="1">
      <alignment horizontal="center" vertical="center" wrapText="1"/>
    </xf>
    <xf numFmtId="0" fontId="2" fillId="4" borderId="35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 wrapText="1"/>
    </xf>
    <xf numFmtId="0" fontId="11" fillId="5" borderId="9" xfId="0" applyFont="1" applyFill="1" applyBorder="1" applyAlignment="1">
      <alignment horizontal="center" vertical="center" wrapText="1"/>
    </xf>
    <xf numFmtId="0" fontId="11" fillId="5" borderId="21" xfId="0" applyFont="1" applyFill="1" applyBorder="1" applyAlignment="1">
      <alignment horizontal="center" vertical="center" wrapText="1"/>
    </xf>
    <xf numFmtId="0" fontId="2" fillId="5" borderId="33" xfId="0" applyFont="1" applyFill="1" applyBorder="1" applyAlignment="1">
      <alignment horizontal="center" vertical="center" wrapText="1"/>
    </xf>
    <xf numFmtId="0" fontId="2" fillId="5" borderId="34" xfId="0" applyFont="1" applyFill="1" applyBorder="1" applyAlignment="1">
      <alignment horizontal="center" vertical="center" wrapText="1"/>
    </xf>
    <xf numFmtId="0" fontId="2" fillId="5" borderId="35" xfId="0" applyFont="1" applyFill="1" applyBorder="1" applyAlignment="1">
      <alignment horizontal="center" vertical="center" wrapText="1"/>
    </xf>
    <xf numFmtId="0" fontId="1" fillId="5" borderId="71" xfId="0" applyFont="1" applyFill="1" applyBorder="1" applyAlignment="1">
      <alignment horizontal="left" vertical="center" wrapText="1" indent="1"/>
    </xf>
    <xf numFmtId="0" fontId="1" fillId="5" borderId="72" xfId="0" quotePrefix="1" applyFont="1" applyFill="1" applyBorder="1" applyAlignment="1">
      <alignment horizontal="left" vertical="center" wrapText="1" indent="1"/>
    </xf>
    <xf numFmtId="0" fontId="1" fillId="5" borderId="84" xfId="0" quotePrefix="1" applyFont="1" applyFill="1" applyBorder="1" applyAlignment="1">
      <alignment horizontal="left" vertical="center" wrapText="1" indent="1"/>
    </xf>
    <xf numFmtId="0" fontId="2" fillId="0" borderId="31" xfId="0" applyFont="1" applyBorder="1" applyAlignment="1">
      <alignment horizontal="center" vertical="center"/>
    </xf>
    <xf numFmtId="0" fontId="2" fillId="5" borderId="61" xfId="0" applyFont="1" applyFill="1" applyBorder="1" applyAlignment="1">
      <alignment horizontal="center" vertical="center" wrapText="1"/>
    </xf>
    <xf numFmtId="0" fontId="2" fillId="5" borderId="60" xfId="0" applyFont="1" applyFill="1" applyBorder="1" applyAlignment="1">
      <alignment horizontal="center" vertical="center" wrapText="1"/>
    </xf>
    <xf numFmtId="0" fontId="2" fillId="5" borderId="48" xfId="0" applyFont="1" applyFill="1" applyBorder="1" applyAlignment="1">
      <alignment horizontal="center" vertical="center" wrapText="1"/>
    </xf>
    <xf numFmtId="0" fontId="1" fillId="5" borderId="76" xfId="0" applyFont="1" applyFill="1" applyBorder="1" applyAlignment="1">
      <alignment horizontal="left" vertical="center" wrapText="1" indent="1"/>
    </xf>
    <xf numFmtId="0" fontId="1" fillId="5" borderId="68" xfId="0" quotePrefix="1" applyFont="1" applyFill="1" applyBorder="1" applyAlignment="1">
      <alignment horizontal="left" vertical="center" wrapText="1" indent="1"/>
    </xf>
    <xf numFmtId="0" fontId="1" fillId="5" borderId="81" xfId="0" quotePrefix="1" applyFont="1" applyFill="1" applyBorder="1" applyAlignment="1">
      <alignment horizontal="left" vertical="center" wrapText="1" indent="1"/>
    </xf>
    <xf numFmtId="0" fontId="9" fillId="5" borderId="5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9" fillId="5" borderId="20" xfId="0" applyFont="1" applyFill="1" applyBorder="1" applyAlignment="1">
      <alignment horizontal="center" vertical="center" wrapText="1"/>
    </xf>
    <xf numFmtId="0" fontId="1" fillId="5" borderId="72" xfId="0" applyFont="1" applyFill="1" applyBorder="1" applyAlignment="1">
      <alignment horizontal="left" vertical="center" wrapText="1" indent="1"/>
    </xf>
    <xf numFmtId="0" fontId="1" fillId="5" borderId="84" xfId="0" applyFont="1" applyFill="1" applyBorder="1" applyAlignment="1">
      <alignment horizontal="left" vertical="center" wrapText="1" indent="1"/>
    </xf>
    <xf numFmtId="0" fontId="1" fillId="5" borderId="24" xfId="0" applyFont="1" applyFill="1" applyBorder="1" applyAlignment="1">
      <alignment horizontal="left" vertical="center" wrapText="1" indent="1"/>
    </xf>
    <xf numFmtId="0" fontId="1" fillId="5" borderId="0" xfId="0" applyFont="1" applyFill="1" applyAlignment="1">
      <alignment horizontal="left" vertical="center" wrapText="1" indent="1"/>
    </xf>
    <xf numFmtId="0" fontId="1" fillId="5" borderId="30" xfId="0" applyFont="1" applyFill="1" applyBorder="1" applyAlignment="1">
      <alignment horizontal="left" vertical="center" wrapText="1" indent="1"/>
    </xf>
    <xf numFmtId="0" fontId="1" fillId="5" borderId="82" xfId="0" applyFont="1" applyFill="1" applyBorder="1" applyAlignment="1">
      <alignment horizontal="left" vertical="center" wrapText="1" indent="1"/>
    </xf>
    <xf numFmtId="0" fontId="1" fillId="5" borderId="31" xfId="0" applyFont="1" applyFill="1" applyBorder="1" applyAlignment="1">
      <alignment horizontal="left" vertical="center" wrapText="1" indent="1"/>
    </xf>
    <xf numFmtId="0" fontId="1" fillId="5" borderId="83" xfId="0" applyFont="1" applyFill="1" applyBorder="1" applyAlignment="1">
      <alignment horizontal="left" vertical="center" wrapText="1" indent="1"/>
    </xf>
    <xf numFmtId="0" fontId="9" fillId="5" borderId="9" xfId="0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7" xfId="0" applyFont="1" applyFill="1" applyBorder="1" applyAlignment="1">
      <alignment horizontal="center" vertical="center" wrapText="1"/>
    </xf>
    <xf numFmtId="0" fontId="8" fillId="3" borderId="66" xfId="0" applyFont="1" applyFill="1" applyBorder="1" applyAlignment="1">
      <alignment horizontal="left" vertical="center" wrapText="1" indent="1"/>
    </xf>
    <xf numFmtId="0" fontId="8" fillId="3" borderId="26" xfId="0" applyFont="1" applyFill="1" applyBorder="1" applyAlignment="1">
      <alignment horizontal="left" vertical="center" wrapText="1" indent="1"/>
    </xf>
    <xf numFmtId="0" fontId="8" fillId="3" borderId="62" xfId="0" applyFont="1" applyFill="1" applyBorder="1" applyAlignment="1">
      <alignment horizontal="left" vertical="center" wrapText="1" indent="1"/>
    </xf>
    <xf numFmtId="0" fontId="8" fillId="3" borderId="82" xfId="0" applyFont="1" applyFill="1" applyBorder="1" applyAlignment="1">
      <alignment horizontal="left" vertical="center" wrapText="1" indent="1"/>
    </xf>
    <xf numFmtId="0" fontId="8" fillId="3" borderId="31" xfId="0" applyFont="1" applyFill="1" applyBorder="1" applyAlignment="1">
      <alignment horizontal="left" vertical="center" wrapText="1" indent="1"/>
    </xf>
    <xf numFmtId="0" fontId="8" fillId="3" borderId="83" xfId="0" applyFont="1" applyFill="1" applyBorder="1" applyAlignment="1">
      <alignment horizontal="left" vertical="center" wrapText="1" indent="1"/>
    </xf>
    <xf numFmtId="0" fontId="2" fillId="5" borderId="2" xfId="0" applyFont="1" applyFill="1" applyBorder="1" applyAlignment="1">
      <alignment horizontal="center" vertical="center"/>
    </xf>
    <xf numFmtId="0" fontId="1" fillId="5" borderId="66" xfId="0" applyFont="1" applyFill="1" applyBorder="1" applyAlignment="1">
      <alignment horizontal="left" vertical="center" wrapText="1" indent="1"/>
    </xf>
    <xf numFmtId="0" fontId="1" fillId="5" borderId="26" xfId="0" applyFont="1" applyFill="1" applyBorder="1" applyAlignment="1">
      <alignment horizontal="left" vertical="center" wrapText="1" indent="1"/>
    </xf>
    <xf numFmtId="0" fontId="1" fillId="5" borderId="62" xfId="0" applyFont="1" applyFill="1" applyBorder="1" applyAlignment="1">
      <alignment horizontal="left" vertical="center" wrapText="1" indent="1"/>
    </xf>
    <xf numFmtId="0" fontId="2" fillId="3" borderId="61" xfId="0" applyFont="1" applyFill="1" applyBorder="1" applyAlignment="1">
      <alignment horizontal="center" vertical="center" wrapText="1"/>
    </xf>
    <xf numFmtId="0" fontId="2" fillId="3" borderId="60" xfId="0" applyFont="1" applyFill="1" applyBorder="1" applyAlignment="1">
      <alignment horizontal="center" vertical="center" wrapText="1"/>
    </xf>
    <xf numFmtId="0" fontId="2" fillId="3" borderId="48" xfId="0" applyFont="1" applyFill="1" applyBorder="1" applyAlignment="1">
      <alignment horizontal="center" vertical="center" wrapText="1"/>
    </xf>
    <xf numFmtId="0" fontId="1" fillId="3" borderId="76" xfId="0" applyFont="1" applyFill="1" applyBorder="1" applyAlignment="1">
      <alignment horizontal="left" vertical="center" wrapText="1" indent="1"/>
    </xf>
    <xf numFmtId="0" fontId="1" fillId="3" borderId="68" xfId="0" quotePrefix="1" applyFont="1" applyFill="1" applyBorder="1" applyAlignment="1">
      <alignment horizontal="left" vertical="center" wrapText="1" indent="1"/>
    </xf>
    <xf numFmtId="0" fontId="1" fillId="3" borderId="81" xfId="0" quotePrefix="1" applyFont="1" applyFill="1" applyBorder="1" applyAlignment="1">
      <alignment horizontal="left" vertical="center" wrapText="1" indent="1"/>
    </xf>
    <xf numFmtId="0" fontId="9" fillId="3" borderId="25" xfId="0" applyFont="1" applyFill="1" applyBorder="1" applyAlignment="1">
      <alignment horizontal="center" vertical="center" wrapText="1"/>
    </xf>
    <xf numFmtId="0" fontId="9" fillId="3" borderId="28" xfId="0" applyFont="1" applyFill="1" applyBorder="1" applyAlignment="1">
      <alignment horizontal="center" vertical="center" wrapText="1"/>
    </xf>
    <xf numFmtId="0" fontId="9" fillId="4" borderId="25" xfId="0" applyFont="1" applyFill="1" applyBorder="1" applyAlignment="1">
      <alignment horizontal="center" vertical="center" wrapText="1"/>
    </xf>
    <xf numFmtId="0" fontId="9" fillId="4" borderId="28" xfId="0" applyFont="1" applyFill="1" applyBorder="1" applyAlignment="1">
      <alignment horizontal="center" vertical="center" wrapText="1"/>
    </xf>
    <xf numFmtId="0" fontId="9" fillId="3" borderId="40" xfId="0" applyFont="1" applyFill="1" applyBorder="1" applyAlignment="1">
      <alignment horizontal="center" vertical="center" wrapText="1"/>
    </xf>
    <xf numFmtId="0" fontId="2" fillId="3" borderId="73" xfId="0" applyFont="1" applyFill="1" applyBorder="1" applyAlignment="1">
      <alignment wrapText="1"/>
    </xf>
    <xf numFmtId="0" fontId="2" fillId="3" borderId="74" xfId="0" applyFont="1" applyFill="1" applyBorder="1" applyAlignment="1">
      <alignment wrapText="1"/>
    </xf>
    <xf numFmtId="0" fontId="9" fillId="4" borderId="67" xfId="0" applyFont="1" applyFill="1" applyBorder="1" applyAlignment="1">
      <alignment horizontal="center" vertical="center" wrapText="1"/>
    </xf>
    <xf numFmtId="0" fontId="9" fillId="4" borderId="68" xfId="0" applyFont="1" applyFill="1" applyBorder="1" applyAlignment="1">
      <alignment horizontal="center" vertical="center" wrapText="1"/>
    </xf>
    <xf numFmtId="0" fontId="2" fillId="3" borderId="67" xfId="0" applyFont="1" applyFill="1" applyBorder="1" applyAlignment="1">
      <alignment horizontal="center" vertical="center" wrapText="1"/>
    </xf>
    <xf numFmtId="0" fontId="2" fillId="3" borderId="68" xfId="0" applyFont="1" applyFill="1" applyBorder="1" applyAlignment="1">
      <alignment horizontal="center" vertical="center" wrapText="1"/>
    </xf>
    <xf numFmtId="0" fontId="2" fillId="3" borderId="81" xfId="0" applyFont="1" applyFill="1" applyBorder="1" applyAlignment="1">
      <alignment horizontal="center" vertical="center" wrapText="1"/>
    </xf>
    <xf numFmtId="0" fontId="9" fillId="3" borderId="67" xfId="0" applyFont="1" applyFill="1" applyBorder="1" applyAlignment="1">
      <alignment horizontal="center" vertical="center" wrapText="1"/>
    </xf>
    <xf numFmtId="0" fontId="9" fillId="3" borderId="68" xfId="0" applyFont="1" applyFill="1" applyBorder="1" applyAlignment="1">
      <alignment horizontal="center" vertical="center" wrapText="1"/>
    </xf>
    <xf numFmtId="0" fontId="9" fillId="3" borderId="81" xfId="0" applyFont="1" applyFill="1" applyBorder="1" applyAlignment="1">
      <alignment horizontal="center" vertical="center" wrapText="1"/>
    </xf>
    <xf numFmtId="0" fontId="2" fillId="4" borderId="61" xfId="0" applyFont="1" applyFill="1" applyBorder="1" applyAlignment="1">
      <alignment horizontal="center" vertical="center" wrapText="1"/>
    </xf>
    <xf numFmtId="0" fontId="2" fillId="4" borderId="60" xfId="0" applyFont="1" applyFill="1" applyBorder="1" applyAlignment="1">
      <alignment horizontal="center" vertical="center" wrapText="1"/>
    </xf>
    <xf numFmtId="0" fontId="2" fillId="4" borderId="48" xfId="0" applyFont="1" applyFill="1" applyBorder="1" applyAlignment="1">
      <alignment horizontal="center" vertical="center" wrapText="1"/>
    </xf>
    <xf numFmtId="0" fontId="2" fillId="0" borderId="61" xfId="0" applyFont="1" applyBorder="1" applyAlignment="1">
      <alignment horizontal="center" vertical="center" wrapText="1"/>
    </xf>
    <xf numFmtId="0" fontId="2" fillId="0" borderId="60" xfId="0" applyFont="1" applyBorder="1" applyAlignment="1">
      <alignment horizontal="center" vertical="center" wrapText="1"/>
    </xf>
    <xf numFmtId="0" fontId="2" fillId="0" borderId="48" xfId="0" applyFont="1" applyBorder="1" applyAlignment="1">
      <alignment horizontal="center" vertical="center" wrapText="1"/>
    </xf>
    <xf numFmtId="0" fontId="2" fillId="0" borderId="76" xfId="0" quotePrefix="1" applyFont="1" applyBorder="1" applyAlignment="1">
      <alignment horizontal="left" vertical="center" wrapText="1" indent="1"/>
    </xf>
    <xf numFmtId="0" fontId="1" fillId="0" borderId="68" xfId="0" applyFont="1" applyBorder="1" applyAlignment="1">
      <alignment horizontal="left" vertical="center" wrapText="1" indent="1"/>
    </xf>
    <xf numFmtId="0" fontId="1" fillId="0" borderId="81" xfId="0" applyFont="1" applyBorder="1" applyAlignment="1">
      <alignment horizontal="left" vertical="center" wrapText="1" indent="1"/>
    </xf>
    <xf numFmtId="0" fontId="1" fillId="4" borderId="76" xfId="0" applyFont="1" applyFill="1" applyBorder="1" applyAlignment="1">
      <alignment horizontal="left" vertical="center" wrapText="1" indent="1"/>
    </xf>
    <xf numFmtId="0" fontId="1" fillId="4" borderId="68" xfId="0" quotePrefix="1" applyFont="1" applyFill="1" applyBorder="1" applyAlignment="1">
      <alignment horizontal="left" vertical="center" wrapText="1" indent="1"/>
    </xf>
    <xf numFmtId="0" fontId="1" fillId="4" borderId="81" xfId="0" quotePrefix="1" applyFont="1" applyFill="1" applyBorder="1" applyAlignment="1">
      <alignment horizontal="left" vertical="center" wrapText="1" indent="1"/>
    </xf>
    <xf numFmtId="0" fontId="2" fillId="3" borderId="2" xfId="0" applyFont="1" applyFill="1" applyBorder="1" applyAlignment="1">
      <alignment horizontal="center" vertical="center"/>
    </xf>
    <xf numFmtId="0" fontId="8" fillId="4" borderId="66" xfId="0" applyFont="1" applyFill="1" applyBorder="1" applyAlignment="1">
      <alignment horizontal="left" vertical="center" wrapText="1" indent="1"/>
    </xf>
    <xf numFmtId="0" fontId="8" fillId="4" borderId="26" xfId="0" applyFont="1" applyFill="1" applyBorder="1" applyAlignment="1">
      <alignment horizontal="left" vertical="center" wrapText="1" indent="1"/>
    </xf>
    <xf numFmtId="0" fontId="8" fillId="4" borderId="62" xfId="0" applyFont="1" applyFill="1" applyBorder="1" applyAlignment="1">
      <alignment horizontal="left" vertical="center" wrapText="1" indent="1"/>
    </xf>
    <xf numFmtId="0" fontId="8" fillId="4" borderId="82" xfId="0" applyFont="1" applyFill="1" applyBorder="1" applyAlignment="1">
      <alignment horizontal="left" vertical="center" wrapText="1" indent="1"/>
    </xf>
    <xf numFmtId="0" fontId="8" fillId="4" borderId="31" xfId="0" applyFont="1" applyFill="1" applyBorder="1" applyAlignment="1">
      <alignment horizontal="left" vertical="center" wrapText="1" indent="1"/>
    </xf>
    <xf numFmtId="0" fontId="8" fillId="4" borderId="83" xfId="0" applyFont="1" applyFill="1" applyBorder="1" applyAlignment="1">
      <alignment horizontal="left" vertical="center" wrapText="1" indent="1"/>
    </xf>
    <xf numFmtId="0" fontId="9" fillId="4" borderId="81" xfId="0" applyFont="1" applyFill="1" applyBorder="1" applyAlignment="1">
      <alignment horizontal="center" vertical="center" wrapText="1"/>
    </xf>
    <xf numFmtId="0" fontId="9" fillId="4" borderId="40" xfId="0" applyFont="1" applyFill="1" applyBorder="1" applyAlignment="1">
      <alignment horizontal="center" vertical="center" wrapText="1"/>
    </xf>
    <xf numFmtId="0" fontId="2" fillId="4" borderId="73" xfId="0" applyFont="1" applyFill="1" applyBorder="1" applyAlignment="1">
      <alignment wrapText="1"/>
    </xf>
    <xf numFmtId="0" fontId="2" fillId="4" borderId="74" xfId="0" applyFont="1" applyFill="1" applyBorder="1" applyAlignment="1">
      <alignment wrapText="1"/>
    </xf>
    <xf numFmtId="0" fontId="2" fillId="4" borderId="67" xfId="0" applyFont="1" applyFill="1" applyBorder="1" applyAlignment="1">
      <alignment horizontal="center" vertical="center" wrapText="1"/>
    </xf>
    <xf numFmtId="0" fontId="2" fillId="4" borderId="68" xfId="0" applyFont="1" applyFill="1" applyBorder="1" applyAlignment="1">
      <alignment horizontal="center" vertical="center" wrapText="1"/>
    </xf>
    <xf numFmtId="0" fontId="2" fillId="4" borderId="81" xfId="0" applyFont="1" applyFill="1" applyBorder="1" applyAlignment="1">
      <alignment horizontal="center" vertical="center" wrapText="1"/>
    </xf>
    <xf numFmtId="0" fontId="1" fillId="0" borderId="66" xfId="0" applyFont="1" applyBorder="1" applyAlignment="1">
      <alignment horizontal="left" vertical="center" wrapText="1" indent="1"/>
    </xf>
    <xf numFmtId="0" fontId="1" fillId="0" borderId="26" xfId="0" applyFont="1" applyBorder="1" applyAlignment="1">
      <alignment horizontal="left" vertical="center" wrapText="1" indent="1"/>
    </xf>
    <xf numFmtId="0" fontId="1" fillId="0" borderId="62" xfId="0" applyFont="1" applyBorder="1" applyAlignment="1">
      <alignment horizontal="left" vertical="center" wrapText="1" indent="1"/>
    </xf>
    <xf numFmtId="0" fontId="1" fillId="0" borderId="24" xfId="0" applyFont="1" applyBorder="1" applyAlignment="1">
      <alignment horizontal="left" vertical="center" wrapText="1" indent="1"/>
    </xf>
    <xf numFmtId="0" fontId="1" fillId="0" borderId="0" xfId="0" applyFont="1" applyAlignment="1">
      <alignment horizontal="left" vertical="center" wrapText="1" indent="1"/>
    </xf>
    <xf numFmtId="0" fontId="1" fillId="0" borderId="30" xfId="0" applyFont="1" applyBorder="1" applyAlignment="1">
      <alignment horizontal="left" vertical="center" wrapText="1" indent="1"/>
    </xf>
    <xf numFmtId="0" fontId="1" fillId="0" borderId="82" xfId="0" applyFont="1" applyBorder="1" applyAlignment="1">
      <alignment horizontal="left" vertical="center" wrapText="1" indent="1"/>
    </xf>
    <xf numFmtId="0" fontId="1" fillId="0" borderId="31" xfId="0" applyFont="1" applyBorder="1" applyAlignment="1">
      <alignment horizontal="left" vertical="center" wrapText="1" indent="1"/>
    </xf>
    <xf numFmtId="0" fontId="1" fillId="0" borderId="83" xfId="0" applyFont="1" applyBorder="1" applyAlignment="1">
      <alignment horizontal="left" vertical="center" wrapText="1" indent="1"/>
    </xf>
    <xf numFmtId="0" fontId="9" fillId="9" borderId="1" xfId="0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center" vertical="center"/>
    </xf>
    <xf numFmtId="0" fontId="9" fillId="9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1" fillId="4" borderId="68" xfId="0" applyFont="1" applyFill="1" applyBorder="1" applyAlignment="1">
      <alignment horizontal="left" vertical="center" wrapText="1" indent="1"/>
    </xf>
    <xf numFmtId="0" fontId="1" fillId="4" borderId="81" xfId="0" applyFont="1" applyFill="1" applyBorder="1" applyAlignment="1">
      <alignment horizontal="left" vertical="center" wrapText="1" indent="1"/>
    </xf>
    <xf numFmtId="0" fontId="1" fillId="3" borderId="68" xfId="0" applyFont="1" applyFill="1" applyBorder="1" applyAlignment="1">
      <alignment horizontal="left" vertical="center" wrapText="1" indent="1"/>
    </xf>
    <xf numFmtId="0" fontId="1" fillId="3" borderId="81" xfId="0" applyFont="1" applyFill="1" applyBorder="1" applyAlignment="1">
      <alignment horizontal="left" vertical="center" wrapText="1" indent="1"/>
    </xf>
    <xf numFmtId="0" fontId="1" fillId="0" borderId="41" xfId="0" applyFont="1" applyBorder="1" applyAlignment="1">
      <alignment horizontal="left" vertical="center" wrapText="1" indent="1"/>
    </xf>
    <xf numFmtId="0" fontId="1" fillId="0" borderId="72" xfId="0" applyFont="1" applyBorder="1" applyAlignment="1">
      <alignment horizontal="left" vertical="center" wrapText="1" indent="1"/>
    </xf>
    <xf numFmtId="0" fontId="1" fillId="0" borderId="87" xfId="0" applyFont="1" applyBorder="1" applyAlignment="1">
      <alignment horizontal="left" vertical="center" wrapText="1" indent="1"/>
    </xf>
    <xf numFmtId="0" fontId="1" fillId="0" borderId="63" xfId="0" applyFont="1" applyBorder="1" applyAlignment="1">
      <alignment horizontal="left" vertical="center" wrapText="1" indent="1"/>
    </xf>
    <xf numFmtId="0" fontId="1" fillId="0" borderId="64" xfId="0" applyFont="1" applyBorder="1" applyAlignment="1">
      <alignment horizontal="left" vertical="center" wrapText="1" indent="1"/>
    </xf>
    <xf numFmtId="0" fontId="1" fillId="0" borderId="65" xfId="0" applyFont="1" applyBorder="1" applyAlignment="1">
      <alignment horizontal="left" vertical="center" wrapText="1" indent="1"/>
    </xf>
    <xf numFmtId="0" fontId="2" fillId="0" borderId="31" xfId="0" applyFont="1" applyBorder="1" applyAlignment="1">
      <alignment horizontal="center" vertical="center" wrapText="1"/>
    </xf>
    <xf numFmtId="0" fontId="9" fillId="0" borderId="34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9" fillId="0" borderId="74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" fillId="0" borderId="61" xfId="0" applyFont="1" applyBorder="1" applyAlignment="1">
      <alignment horizontal="left" vertical="center" wrapText="1" indent="1"/>
    </xf>
    <xf numFmtId="0" fontId="1" fillId="0" borderId="60" xfId="0" applyFont="1" applyBorder="1" applyAlignment="1">
      <alignment horizontal="left" vertical="center" wrapText="1" indent="1"/>
    </xf>
    <xf numFmtId="0" fontId="1" fillId="0" borderId="48" xfId="0" applyFont="1" applyBorder="1" applyAlignment="1">
      <alignment horizontal="left" vertical="center" wrapText="1" indent="1"/>
    </xf>
    <xf numFmtId="0" fontId="2" fillId="0" borderId="88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 indent="1"/>
    </xf>
    <xf numFmtId="0" fontId="8" fillId="0" borderId="2" xfId="0" applyFont="1" applyBorder="1" applyAlignment="1">
      <alignment horizontal="left" vertical="center" indent="1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9" fillId="0" borderId="41" xfId="0" applyFont="1" applyBorder="1" applyAlignment="1">
      <alignment horizontal="center" vertical="center" wrapText="1"/>
    </xf>
    <xf numFmtId="0" fontId="9" fillId="0" borderId="72" xfId="0" applyFont="1" applyBorder="1" applyAlignment="1">
      <alignment horizontal="center" vertical="center" wrapText="1"/>
    </xf>
    <xf numFmtId="0" fontId="9" fillId="0" borderId="87" xfId="0" applyFont="1" applyBorder="1" applyAlignment="1">
      <alignment horizontal="center" vertical="center" wrapText="1"/>
    </xf>
    <xf numFmtId="0" fontId="9" fillId="0" borderId="88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89" xfId="0" applyFont="1" applyBorder="1" applyAlignment="1">
      <alignment horizontal="center" vertical="center" wrapText="1"/>
    </xf>
    <xf numFmtId="0" fontId="9" fillId="0" borderId="90" xfId="0" applyFont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 wrapText="1"/>
    </xf>
    <xf numFmtId="0" fontId="9" fillId="0" borderId="91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/>
    </xf>
    <xf numFmtId="0" fontId="1" fillId="0" borderId="75" xfId="0" applyFont="1" applyBorder="1" applyAlignment="1">
      <alignment horizontal="left" vertical="center" wrapText="1" indent="1"/>
    </xf>
    <xf numFmtId="0" fontId="1" fillId="0" borderId="86" xfId="0" applyFont="1" applyBorder="1" applyAlignment="1">
      <alignment horizontal="left" vertical="center" wrapText="1" indent="1"/>
    </xf>
    <xf numFmtId="0" fontId="2" fillId="0" borderId="2" xfId="0" applyFont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79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indent="1"/>
    </xf>
    <xf numFmtId="0" fontId="1" fillId="0" borderId="1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8" fillId="0" borderId="79" xfId="0" applyFont="1" applyBorder="1" applyAlignment="1">
      <alignment horizontal="center" vertical="center"/>
    </xf>
    <xf numFmtId="0" fontId="8" fillId="0" borderId="25" xfId="0" applyFont="1" applyBorder="1" applyAlignment="1">
      <alignment horizontal="left" vertical="center" wrapText="1" indent="1"/>
    </xf>
    <xf numFmtId="0" fontId="8" fillId="0" borderId="28" xfId="0" applyFont="1" applyBorder="1" applyAlignment="1">
      <alignment horizontal="left" vertical="center" wrapText="1" indent="1"/>
    </xf>
    <xf numFmtId="0" fontId="8" fillId="0" borderId="4" xfId="0" applyFont="1" applyBorder="1" applyAlignment="1">
      <alignment horizontal="left" vertical="center" wrapText="1" indent="1"/>
    </xf>
    <xf numFmtId="0" fontId="1" fillId="0" borderId="64" xfId="0" applyFont="1" applyBorder="1" applyAlignment="1">
      <alignment horizontal="left" vertical="center" indent="1"/>
    </xf>
    <xf numFmtId="0" fontId="1" fillId="0" borderId="65" xfId="0" applyFont="1" applyBorder="1" applyAlignment="1">
      <alignment horizontal="left" vertical="center" indent="1"/>
    </xf>
    <xf numFmtId="0" fontId="8" fillId="0" borderId="13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9" fillId="2" borderId="94" xfId="0" applyFont="1" applyFill="1" applyBorder="1" applyAlignment="1">
      <alignment horizontal="center" vertical="center" wrapText="1"/>
    </xf>
    <xf numFmtId="0" fontId="9" fillId="2" borderId="20" xfId="0" applyFont="1" applyFill="1" applyBorder="1" applyAlignment="1">
      <alignment horizontal="center" vertical="center" wrapText="1"/>
    </xf>
    <xf numFmtId="0" fontId="9" fillId="2" borderId="92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/>
    </xf>
    <xf numFmtId="0" fontId="2" fillId="0" borderId="74" xfId="0" applyFont="1" applyBorder="1" applyAlignment="1">
      <alignment horizontal="center" vertical="center"/>
    </xf>
    <xf numFmtId="0" fontId="9" fillId="2" borderId="0" xfId="0" applyFont="1" applyFill="1" applyAlignment="1">
      <alignment horizontal="center" vertical="center" wrapText="1"/>
    </xf>
    <xf numFmtId="0" fontId="2" fillId="0" borderId="73" xfId="0" applyFont="1" applyBorder="1" applyAlignment="1">
      <alignment horizontal="center" vertical="center"/>
    </xf>
    <xf numFmtId="0" fontId="2" fillId="0" borderId="78" xfId="0" applyFont="1" applyBorder="1" applyAlignment="1">
      <alignment horizontal="center" vertical="center"/>
    </xf>
    <xf numFmtId="0" fontId="28" fillId="2" borderId="0" xfId="0" applyFont="1" applyFill="1" applyAlignment="1">
      <alignment horizontal="center" vertical="center" wrapText="1"/>
    </xf>
    <xf numFmtId="0" fontId="9" fillId="2" borderId="93" xfId="0" applyFont="1" applyFill="1" applyBorder="1" applyAlignment="1">
      <alignment horizontal="center" vertical="center" wrapText="1"/>
    </xf>
    <xf numFmtId="0" fontId="1" fillId="7" borderId="66" xfId="0" applyFont="1" applyFill="1" applyBorder="1" applyAlignment="1">
      <alignment horizontal="left" vertical="center" wrapText="1" indent="1"/>
    </xf>
    <xf numFmtId="0" fontId="1" fillId="7" borderId="26" xfId="0" applyFont="1" applyFill="1" applyBorder="1" applyAlignment="1">
      <alignment horizontal="left" vertical="center" wrapText="1" indent="1"/>
    </xf>
    <xf numFmtId="0" fontId="1" fillId="7" borderId="62" xfId="0" applyFont="1" applyFill="1" applyBorder="1" applyAlignment="1">
      <alignment horizontal="left" vertical="center" wrapText="1" indent="1"/>
    </xf>
    <xf numFmtId="0" fontId="1" fillId="7" borderId="24" xfId="0" applyFont="1" applyFill="1" applyBorder="1" applyAlignment="1">
      <alignment horizontal="left" vertical="center" wrapText="1" indent="1"/>
    </xf>
    <xf numFmtId="0" fontId="1" fillId="7" borderId="0" xfId="0" applyFont="1" applyFill="1" applyAlignment="1">
      <alignment horizontal="left" vertical="center" wrapText="1" indent="1"/>
    </xf>
    <xf numFmtId="0" fontId="1" fillId="7" borderId="30" xfId="0" applyFont="1" applyFill="1" applyBorder="1" applyAlignment="1">
      <alignment horizontal="left" vertical="center" wrapText="1" indent="1"/>
    </xf>
    <xf numFmtId="0" fontId="1" fillId="7" borderId="82" xfId="0" applyFont="1" applyFill="1" applyBorder="1" applyAlignment="1">
      <alignment horizontal="left" vertical="center" wrapText="1" indent="1"/>
    </xf>
    <xf numFmtId="0" fontId="1" fillId="7" borderId="31" xfId="0" applyFont="1" applyFill="1" applyBorder="1" applyAlignment="1">
      <alignment horizontal="left" vertical="center" wrapText="1" indent="1"/>
    </xf>
    <xf numFmtId="0" fontId="1" fillId="7" borderId="83" xfId="0" applyFont="1" applyFill="1" applyBorder="1" applyAlignment="1">
      <alignment horizontal="left" vertical="center" wrapText="1" indent="1"/>
    </xf>
    <xf numFmtId="0" fontId="27" fillId="2" borderId="0" xfId="0" applyFont="1" applyFill="1" applyAlignment="1">
      <alignment horizontal="center" vertical="center" wrapText="1"/>
    </xf>
    <xf numFmtId="0" fontId="1" fillId="8" borderId="40" xfId="0" applyFont="1" applyFill="1" applyBorder="1" applyAlignment="1">
      <alignment horizontal="center" vertical="center" wrapText="1"/>
    </xf>
    <xf numFmtId="0" fontId="1" fillId="8" borderId="74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" fillId="4" borderId="66" xfId="0" applyFont="1" applyFill="1" applyBorder="1" applyAlignment="1">
      <alignment horizontal="left" vertical="center" wrapText="1" indent="1"/>
    </xf>
    <xf numFmtId="0" fontId="1" fillId="4" borderId="26" xfId="0" applyFont="1" applyFill="1" applyBorder="1" applyAlignment="1">
      <alignment horizontal="left" vertical="center" wrapText="1" indent="1"/>
    </xf>
    <xf numFmtId="0" fontId="1" fillId="4" borderId="62" xfId="0" applyFont="1" applyFill="1" applyBorder="1" applyAlignment="1">
      <alignment horizontal="left" vertical="center" wrapText="1" indent="1"/>
    </xf>
    <xf numFmtId="0" fontId="1" fillId="4" borderId="24" xfId="0" applyFont="1" applyFill="1" applyBorder="1" applyAlignment="1">
      <alignment horizontal="left" vertical="center" wrapText="1" indent="1"/>
    </xf>
    <xf numFmtId="0" fontId="1" fillId="4" borderId="0" xfId="0" applyFont="1" applyFill="1" applyAlignment="1">
      <alignment horizontal="left" vertical="center" wrapText="1" indent="1"/>
    </xf>
    <xf numFmtId="0" fontId="1" fillId="4" borderId="30" xfId="0" applyFont="1" applyFill="1" applyBorder="1" applyAlignment="1">
      <alignment horizontal="left" vertical="center" wrapText="1" indent="1"/>
    </xf>
    <xf numFmtId="0" fontId="1" fillId="4" borderId="82" xfId="0" applyFont="1" applyFill="1" applyBorder="1" applyAlignment="1">
      <alignment horizontal="left" vertical="center" wrapText="1" indent="1"/>
    </xf>
    <xf numFmtId="0" fontId="1" fillId="4" borderId="31" xfId="0" applyFont="1" applyFill="1" applyBorder="1" applyAlignment="1">
      <alignment horizontal="left" vertical="center" wrapText="1" indent="1"/>
    </xf>
    <xf numFmtId="0" fontId="1" fillId="4" borderId="83" xfId="0" applyFont="1" applyFill="1" applyBorder="1" applyAlignment="1">
      <alignment horizontal="left" vertical="center" wrapText="1" indent="1"/>
    </xf>
    <xf numFmtId="0" fontId="1" fillId="3" borderId="66" xfId="0" applyFont="1" applyFill="1" applyBorder="1" applyAlignment="1">
      <alignment horizontal="left" vertical="center" wrapText="1" indent="1"/>
    </xf>
    <xf numFmtId="0" fontId="1" fillId="3" borderId="26" xfId="0" applyFont="1" applyFill="1" applyBorder="1" applyAlignment="1">
      <alignment horizontal="left" vertical="center" wrapText="1" indent="1"/>
    </xf>
    <xf numFmtId="0" fontId="1" fillId="3" borderId="62" xfId="0" applyFont="1" applyFill="1" applyBorder="1" applyAlignment="1">
      <alignment horizontal="left" vertical="center" wrapText="1" indent="1"/>
    </xf>
    <xf numFmtId="0" fontId="1" fillId="3" borderId="24" xfId="0" applyFont="1" applyFill="1" applyBorder="1" applyAlignment="1">
      <alignment horizontal="left" vertical="center" wrapText="1" indent="1"/>
    </xf>
    <xf numFmtId="0" fontId="1" fillId="3" borderId="0" xfId="0" applyFont="1" applyFill="1" applyAlignment="1">
      <alignment horizontal="left" vertical="center" wrapText="1" indent="1"/>
    </xf>
    <xf numFmtId="0" fontId="1" fillId="3" borderId="30" xfId="0" applyFont="1" applyFill="1" applyBorder="1" applyAlignment="1">
      <alignment horizontal="left" vertical="center" wrapText="1" indent="1"/>
    </xf>
    <xf numFmtId="0" fontId="1" fillId="3" borderId="82" xfId="0" applyFont="1" applyFill="1" applyBorder="1" applyAlignment="1">
      <alignment horizontal="left" vertical="center" wrapText="1" indent="1"/>
    </xf>
    <xf numFmtId="0" fontId="1" fillId="3" borderId="31" xfId="0" applyFont="1" applyFill="1" applyBorder="1" applyAlignment="1">
      <alignment horizontal="left" vertical="center" wrapText="1" indent="1"/>
    </xf>
    <xf numFmtId="0" fontId="1" fillId="3" borderId="83" xfId="0" applyFont="1" applyFill="1" applyBorder="1" applyAlignment="1">
      <alignment horizontal="left" vertical="center" wrapText="1" indent="1"/>
    </xf>
    <xf numFmtId="0" fontId="2" fillId="8" borderId="33" xfId="0" applyFont="1" applyFill="1" applyBorder="1" applyAlignment="1">
      <alignment horizontal="center" vertical="center"/>
    </xf>
    <xf numFmtId="0" fontId="2" fillId="8" borderId="77" xfId="0" applyFont="1" applyFill="1" applyBorder="1" applyAlignment="1">
      <alignment horizontal="center" vertical="center"/>
    </xf>
    <xf numFmtId="0" fontId="2" fillId="8" borderId="34" xfId="0" applyFont="1" applyFill="1" applyBorder="1" applyAlignment="1">
      <alignment horizontal="center" vertical="center"/>
    </xf>
    <xf numFmtId="0" fontId="2" fillId="8" borderId="35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41" xfId="0" applyFont="1" applyFill="1" applyBorder="1" applyAlignment="1">
      <alignment horizontal="center" vertical="center" wrapText="1"/>
    </xf>
    <xf numFmtId="0" fontId="1" fillId="8" borderId="87" xfId="0" applyFont="1" applyFill="1" applyBorder="1" applyAlignment="1">
      <alignment horizontal="center" vertical="center" wrapText="1"/>
    </xf>
    <xf numFmtId="0" fontId="1" fillId="8" borderId="46" xfId="0" applyFont="1" applyFill="1" applyBorder="1" applyAlignment="1">
      <alignment horizontal="center" vertical="center" wrapText="1"/>
    </xf>
    <xf numFmtId="0" fontId="1" fillId="8" borderId="80" xfId="0" applyFont="1" applyFill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 wrapText="1"/>
    </xf>
    <xf numFmtId="0" fontId="1" fillId="8" borderId="28" xfId="0" applyFont="1" applyFill="1" applyBorder="1" applyAlignment="1">
      <alignment horizontal="center" vertical="center" wrapText="1"/>
    </xf>
    <xf numFmtId="0" fontId="1" fillId="0" borderId="95" xfId="0" applyFont="1" applyBorder="1" applyAlignment="1">
      <alignment horizontal="center" vertical="center"/>
    </xf>
    <xf numFmtId="0" fontId="1" fillId="0" borderId="96" xfId="0" applyFont="1" applyBorder="1" applyAlignment="1">
      <alignment horizontal="center" vertical="center"/>
    </xf>
    <xf numFmtId="0" fontId="9" fillId="0" borderId="94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1" fillId="6" borderId="66" xfId="0" applyFont="1" applyFill="1" applyBorder="1" applyAlignment="1">
      <alignment horizontal="left" vertical="center" wrapText="1" indent="1"/>
    </xf>
    <xf numFmtId="0" fontId="1" fillId="6" borderId="26" xfId="0" applyFont="1" applyFill="1" applyBorder="1" applyAlignment="1">
      <alignment horizontal="left" vertical="center" wrapText="1" indent="1"/>
    </xf>
    <xf numFmtId="0" fontId="1" fillId="6" borderId="62" xfId="0" applyFont="1" applyFill="1" applyBorder="1" applyAlignment="1">
      <alignment horizontal="left" vertical="center" wrapText="1" indent="1"/>
    </xf>
    <xf numFmtId="0" fontId="1" fillId="6" borderId="24" xfId="0" applyFont="1" applyFill="1" applyBorder="1" applyAlignment="1">
      <alignment horizontal="left" vertical="center" wrapText="1" indent="1"/>
    </xf>
    <xf numFmtId="0" fontId="1" fillId="6" borderId="0" xfId="0" applyFont="1" applyFill="1" applyAlignment="1">
      <alignment horizontal="left" vertical="center" wrapText="1" indent="1"/>
    </xf>
    <xf numFmtId="0" fontId="1" fillId="6" borderId="30" xfId="0" applyFont="1" applyFill="1" applyBorder="1" applyAlignment="1">
      <alignment horizontal="left" vertical="center" wrapText="1" indent="1"/>
    </xf>
    <xf numFmtId="0" fontId="1" fillId="6" borderId="82" xfId="0" applyFont="1" applyFill="1" applyBorder="1" applyAlignment="1">
      <alignment horizontal="left" vertical="center" wrapText="1" indent="1"/>
    </xf>
    <xf numFmtId="0" fontId="1" fillId="6" borderId="31" xfId="0" applyFont="1" applyFill="1" applyBorder="1" applyAlignment="1">
      <alignment horizontal="left" vertical="center" wrapText="1" indent="1"/>
    </xf>
    <xf numFmtId="0" fontId="1" fillId="6" borderId="83" xfId="0" applyFont="1" applyFill="1" applyBorder="1" applyAlignment="1">
      <alignment horizontal="left" vertical="center" wrapText="1" indent="1"/>
    </xf>
    <xf numFmtId="0" fontId="1" fillId="0" borderId="41" xfId="0" applyFont="1" applyBorder="1" applyAlignment="1">
      <alignment horizontal="center" vertical="center"/>
    </xf>
    <xf numFmtId="0" fontId="1" fillId="0" borderId="87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1" fillId="0" borderId="80" xfId="0" applyFont="1" applyBorder="1" applyAlignment="1">
      <alignment horizontal="center" vertical="center"/>
    </xf>
    <xf numFmtId="0" fontId="2" fillId="0" borderId="63" xfId="0" applyFont="1" applyBorder="1" applyAlignment="1">
      <alignment horizontal="center" vertical="center"/>
    </xf>
    <xf numFmtId="0" fontId="2" fillId="0" borderId="64" xfId="0" applyFont="1" applyBorder="1" applyAlignment="1">
      <alignment horizontal="center" vertical="center"/>
    </xf>
    <xf numFmtId="0" fontId="2" fillId="0" borderId="65" xfId="0" applyFont="1" applyBorder="1" applyAlignment="1">
      <alignment horizontal="center" vertical="center"/>
    </xf>
    <xf numFmtId="0" fontId="21" fillId="0" borderId="63" xfId="0" applyFont="1" applyBorder="1" applyAlignment="1">
      <alignment horizontal="center" vertical="center"/>
    </xf>
    <xf numFmtId="0" fontId="21" fillId="0" borderId="64" xfId="0" applyFont="1" applyBorder="1" applyAlignment="1">
      <alignment horizontal="center" vertical="center"/>
    </xf>
    <xf numFmtId="0" fontId="9" fillId="0" borderId="93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1" fillId="10" borderId="40" xfId="0" applyFont="1" applyFill="1" applyBorder="1" applyAlignment="1">
      <alignment horizontal="center" vertical="center" wrapText="1"/>
    </xf>
    <xf numFmtId="0" fontId="1" fillId="10" borderId="73" xfId="0" applyFont="1" applyFill="1" applyBorder="1" applyAlignment="1">
      <alignment horizontal="center" vertical="center" wrapText="1"/>
    </xf>
    <xf numFmtId="0" fontId="1" fillId="10" borderId="78" xfId="0" applyFont="1" applyFill="1" applyBorder="1" applyAlignment="1">
      <alignment horizontal="center" vertical="center" wrapText="1"/>
    </xf>
    <xf numFmtId="0" fontId="1" fillId="4" borderId="33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6" borderId="63" xfId="0" applyFont="1" applyFill="1" applyBorder="1" applyAlignment="1">
      <alignment horizontal="center" vertical="center" wrapText="1"/>
    </xf>
    <xf numFmtId="0" fontId="2" fillId="6" borderId="64" xfId="0" applyFont="1" applyFill="1" applyBorder="1" applyAlignment="1">
      <alignment horizontal="center" vertical="center" wrapText="1"/>
    </xf>
    <xf numFmtId="0" fontId="2" fillId="6" borderId="65" xfId="0" applyFont="1" applyFill="1" applyBorder="1" applyAlignment="1">
      <alignment horizontal="center" vertical="center" wrapText="1"/>
    </xf>
    <xf numFmtId="0" fontId="2" fillId="3" borderId="63" xfId="0" applyFont="1" applyFill="1" applyBorder="1" applyAlignment="1">
      <alignment horizontal="center" vertical="center" wrapText="1"/>
    </xf>
    <xf numFmtId="0" fontId="2" fillId="3" borderId="64" xfId="0" applyFont="1" applyFill="1" applyBorder="1" applyAlignment="1">
      <alignment horizontal="center" vertical="center" wrapText="1"/>
    </xf>
    <xf numFmtId="0" fontId="2" fillId="3" borderId="65" xfId="0" applyFont="1" applyFill="1" applyBorder="1" applyAlignment="1">
      <alignment horizontal="center" vertical="center" wrapText="1"/>
    </xf>
    <xf numFmtId="0" fontId="1" fillId="3" borderId="3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6" borderId="33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0" fontId="54" fillId="0" borderId="67" xfId="0" applyFont="1" applyBorder="1" applyAlignment="1">
      <alignment horizontal="center" vertical="center" wrapText="1"/>
    </xf>
    <xf numFmtId="0" fontId="54" fillId="0" borderId="68" xfId="0" applyFont="1" applyBorder="1" applyAlignment="1">
      <alignment horizontal="center" vertical="center" wrapText="1"/>
    </xf>
    <xf numFmtId="0" fontId="54" fillId="0" borderId="69" xfId="0" applyFont="1" applyBorder="1" applyAlignment="1">
      <alignment horizontal="center" vertical="center" wrapText="1"/>
    </xf>
    <xf numFmtId="0" fontId="2" fillId="0" borderId="99" xfId="0" applyFont="1" applyBorder="1" applyAlignment="1">
      <alignment horizontal="center" vertical="center" wrapText="1"/>
    </xf>
    <xf numFmtId="0" fontId="2" fillId="0" borderId="221" xfId="0" applyFont="1" applyBorder="1" applyAlignment="1">
      <alignment horizontal="center" vertical="center"/>
    </xf>
    <xf numFmtId="0" fontId="2" fillId="0" borderId="56" xfId="0" applyFont="1" applyBorder="1" applyAlignment="1">
      <alignment horizontal="center" vertical="center" wrapText="1"/>
    </xf>
    <xf numFmtId="0" fontId="2" fillId="0" borderId="144" xfId="0" applyFont="1" applyBorder="1" applyAlignment="1">
      <alignment horizontal="center" vertical="center" wrapText="1"/>
    </xf>
    <xf numFmtId="0" fontId="1" fillId="0" borderId="90" xfId="0" applyFont="1" applyBorder="1" applyAlignment="1">
      <alignment horizontal="center" vertical="center"/>
    </xf>
    <xf numFmtId="0" fontId="1" fillId="0" borderId="91" xfId="0" applyFont="1" applyBorder="1" applyAlignment="1">
      <alignment horizontal="center" vertical="center"/>
    </xf>
    <xf numFmtId="0" fontId="21" fillId="0" borderId="6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4" borderId="63" xfId="0" applyFont="1" applyFill="1" applyBorder="1" applyAlignment="1">
      <alignment horizontal="center" vertical="center" wrapText="1"/>
    </xf>
    <xf numFmtId="0" fontId="2" fillId="4" borderId="64" xfId="0" applyFont="1" applyFill="1" applyBorder="1" applyAlignment="1">
      <alignment horizontal="center" vertical="center" wrapText="1"/>
    </xf>
    <xf numFmtId="0" fontId="2" fillId="4" borderId="65" xfId="0" applyFont="1" applyFill="1" applyBorder="1" applyAlignment="1">
      <alignment horizontal="center" vertical="center" wrapText="1"/>
    </xf>
    <xf numFmtId="0" fontId="2" fillId="7" borderId="63" xfId="0" applyFont="1" applyFill="1" applyBorder="1" applyAlignment="1">
      <alignment horizontal="center" vertical="center" wrapText="1"/>
    </xf>
    <xf numFmtId="0" fontId="2" fillId="7" borderId="64" xfId="0" applyFont="1" applyFill="1" applyBorder="1" applyAlignment="1">
      <alignment horizontal="center" vertical="center" wrapText="1"/>
    </xf>
    <xf numFmtId="0" fontId="2" fillId="7" borderId="65" xfId="0" applyFont="1" applyFill="1" applyBorder="1" applyAlignment="1">
      <alignment horizontal="center" vertical="center" wrapText="1"/>
    </xf>
    <xf numFmtId="0" fontId="1" fillId="7" borderId="33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28" fillId="2" borderId="31" xfId="0" applyFont="1" applyFill="1" applyBorder="1" applyAlignment="1">
      <alignment horizontal="center" vertical="center" wrapText="1"/>
    </xf>
    <xf numFmtId="0" fontId="23" fillId="2" borderId="63" xfId="0" applyFont="1" applyFill="1" applyBorder="1" applyAlignment="1">
      <alignment horizontal="center" vertical="center" wrapText="1"/>
    </xf>
    <xf numFmtId="0" fontId="28" fillId="2" borderId="64" xfId="0" applyFont="1" applyFill="1" applyBorder="1" applyAlignment="1">
      <alignment horizontal="center" vertical="center" wrapText="1"/>
    </xf>
    <xf numFmtId="0" fontId="28" fillId="2" borderId="65" xfId="0" applyFont="1" applyFill="1" applyBorder="1" applyAlignment="1">
      <alignment horizontal="center" vertical="center" wrapText="1"/>
    </xf>
    <xf numFmtId="0" fontId="2" fillId="0" borderId="70" xfId="0" applyFont="1" applyBorder="1" applyAlignment="1">
      <alignment horizontal="center" vertical="center" wrapText="1"/>
    </xf>
    <xf numFmtId="0" fontId="2" fillId="0" borderId="106" xfId="0" applyFont="1" applyBorder="1" applyAlignment="1">
      <alignment horizontal="center" vertical="center" wrapText="1"/>
    </xf>
    <xf numFmtId="0" fontId="2" fillId="0" borderId="222" xfId="0" applyFont="1" applyBorder="1" applyAlignment="1">
      <alignment horizontal="center" vertical="center" wrapText="1"/>
    </xf>
    <xf numFmtId="0" fontId="2" fillId="0" borderId="70" xfId="0" applyFont="1" applyBorder="1" applyAlignment="1">
      <alignment horizontal="center" vertical="center"/>
    </xf>
    <xf numFmtId="0" fontId="2" fillId="0" borderId="105" xfId="0" applyFont="1" applyBorder="1" applyAlignment="1">
      <alignment horizontal="center" vertical="center"/>
    </xf>
    <xf numFmtId="0" fontId="2" fillId="0" borderId="72" xfId="0" applyFont="1" applyBorder="1" applyAlignment="1">
      <alignment horizontal="center" vertical="center"/>
    </xf>
    <xf numFmtId="0" fontId="2" fillId="0" borderId="87" xfId="0" applyFont="1" applyBorder="1" applyAlignment="1">
      <alignment horizontal="center" vertical="center"/>
    </xf>
    <xf numFmtId="0" fontId="2" fillId="0" borderId="176" xfId="0" applyFont="1" applyBorder="1" applyAlignment="1">
      <alignment horizontal="center" vertical="center"/>
    </xf>
    <xf numFmtId="0" fontId="2" fillId="0" borderId="175" xfId="0" applyFont="1" applyBorder="1" applyAlignment="1">
      <alignment horizontal="center" vertical="center"/>
    </xf>
    <xf numFmtId="0" fontId="2" fillId="0" borderId="177" xfId="0" applyFont="1" applyBorder="1" applyAlignment="1">
      <alignment horizontal="center" vertical="center"/>
    </xf>
    <xf numFmtId="0" fontId="1" fillId="0" borderId="145" xfId="0" applyFont="1" applyBorder="1" applyAlignment="1">
      <alignment horizontal="center" vertical="center"/>
    </xf>
    <xf numFmtId="0" fontId="1" fillId="0" borderId="113" xfId="0" applyFont="1" applyBorder="1" applyAlignment="1">
      <alignment horizontal="center" vertical="center"/>
    </xf>
    <xf numFmtId="0" fontId="1" fillId="10" borderId="25" xfId="0" applyFont="1" applyFill="1" applyBorder="1" applyAlignment="1">
      <alignment horizontal="center" vertical="center" wrapText="1"/>
    </xf>
    <xf numFmtId="0" fontId="1" fillId="10" borderId="27" xfId="0" applyFont="1" applyFill="1" applyBorder="1" applyAlignment="1">
      <alignment horizontal="center" vertical="center" wrapText="1"/>
    </xf>
    <xf numFmtId="0" fontId="1" fillId="10" borderId="28" xfId="0" applyFont="1" applyFill="1" applyBorder="1" applyAlignment="1">
      <alignment horizontal="center" vertical="center" wrapText="1"/>
    </xf>
    <xf numFmtId="0" fontId="1" fillId="10" borderId="14" xfId="0" applyFont="1" applyFill="1" applyBorder="1" applyAlignment="1">
      <alignment horizontal="center" vertical="center" wrapText="1"/>
    </xf>
    <xf numFmtId="0" fontId="1" fillId="10" borderId="88" xfId="0" applyFont="1" applyFill="1" applyBorder="1" applyAlignment="1">
      <alignment horizontal="center" vertical="center" wrapText="1"/>
    </xf>
    <xf numFmtId="0" fontId="1" fillId="10" borderId="46" xfId="0" applyFont="1" applyFill="1" applyBorder="1" applyAlignment="1">
      <alignment horizontal="center" vertical="center" wrapText="1"/>
    </xf>
  </cellXfs>
  <cellStyles count="4">
    <cellStyle name="Hiperligação" xfId="2" builtinId="8"/>
    <cellStyle name="Neutro" xfId="3" builtinId="28"/>
    <cellStyle name="Normal" xfId="0" builtinId="0"/>
    <cellStyle name="Percentagem" xfId="1" builtinId="5"/>
  </cellStyles>
  <dxfs count="1">
    <dxf>
      <font>
        <color auto="1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BACEE4"/>
      <color rgb="FF0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7" Type="http://schemas.openxmlformats.org/officeDocument/2006/relationships/image" Target="../media/image9.jpeg"/><Relationship Id="rId2" Type="http://schemas.openxmlformats.org/officeDocument/2006/relationships/image" Target="../media/image4.emf"/><Relationship Id="rId1" Type="http://schemas.openxmlformats.org/officeDocument/2006/relationships/image" Target="../media/image3.emf"/><Relationship Id="rId6" Type="http://schemas.openxmlformats.org/officeDocument/2006/relationships/image" Target="../media/image8.emf"/><Relationship Id="rId5" Type="http://schemas.openxmlformats.org/officeDocument/2006/relationships/image" Target="../media/image7.emf"/><Relationship Id="rId4" Type="http://schemas.openxmlformats.org/officeDocument/2006/relationships/image" Target="../media/image6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18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9.emf"/><Relationship Id="rId2" Type="http://schemas.openxmlformats.org/officeDocument/2006/relationships/image" Target="../media/image28.emf"/><Relationship Id="rId1" Type="http://schemas.openxmlformats.org/officeDocument/2006/relationships/image" Target="../media/image27.emf"/><Relationship Id="rId6" Type="http://schemas.openxmlformats.org/officeDocument/2006/relationships/image" Target="../media/image32.png"/><Relationship Id="rId5" Type="http://schemas.openxmlformats.org/officeDocument/2006/relationships/image" Target="../media/image31.emf"/><Relationship Id="rId4" Type="http://schemas.openxmlformats.org/officeDocument/2006/relationships/image" Target="../media/image30.emf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12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13.emf"/><Relationship Id="rId7" Type="http://schemas.openxmlformats.org/officeDocument/2006/relationships/image" Target="../media/image1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16.emf"/><Relationship Id="rId5" Type="http://schemas.openxmlformats.org/officeDocument/2006/relationships/image" Target="../media/image15.emf"/><Relationship Id="rId4" Type="http://schemas.openxmlformats.org/officeDocument/2006/relationships/image" Target="../media/image14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9.emf"/></Relationships>
</file>

<file path=xl/drawings/_rels/vmlDrawing5.vml.rels><?xml version="1.0" encoding="UTF-8" standalone="yes"?>
<Relationships xmlns="http://schemas.openxmlformats.org/package/2006/relationships"><Relationship Id="rId2" Type="http://schemas.openxmlformats.org/officeDocument/2006/relationships/image" Target="../media/image21.wmf"/><Relationship Id="rId1" Type="http://schemas.openxmlformats.org/officeDocument/2006/relationships/image" Target="../media/image20.emf"/></Relationships>
</file>

<file path=xl/drawings/_rels/vmlDrawing6.vml.rels><?xml version="1.0" encoding="UTF-8" standalone="yes"?>
<Relationships xmlns="http://schemas.openxmlformats.org/package/2006/relationships"><Relationship Id="rId3" Type="http://schemas.openxmlformats.org/officeDocument/2006/relationships/image" Target="../media/image23.emf"/><Relationship Id="rId2" Type="http://schemas.openxmlformats.org/officeDocument/2006/relationships/image" Target="../media/image22.emf"/><Relationship Id="rId1" Type="http://schemas.openxmlformats.org/officeDocument/2006/relationships/image" Target="../media/image20.emf"/><Relationship Id="rId5" Type="http://schemas.openxmlformats.org/officeDocument/2006/relationships/image" Target="../media/image25.emf"/><Relationship Id="rId4" Type="http://schemas.openxmlformats.org/officeDocument/2006/relationships/image" Target="../media/image24.emf"/></Relationships>
</file>

<file path=xl/drawings/_rels/vmlDrawing8.vml.rels><?xml version="1.0" encoding="UTF-8" standalone="yes"?>
<Relationships xmlns="http://schemas.openxmlformats.org/package/2006/relationships"><Relationship Id="rId2" Type="http://schemas.openxmlformats.org/officeDocument/2006/relationships/image" Target="../media/image26.emf"/><Relationship Id="rId1" Type="http://schemas.openxmlformats.org/officeDocument/2006/relationships/image" Target="../media/image20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561975</xdr:colOff>
      <xdr:row>7</xdr:row>
      <xdr:rowOff>28575</xdr:rowOff>
    </xdr:from>
    <xdr:to>
      <xdr:col>15</xdr:col>
      <xdr:colOff>581025</xdr:colOff>
      <xdr:row>7</xdr:row>
      <xdr:rowOff>414617</xdr:rowOff>
    </xdr:to>
    <xdr:sp macro="" textlink="">
      <xdr:nvSpPr>
        <xdr:cNvPr id="3073" name="Object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000-000001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</xdr:col>
      <xdr:colOff>571500</xdr:colOff>
      <xdr:row>13</xdr:row>
      <xdr:rowOff>19050</xdr:rowOff>
    </xdr:from>
    <xdr:to>
      <xdr:col>15</xdr:col>
      <xdr:colOff>561975</xdr:colOff>
      <xdr:row>14</xdr:row>
      <xdr:rowOff>19050</xdr:rowOff>
    </xdr:to>
    <xdr:sp macro="" textlink="">
      <xdr:nvSpPr>
        <xdr:cNvPr id="3075" name="Object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000-000003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</xdr:col>
      <xdr:colOff>466725</xdr:colOff>
      <xdr:row>15</xdr:row>
      <xdr:rowOff>9525</xdr:rowOff>
    </xdr:from>
    <xdr:to>
      <xdr:col>15</xdr:col>
      <xdr:colOff>561975</xdr:colOff>
      <xdr:row>16</xdr:row>
      <xdr:rowOff>9525</xdr:rowOff>
    </xdr:to>
    <xdr:sp macro="" textlink="">
      <xdr:nvSpPr>
        <xdr:cNvPr id="3076" name="Object 4" hidden="1">
          <a:extLst>
            <a:ext uri="{63B3BB69-23CF-44E3-9099-C40C66FF867C}">
              <a14:compatExt xmlns:a14="http://schemas.microsoft.com/office/drawing/2010/main" spid="_x0000_s3076"/>
            </a:ext>
            <a:ext uri="{FF2B5EF4-FFF2-40B4-BE49-F238E27FC236}">
              <a16:creationId xmlns:a16="http://schemas.microsoft.com/office/drawing/2014/main" id="{00000000-0008-0000-0000-000004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</xdr:col>
      <xdr:colOff>542925</xdr:colOff>
      <xdr:row>16</xdr:row>
      <xdr:rowOff>76200</xdr:rowOff>
    </xdr:from>
    <xdr:to>
      <xdr:col>15</xdr:col>
      <xdr:colOff>581025</xdr:colOff>
      <xdr:row>17</xdr:row>
      <xdr:rowOff>9525</xdr:rowOff>
    </xdr:to>
    <xdr:sp macro="" textlink="">
      <xdr:nvSpPr>
        <xdr:cNvPr id="3077" name="Object 5" hidden="1">
          <a:extLst>
            <a:ext uri="{63B3BB69-23CF-44E3-9099-C40C66FF867C}">
              <a14:compatExt xmlns:a14="http://schemas.microsoft.com/office/drawing/2010/main" spid="_x0000_s3077"/>
            </a:ext>
            <a:ext uri="{FF2B5EF4-FFF2-40B4-BE49-F238E27FC236}">
              <a16:creationId xmlns:a16="http://schemas.microsoft.com/office/drawing/2014/main" id="{00000000-0008-0000-0000-000005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</xdr:col>
      <xdr:colOff>552450</xdr:colOff>
      <xdr:row>17</xdr:row>
      <xdr:rowOff>38100</xdr:rowOff>
    </xdr:from>
    <xdr:to>
      <xdr:col>15</xdr:col>
      <xdr:colOff>542925</xdr:colOff>
      <xdr:row>17</xdr:row>
      <xdr:rowOff>600075</xdr:rowOff>
    </xdr:to>
    <xdr:sp macro="" textlink="">
      <xdr:nvSpPr>
        <xdr:cNvPr id="3078" name="Object 6" hidden="1">
          <a:extLst>
            <a:ext uri="{63B3BB69-23CF-44E3-9099-C40C66FF867C}">
              <a14:compatExt xmlns:a14="http://schemas.microsoft.com/office/drawing/2010/main" spid="_x0000_s3078"/>
            </a:ext>
            <a:ext uri="{FF2B5EF4-FFF2-40B4-BE49-F238E27FC236}">
              <a16:creationId xmlns:a16="http://schemas.microsoft.com/office/drawing/2014/main" id="{00000000-0008-0000-0000-000006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266700</xdr:colOff>
      <xdr:row>14</xdr:row>
      <xdr:rowOff>57150</xdr:rowOff>
    </xdr:from>
    <xdr:to>
      <xdr:col>15</xdr:col>
      <xdr:colOff>457201</xdr:colOff>
      <xdr:row>14</xdr:row>
      <xdr:rowOff>485775</xdr:rowOff>
    </xdr:to>
    <xdr:sp macro="" textlink="">
      <xdr:nvSpPr>
        <xdr:cNvPr id="3079" name="Object 7" hidden="1">
          <a:extLst>
            <a:ext uri="{63B3BB69-23CF-44E3-9099-C40C66FF867C}">
              <a14:compatExt xmlns:a14="http://schemas.microsoft.com/office/drawing/2010/main" spid="_x0000_s3079"/>
            </a:ext>
            <a:ext uri="{FF2B5EF4-FFF2-40B4-BE49-F238E27FC236}">
              <a16:creationId xmlns:a16="http://schemas.microsoft.com/office/drawing/2014/main" id="{00000000-0008-0000-0000-000007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</xdr:col>
      <xdr:colOff>561975</xdr:colOff>
      <xdr:row>7</xdr:row>
      <xdr:rowOff>28575</xdr:rowOff>
    </xdr:from>
    <xdr:to>
      <xdr:col>15</xdr:col>
      <xdr:colOff>581025</xdr:colOff>
      <xdr:row>7</xdr:row>
      <xdr:rowOff>414617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62900" y="2828925"/>
          <a:ext cx="1238250" cy="390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571500</xdr:colOff>
      <xdr:row>13</xdr:row>
      <xdr:rowOff>19050</xdr:rowOff>
    </xdr:from>
    <xdr:to>
      <xdr:col>15</xdr:col>
      <xdr:colOff>561975</xdr:colOff>
      <xdr:row>14</xdr:row>
      <xdr:rowOff>19050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2425" y="4495800"/>
          <a:ext cx="1209675" cy="571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466725</xdr:colOff>
      <xdr:row>15</xdr:row>
      <xdr:rowOff>9525</xdr:rowOff>
    </xdr:from>
    <xdr:to>
      <xdr:col>15</xdr:col>
      <xdr:colOff>561975</xdr:colOff>
      <xdr:row>16</xdr:row>
      <xdr:rowOff>9525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67650" y="5629275"/>
          <a:ext cx="1314450" cy="581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437625</xdr:colOff>
      <xdr:row>16</xdr:row>
      <xdr:rowOff>33618</xdr:rowOff>
    </xdr:from>
    <xdr:to>
      <xdr:col>15</xdr:col>
      <xdr:colOff>581025</xdr:colOff>
      <xdr:row>17</xdr:row>
      <xdr:rowOff>9526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3860" y="6163236"/>
          <a:ext cx="1353635" cy="54740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552450</xdr:colOff>
      <xdr:row>17</xdr:row>
      <xdr:rowOff>38100</xdr:rowOff>
    </xdr:from>
    <xdr:to>
      <xdr:col>15</xdr:col>
      <xdr:colOff>542925</xdr:colOff>
      <xdr:row>17</xdr:row>
      <xdr:rowOff>600075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53375" y="6810375"/>
          <a:ext cx="1209675" cy="561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89648</xdr:colOff>
      <xdr:row>14</xdr:row>
      <xdr:rowOff>34739</xdr:rowOff>
    </xdr:from>
    <xdr:to>
      <xdr:col>15</xdr:col>
      <xdr:colOff>524437</xdr:colOff>
      <xdr:row>15</xdr:row>
      <xdr:rowOff>23470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1" y="5010151"/>
          <a:ext cx="1039906" cy="56023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56029</xdr:colOff>
      <xdr:row>1</xdr:row>
      <xdr:rowOff>33618</xdr:rowOff>
    </xdr:from>
    <xdr:to>
      <xdr:col>2</xdr:col>
      <xdr:colOff>134468</xdr:colOff>
      <xdr:row>1</xdr:row>
      <xdr:rowOff>751440</xdr:rowOff>
    </xdr:to>
    <xdr:pic>
      <xdr:nvPicPr>
        <xdr:cNvPr id="14" name="Imagem 13" descr="http://chambrr.files.wordpress.com/2010/05/0_electricidade.jp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100853" y="78442"/>
          <a:ext cx="683557" cy="7178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38100</xdr:colOff>
          <xdr:row>9</xdr:row>
          <xdr:rowOff>19050</xdr:rowOff>
        </xdr:from>
        <xdr:to>
          <xdr:col>15</xdr:col>
          <xdr:colOff>495300</xdr:colOff>
          <xdr:row>10</xdr:row>
          <xdr:rowOff>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38100</xdr:colOff>
          <xdr:row>10</xdr:row>
          <xdr:rowOff>19050</xdr:rowOff>
        </xdr:from>
        <xdr:to>
          <xdr:col>15</xdr:col>
          <xdr:colOff>495300</xdr:colOff>
          <xdr:row>11</xdr:row>
          <xdr:rowOff>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6</xdr:row>
      <xdr:rowOff>28575</xdr:rowOff>
    </xdr:from>
    <xdr:to>
      <xdr:col>9</xdr:col>
      <xdr:colOff>19049</xdr:colOff>
      <xdr:row>7</xdr:row>
      <xdr:rowOff>0</xdr:rowOff>
    </xdr:to>
    <xdr:sp macro="" textlink="">
      <xdr:nvSpPr>
        <xdr:cNvPr id="2" name="Object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 bwMode="auto">
        <a:xfrm>
          <a:off x="3609975" y="2371725"/>
          <a:ext cx="1238249" cy="390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595592</xdr:colOff>
      <xdr:row>9</xdr:row>
      <xdr:rowOff>571500</xdr:rowOff>
    </xdr:to>
    <xdr:sp macro="" textlink="">
      <xdr:nvSpPr>
        <xdr:cNvPr id="3" name="Object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 bwMode="auto">
        <a:xfrm>
          <a:off x="3609975" y="3600450"/>
          <a:ext cx="1205192" cy="571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9</xdr:row>
      <xdr:rowOff>9525</xdr:rowOff>
    </xdr:from>
    <xdr:to>
      <xdr:col>9</xdr:col>
      <xdr:colOff>95249</xdr:colOff>
      <xdr:row>10</xdr:row>
      <xdr:rowOff>9525</xdr:rowOff>
    </xdr:to>
    <xdr:sp macro="" textlink="">
      <xdr:nvSpPr>
        <xdr:cNvPr id="4" name="Object 4" hidden="1">
          <a:extLst>
            <a:ext uri="{63B3BB69-23CF-44E3-9099-C40C66FF867C}">
              <a14:compatExt xmlns:a14="http://schemas.microsoft.com/office/drawing/2010/main" spid="_x0000_s3076"/>
            </a:ex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 bwMode="auto">
        <a:xfrm>
          <a:off x="3609975" y="3609975"/>
          <a:ext cx="1314449" cy="581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10</xdr:row>
      <xdr:rowOff>0</xdr:rowOff>
    </xdr:from>
    <xdr:to>
      <xdr:col>9</xdr:col>
      <xdr:colOff>38099</xdr:colOff>
      <xdr:row>10</xdr:row>
      <xdr:rowOff>504825</xdr:rowOff>
    </xdr:to>
    <xdr:sp macro="" textlink="">
      <xdr:nvSpPr>
        <xdr:cNvPr id="5" name="Object 5" hidden="1">
          <a:extLst>
            <a:ext uri="{63B3BB69-23CF-44E3-9099-C40C66FF867C}">
              <a14:compatExt xmlns:a14="http://schemas.microsoft.com/office/drawing/2010/main" spid="_x0000_s3077"/>
            </a:ex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 bwMode="auto">
        <a:xfrm>
          <a:off x="3609975" y="4181475"/>
          <a:ext cx="1257299" cy="504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10</xdr:row>
      <xdr:rowOff>38100</xdr:rowOff>
    </xdr:from>
    <xdr:to>
      <xdr:col>8</xdr:col>
      <xdr:colOff>595592</xdr:colOff>
      <xdr:row>10</xdr:row>
      <xdr:rowOff>600075</xdr:rowOff>
    </xdr:to>
    <xdr:sp macro="" textlink="">
      <xdr:nvSpPr>
        <xdr:cNvPr id="6" name="Object 6" hidden="1">
          <a:extLst>
            <a:ext uri="{63B3BB69-23CF-44E3-9099-C40C66FF867C}">
              <a14:compatExt xmlns:a14="http://schemas.microsoft.com/office/drawing/2010/main" spid="_x0000_s3078"/>
            </a:ex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 bwMode="auto">
        <a:xfrm>
          <a:off x="3609975" y="4219575"/>
          <a:ext cx="1205192" cy="561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266700</xdr:colOff>
      <xdr:row>9</xdr:row>
      <xdr:rowOff>0</xdr:rowOff>
    </xdr:from>
    <xdr:to>
      <xdr:col>8</xdr:col>
      <xdr:colOff>457200</xdr:colOff>
      <xdr:row>9</xdr:row>
      <xdr:rowOff>428625</xdr:rowOff>
    </xdr:to>
    <xdr:sp macro="" textlink="">
      <xdr:nvSpPr>
        <xdr:cNvPr id="7" name="Object 7" hidden="1">
          <a:extLst>
            <a:ext uri="{63B3BB69-23CF-44E3-9099-C40C66FF867C}">
              <a14:compatExt xmlns:a14="http://schemas.microsoft.com/office/drawing/2010/main" spid="_x0000_s3079"/>
            </a:ex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 bwMode="auto">
        <a:xfrm>
          <a:off x="3876675" y="3600450"/>
          <a:ext cx="800100" cy="4286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371475</xdr:colOff>
          <xdr:row>9</xdr:row>
          <xdr:rowOff>9525</xdr:rowOff>
        </xdr:from>
        <xdr:to>
          <xdr:col>8</xdr:col>
          <xdr:colOff>523875</xdr:colOff>
          <xdr:row>10</xdr:row>
          <xdr:rowOff>19050</xdr:rowOff>
        </xdr:to>
        <xdr:sp macro="" textlink="">
          <xdr:nvSpPr>
            <xdr:cNvPr id="36865" name="Object 1" hidden="1">
              <a:extLst>
                <a:ext uri="{63B3BB69-23CF-44E3-9099-C40C66FF867C}">
                  <a14:compatExt spid="_x0000_s36865"/>
                </a:ext>
                <a:ext uri="{FF2B5EF4-FFF2-40B4-BE49-F238E27FC236}">
                  <a16:creationId xmlns:a16="http://schemas.microsoft.com/office/drawing/2014/main" id="{00000000-0008-0000-0100-0000019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495300</xdr:colOff>
          <xdr:row>10</xdr:row>
          <xdr:rowOff>19050</xdr:rowOff>
        </xdr:from>
        <xdr:to>
          <xdr:col>8</xdr:col>
          <xdr:colOff>514350</xdr:colOff>
          <xdr:row>10</xdr:row>
          <xdr:rowOff>619125</xdr:rowOff>
        </xdr:to>
        <xdr:sp macro="" textlink="">
          <xdr:nvSpPr>
            <xdr:cNvPr id="36866" name="Object 2" hidden="1">
              <a:extLst>
                <a:ext uri="{63B3BB69-23CF-44E3-9099-C40C66FF867C}">
                  <a14:compatExt spid="_x0000_s36866"/>
                </a:ext>
                <a:ext uri="{FF2B5EF4-FFF2-40B4-BE49-F238E27FC236}">
                  <a16:creationId xmlns:a16="http://schemas.microsoft.com/office/drawing/2014/main" id="{00000000-0008-0000-0100-0000029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457200</xdr:colOff>
          <xdr:row>6</xdr:row>
          <xdr:rowOff>38100</xdr:rowOff>
        </xdr:from>
        <xdr:to>
          <xdr:col>8</xdr:col>
          <xdr:colOff>514350</xdr:colOff>
          <xdr:row>6</xdr:row>
          <xdr:rowOff>400050</xdr:rowOff>
        </xdr:to>
        <xdr:sp macro="" textlink="">
          <xdr:nvSpPr>
            <xdr:cNvPr id="36867" name="Object 3" hidden="1">
              <a:extLst>
                <a:ext uri="{63B3BB69-23CF-44E3-9099-C40C66FF867C}">
                  <a14:compatExt spid="_x0000_s36867"/>
                </a:ext>
                <a:ext uri="{FF2B5EF4-FFF2-40B4-BE49-F238E27FC236}">
                  <a16:creationId xmlns:a16="http://schemas.microsoft.com/office/drawing/2014/main" id="{00000000-0008-0000-0100-0000039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</xdr:col>
      <xdr:colOff>44824</xdr:colOff>
      <xdr:row>1</xdr:row>
      <xdr:rowOff>22412</xdr:rowOff>
    </xdr:from>
    <xdr:to>
      <xdr:col>2</xdr:col>
      <xdr:colOff>123263</xdr:colOff>
      <xdr:row>1</xdr:row>
      <xdr:rowOff>740234</xdr:rowOff>
    </xdr:to>
    <xdr:pic>
      <xdr:nvPicPr>
        <xdr:cNvPr id="11" name="Imagem 10" descr="http://chambrr.files.wordpress.com/2010/05/0_electricidade.jpg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2449" y="70037"/>
          <a:ext cx="688039" cy="7178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561975</xdr:colOff>
      <xdr:row>9</xdr:row>
      <xdr:rowOff>28575</xdr:rowOff>
    </xdr:from>
    <xdr:to>
      <xdr:col>15</xdr:col>
      <xdr:colOff>581024</xdr:colOff>
      <xdr:row>9</xdr:row>
      <xdr:rowOff>414617</xdr:rowOff>
    </xdr:to>
    <xdr:sp macro="" textlink="">
      <xdr:nvSpPr>
        <xdr:cNvPr id="2" name="Object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 bwMode="auto">
        <a:xfrm>
          <a:off x="7981950" y="4086225"/>
          <a:ext cx="1238250" cy="390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</xdr:col>
      <xdr:colOff>571500</xdr:colOff>
      <xdr:row>23</xdr:row>
      <xdr:rowOff>0</xdr:rowOff>
    </xdr:from>
    <xdr:to>
      <xdr:col>15</xdr:col>
      <xdr:colOff>561974</xdr:colOff>
      <xdr:row>24</xdr:row>
      <xdr:rowOff>0</xdr:rowOff>
    </xdr:to>
    <xdr:sp macro="" textlink="">
      <xdr:nvSpPr>
        <xdr:cNvPr id="3" name="Object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 bwMode="auto">
        <a:xfrm>
          <a:off x="7991475" y="9925050"/>
          <a:ext cx="1209675" cy="571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</xdr:col>
      <xdr:colOff>466725</xdr:colOff>
      <xdr:row>23</xdr:row>
      <xdr:rowOff>0</xdr:rowOff>
    </xdr:from>
    <xdr:to>
      <xdr:col>15</xdr:col>
      <xdr:colOff>561974</xdr:colOff>
      <xdr:row>24</xdr:row>
      <xdr:rowOff>17318</xdr:rowOff>
    </xdr:to>
    <xdr:sp macro="" textlink="">
      <xdr:nvSpPr>
        <xdr:cNvPr id="4" name="Object 4" hidden="1">
          <a:extLst>
            <a:ext uri="{63B3BB69-23CF-44E3-9099-C40C66FF867C}">
              <a14:compatExt xmlns:a14="http://schemas.microsoft.com/office/drawing/2010/main" spid="_x0000_s3076"/>
            </a:ex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 bwMode="auto">
        <a:xfrm>
          <a:off x="7886700" y="9925050"/>
          <a:ext cx="1314450" cy="58881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</xdr:col>
      <xdr:colOff>542925</xdr:colOff>
      <xdr:row>23</xdr:row>
      <xdr:rowOff>76200</xdr:rowOff>
    </xdr:from>
    <xdr:to>
      <xdr:col>15</xdr:col>
      <xdr:colOff>581024</xdr:colOff>
      <xdr:row>24</xdr:row>
      <xdr:rowOff>9525</xdr:rowOff>
    </xdr:to>
    <xdr:sp macro="" textlink="">
      <xdr:nvSpPr>
        <xdr:cNvPr id="5" name="Object 5" hidden="1">
          <a:extLst>
            <a:ext uri="{63B3BB69-23CF-44E3-9099-C40C66FF867C}">
              <a14:compatExt xmlns:a14="http://schemas.microsoft.com/office/drawing/2010/main" spid="_x0000_s3077"/>
            </a:ex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 bwMode="auto">
        <a:xfrm>
          <a:off x="7962900" y="10001250"/>
          <a:ext cx="1257300" cy="504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</xdr:col>
      <xdr:colOff>552450</xdr:colOff>
      <xdr:row>26</xdr:row>
      <xdr:rowOff>38100</xdr:rowOff>
    </xdr:from>
    <xdr:to>
      <xdr:col>15</xdr:col>
      <xdr:colOff>542924</xdr:colOff>
      <xdr:row>26</xdr:row>
      <xdr:rowOff>600075</xdr:rowOff>
    </xdr:to>
    <xdr:sp macro="" textlink="">
      <xdr:nvSpPr>
        <xdr:cNvPr id="6" name="Object 6" hidden="1">
          <a:extLst>
            <a:ext uri="{63B3BB69-23CF-44E3-9099-C40C66FF867C}">
              <a14:compatExt xmlns:a14="http://schemas.microsoft.com/office/drawing/2010/main" spid="_x0000_s3078"/>
            </a:ex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 bwMode="auto">
        <a:xfrm>
          <a:off x="7972425" y="11811000"/>
          <a:ext cx="1209675" cy="561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266700</xdr:colOff>
      <xdr:row>23</xdr:row>
      <xdr:rowOff>0</xdr:rowOff>
    </xdr:from>
    <xdr:to>
      <xdr:col>15</xdr:col>
      <xdr:colOff>457200</xdr:colOff>
      <xdr:row>23</xdr:row>
      <xdr:rowOff>428625</xdr:rowOff>
    </xdr:to>
    <xdr:sp macro="" textlink="">
      <xdr:nvSpPr>
        <xdr:cNvPr id="7" name="Object 7" hidden="1">
          <a:extLst>
            <a:ext uri="{63B3BB69-23CF-44E3-9099-C40C66FF867C}">
              <a14:compatExt xmlns:a14="http://schemas.microsoft.com/office/drawing/2010/main" spid="_x0000_s3079"/>
            </a:ex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 bwMode="auto">
        <a:xfrm>
          <a:off x="8296275" y="9925050"/>
          <a:ext cx="800100" cy="4286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38100</xdr:colOff>
          <xdr:row>3</xdr:row>
          <xdr:rowOff>19050</xdr:rowOff>
        </xdr:from>
        <xdr:to>
          <xdr:col>15</xdr:col>
          <xdr:colOff>495300</xdr:colOff>
          <xdr:row>4</xdr:row>
          <xdr:rowOff>0</xdr:rowOff>
        </xdr:to>
        <xdr:sp macro="" textlink="">
          <xdr:nvSpPr>
            <xdr:cNvPr id="13313" name="Object 1" hidden="1">
              <a:extLst>
                <a:ext uri="{63B3BB69-23CF-44E3-9099-C40C66FF867C}">
                  <a14:compatExt spid="_x0000_s13313"/>
                </a:ext>
                <a:ext uri="{FF2B5EF4-FFF2-40B4-BE49-F238E27FC236}">
                  <a16:creationId xmlns:a16="http://schemas.microsoft.com/office/drawing/2014/main" id="{00000000-0008-0000-0200-00000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38100</xdr:colOff>
          <xdr:row>4</xdr:row>
          <xdr:rowOff>19050</xdr:rowOff>
        </xdr:from>
        <xdr:to>
          <xdr:col>15</xdr:col>
          <xdr:colOff>495300</xdr:colOff>
          <xdr:row>5</xdr:row>
          <xdr:rowOff>0</xdr:rowOff>
        </xdr:to>
        <xdr:sp macro="" textlink="">
          <xdr:nvSpPr>
            <xdr:cNvPr id="13314" name="Object 2" hidden="1">
              <a:extLst>
                <a:ext uri="{63B3BB69-23CF-44E3-9099-C40C66FF867C}">
                  <a14:compatExt spid="_x0000_s13314"/>
                </a:ext>
                <a:ext uri="{FF2B5EF4-FFF2-40B4-BE49-F238E27FC236}">
                  <a16:creationId xmlns:a16="http://schemas.microsoft.com/office/drawing/2014/main" id="{00000000-0008-0000-0200-000002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400050</xdr:colOff>
          <xdr:row>5</xdr:row>
          <xdr:rowOff>9525</xdr:rowOff>
        </xdr:from>
        <xdr:to>
          <xdr:col>15</xdr:col>
          <xdr:colOff>485775</xdr:colOff>
          <xdr:row>5</xdr:row>
          <xdr:rowOff>561975</xdr:rowOff>
        </xdr:to>
        <xdr:sp macro="" textlink="">
          <xdr:nvSpPr>
            <xdr:cNvPr id="13315" name="Object 3" hidden="1">
              <a:extLst>
                <a:ext uri="{63B3BB69-23CF-44E3-9099-C40C66FF867C}">
                  <a14:compatExt spid="_x0000_s13315"/>
                </a:ext>
                <a:ext uri="{FF2B5EF4-FFF2-40B4-BE49-F238E27FC236}">
                  <a16:creationId xmlns:a16="http://schemas.microsoft.com/office/drawing/2014/main" id="{00000000-0008-0000-0200-000003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161925</xdr:colOff>
          <xdr:row>8</xdr:row>
          <xdr:rowOff>47625</xdr:rowOff>
        </xdr:from>
        <xdr:to>
          <xdr:col>15</xdr:col>
          <xdr:colOff>495300</xdr:colOff>
          <xdr:row>8</xdr:row>
          <xdr:rowOff>381000</xdr:rowOff>
        </xdr:to>
        <xdr:sp macro="" textlink="">
          <xdr:nvSpPr>
            <xdr:cNvPr id="13316" name="Object 4" hidden="1">
              <a:extLst>
                <a:ext uri="{63B3BB69-23CF-44E3-9099-C40C66FF867C}">
                  <a14:compatExt spid="_x0000_s13316"/>
                </a:ext>
                <a:ext uri="{FF2B5EF4-FFF2-40B4-BE49-F238E27FC236}">
                  <a16:creationId xmlns:a16="http://schemas.microsoft.com/office/drawing/2014/main" id="{00000000-0008-0000-0200-000004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3</xdr:col>
      <xdr:colOff>123265</xdr:colOff>
      <xdr:row>9</xdr:row>
      <xdr:rowOff>40749</xdr:rowOff>
    </xdr:from>
    <xdr:to>
      <xdr:col>13</xdr:col>
      <xdr:colOff>170127</xdr:colOff>
      <xdr:row>22</xdr:row>
      <xdr:rowOff>373509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0090" y="4098399"/>
          <a:ext cx="6200011" cy="57810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313765</xdr:colOff>
      <xdr:row>14</xdr:row>
      <xdr:rowOff>347382</xdr:rowOff>
    </xdr:from>
    <xdr:to>
      <xdr:col>15</xdr:col>
      <xdr:colOff>537882</xdr:colOff>
      <xdr:row>17</xdr:row>
      <xdr:rowOff>78441</xdr:rowOff>
    </xdr:to>
    <xdr:sp macro="" textlink="">
      <xdr:nvSpPr>
        <xdr:cNvPr id="13" name="Retângulo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7733740" y="6500532"/>
          <a:ext cx="1443317" cy="98835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PT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Com base no ábaco ao lado, o</a:t>
          </a:r>
          <a:r>
            <a:rPr lang="pt-PT" sz="12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calibre dos fusíveis deverá ser maior que:</a:t>
          </a:r>
          <a:endParaRPr lang="pt-PT" sz="12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58223</xdr:colOff>
      <xdr:row>16</xdr:row>
      <xdr:rowOff>307349</xdr:rowOff>
    </xdr:from>
    <xdr:to>
      <xdr:col>6</xdr:col>
      <xdr:colOff>58223</xdr:colOff>
      <xdr:row>21</xdr:row>
      <xdr:rowOff>348762</xdr:rowOff>
    </xdr:to>
    <xdr:cxnSp macro="">
      <xdr:nvCxnSpPr>
        <xdr:cNvPr id="14" name="Conexão reta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CxnSpPr/>
      </xdr:nvCxnSpPr>
      <xdr:spPr>
        <a:xfrm flipV="1">
          <a:off x="3171913" y="7323004"/>
          <a:ext cx="0" cy="2143482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16</xdr:row>
      <xdr:rowOff>306457</xdr:rowOff>
    </xdr:from>
    <xdr:to>
      <xdr:col>6</xdr:col>
      <xdr:colOff>65689</xdr:colOff>
      <xdr:row>16</xdr:row>
      <xdr:rowOff>306457</xdr:rowOff>
    </xdr:to>
    <xdr:cxnSp macro="">
      <xdr:nvCxnSpPr>
        <xdr:cNvPr id="15" name="Conexão reta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CxnSpPr/>
      </xdr:nvCxnSpPr>
      <xdr:spPr>
        <a:xfrm>
          <a:off x="1891862" y="7322112"/>
          <a:ext cx="1287517" cy="0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495300</xdr:colOff>
          <xdr:row>23</xdr:row>
          <xdr:rowOff>133350</xdr:rowOff>
        </xdr:from>
        <xdr:to>
          <xdr:col>15</xdr:col>
          <xdr:colOff>485775</xdr:colOff>
          <xdr:row>23</xdr:row>
          <xdr:rowOff>466725</xdr:rowOff>
        </xdr:to>
        <xdr:sp macro="" textlink="">
          <xdr:nvSpPr>
            <xdr:cNvPr id="13317" name="Object 5" hidden="1">
              <a:extLst>
                <a:ext uri="{63B3BB69-23CF-44E3-9099-C40C66FF867C}">
                  <a14:compatExt spid="_x0000_s13317"/>
                </a:ext>
                <a:ext uri="{FF2B5EF4-FFF2-40B4-BE49-F238E27FC236}">
                  <a16:creationId xmlns:a16="http://schemas.microsoft.com/office/drawing/2014/main" id="{00000000-0008-0000-0200-000005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13</xdr:col>
      <xdr:colOff>552450</xdr:colOff>
      <xdr:row>25</xdr:row>
      <xdr:rowOff>38100</xdr:rowOff>
    </xdr:from>
    <xdr:ext cx="1200710" cy="561975"/>
    <xdr:sp macro="" textlink="">
      <xdr:nvSpPr>
        <xdr:cNvPr id="17" name="Object 6" hidden="1">
          <a:extLst>
            <a:ext uri="{63B3BB69-23CF-44E3-9099-C40C66FF867C}">
              <a14:compatExt xmlns:a14="http://schemas.microsoft.com/office/drawing/2010/main" spid="_x0000_s3078"/>
            </a:ex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 bwMode="auto">
        <a:xfrm>
          <a:off x="7972425" y="11172825"/>
          <a:ext cx="1200710" cy="561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552450</xdr:colOff>
      <xdr:row>24</xdr:row>
      <xdr:rowOff>38100</xdr:rowOff>
    </xdr:from>
    <xdr:ext cx="1200710" cy="561975"/>
    <xdr:sp macro="" textlink="">
      <xdr:nvSpPr>
        <xdr:cNvPr id="18" name="Object 6" hidden="1">
          <a:extLst>
            <a:ext uri="{63B3BB69-23CF-44E3-9099-C40C66FF867C}">
              <a14:compatExt xmlns:a14="http://schemas.microsoft.com/office/drawing/2010/main" spid="_x0000_s3078"/>
            </a:ex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 bwMode="auto">
        <a:xfrm>
          <a:off x="7972425" y="10534650"/>
          <a:ext cx="1200710" cy="561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571500</xdr:colOff>
      <xdr:row>24</xdr:row>
      <xdr:rowOff>0</xdr:rowOff>
    </xdr:from>
    <xdr:ext cx="1200710" cy="571500"/>
    <xdr:sp macro="" textlink="">
      <xdr:nvSpPr>
        <xdr:cNvPr id="19" name="Object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 bwMode="auto">
        <a:xfrm>
          <a:off x="7991475" y="10496550"/>
          <a:ext cx="1200710" cy="571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466725</xdr:colOff>
      <xdr:row>24</xdr:row>
      <xdr:rowOff>0</xdr:rowOff>
    </xdr:from>
    <xdr:ext cx="1305485" cy="588818"/>
    <xdr:sp macro="" textlink="">
      <xdr:nvSpPr>
        <xdr:cNvPr id="20" name="Object 4" hidden="1">
          <a:extLst>
            <a:ext uri="{63B3BB69-23CF-44E3-9099-C40C66FF867C}">
              <a14:compatExt xmlns:a14="http://schemas.microsoft.com/office/drawing/2010/main" spid="_x0000_s3076"/>
            </a:ex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 bwMode="auto">
        <a:xfrm>
          <a:off x="7886700" y="10496550"/>
          <a:ext cx="1305485" cy="58881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542925</xdr:colOff>
      <xdr:row>24</xdr:row>
      <xdr:rowOff>76200</xdr:rowOff>
    </xdr:from>
    <xdr:ext cx="1248335" cy="504825"/>
    <xdr:sp macro="" textlink="">
      <xdr:nvSpPr>
        <xdr:cNvPr id="21" name="Object 5" hidden="1">
          <a:extLst>
            <a:ext uri="{63B3BB69-23CF-44E3-9099-C40C66FF867C}">
              <a14:compatExt xmlns:a14="http://schemas.microsoft.com/office/drawing/2010/main" spid="_x0000_s3077"/>
            </a:ex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 bwMode="auto">
        <a:xfrm>
          <a:off x="7962900" y="10572750"/>
          <a:ext cx="1248335" cy="504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266700</xdr:colOff>
      <xdr:row>24</xdr:row>
      <xdr:rowOff>0</xdr:rowOff>
    </xdr:from>
    <xdr:ext cx="795618" cy="428625"/>
    <xdr:sp macro="" textlink="">
      <xdr:nvSpPr>
        <xdr:cNvPr id="22" name="Object 7" hidden="1">
          <a:extLst>
            <a:ext uri="{63B3BB69-23CF-44E3-9099-C40C66FF867C}">
              <a14:compatExt xmlns:a14="http://schemas.microsoft.com/office/drawing/2010/main" spid="_x0000_s3079"/>
            </a:ex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 bwMode="auto">
        <a:xfrm>
          <a:off x="8296275" y="10496550"/>
          <a:ext cx="795618" cy="4286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24</xdr:row>
          <xdr:rowOff>133350</xdr:rowOff>
        </xdr:from>
        <xdr:to>
          <xdr:col>15</xdr:col>
          <xdr:colOff>495300</xdr:colOff>
          <xdr:row>24</xdr:row>
          <xdr:rowOff>457200</xdr:rowOff>
        </xdr:to>
        <xdr:sp macro="" textlink="">
          <xdr:nvSpPr>
            <xdr:cNvPr id="13318" name="Object 6" hidden="1">
              <a:extLst>
                <a:ext uri="{63B3BB69-23CF-44E3-9099-C40C66FF867C}">
                  <a14:compatExt spid="_x0000_s13318"/>
                </a:ext>
                <a:ext uri="{FF2B5EF4-FFF2-40B4-BE49-F238E27FC236}">
                  <a16:creationId xmlns:a16="http://schemas.microsoft.com/office/drawing/2014/main" id="{00000000-0008-0000-0200-000006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13</xdr:col>
      <xdr:colOff>466725</xdr:colOff>
      <xdr:row>24</xdr:row>
      <xdr:rowOff>0</xdr:rowOff>
    </xdr:from>
    <xdr:ext cx="1305485" cy="588818"/>
    <xdr:sp macro="" textlink="">
      <xdr:nvSpPr>
        <xdr:cNvPr id="24" name="Object 4" hidden="1">
          <a:extLst>
            <a:ext uri="{63B3BB69-23CF-44E3-9099-C40C66FF867C}">
              <a14:compatExt xmlns:a14="http://schemas.microsoft.com/office/drawing/2010/main" spid="_x0000_s3076"/>
            </a:ex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 bwMode="auto">
        <a:xfrm>
          <a:off x="7886700" y="10496550"/>
          <a:ext cx="1305485" cy="58881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542925</xdr:colOff>
      <xdr:row>24</xdr:row>
      <xdr:rowOff>76200</xdr:rowOff>
    </xdr:from>
    <xdr:ext cx="1248335" cy="504825"/>
    <xdr:sp macro="" textlink="">
      <xdr:nvSpPr>
        <xdr:cNvPr id="25" name="Object 5" hidden="1">
          <a:extLst>
            <a:ext uri="{63B3BB69-23CF-44E3-9099-C40C66FF867C}">
              <a14:compatExt xmlns:a14="http://schemas.microsoft.com/office/drawing/2010/main" spid="_x0000_s3077"/>
            </a:ex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 bwMode="auto">
        <a:xfrm>
          <a:off x="7962900" y="10572750"/>
          <a:ext cx="1248335" cy="504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552450</xdr:colOff>
      <xdr:row>25</xdr:row>
      <xdr:rowOff>38100</xdr:rowOff>
    </xdr:from>
    <xdr:ext cx="1200710" cy="561975"/>
    <xdr:sp macro="" textlink="">
      <xdr:nvSpPr>
        <xdr:cNvPr id="26" name="Object 6" hidden="1">
          <a:extLst>
            <a:ext uri="{63B3BB69-23CF-44E3-9099-C40C66FF867C}">
              <a14:compatExt xmlns:a14="http://schemas.microsoft.com/office/drawing/2010/main" spid="_x0000_s3078"/>
            </a:ex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 bwMode="auto">
        <a:xfrm>
          <a:off x="7972425" y="11172825"/>
          <a:ext cx="1200710" cy="561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571500</xdr:colOff>
      <xdr:row>25</xdr:row>
      <xdr:rowOff>0</xdr:rowOff>
    </xdr:from>
    <xdr:ext cx="1200710" cy="571500"/>
    <xdr:sp macro="" textlink="">
      <xdr:nvSpPr>
        <xdr:cNvPr id="27" name="Object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 bwMode="auto">
        <a:xfrm>
          <a:off x="7991475" y="11134725"/>
          <a:ext cx="1200710" cy="571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466725</xdr:colOff>
      <xdr:row>25</xdr:row>
      <xdr:rowOff>0</xdr:rowOff>
    </xdr:from>
    <xdr:ext cx="1305485" cy="588818"/>
    <xdr:sp macro="" textlink="">
      <xdr:nvSpPr>
        <xdr:cNvPr id="28" name="Object 4" hidden="1">
          <a:extLst>
            <a:ext uri="{63B3BB69-23CF-44E3-9099-C40C66FF867C}">
              <a14:compatExt xmlns:a14="http://schemas.microsoft.com/office/drawing/2010/main" spid="_x0000_s3076"/>
            </a:ex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 bwMode="auto">
        <a:xfrm>
          <a:off x="7886700" y="11134725"/>
          <a:ext cx="1305485" cy="58881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542925</xdr:colOff>
      <xdr:row>25</xdr:row>
      <xdr:rowOff>76200</xdr:rowOff>
    </xdr:from>
    <xdr:ext cx="1248335" cy="504825"/>
    <xdr:sp macro="" textlink="">
      <xdr:nvSpPr>
        <xdr:cNvPr id="29" name="Object 5" hidden="1">
          <a:extLst>
            <a:ext uri="{63B3BB69-23CF-44E3-9099-C40C66FF867C}">
              <a14:compatExt xmlns:a14="http://schemas.microsoft.com/office/drawing/2010/main" spid="_x0000_s3077"/>
            </a:ex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 bwMode="auto">
        <a:xfrm>
          <a:off x="7962900" y="11210925"/>
          <a:ext cx="1248335" cy="504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266700</xdr:colOff>
      <xdr:row>25</xdr:row>
      <xdr:rowOff>0</xdr:rowOff>
    </xdr:from>
    <xdr:ext cx="795618" cy="428625"/>
    <xdr:sp macro="" textlink="">
      <xdr:nvSpPr>
        <xdr:cNvPr id="30" name="Object 7" hidden="1">
          <a:extLst>
            <a:ext uri="{63B3BB69-23CF-44E3-9099-C40C66FF867C}">
              <a14:compatExt xmlns:a14="http://schemas.microsoft.com/office/drawing/2010/main" spid="_x0000_s3079"/>
            </a:ex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 bwMode="auto">
        <a:xfrm>
          <a:off x="8296275" y="11134725"/>
          <a:ext cx="795618" cy="4286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590550</xdr:colOff>
          <xdr:row>25</xdr:row>
          <xdr:rowOff>57150</xdr:rowOff>
        </xdr:from>
        <xdr:to>
          <xdr:col>15</xdr:col>
          <xdr:colOff>495300</xdr:colOff>
          <xdr:row>25</xdr:row>
          <xdr:rowOff>581025</xdr:rowOff>
        </xdr:to>
        <xdr:sp macro="" textlink="">
          <xdr:nvSpPr>
            <xdr:cNvPr id="13319" name="Object 7" hidden="1">
              <a:extLst>
                <a:ext uri="{63B3BB69-23CF-44E3-9099-C40C66FF867C}">
                  <a14:compatExt spid="_x0000_s13319"/>
                </a:ext>
                <a:ext uri="{FF2B5EF4-FFF2-40B4-BE49-F238E27FC236}">
                  <a16:creationId xmlns:a16="http://schemas.microsoft.com/office/drawing/2014/main" id="{00000000-0008-0000-0200-000007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</xdr:col>
      <xdr:colOff>68036</xdr:colOff>
      <xdr:row>1</xdr:row>
      <xdr:rowOff>27214</xdr:rowOff>
    </xdr:from>
    <xdr:to>
      <xdr:col>2</xdr:col>
      <xdr:colOff>139271</xdr:colOff>
      <xdr:row>1</xdr:row>
      <xdr:rowOff>745036</xdr:rowOff>
    </xdr:to>
    <xdr:pic>
      <xdr:nvPicPr>
        <xdr:cNvPr id="32" name="Imagem 31" descr="http://chambrr.files.wordpress.com/2010/05/0_electricidade.jpg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22465" y="81643"/>
          <a:ext cx="683557" cy="7178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6</xdr:row>
      <xdr:rowOff>28575</xdr:rowOff>
    </xdr:from>
    <xdr:to>
      <xdr:col>9</xdr:col>
      <xdr:colOff>19049</xdr:colOff>
      <xdr:row>6</xdr:row>
      <xdr:rowOff>414617</xdr:rowOff>
    </xdr:to>
    <xdr:sp macro="" textlink="">
      <xdr:nvSpPr>
        <xdr:cNvPr id="2" name="Object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 bwMode="auto">
        <a:xfrm>
          <a:off x="3609975" y="2371725"/>
          <a:ext cx="1238249" cy="390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595592</xdr:colOff>
      <xdr:row>12</xdr:row>
      <xdr:rowOff>44824</xdr:rowOff>
    </xdr:to>
    <xdr:sp macro="" textlink="">
      <xdr:nvSpPr>
        <xdr:cNvPr id="3" name="Object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 bwMode="auto">
        <a:xfrm>
          <a:off x="3609975" y="3600450"/>
          <a:ext cx="1205192" cy="571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9</xdr:col>
      <xdr:colOff>95249</xdr:colOff>
      <xdr:row>12</xdr:row>
      <xdr:rowOff>56030</xdr:rowOff>
    </xdr:to>
    <xdr:sp macro="" textlink="">
      <xdr:nvSpPr>
        <xdr:cNvPr id="4" name="Object 4" hidden="1">
          <a:extLst>
            <a:ext uri="{63B3BB69-23CF-44E3-9099-C40C66FF867C}">
              <a14:compatExt xmlns:a14="http://schemas.microsoft.com/office/drawing/2010/main" spid="_x0000_s3076"/>
            </a:ex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 bwMode="auto">
        <a:xfrm>
          <a:off x="3609975" y="3609975"/>
          <a:ext cx="1314449" cy="581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9</xdr:col>
      <xdr:colOff>38099</xdr:colOff>
      <xdr:row>11</xdr:row>
      <xdr:rowOff>213472</xdr:rowOff>
    </xdr:to>
    <xdr:sp macro="" textlink="">
      <xdr:nvSpPr>
        <xdr:cNvPr id="5" name="Object 5" hidden="1">
          <a:extLst>
            <a:ext uri="{63B3BB69-23CF-44E3-9099-C40C66FF867C}">
              <a14:compatExt xmlns:a14="http://schemas.microsoft.com/office/drawing/2010/main" spid="_x0000_s3077"/>
            </a:ex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 bwMode="auto">
        <a:xfrm>
          <a:off x="3609975" y="4181475"/>
          <a:ext cx="1257299" cy="504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595592</xdr:colOff>
      <xdr:row>12</xdr:row>
      <xdr:rowOff>35299</xdr:rowOff>
    </xdr:to>
    <xdr:sp macro="" textlink="">
      <xdr:nvSpPr>
        <xdr:cNvPr id="6" name="Object 6" hidden="1">
          <a:extLst>
            <a:ext uri="{63B3BB69-23CF-44E3-9099-C40C66FF867C}">
              <a14:compatExt xmlns:a14="http://schemas.microsoft.com/office/drawing/2010/main" spid="_x0000_s3078"/>
            </a:ex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 bwMode="auto">
        <a:xfrm>
          <a:off x="3609975" y="4219575"/>
          <a:ext cx="1205192" cy="561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266700</xdr:colOff>
      <xdr:row>9</xdr:row>
      <xdr:rowOff>0</xdr:rowOff>
    </xdr:from>
    <xdr:to>
      <xdr:col>8</xdr:col>
      <xdr:colOff>457200</xdr:colOff>
      <xdr:row>11</xdr:row>
      <xdr:rowOff>137272</xdr:rowOff>
    </xdr:to>
    <xdr:sp macro="" textlink="">
      <xdr:nvSpPr>
        <xdr:cNvPr id="7" name="Object 7" hidden="1">
          <a:extLst>
            <a:ext uri="{63B3BB69-23CF-44E3-9099-C40C66FF867C}">
              <a14:compatExt xmlns:a14="http://schemas.microsoft.com/office/drawing/2010/main" spid="_x0000_s3079"/>
            </a:ex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 bwMode="auto">
        <a:xfrm>
          <a:off x="3876675" y="3600450"/>
          <a:ext cx="800100" cy="4286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44824</xdr:colOff>
      <xdr:row>1</xdr:row>
      <xdr:rowOff>22412</xdr:rowOff>
    </xdr:from>
    <xdr:to>
      <xdr:col>2</xdr:col>
      <xdr:colOff>123263</xdr:colOff>
      <xdr:row>1</xdr:row>
      <xdr:rowOff>740234</xdr:rowOff>
    </xdr:to>
    <xdr:pic>
      <xdr:nvPicPr>
        <xdr:cNvPr id="11" name="Imagem 10" descr="http://chambrr.files.wordpress.com/2010/05/0_electricidade.jpg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2449" y="70037"/>
          <a:ext cx="688039" cy="7178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485775</xdr:colOff>
          <xdr:row>5</xdr:row>
          <xdr:rowOff>76200</xdr:rowOff>
        </xdr:from>
        <xdr:to>
          <xdr:col>8</xdr:col>
          <xdr:colOff>466725</xdr:colOff>
          <xdr:row>5</xdr:row>
          <xdr:rowOff>647700</xdr:rowOff>
        </xdr:to>
        <xdr:sp macro="" textlink="">
          <xdr:nvSpPr>
            <xdr:cNvPr id="46084" name="Object 4" hidden="1">
              <a:extLst>
                <a:ext uri="{63B3BB69-23CF-44E3-9099-C40C66FF867C}">
                  <a14:compatExt spid="_x0000_s46084"/>
                </a:ext>
                <a:ext uri="{FF2B5EF4-FFF2-40B4-BE49-F238E27FC236}">
                  <a16:creationId xmlns:a16="http://schemas.microsoft.com/office/drawing/2014/main" id="{00000000-0008-0000-0300-000004B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133350</xdr:colOff>
          <xdr:row>8</xdr:row>
          <xdr:rowOff>133350</xdr:rowOff>
        </xdr:from>
        <xdr:to>
          <xdr:col>8</xdr:col>
          <xdr:colOff>295275</xdr:colOff>
          <xdr:row>8</xdr:row>
          <xdr:rowOff>133350</xdr:rowOff>
        </xdr:to>
        <xdr:sp macro="" textlink="">
          <xdr:nvSpPr>
            <xdr:cNvPr id="23553" name="Object 1" hidden="1">
              <a:extLst>
                <a:ext uri="{63B3BB69-23CF-44E3-9099-C40C66FF867C}">
                  <a14:compatExt spid="_x0000_s23553"/>
                </a:ext>
                <a:ext uri="{FF2B5EF4-FFF2-40B4-BE49-F238E27FC236}">
                  <a16:creationId xmlns:a16="http://schemas.microsoft.com/office/drawing/2014/main" id="{00000000-0008-0000-0400-000001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>
                <a:alpha val="0"/>
              </a:srgbClr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</xdr:col>
      <xdr:colOff>51289</xdr:colOff>
      <xdr:row>1</xdr:row>
      <xdr:rowOff>21981</xdr:rowOff>
    </xdr:from>
    <xdr:to>
      <xdr:col>1</xdr:col>
      <xdr:colOff>479914</xdr:colOff>
      <xdr:row>1</xdr:row>
      <xdr:rowOff>460131</xdr:rowOff>
    </xdr:to>
    <xdr:pic>
      <xdr:nvPicPr>
        <xdr:cNvPr id="3" name="Imagem 2" descr="http://chambrr.files.wordpress.com/2010/05/0_electricidade.jp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8439" y="79131"/>
          <a:ext cx="428625" cy="438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133350</xdr:colOff>
          <xdr:row>15</xdr:row>
          <xdr:rowOff>0</xdr:rowOff>
        </xdr:from>
        <xdr:to>
          <xdr:col>8</xdr:col>
          <xdr:colOff>295275</xdr:colOff>
          <xdr:row>15</xdr:row>
          <xdr:rowOff>0</xdr:rowOff>
        </xdr:to>
        <xdr:sp macro="" textlink="">
          <xdr:nvSpPr>
            <xdr:cNvPr id="23554" name="Object 2" hidden="1">
              <a:extLst>
                <a:ext uri="{63B3BB69-23CF-44E3-9099-C40C66FF867C}">
                  <a14:compatExt spid="_x0000_s23554"/>
                </a:ext>
                <a:ext uri="{FF2B5EF4-FFF2-40B4-BE49-F238E27FC236}">
                  <a16:creationId xmlns:a16="http://schemas.microsoft.com/office/drawing/2014/main" id="{00000000-0008-0000-0400-000002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>
                <a:alpha val="0"/>
              </a:srgbClr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1057275</xdr:colOff>
          <xdr:row>14</xdr:row>
          <xdr:rowOff>190500</xdr:rowOff>
        </xdr:from>
        <xdr:to>
          <xdr:col>2</xdr:col>
          <xdr:colOff>819150</xdr:colOff>
          <xdr:row>14</xdr:row>
          <xdr:rowOff>647700</xdr:rowOff>
        </xdr:to>
        <xdr:sp macro="" textlink="">
          <xdr:nvSpPr>
            <xdr:cNvPr id="23562" name="Object 10" hidden="1">
              <a:extLst>
                <a:ext uri="{63B3BB69-23CF-44E3-9099-C40C66FF867C}">
                  <a14:compatExt spid="_x0000_s23562"/>
                </a:ext>
                <a:ext uri="{FF2B5EF4-FFF2-40B4-BE49-F238E27FC236}">
                  <a16:creationId xmlns:a16="http://schemas.microsoft.com/office/drawing/2014/main" id="{00000000-0008-0000-0400-00000A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133350</xdr:colOff>
          <xdr:row>5</xdr:row>
          <xdr:rowOff>133350</xdr:rowOff>
        </xdr:from>
        <xdr:to>
          <xdr:col>8</xdr:col>
          <xdr:colOff>295275</xdr:colOff>
          <xdr:row>5</xdr:row>
          <xdr:rowOff>133350</xdr:rowOff>
        </xdr:to>
        <xdr:sp macro="" textlink="">
          <xdr:nvSpPr>
            <xdr:cNvPr id="22529" name="Object 1" hidden="1">
              <a:extLst>
                <a:ext uri="{63B3BB69-23CF-44E3-9099-C40C66FF867C}">
                  <a14:compatExt spid="_x0000_s22529"/>
                </a:ext>
                <a:ext uri="{FF2B5EF4-FFF2-40B4-BE49-F238E27FC236}">
                  <a16:creationId xmlns:a16="http://schemas.microsoft.com/office/drawing/2014/main" id="{00000000-0008-0000-0500-000001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>
                <a:alpha val="0"/>
              </a:srgbClr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</xdr:col>
      <xdr:colOff>51289</xdr:colOff>
      <xdr:row>1</xdr:row>
      <xdr:rowOff>16823</xdr:rowOff>
    </xdr:from>
    <xdr:to>
      <xdr:col>1</xdr:col>
      <xdr:colOff>479914</xdr:colOff>
      <xdr:row>1</xdr:row>
      <xdr:rowOff>450635</xdr:rowOff>
    </xdr:to>
    <xdr:pic>
      <xdr:nvPicPr>
        <xdr:cNvPr id="3" name="Imagem 2" descr="http://chambrr.files.wordpress.com/2010/05/0_electricidade.jp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9904" y="75438"/>
          <a:ext cx="428625" cy="433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133350</xdr:colOff>
          <xdr:row>22</xdr:row>
          <xdr:rowOff>381000</xdr:rowOff>
        </xdr:from>
        <xdr:to>
          <xdr:col>8</xdr:col>
          <xdr:colOff>295275</xdr:colOff>
          <xdr:row>22</xdr:row>
          <xdr:rowOff>381000</xdr:rowOff>
        </xdr:to>
        <xdr:sp macro="" textlink="">
          <xdr:nvSpPr>
            <xdr:cNvPr id="22530" name="Object 2" hidden="1">
              <a:extLst>
                <a:ext uri="{63B3BB69-23CF-44E3-9099-C40C66FF867C}">
                  <a14:compatExt spid="_x0000_s22530"/>
                </a:ext>
                <a:ext uri="{FF2B5EF4-FFF2-40B4-BE49-F238E27FC236}">
                  <a16:creationId xmlns:a16="http://schemas.microsoft.com/office/drawing/2014/main" id="{00000000-0008-0000-0500-000002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>
                <a:alpha val="0"/>
              </a:srgbClr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104775</xdr:colOff>
          <xdr:row>23</xdr:row>
          <xdr:rowOff>371475</xdr:rowOff>
        </xdr:from>
        <xdr:to>
          <xdr:col>2</xdr:col>
          <xdr:colOff>276225</xdr:colOff>
          <xdr:row>23</xdr:row>
          <xdr:rowOff>1000125</xdr:rowOff>
        </xdr:to>
        <xdr:sp macro="" textlink="">
          <xdr:nvSpPr>
            <xdr:cNvPr id="22531" name="Object 3" hidden="1">
              <a:extLst>
                <a:ext uri="{63B3BB69-23CF-44E3-9099-C40C66FF867C}">
                  <a14:compatExt spid="_x0000_s22531"/>
                </a:ext>
                <a:ext uri="{FF2B5EF4-FFF2-40B4-BE49-F238E27FC236}">
                  <a16:creationId xmlns:a16="http://schemas.microsoft.com/office/drawing/2014/main" id="{00000000-0008-0000-0500-000003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>
                <a:alpha val="0"/>
              </a:srgbClr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466725</xdr:colOff>
          <xdr:row>23</xdr:row>
          <xdr:rowOff>485775</xdr:rowOff>
        </xdr:from>
        <xdr:to>
          <xdr:col>3</xdr:col>
          <xdr:colOff>571500</xdr:colOff>
          <xdr:row>23</xdr:row>
          <xdr:rowOff>885825</xdr:rowOff>
        </xdr:to>
        <xdr:sp macro="" textlink="">
          <xdr:nvSpPr>
            <xdr:cNvPr id="22532" name="Object 4" hidden="1">
              <a:extLst>
                <a:ext uri="{63B3BB69-23CF-44E3-9099-C40C66FF867C}">
                  <a14:compatExt spid="_x0000_s22532"/>
                </a:ext>
                <a:ext uri="{FF2B5EF4-FFF2-40B4-BE49-F238E27FC236}">
                  <a16:creationId xmlns:a16="http://schemas.microsoft.com/office/drawing/2014/main" id="{00000000-0008-0000-0500-000004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>
                <a:alpha val="0"/>
              </a:srgbClr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1285875</xdr:colOff>
          <xdr:row>24</xdr:row>
          <xdr:rowOff>76200</xdr:rowOff>
        </xdr:from>
        <xdr:to>
          <xdr:col>3</xdr:col>
          <xdr:colOff>571500</xdr:colOff>
          <xdr:row>24</xdr:row>
          <xdr:rowOff>295275</xdr:rowOff>
        </xdr:to>
        <xdr:sp macro="" textlink="">
          <xdr:nvSpPr>
            <xdr:cNvPr id="22533" name="Object 5" hidden="1">
              <a:extLst>
                <a:ext uri="{63B3BB69-23CF-44E3-9099-C40C66FF867C}">
                  <a14:compatExt spid="_x0000_s22533"/>
                </a:ext>
                <a:ext uri="{FF2B5EF4-FFF2-40B4-BE49-F238E27FC236}">
                  <a16:creationId xmlns:a16="http://schemas.microsoft.com/office/drawing/2014/main" id="{00000000-0008-0000-0500-000005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>
                      <a:alpha val="0"/>
                    </a:srgbClr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180975</xdr:colOff>
          <xdr:row>11</xdr:row>
          <xdr:rowOff>190500</xdr:rowOff>
        </xdr:from>
        <xdr:to>
          <xdr:col>3</xdr:col>
          <xdr:colOff>514350</xdr:colOff>
          <xdr:row>11</xdr:row>
          <xdr:rowOff>695325</xdr:rowOff>
        </xdr:to>
        <xdr:sp macro="" textlink="">
          <xdr:nvSpPr>
            <xdr:cNvPr id="22537" name="Object 9" hidden="1">
              <a:extLst>
                <a:ext uri="{63B3BB69-23CF-44E3-9099-C40C66FF867C}">
                  <a14:compatExt spid="_x0000_s22537"/>
                </a:ext>
                <a:ext uri="{FF2B5EF4-FFF2-40B4-BE49-F238E27FC236}">
                  <a16:creationId xmlns:a16="http://schemas.microsoft.com/office/drawing/2014/main" id="{00000000-0008-0000-0500-000009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38100</xdr:rowOff>
    </xdr:from>
    <xdr:to>
      <xdr:col>1</xdr:col>
      <xdr:colOff>731182</xdr:colOff>
      <xdr:row>1</xdr:row>
      <xdr:rowOff>755922</xdr:rowOff>
    </xdr:to>
    <xdr:pic>
      <xdr:nvPicPr>
        <xdr:cNvPr id="2" name="Imagem 1" descr="http://chambrr.files.wordpress.com/2010/05/0_electricidade.jp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4775" y="95250"/>
          <a:ext cx="683557" cy="7178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89648</xdr:colOff>
      <xdr:row>1</xdr:row>
      <xdr:rowOff>33618</xdr:rowOff>
    </xdr:from>
    <xdr:to>
      <xdr:col>1</xdr:col>
      <xdr:colOff>705971</xdr:colOff>
      <xdr:row>1</xdr:row>
      <xdr:rowOff>672354</xdr:rowOff>
    </xdr:to>
    <xdr:pic>
      <xdr:nvPicPr>
        <xdr:cNvPr id="2" name="Imagem 1" descr="http://chambrr.files.wordpress.com/2010/05/0_electricidade.jp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5677" y="89647"/>
          <a:ext cx="616323" cy="63873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542925</xdr:colOff>
          <xdr:row>2</xdr:row>
          <xdr:rowOff>457200</xdr:rowOff>
        </xdr:from>
        <xdr:to>
          <xdr:col>9</xdr:col>
          <xdr:colOff>9525</xdr:colOff>
          <xdr:row>2</xdr:row>
          <xdr:rowOff>457200</xdr:rowOff>
        </xdr:to>
        <xdr:sp macro="" textlink="">
          <xdr:nvSpPr>
            <xdr:cNvPr id="34817" name="Object 1" hidden="1">
              <a:extLst>
                <a:ext uri="{63B3BB69-23CF-44E3-9099-C40C66FF867C}">
                  <a14:compatExt spid="_x0000_s34817"/>
                </a:ext>
                <a:ext uri="{FF2B5EF4-FFF2-40B4-BE49-F238E27FC236}">
                  <a16:creationId xmlns:a16="http://schemas.microsoft.com/office/drawing/2014/main" id="{00000000-0008-0000-0900-0000018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>
                <a:alpha val="0"/>
              </a:srgbClr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266700</xdr:colOff>
          <xdr:row>2</xdr:row>
          <xdr:rowOff>381000</xdr:rowOff>
        </xdr:from>
        <xdr:to>
          <xdr:col>7</xdr:col>
          <xdr:colOff>952500</xdr:colOff>
          <xdr:row>2</xdr:row>
          <xdr:rowOff>819150</xdr:rowOff>
        </xdr:to>
        <xdr:sp macro="" textlink="">
          <xdr:nvSpPr>
            <xdr:cNvPr id="34818" name="Object 2" hidden="1">
              <a:extLst>
                <a:ext uri="{63B3BB69-23CF-44E3-9099-C40C66FF867C}">
                  <a14:compatExt spid="_x0000_s34818"/>
                </a:ext>
                <a:ext uri="{FF2B5EF4-FFF2-40B4-BE49-F238E27FC236}">
                  <a16:creationId xmlns:a16="http://schemas.microsoft.com/office/drawing/2014/main" id="{00000000-0008-0000-0900-0000028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>
                <a:alpha val="0"/>
              </a:srgbClr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</xdr:col>
      <xdr:colOff>62427</xdr:colOff>
      <xdr:row>1</xdr:row>
      <xdr:rowOff>35423</xdr:rowOff>
    </xdr:from>
    <xdr:to>
      <xdr:col>1</xdr:col>
      <xdr:colOff>468777</xdr:colOff>
      <xdr:row>1</xdr:row>
      <xdr:rowOff>446689</xdr:rowOff>
    </xdr:to>
    <xdr:pic>
      <xdr:nvPicPr>
        <xdr:cNvPr id="4" name="Imagem 3" descr="http://chambrr.files.wordpress.com/2010/05/0_electricidade.jpg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0052" y="73523"/>
          <a:ext cx="406350" cy="41126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26895</xdr:colOff>
      <xdr:row>22</xdr:row>
      <xdr:rowOff>119911</xdr:rowOff>
    </xdr:from>
    <xdr:to>
      <xdr:col>10</xdr:col>
      <xdr:colOff>439270</xdr:colOff>
      <xdr:row>42</xdr:row>
      <xdr:rowOff>85937</xdr:rowOff>
    </xdr:to>
    <xdr:pic>
      <xdr:nvPicPr>
        <xdr:cNvPr id="10241" name="Picture 1">
          <a:extLst>
            <a:ext uri="{FF2B5EF4-FFF2-40B4-BE49-F238E27FC236}">
              <a16:creationId xmlns:a16="http://schemas.microsoft.com/office/drawing/2014/main" id="{00000000-0008-0000-0A00-000001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5507" y="4064382"/>
          <a:ext cx="5898775" cy="355190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44824</xdr:colOff>
      <xdr:row>42</xdr:row>
      <xdr:rowOff>98611</xdr:rowOff>
    </xdr:from>
    <xdr:to>
      <xdr:col>10</xdr:col>
      <xdr:colOff>539153</xdr:colOff>
      <xdr:row>95</xdr:row>
      <xdr:rowOff>111497</xdr:rowOff>
    </xdr:to>
    <xdr:pic>
      <xdr:nvPicPr>
        <xdr:cNvPr id="10242" name="Picture 2">
          <a:extLst>
            <a:ext uri="{FF2B5EF4-FFF2-40B4-BE49-F238E27FC236}">
              <a16:creationId xmlns:a16="http://schemas.microsoft.com/office/drawing/2014/main" id="{00000000-0008-0000-0A00-000002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0853" y="8099611"/>
          <a:ext cx="5940388" cy="101093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41462</xdr:colOff>
      <xdr:row>96</xdr:row>
      <xdr:rowOff>62752</xdr:rowOff>
    </xdr:from>
    <xdr:to>
      <xdr:col>10</xdr:col>
      <xdr:colOff>513931</xdr:colOff>
      <xdr:row>150</xdr:row>
      <xdr:rowOff>51545</xdr:rowOff>
    </xdr:to>
    <xdr:pic>
      <xdr:nvPicPr>
        <xdr:cNvPr id="10243" name="Picture 3">
          <a:extLst>
            <a:ext uri="{FF2B5EF4-FFF2-40B4-BE49-F238E27FC236}">
              <a16:creationId xmlns:a16="http://schemas.microsoft.com/office/drawing/2014/main" id="{00000000-0008-0000-0A00-000003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1462" y="17274987"/>
          <a:ext cx="6021622" cy="96706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5604</xdr:colOff>
      <xdr:row>150</xdr:row>
      <xdr:rowOff>161364</xdr:rowOff>
    </xdr:from>
    <xdr:to>
      <xdr:col>10</xdr:col>
      <xdr:colOff>482995</xdr:colOff>
      <xdr:row>204</xdr:row>
      <xdr:rowOff>22971</xdr:rowOff>
    </xdr:to>
    <xdr:pic>
      <xdr:nvPicPr>
        <xdr:cNvPr id="10244" name="Picture 4">
          <a:extLst>
            <a:ext uri="{FF2B5EF4-FFF2-40B4-BE49-F238E27FC236}">
              <a16:creationId xmlns:a16="http://schemas.microsoft.com/office/drawing/2014/main" id="{00000000-0008-0000-0A00-000004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604" y="27055482"/>
          <a:ext cx="6026544" cy="95434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6164</xdr:colOff>
      <xdr:row>204</xdr:row>
      <xdr:rowOff>44823</xdr:rowOff>
    </xdr:from>
    <xdr:to>
      <xdr:col>10</xdr:col>
      <xdr:colOff>565501</xdr:colOff>
      <xdr:row>248</xdr:row>
      <xdr:rowOff>35858</xdr:rowOff>
    </xdr:to>
    <xdr:pic>
      <xdr:nvPicPr>
        <xdr:cNvPr id="10245" name="Picture 5">
          <a:extLst>
            <a:ext uri="{FF2B5EF4-FFF2-40B4-BE49-F238E27FC236}">
              <a16:creationId xmlns:a16="http://schemas.microsoft.com/office/drawing/2014/main" id="{00000000-0008-0000-0A00-000005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164" y="36620823"/>
          <a:ext cx="6108490" cy="78799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588310</xdr:colOff>
      <xdr:row>0</xdr:row>
      <xdr:rowOff>80123</xdr:rowOff>
    </xdr:from>
    <xdr:to>
      <xdr:col>9</xdr:col>
      <xdr:colOff>464485</xdr:colOff>
      <xdr:row>22</xdr:row>
      <xdr:rowOff>99173</xdr:rowOff>
    </xdr:to>
    <xdr:pic>
      <xdr:nvPicPr>
        <xdr:cNvPr id="10246" name="Picture 7">
          <a:extLst>
            <a:ext uri="{FF2B5EF4-FFF2-40B4-BE49-F238E27FC236}">
              <a16:creationId xmlns:a16="http://schemas.microsoft.com/office/drawing/2014/main" id="{00000000-0008-0000-0A00-000006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86922" y="80123"/>
          <a:ext cx="4752975" cy="39635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5.bin"/><Relationship Id="rId3" Type="http://schemas.openxmlformats.org/officeDocument/2006/relationships/vmlDrawing" Target="../drawings/vmlDrawing2.vml"/><Relationship Id="rId7" Type="http://schemas.openxmlformats.org/officeDocument/2006/relationships/image" Target="../media/image11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oleObject" Target="../embeddings/oleObject4.bin"/><Relationship Id="rId5" Type="http://schemas.openxmlformats.org/officeDocument/2006/relationships/image" Target="../media/image10.emf"/><Relationship Id="rId4" Type="http://schemas.openxmlformats.org/officeDocument/2006/relationships/oleObject" Target="../embeddings/oleObject3.bin"/><Relationship Id="rId9" Type="http://schemas.openxmlformats.org/officeDocument/2006/relationships/image" Target="../media/image12.emf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8.bin"/><Relationship Id="rId13" Type="http://schemas.openxmlformats.org/officeDocument/2006/relationships/image" Target="../media/image15.emf"/><Relationship Id="rId3" Type="http://schemas.openxmlformats.org/officeDocument/2006/relationships/vmlDrawing" Target="../drawings/vmlDrawing3.vml"/><Relationship Id="rId7" Type="http://schemas.openxmlformats.org/officeDocument/2006/relationships/image" Target="../media/image2.emf"/><Relationship Id="rId12" Type="http://schemas.openxmlformats.org/officeDocument/2006/relationships/oleObject" Target="../embeddings/oleObject10.bin"/><Relationship Id="rId17" Type="http://schemas.openxmlformats.org/officeDocument/2006/relationships/image" Target="../media/image17.emf"/><Relationship Id="rId2" Type="http://schemas.openxmlformats.org/officeDocument/2006/relationships/drawing" Target="../drawings/drawing3.xml"/><Relationship Id="rId16" Type="http://schemas.openxmlformats.org/officeDocument/2006/relationships/oleObject" Target="../embeddings/oleObject12.bin"/><Relationship Id="rId1" Type="http://schemas.openxmlformats.org/officeDocument/2006/relationships/printerSettings" Target="../printerSettings/printerSettings3.bin"/><Relationship Id="rId6" Type="http://schemas.openxmlformats.org/officeDocument/2006/relationships/oleObject" Target="../embeddings/oleObject7.bin"/><Relationship Id="rId11" Type="http://schemas.openxmlformats.org/officeDocument/2006/relationships/image" Target="../media/image14.emf"/><Relationship Id="rId5" Type="http://schemas.openxmlformats.org/officeDocument/2006/relationships/image" Target="../media/image1.emf"/><Relationship Id="rId15" Type="http://schemas.openxmlformats.org/officeDocument/2006/relationships/image" Target="../media/image16.emf"/><Relationship Id="rId10" Type="http://schemas.openxmlformats.org/officeDocument/2006/relationships/oleObject" Target="../embeddings/oleObject9.bin"/><Relationship Id="rId4" Type="http://schemas.openxmlformats.org/officeDocument/2006/relationships/oleObject" Target="../embeddings/oleObject6.bin"/><Relationship Id="rId9" Type="http://schemas.openxmlformats.org/officeDocument/2006/relationships/image" Target="../media/image13.emf"/><Relationship Id="rId14" Type="http://schemas.openxmlformats.org/officeDocument/2006/relationships/oleObject" Target="../embeddings/oleObject1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7" Type="http://schemas.openxmlformats.org/officeDocument/2006/relationships/image" Target="../media/image19.emf"/><Relationship Id="rId2" Type="http://schemas.openxmlformats.org/officeDocument/2006/relationships/hyperlink" Target="https://en.wikipedia.org/wiki/Transformer_oil" TargetMode="External"/><Relationship Id="rId1" Type="http://schemas.openxmlformats.org/officeDocument/2006/relationships/hyperlink" Target="https://oilregeneration.globecore.com/transformer-oil-density-and-viscosity.html" TargetMode="External"/><Relationship Id="rId6" Type="http://schemas.openxmlformats.org/officeDocument/2006/relationships/oleObject" Target="../embeddings/oleObject13.bin"/><Relationship Id="rId5" Type="http://schemas.openxmlformats.org/officeDocument/2006/relationships/vmlDrawing" Target="../drawings/vmlDrawing4.vml"/><Relationship Id="rId4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image" Target="../media/image21.wmf"/><Relationship Id="rId3" Type="http://schemas.openxmlformats.org/officeDocument/2006/relationships/vmlDrawing" Target="../drawings/vmlDrawing5.vml"/><Relationship Id="rId7" Type="http://schemas.openxmlformats.org/officeDocument/2006/relationships/oleObject" Target="../embeddings/oleObject16.bin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6" Type="http://schemas.openxmlformats.org/officeDocument/2006/relationships/oleObject" Target="../embeddings/oleObject15.bin"/><Relationship Id="rId5" Type="http://schemas.openxmlformats.org/officeDocument/2006/relationships/image" Target="../media/image20.emf"/><Relationship Id="rId4" Type="http://schemas.openxmlformats.org/officeDocument/2006/relationships/oleObject" Target="../embeddings/oleObject14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image" Target="../media/image22.emf"/><Relationship Id="rId13" Type="http://schemas.openxmlformats.org/officeDocument/2006/relationships/oleObject" Target="../embeddings/oleObject22.bin"/><Relationship Id="rId3" Type="http://schemas.openxmlformats.org/officeDocument/2006/relationships/vmlDrawing" Target="../drawings/vmlDrawing6.vml"/><Relationship Id="rId7" Type="http://schemas.openxmlformats.org/officeDocument/2006/relationships/oleObject" Target="../embeddings/oleObject19.bin"/><Relationship Id="rId12" Type="http://schemas.openxmlformats.org/officeDocument/2006/relationships/image" Target="../media/image24.emf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6" Type="http://schemas.openxmlformats.org/officeDocument/2006/relationships/oleObject" Target="../embeddings/oleObject18.bin"/><Relationship Id="rId11" Type="http://schemas.openxmlformats.org/officeDocument/2006/relationships/oleObject" Target="../embeddings/oleObject21.bin"/><Relationship Id="rId5" Type="http://schemas.openxmlformats.org/officeDocument/2006/relationships/image" Target="../media/image20.emf"/><Relationship Id="rId10" Type="http://schemas.openxmlformats.org/officeDocument/2006/relationships/image" Target="../media/image23.emf"/><Relationship Id="rId4" Type="http://schemas.openxmlformats.org/officeDocument/2006/relationships/oleObject" Target="../embeddings/oleObject17.bin"/><Relationship Id="rId9" Type="http://schemas.openxmlformats.org/officeDocument/2006/relationships/oleObject" Target="../embeddings/oleObject20.bin"/><Relationship Id="rId14" Type="http://schemas.openxmlformats.org/officeDocument/2006/relationships/image" Target="../media/image25.emf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7" Type="http://schemas.openxmlformats.org/officeDocument/2006/relationships/image" Target="../media/image26.emf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Relationship Id="rId6" Type="http://schemas.openxmlformats.org/officeDocument/2006/relationships/oleObject" Target="../embeddings/oleObject24.bin"/><Relationship Id="rId5" Type="http://schemas.openxmlformats.org/officeDocument/2006/relationships/image" Target="../media/image20.emf"/><Relationship Id="rId4" Type="http://schemas.openxmlformats.org/officeDocument/2006/relationships/oleObject" Target="../embeddings/oleObject23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O43"/>
  <sheetViews>
    <sheetView showGridLines="0" view="pageBreakPreview" topLeftCell="A2" zoomScale="85" zoomScaleNormal="85" zoomScaleSheetLayoutView="85" workbookViewId="0">
      <selection activeCell="AD14" sqref="AD14"/>
    </sheetView>
  </sheetViews>
  <sheetFormatPr defaultColWidth="9.140625" defaultRowHeight="15" x14ac:dyDescent="0.2"/>
  <cols>
    <col min="1" max="1" width="0.85546875" style="221" customWidth="1"/>
    <col min="2" max="16" width="9.140625" style="221"/>
    <col min="17" max="17" width="13.140625" style="221" customWidth="1"/>
    <col min="18" max="18" width="6.5703125" style="221" customWidth="1"/>
    <col min="19" max="19" width="0.85546875" style="221" customWidth="1"/>
    <col min="20" max="20" width="15.7109375" style="221" customWidth="1"/>
    <col min="21" max="21" width="9.140625" style="221"/>
    <col min="22" max="22" width="9.28515625" style="221" bestFit="1" customWidth="1"/>
    <col min="23" max="16384" width="9.140625" style="221"/>
  </cols>
  <sheetData>
    <row r="1" spans="2:41" ht="4.5" customHeight="1" thickBot="1" x14ac:dyDescent="0.25"/>
    <row r="2" spans="2:41" ht="60.75" customHeight="1" thickBot="1" x14ac:dyDescent="0.25">
      <c r="B2" s="932" t="s">
        <v>534</v>
      </c>
      <c r="C2" s="933"/>
      <c r="D2" s="933"/>
      <c r="E2" s="933"/>
      <c r="F2" s="933"/>
      <c r="G2" s="933"/>
      <c r="H2" s="933"/>
      <c r="I2" s="933"/>
      <c r="J2" s="933"/>
      <c r="K2" s="933"/>
      <c r="L2" s="933"/>
      <c r="M2" s="933"/>
      <c r="N2" s="933"/>
      <c r="O2" s="933"/>
      <c r="P2" s="933"/>
      <c r="Q2" s="933"/>
      <c r="R2" s="934"/>
    </row>
    <row r="3" spans="2:41" ht="21" customHeight="1" thickBot="1" x14ac:dyDescent="0.25">
      <c r="B3" s="937" t="s">
        <v>92</v>
      </c>
      <c r="C3" s="938"/>
      <c r="D3" s="938"/>
      <c r="E3" s="938"/>
      <c r="F3" s="938"/>
      <c r="G3" s="938"/>
      <c r="H3" s="938"/>
      <c r="I3" s="938"/>
      <c r="J3" s="938"/>
      <c r="K3" s="938"/>
      <c r="L3" s="938"/>
      <c r="M3" s="938"/>
      <c r="N3" s="938"/>
      <c r="O3" s="938"/>
      <c r="P3" s="938"/>
      <c r="Q3" s="935" t="s">
        <v>93</v>
      </c>
      <c r="R3" s="936"/>
    </row>
    <row r="4" spans="2:41" ht="33" customHeight="1" thickTop="1" x14ac:dyDescent="0.2">
      <c r="B4" s="928" t="s">
        <v>95</v>
      </c>
      <c r="C4" s="929"/>
      <c r="D4" s="929"/>
      <c r="E4" s="929"/>
      <c r="F4" s="929"/>
      <c r="G4" s="929"/>
      <c r="H4" s="929"/>
      <c r="I4" s="929"/>
      <c r="J4" s="929"/>
      <c r="K4" s="929"/>
      <c r="L4" s="929"/>
      <c r="M4" s="929"/>
      <c r="N4" s="929"/>
      <c r="O4" s="929"/>
      <c r="P4" s="262" t="s">
        <v>97</v>
      </c>
      <c r="Q4" s="263">
        <v>30</v>
      </c>
      <c r="R4" s="264" t="s">
        <v>94</v>
      </c>
    </row>
    <row r="5" spans="2:41" ht="33" customHeight="1" x14ac:dyDescent="0.2">
      <c r="B5" s="939" t="s">
        <v>96</v>
      </c>
      <c r="C5" s="940"/>
      <c r="D5" s="940"/>
      <c r="E5" s="940"/>
      <c r="F5" s="940"/>
      <c r="G5" s="940"/>
      <c r="H5" s="940"/>
      <c r="I5" s="940"/>
      <c r="J5" s="940"/>
      <c r="K5" s="940"/>
      <c r="L5" s="940"/>
      <c r="M5" s="940"/>
      <c r="N5" s="940"/>
      <c r="O5" s="940"/>
      <c r="P5" s="276" t="s">
        <v>98</v>
      </c>
      <c r="Q5" s="512">
        <v>0.4</v>
      </c>
      <c r="R5" s="513" t="s">
        <v>94</v>
      </c>
    </row>
    <row r="6" spans="2:41" ht="33" customHeight="1" x14ac:dyDescent="0.2">
      <c r="B6" s="924" t="s">
        <v>99</v>
      </c>
      <c r="C6" s="925"/>
      <c r="D6" s="925"/>
      <c r="E6" s="925"/>
      <c r="F6" s="925"/>
      <c r="G6" s="925"/>
      <c r="H6" s="925"/>
      <c r="I6" s="925"/>
      <c r="J6" s="925"/>
      <c r="K6" s="925"/>
      <c r="L6" s="925"/>
      <c r="M6" s="925"/>
      <c r="N6" s="925"/>
      <c r="O6" s="925"/>
      <c r="P6" s="514" t="s">
        <v>101</v>
      </c>
      <c r="Q6" s="918">
        <v>1</v>
      </c>
      <c r="R6" s="919"/>
    </row>
    <row r="7" spans="2:41" ht="33" customHeight="1" x14ac:dyDescent="0.2">
      <c r="B7" s="922" t="s">
        <v>100</v>
      </c>
      <c r="C7" s="923"/>
      <c r="D7" s="923"/>
      <c r="E7" s="923"/>
      <c r="F7" s="923"/>
      <c r="G7" s="923"/>
      <c r="H7" s="923"/>
      <c r="I7" s="923"/>
      <c r="J7" s="923"/>
      <c r="K7" s="923"/>
      <c r="L7" s="923"/>
      <c r="M7" s="923"/>
      <c r="N7" s="923"/>
      <c r="O7" s="923"/>
      <c r="P7" s="260" t="s">
        <v>102</v>
      </c>
      <c r="Q7" s="261">
        <v>200</v>
      </c>
      <c r="R7" s="259" t="s">
        <v>104</v>
      </c>
    </row>
    <row r="8" spans="2:41" ht="33" customHeight="1" x14ac:dyDescent="0.2">
      <c r="B8" s="915" t="s">
        <v>103</v>
      </c>
      <c r="C8" s="916"/>
      <c r="D8" s="916"/>
      <c r="E8" s="916"/>
      <c r="F8" s="916"/>
      <c r="G8" s="916"/>
      <c r="H8" s="916"/>
      <c r="I8" s="916"/>
      <c r="J8" s="916"/>
      <c r="K8" s="916"/>
      <c r="L8" s="916"/>
      <c r="M8" s="916"/>
      <c r="N8" s="916"/>
      <c r="O8" s="916"/>
      <c r="P8" s="271"/>
      <c r="Q8" s="409">
        <f>Q7*Q6</f>
        <v>200</v>
      </c>
      <c r="R8" s="273" t="s">
        <v>104</v>
      </c>
    </row>
    <row r="9" spans="2:41" ht="33" customHeight="1" x14ac:dyDescent="0.2">
      <c r="B9" s="930" t="s">
        <v>105</v>
      </c>
      <c r="C9" s="931"/>
      <c r="D9" s="931"/>
      <c r="E9" s="931"/>
      <c r="F9" s="931"/>
      <c r="G9" s="931"/>
      <c r="H9" s="931"/>
      <c r="I9" s="931"/>
      <c r="J9" s="931"/>
      <c r="K9" s="931"/>
      <c r="L9" s="931"/>
      <c r="M9" s="931"/>
      <c r="N9" s="931"/>
      <c r="O9" s="931"/>
      <c r="P9" s="508" t="s">
        <v>107</v>
      </c>
      <c r="Q9" s="926">
        <f>IF(Q4&lt;=1,1,1.1)</f>
        <v>1.1000000000000001</v>
      </c>
      <c r="R9" s="927"/>
    </row>
    <row r="10" spans="2:41" ht="45" customHeight="1" x14ac:dyDescent="0.2">
      <c r="B10" s="941" t="s">
        <v>573</v>
      </c>
      <c r="C10" s="942"/>
      <c r="D10" s="942"/>
      <c r="E10" s="942"/>
      <c r="F10" s="942"/>
      <c r="G10" s="942"/>
      <c r="H10" s="942"/>
      <c r="I10" s="942"/>
      <c r="J10" s="942"/>
      <c r="K10" s="942"/>
      <c r="L10" s="942"/>
      <c r="M10" s="942"/>
      <c r="N10" s="942"/>
      <c r="O10" s="942"/>
      <c r="P10" s="509"/>
      <c r="Q10" s="510">
        <f>(Q8/(SQRT(3)*Q4))</f>
        <v>3.8490017945975055</v>
      </c>
      <c r="R10" s="511" t="s">
        <v>450</v>
      </c>
    </row>
    <row r="11" spans="2:41" ht="45" customHeight="1" x14ac:dyDescent="0.2">
      <c r="B11" s="943" t="s">
        <v>573</v>
      </c>
      <c r="C11" s="944"/>
      <c r="D11" s="944"/>
      <c r="E11" s="944"/>
      <c r="F11" s="944"/>
      <c r="G11" s="944"/>
      <c r="H11" s="944"/>
      <c r="I11" s="944"/>
      <c r="J11" s="944"/>
      <c r="K11" s="944"/>
      <c r="L11" s="944"/>
      <c r="M11" s="944"/>
      <c r="N11" s="944"/>
      <c r="O11" s="944"/>
      <c r="P11" s="505"/>
      <c r="Q11" s="506">
        <f>('ICC PT'!Q8/(SQRT(3)*'ICC PT'!Q5))</f>
        <v>288.6751345948129</v>
      </c>
      <c r="R11" s="507" t="s">
        <v>450</v>
      </c>
    </row>
    <row r="12" spans="2:41" ht="33" customHeight="1" x14ac:dyDescent="0.2">
      <c r="B12" s="928" t="s">
        <v>109</v>
      </c>
      <c r="C12" s="929"/>
      <c r="D12" s="929"/>
      <c r="E12" s="929"/>
      <c r="F12" s="929"/>
      <c r="G12" s="929"/>
      <c r="H12" s="929"/>
      <c r="I12" s="929"/>
      <c r="J12" s="929"/>
      <c r="K12" s="929"/>
      <c r="L12" s="929"/>
      <c r="M12" s="929"/>
      <c r="N12" s="929"/>
      <c r="O12" s="929"/>
      <c r="P12" s="262" t="s">
        <v>116</v>
      </c>
      <c r="Q12" s="503">
        <v>300</v>
      </c>
      <c r="R12" s="504" t="s">
        <v>110</v>
      </c>
    </row>
    <row r="13" spans="2:41" ht="33" customHeight="1" x14ac:dyDescent="0.2">
      <c r="B13" s="915" t="s">
        <v>106</v>
      </c>
      <c r="C13" s="916"/>
      <c r="D13" s="916"/>
      <c r="E13" s="916"/>
      <c r="F13" s="916"/>
      <c r="G13" s="916"/>
      <c r="H13" s="916"/>
      <c r="I13" s="916"/>
      <c r="J13" s="916"/>
      <c r="K13" s="916"/>
      <c r="L13" s="916"/>
      <c r="M13" s="916"/>
      <c r="N13" s="916"/>
      <c r="O13" s="916"/>
      <c r="P13" s="271" t="s">
        <v>117</v>
      </c>
      <c r="Q13" s="409">
        <f>IF(Q4&gt;=24,5,IF(Q7&lt;=630,4,4.5))</f>
        <v>5</v>
      </c>
      <c r="R13" s="273" t="s">
        <v>108</v>
      </c>
    </row>
    <row r="14" spans="2:41" ht="45" customHeight="1" x14ac:dyDescent="0.2">
      <c r="B14" s="915" t="s">
        <v>113</v>
      </c>
      <c r="C14" s="916"/>
      <c r="D14" s="916"/>
      <c r="E14" s="916"/>
      <c r="F14" s="916"/>
      <c r="G14" s="916"/>
      <c r="H14" s="916"/>
      <c r="I14" s="916"/>
      <c r="J14" s="916"/>
      <c r="K14" s="916"/>
      <c r="L14" s="916"/>
      <c r="M14" s="916"/>
      <c r="N14" s="916"/>
      <c r="O14" s="916"/>
      <c r="P14" s="271"/>
      <c r="Q14" s="272">
        <f>(((Q12*10^6)/(SQRT(3)*(Q4*10^3)))/(10^3))</f>
        <v>5.7735026918962582</v>
      </c>
      <c r="R14" s="273" t="s">
        <v>114</v>
      </c>
    </row>
    <row r="15" spans="2:41" ht="45" customHeight="1" x14ac:dyDescent="0.2">
      <c r="B15" s="915" t="s">
        <v>111</v>
      </c>
      <c r="C15" s="916"/>
      <c r="D15" s="916"/>
      <c r="E15" s="916"/>
      <c r="F15" s="916"/>
      <c r="G15" s="916"/>
      <c r="H15" s="916"/>
      <c r="I15" s="916"/>
      <c r="J15" s="916"/>
      <c r="K15" s="916"/>
      <c r="L15" s="916"/>
      <c r="M15" s="916"/>
      <c r="N15" s="916"/>
      <c r="O15" s="916"/>
      <c r="P15" s="271"/>
      <c r="Q15" s="410">
        <f>(Q9*((Q5*10^3)^2))/(Q12*10^6)</f>
        <v>5.8666666666666665E-4</v>
      </c>
      <c r="R15" s="273" t="s">
        <v>112</v>
      </c>
      <c r="AO15" s="221" t="e">
        <f>IF(OR(AL15="3G",AL15="5G"),"",VLOOKUP(AM15,Consulta!$Z$5:$AA$25,2,FALSE))</f>
        <v>#N/A</v>
      </c>
    </row>
    <row r="16" spans="2:41" ht="45.75" customHeight="1" x14ac:dyDescent="0.2">
      <c r="B16" s="915" t="s">
        <v>115</v>
      </c>
      <c r="C16" s="916"/>
      <c r="D16" s="916"/>
      <c r="E16" s="916"/>
      <c r="F16" s="916"/>
      <c r="G16" s="916"/>
      <c r="H16" s="916"/>
      <c r="I16" s="916"/>
      <c r="J16" s="916"/>
      <c r="K16" s="916"/>
      <c r="L16" s="916"/>
      <c r="M16" s="916"/>
      <c r="N16" s="916"/>
      <c r="O16" s="916"/>
      <c r="P16" s="271"/>
      <c r="Q16" s="411">
        <f>(Q13/100)*(((Q5*10^3)^2)/(Q7*10^3))</f>
        <v>4.0000000000000008E-2</v>
      </c>
      <c r="R16" s="273" t="s">
        <v>112</v>
      </c>
    </row>
    <row r="17" spans="2:41" ht="45" customHeight="1" x14ac:dyDescent="0.2">
      <c r="B17" s="915" t="s">
        <v>118</v>
      </c>
      <c r="C17" s="916"/>
      <c r="D17" s="916"/>
      <c r="E17" s="916"/>
      <c r="F17" s="916"/>
      <c r="G17" s="916"/>
      <c r="H17" s="916"/>
      <c r="I17" s="916"/>
      <c r="J17" s="916"/>
      <c r="K17" s="916"/>
      <c r="L17" s="916"/>
      <c r="M17" s="916"/>
      <c r="N17" s="916"/>
      <c r="O17" s="916"/>
      <c r="P17" s="271"/>
      <c r="Q17" s="411">
        <f>(Q16/Q6)+Q15</f>
        <v>4.0586666666666674E-2</v>
      </c>
      <c r="R17" s="273" t="s">
        <v>112</v>
      </c>
    </row>
    <row r="18" spans="2:41" ht="50.25" customHeight="1" thickBot="1" x14ac:dyDescent="0.25">
      <c r="B18" s="920" t="s">
        <v>119</v>
      </c>
      <c r="C18" s="921"/>
      <c r="D18" s="921"/>
      <c r="E18" s="921"/>
      <c r="F18" s="921"/>
      <c r="G18" s="921"/>
      <c r="H18" s="921"/>
      <c r="I18" s="921"/>
      <c r="J18" s="921"/>
      <c r="K18" s="921"/>
      <c r="L18" s="921"/>
      <c r="M18" s="921"/>
      <c r="N18" s="921"/>
      <c r="O18" s="921"/>
      <c r="P18" s="287"/>
      <c r="Q18" s="412">
        <f>(((Q5*10^3)/(SQRT(3)*Q17))/10^3)</f>
        <v>5.6900486451014363</v>
      </c>
      <c r="R18" s="413" t="s">
        <v>114</v>
      </c>
      <c r="AO18" s="221" t="e">
        <f>IF(OR(AL18="3G",AL18="5G"),"",VLOOKUP(AM18,Consulta!$Z$5:$AA$25,2,FALSE))</f>
        <v>#N/A</v>
      </c>
    </row>
    <row r="19" spans="2:41" ht="4.5" customHeight="1" x14ac:dyDescent="0.2">
      <c r="B19" s="917"/>
      <c r="C19" s="917"/>
      <c r="D19" s="917"/>
      <c r="E19" s="917"/>
      <c r="F19" s="917"/>
      <c r="G19" s="917"/>
      <c r="H19" s="917"/>
      <c r="I19" s="917"/>
      <c r="J19" s="917"/>
      <c r="K19" s="917"/>
      <c r="L19" s="917"/>
      <c r="M19" s="917"/>
      <c r="N19" s="917"/>
      <c r="O19" s="917"/>
      <c r="P19" s="222"/>
      <c r="Q19" s="254"/>
      <c r="R19" s="223"/>
      <c r="AO19" s="221" t="e">
        <f>IF(OR(AL19="3G",AL19="5G"),"",VLOOKUP(AM19,Consulta!$Z$5:$AA$25,2,FALSE))</f>
        <v>#N/A</v>
      </c>
    </row>
    <row r="20" spans="2:41" ht="18.75" customHeight="1" x14ac:dyDescent="0.2">
      <c r="B20" s="917"/>
      <c r="C20" s="917"/>
      <c r="D20" s="917"/>
      <c r="E20" s="917"/>
      <c r="F20" s="917"/>
      <c r="G20" s="917"/>
      <c r="H20" s="917"/>
      <c r="I20" s="917"/>
      <c r="J20" s="917"/>
      <c r="K20" s="917"/>
      <c r="L20" s="917"/>
      <c r="M20" s="917"/>
      <c r="N20" s="917"/>
      <c r="O20" s="917"/>
      <c r="P20" s="222"/>
      <c r="Q20" s="254"/>
      <c r="R20" s="223"/>
      <c r="AO20" s="221" t="e">
        <f>IF(OR(AL20="3G",AL20="5G"),"",VLOOKUP(AM20,Consulta!$Z$5:$AA$25,2,FALSE))</f>
        <v>#N/A</v>
      </c>
    </row>
    <row r="21" spans="2:41" ht="18.75" customHeight="1" x14ac:dyDescent="0.2">
      <c r="B21" s="917"/>
      <c r="C21" s="917"/>
      <c r="D21" s="917"/>
      <c r="E21" s="917"/>
      <c r="F21" s="917"/>
      <c r="G21" s="917"/>
      <c r="H21" s="917"/>
      <c r="I21" s="917"/>
      <c r="J21" s="917"/>
      <c r="K21" s="917"/>
      <c r="L21" s="917"/>
      <c r="M21" s="917"/>
      <c r="N21" s="917"/>
      <c r="O21" s="917"/>
      <c r="P21" s="222"/>
      <c r="Q21" s="254"/>
      <c r="R21" s="223"/>
      <c r="AO21" s="221" t="e">
        <f>IF(OR(AL21="3G",AL21="5G"),"",VLOOKUP(AM21,Consulta!$Z$5:$AA$25,2,FALSE))</f>
        <v>#N/A</v>
      </c>
    </row>
    <row r="22" spans="2:41" ht="18.75" customHeight="1" x14ac:dyDescent="0.2">
      <c r="B22" s="917"/>
      <c r="C22" s="917"/>
      <c r="D22" s="917"/>
      <c r="E22" s="917"/>
      <c r="F22" s="917"/>
      <c r="G22" s="917"/>
      <c r="H22" s="917"/>
      <c r="I22" s="917"/>
      <c r="J22" s="917"/>
      <c r="K22" s="917"/>
      <c r="L22" s="917"/>
      <c r="M22" s="917"/>
      <c r="N22" s="917"/>
      <c r="O22" s="917"/>
      <c r="P22" s="222"/>
      <c r="Q22" s="254"/>
      <c r="R22" s="223"/>
      <c r="AO22" s="221" t="e">
        <f>IF(OR(AL22="3G",AL22="5G"),"",VLOOKUP(AM22,Consulta!$Z$5:$AA$25,2,FALSE))</f>
        <v>#N/A</v>
      </c>
    </row>
    <row r="23" spans="2:41" ht="18.75" customHeight="1" x14ac:dyDescent="0.2">
      <c r="B23" s="917"/>
      <c r="C23" s="917"/>
      <c r="D23" s="917"/>
      <c r="E23" s="917"/>
      <c r="F23" s="917"/>
      <c r="G23" s="917"/>
      <c r="H23" s="917"/>
      <c r="I23" s="917"/>
      <c r="J23" s="917"/>
      <c r="K23" s="917"/>
      <c r="L23" s="917"/>
      <c r="M23" s="917"/>
      <c r="N23" s="917"/>
      <c r="O23" s="917"/>
      <c r="P23" s="222"/>
      <c r="Q23" s="254"/>
      <c r="R23" s="223"/>
      <c r="AO23" s="221" t="e">
        <f>IF(OR(AL23="3G",AL23="5G"),"",VLOOKUP(AM23,Consulta!$Z$5:$AA$25,2,FALSE))</f>
        <v>#N/A</v>
      </c>
    </row>
    <row r="24" spans="2:41" ht="18.75" customHeight="1" x14ac:dyDescent="0.2">
      <c r="B24" s="917"/>
      <c r="C24" s="917"/>
      <c r="D24" s="917"/>
      <c r="E24" s="917"/>
      <c r="F24" s="917"/>
      <c r="G24" s="917"/>
      <c r="H24" s="917"/>
      <c r="I24" s="917"/>
      <c r="J24" s="917"/>
      <c r="K24" s="917"/>
      <c r="L24" s="917"/>
      <c r="M24" s="917"/>
      <c r="N24" s="917"/>
      <c r="O24" s="917"/>
      <c r="P24" s="222"/>
      <c r="Q24" s="254"/>
      <c r="R24" s="223"/>
      <c r="AO24" s="221" t="e">
        <f>IF(OR(AL24="3G",AL24="5G"),"",VLOOKUP(AM24,Consulta!$Z$5:$AA$25,2,FALSE))</f>
        <v>#N/A</v>
      </c>
    </row>
    <row r="25" spans="2:41" ht="18.75" customHeight="1" x14ac:dyDescent="0.2">
      <c r="B25" s="917"/>
      <c r="C25" s="917"/>
      <c r="D25" s="917"/>
      <c r="E25" s="917"/>
      <c r="F25" s="917"/>
      <c r="G25" s="917"/>
      <c r="H25" s="917"/>
      <c r="I25" s="917"/>
      <c r="J25" s="917"/>
      <c r="K25" s="917"/>
      <c r="L25" s="917"/>
      <c r="M25" s="917"/>
      <c r="N25" s="917"/>
      <c r="O25" s="917"/>
      <c r="P25" s="222"/>
      <c r="Q25" s="254"/>
      <c r="R25" s="223"/>
      <c r="AO25" s="221" t="e">
        <f>IF(OR(AL25="3G",AL25="5G"),"",VLOOKUP(AM25,Consulta!$Z$5:$AA$25,2,FALSE))</f>
        <v>#N/A</v>
      </c>
    </row>
    <row r="26" spans="2:41" ht="18.75" customHeight="1" x14ac:dyDescent="0.2">
      <c r="B26" s="917"/>
      <c r="C26" s="917"/>
      <c r="D26" s="917"/>
      <c r="E26" s="917"/>
      <c r="F26" s="917"/>
      <c r="G26" s="917"/>
      <c r="H26" s="917"/>
      <c r="I26" s="917"/>
      <c r="J26" s="917"/>
      <c r="K26" s="917"/>
      <c r="L26" s="917"/>
      <c r="M26" s="917"/>
      <c r="N26" s="917"/>
      <c r="O26" s="917"/>
      <c r="P26" s="222"/>
      <c r="Q26" s="254"/>
      <c r="R26" s="223"/>
      <c r="AO26" s="221" t="e">
        <f>IF(OR(AL26="3G",AL26="5G"),"",VLOOKUP(AM26,Consulta!$Z$5:$AA$25,2,FALSE))</f>
        <v>#N/A</v>
      </c>
    </row>
    <row r="27" spans="2:41" ht="18.75" customHeight="1" x14ac:dyDescent="0.2">
      <c r="B27" s="917"/>
      <c r="C27" s="917"/>
      <c r="D27" s="917"/>
      <c r="E27" s="917"/>
      <c r="F27" s="917"/>
      <c r="G27" s="917"/>
      <c r="H27" s="917"/>
      <c r="I27" s="917"/>
      <c r="J27" s="917"/>
      <c r="K27" s="917"/>
      <c r="L27" s="917"/>
      <c r="M27" s="917"/>
      <c r="N27" s="917"/>
      <c r="O27" s="917"/>
      <c r="P27" s="222"/>
      <c r="Q27" s="254"/>
      <c r="R27" s="223"/>
      <c r="AO27" s="221" t="e">
        <f>IF(OR(AL27="3G",AL27="5G"),"",VLOOKUP(AM27,Consulta!$Z$5:$AA$25,2,FALSE))</f>
        <v>#N/A</v>
      </c>
    </row>
    <row r="28" spans="2:41" ht="18.75" customHeight="1" x14ac:dyDescent="0.2">
      <c r="B28" s="917"/>
      <c r="C28" s="917"/>
      <c r="D28" s="917"/>
      <c r="E28" s="917"/>
      <c r="F28" s="917"/>
      <c r="G28" s="917"/>
      <c r="H28" s="917"/>
      <c r="I28" s="917"/>
      <c r="J28" s="917"/>
      <c r="K28" s="917"/>
      <c r="L28" s="917"/>
      <c r="M28" s="917"/>
      <c r="N28" s="917"/>
      <c r="O28" s="917"/>
      <c r="P28" s="222"/>
      <c r="Q28" s="254"/>
      <c r="R28" s="223"/>
      <c r="AO28" s="221" t="e">
        <f>IF(OR(AL28="3G",AL28="5G"),"",VLOOKUP(AM28,Consulta!$Z$5:$AA$25,2,FALSE))</f>
        <v>#N/A</v>
      </c>
    </row>
    <row r="29" spans="2:41" ht="18.75" customHeight="1" x14ac:dyDescent="0.2">
      <c r="B29" s="917"/>
      <c r="C29" s="917"/>
      <c r="D29" s="917"/>
      <c r="E29" s="917"/>
      <c r="F29" s="917"/>
      <c r="G29" s="917"/>
      <c r="H29" s="917"/>
      <c r="I29" s="917"/>
      <c r="J29" s="917"/>
      <c r="K29" s="917"/>
      <c r="L29" s="917"/>
      <c r="M29" s="917"/>
      <c r="N29" s="917"/>
      <c r="O29" s="917"/>
      <c r="P29" s="222"/>
      <c r="Q29" s="254"/>
      <c r="R29" s="223"/>
      <c r="AO29" s="221" t="e">
        <f>IF(OR(AL29="3G",AL29="5G"),"",VLOOKUP(AM29,Consulta!$Z$5:$AA$25,2,FALSE))</f>
        <v>#N/A</v>
      </c>
    </row>
    <row r="30" spans="2:41" ht="18.75" customHeight="1" x14ac:dyDescent="0.2">
      <c r="B30" s="917"/>
      <c r="C30" s="917"/>
      <c r="D30" s="917"/>
      <c r="E30" s="917"/>
      <c r="F30" s="917"/>
      <c r="G30" s="917"/>
      <c r="H30" s="917"/>
      <c r="I30" s="917"/>
      <c r="J30" s="917"/>
      <c r="K30" s="917"/>
      <c r="L30" s="917"/>
      <c r="M30" s="917"/>
      <c r="N30" s="917"/>
      <c r="O30" s="917"/>
      <c r="P30" s="222"/>
      <c r="Q30" s="254"/>
      <c r="R30" s="223"/>
      <c r="AO30" s="221" t="e">
        <f>IF(OR(AL30="3G",AL30="5G"),"",VLOOKUP(AM30,Consulta!$Z$5:$AA$25,2,FALSE))</f>
        <v>#N/A</v>
      </c>
    </row>
    <row r="31" spans="2:41" ht="18.75" customHeight="1" x14ac:dyDescent="0.2">
      <c r="B31" s="917"/>
      <c r="C31" s="917"/>
      <c r="D31" s="917"/>
      <c r="E31" s="917"/>
      <c r="F31" s="917"/>
      <c r="G31" s="917"/>
      <c r="H31" s="917"/>
      <c r="I31" s="917"/>
      <c r="J31" s="917"/>
      <c r="K31" s="917"/>
      <c r="L31" s="917"/>
      <c r="M31" s="917"/>
      <c r="N31" s="917"/>
      <c r="O31" s="917"/>
      <c r="P31" s="222"/>
      <c r="Q31" s="254"/>
      <c r="R31" s="223"/>
      <c r="AO31" s="221" t="e">
        <f>IF(OR(AL31="3G",AL31="5G"),"",VLOOKUP(AM31,Consulta!$Z$5:$AA$25,2,FALSE))</f>
        <v>#N/A</v>
      </c>
    </row>
    <row r="32" spans="2:41" ht="18.75" customHeight="1" x14ac:dyDescent="0.2">
      <c r="B32" s="917"/>
      <c r="C32" s="917"/>
      <c r="D32" s="917"/>
      <c r="E32" s="917"/>
      <c r="F32" s="917"/>
      <c r="G32" s="917"/>
      <c r="H32" s="917"/>
      <c r="I32" s="917"/>
      <c r="J32" s="917"/>
      <c r="K32" s="917"/>
      <c r="L32" s="917"/>
      <c r="M32" s="917"/>
      <c r="N32" s="917"/>
      <c r="O32" s="917"/>
      <c r="P32" s="222"/>
      <c r="Q32" s="254"/>
      <c r="R32" s="223"/>
      <c r="AO32" s="221" t="e">
        <f>IF(OR(AL32="3G",AL32="5G"),"",VLOOKUP(AM32,Consulta!$Z$5:$AA$25,2,FALSE))</f>
        <v>#N/A</v>
      </c>
    </row>
    <row r="33" spans="2:41" ht="18.75" customHeight="1" x14ac:dyDescent="0.2">
      <c r="B33" s="917"/>
      <c r="C33" s="917"/>
      <c r="D33" s="917"/>
      <c r="E33" s="917"/>
      <c r="F33" s="917"/>
      <c r="G33" s="917"/>
      <c r="H33" s="917"/>
      <c r="I33" s="917"/>
      <c r="J33" s="917"/>
      <c r="K33" s="917"/>
      <c r="L33" s="917"/>
      <c r="M33" s="917"/>
      <c r="N33" s="917"/>
      <c r="O33" s="917"/>
      <c r="P33" s="222"/>
      <c r="Q33" s="254"/>
      <c r="R33" s="223"/>
      <c r="AO33" s="221" t="e">
        <f>IF(OR(AL33="3G",AL33="5G"),"",VLOOKUP(AM33,Consulta!$Z$5:$AA$25,2,FALSE))</f>
        <v>#N/A</v>
      </c>
    </row>
    <row r="34" spans="2:41" ht="18.75" customHeight="1" x14ac:dyDescent="0.2">
      <c r="B34" s="917"/>
      <c r="C34" s="917"/>
      <c r="D34" s="917"/>
      <c r="E34" s="917"/>
      <c r="F34" s="917"/>
      <c r="G34" s="917"/>
      <c r="H34" s="917"/>
      <c r="I34" s="917"/>
      <c r="J34" s="917"/>
      <c r="K34" s="917"/>
      <c r="L34" s="917"/>
      <c r="M34" s="917"/>
      <c r="N34" s="917"/>
      <c r="O34" s="917"/>
      <c r="P34" s="222"/>
      <c r="Q34" s="254"/>
      <c r="R34" s="223"/>
      <c r="AO34" s="221" t="e">
        <f>IF(OR(AL34="3G",AL34="5G"),"",VLOOKUP(AM34,Consulta!$Z$5:$AA$25,2,FALSE))</f>
        <v>#N/A</v>
      </c>
    </row>
    <row r="35" spans="2:41" ht="15.75" x14ac:dyDescent="0.2">
      <c r="B35" s="917"/>
      <c r="C35" s="917"/>
      <c r="D35" s="917"/>
      <c r="E35" s="917"/>
      <c r="F35" s="917"/>
      <c r="G35" s="917"/>
      <c r="H35" s="917"/>
      <c r="I35" s="917"/>
      <c r="J35" s="917"/>
      <c r="K35" s="917"/>
      <c r="L35" s="917"/>
      <c r="M35" s="917"/>
      <c r="N35" s="917"/>
      <c r="O35" s="917"/>
      <c r="P35" s="222"/>
      <c r="Q35" s="254"/>
      <c r="R35" s="223"/>
      <c r="AO35" s="221" t="e">
        <f>IF(OR(AL35="3G",AL35="5G"),"",VLOOKUP(AM35,Consulta!$Z$5:$AA$25,2,FALSE))</f>
        <v>#N/A</v>
      </c>
    </row>
    <row r="36" spans="2:41" x14ac:dyDescent="0.2">
      <c r="AO36" s="221" t="e">
        <f>IF(OR(AL36="3G",AL36="5G"),"",VLOOKUP(AM36,Consulta!$Z$5:$AA$25,2,FALSE))</f>
        <v>#N/A</v>
      </c>
    </row>
    <row r="37" spans="2:41" x14ac:dyDescent="0.2">
      <c r="AO37" s="221" t="e">
        <f>IF(OR(AL37="3G",AL37="5G"),"",VLOOKUP(AM37,Consulta!$Z$5:$AA$25,2,FALSE))</f>
        <v>#N/A</v>
      </c>
    </row>
    <row r="38" spans="2:41" x14ac:dyDescent="0.2">
      <c r="AO38" s="221" t="e">
        <f>IF(OR(AL38="3G",AL38="5G"),"",VLOOKUP(AM38,Consulta!$Z$5:$AA$25,2,FALSE))</f>
        <v>#N/A</v>
      </c>
    </row>
    <row r="39" spans="2:41" x14ac:dyDescent="0.2">
      <c r="AO39" s="221" t="e">
        <f>IF(OR(AL39="3G",AL39="5G"),"",VLOOKUP(AM39,Consulta!$Z$5:$AA$25,2,FALSE))</f>
        <v>#N/A</v>
      </c>
    </row>
    <row r="40" spans="2:41" x14ac:dyDescent="0.2">
      <c r="AO40" s="221" t="e">
        <f>IF(OR(AL40="3G",AL40="5G"),"",VLOOKUP(AM40,Consulta!$Z$5:$AA$25,2,FALSE))</f>
        <v>#N/A</v>
      </c>
    </row>
    <row r="41" spans="2:41" x14ac:dyDescent="0.2">
      <c r="AO41" s="221" t="e">
        <f>IF(OR(AL41="3G",AL41="5G"),"",VLOOKUP(AM41,Consulta!$Z$5:$AA$25,2,FALSE))</f>
        <v>#N/A</v>
      </c>
    </row>
    <row r="42" spans="2:41" x14ac:dyDescent="0.2">
      <c r="AO42" s="221" t="e">
        <f>IF(OR(AL42="3G",AL42="5G"),"",VLOOKUP(AM42,Consulta!$Z$5:$AA$25,2,FALSE))</f>
        <v>#N/A</v>
      </c>
    </row>
    <row r="43" spans="2:41" x14ac:dyDescent="0.2">
      <c r="AO43" s="221" t="e">
        <f>IF(OR(AL43="3G",AL43="5G"),"",VLOOKUP(AM43,Consulta!$Z$5:$AA$25,2,FALSE))</f>
        <v>#N/A</v>
      </c>
    </row>
  </sheetData>
  <mergeCells count="37">
    <mergeCell ref="B13:O13"/>
    <mergeCell ref="B2:R2"/>
    <mergeCell ref="Q3:R3"/>
    <mergeCell ref="B3:P3"/>
    <mergeCell ref="B5:O5"/>
    <mergeCell ref="B4:O4"/>
    <mergeCell ref="B10:O10"/>
    <mergeCell ref="B11:O11"/>
    <mergeCell ref="B26:O26"/>
    <mergeCell ref="B27:O27"/>
    <mergeCell ref="B25:O25"/>
    <mergeCell ref="B21:O21"/>
    <mergeCell ref="B22:O22"/>
    <mergeCell ref="B35:O35"/>
    <mergeCell ref="B28:O28"/>
    <mergeCell ref="B29:O29"/>
    <mergeCell ref="B30:O30"/>
    <mergeCell ref="B34:O34"/>
    <mergeCell ref="B32:O32"/>
    <mergeCell ref="B31:O31"/>
    <mergeCell ref="B33:O33"/>
    <mergeCell ref="B17:O17"/>
    <mergeCell ref="B23:O23"/>
    <mergeCell ref="B20:O20"/>
    <mergeCell ref="Q6:R6"/>
    <mergeCell ref="B24:O24"/>
    <mergeCell ref="B19:O19"/>
    <mergeCell ref="B18:O18"/>
    <mergeCell ref="B16:O16"/>
    <mergeCell ref="B7:O7"/>
    <mergeCell ref="B8:O8"/>
    <mergeCell ref="B6:O6"/>
    <mergeCell ref="Q9:R9"/>
    <mergeCell ref="B12:O12"/>
    <mergeCell ref="B15:O15"/>
    <mergeCell ref="B9:O9"/>
    <mergeCell ref="B14:O14"/>
  </mergeCells>
  <phoneticPr fontId="29" type="noConversion"/>
  <printOptions horizontalCentered="1" verticalCentered="1"/>
  <pageMargins left="0" right="0" top="0" bottom="0" header="0" footer="0"/>
  <pageSetup paperSize="9" scale="87" orientation="landscape" r:id="rId1"/>
  <drawing r:id="rId2"/>
  <legacyDrawing r:id="rId3"/>
  <oleObjects>
    <mc:AlternateContent xmlns:mc="http://schemas.openxmlformats.org/markup-compatibility/2006">
      <mc:Choice Requires="x14">
        <oleObject progId="Equation.DSMT4" shapeId="1031" r:id="rId4">
          <objectPr defaultSize="0" autoPict="0" r:id="rId5">
            <anchor moveWithCells="1">
              <from>
                <xdr:col>14</xdr:col>
                <xdr:colOff>38100</xdr:colOff>
                <xdr:row>9</xdr:row>
                <xdr:rowOff>19050</xdr:rowOff>
              </from>
              <to>
                <xdr:col>15</xdr:col>
                <xdr:colOff>495300</xdr:colOff>
                <xdr:row>10</xdr:row>
                <xdr:rowOff>0</xdr:rowOff>
              </to>
            </anchor>
          </objectPr>
        </oleObject>
      </mc:Choice>
      <mc:Fallback>
        <oleObject progId="Equation.DSMT4" shapeId="1031" r:id="rId4"/>
      </mc:Fallback>
    </mc:AlternateContent>
    <mc:AlternateContent xmlns:mc="http://schemas.openxmlformats.org/markup-compatibility/2006">
      <mc:Choice Requires="x14">
        <oleObject progId="Equation.DSMT4" shapeId="1032" r:id="rId6">
          <objectPr defaultSize="0" autoPict="0" r:id="rId7">
            <anchor moveWithCells="1">
              <from>
                <xdr:col>14</xdr:col>
                <xdr:colOff>38100</xdr:colOff>
                <xdr:row>10</xdr:row>
                <xdr:rowOff>19050</xdr:rowOff>
              </from>
              <to>
                <xdr:col>15</xdr:col>
                <xdr:colOff>495300</xdr:colOff>
                <xdr:row>11</xdr:row>
                <xdr:rowOff>0</xdr:rowOff>
              </to>
            </anchor>
          </objectPr>
        </oleObject>
      </mc:Choice>
      <mc:Fallback>
        <oleObject progId="Equation.DSMT4" shapeId="1032" r:id="rId6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A882A-F258-48BA-B282-C0F6024E50B8}">
  <dimension ref="B1:K28"/>
  <sheetViews>
    <sheetView showGridLines="0" view="pageBreakPreview" zoomScale="85" zoomScaleNormal="85" zoomScaleSheetLayoutView="85" workbookViewId="0">
      <selection activeCell="J11" sqref="J11"/>
    </sheetView>
  </sheetViews>
  <sheetFormatPr defaultColWidth="9.140625" defaultRowHeight="15" x14ac:dyDescent="0.2"/>
  <cols>
    <col min="1" max="1" width="0.7109375" style="221" customWidth="1"/>
    <col min="2" max="4" width="9.140625" style="221"/>
    <col min="5" max="5" width="7.7109375" style="221" customWidth="1"/>
    <col min="6" max="9" width="9.140625" style="221"/>
    <col min="10" max="10" width="13.140625" style="221" customWidth="1"/>
    <col min="11" max="11" width="6.5703125" style="221" customWidth="1"/>
    <col min="12" max="12" width="0.85546875" style="221" customWidth="1"/>
    <col min="13" max="13" width="15.7109375" style="221" customWidth="1"/>
    <col min="14" max="14" width="9.140625" style="221"/>
    <col min="15" max="15" width="9.28515625" style="221" bestFit="1" customWidth="1"/>
    <col min="16" max="16384" width="9.140625" style="221"/>
  </cols>
  <sheetData>
    <row r="1" spans="2:11" ht="3.75" customHeight="1" thickBot="1" x14ac:dyDescent="0.25"/>
    <row r="2" spans="2:11" ht="60.75" customHeight="1" thickBot="1" x14ac:dyDescent="0.25">
      <c r="B2" s="949" t="s">
        <v>760</v>
      </c>
      <c r="C2" s="950"/>
      <c r="D2" s="950"/>
      <c r="E2" s="950"/>
      <c r="F2" s="950"/>
      <c r="G2" s="950"/>
      <c r="H2" s="950"/>
      <c r="I2" s="950"/>
      <c r="J2" s="950"/>
      <c r="K2" s="951"/>
    </row>
    <row r="3" spans="2:11" ht="21" customHeight="1" thickBot="1" x14ac:dyDescent="0.25">
      <c r="B3" s="937" t="s">
        <v>92</v>
      </c>
      <c r="C3" s="938"/>
      <c r="D3" s="938"/>
      <c r="E3" s="938"/>
      <c r="F3" s="938"/>
      <c r="G3" s="938"/>
      <c r="H3" s="938"/>
      <c r="I3" s="938"/>
      <c r="J3" s="935" t="s">
        <v>93</v>
      </c>
      <c r="K3" s="936"/>
    </row>
    <row r="4" spans="2:11" ht="33" customHeight="1" thickTop="1" x14ac:dyDescent="0.2">
      <c r="B4" s="922" t="s">
        <v>761</v>
      </c>
      <c r="C4" s="923"/>
      <c r="D4" s="923"/>
      <c r="E4" s="923"/>
      <c r="F4" s="923"/>
      <c r="G4" s="923"/>
      <c r="H4" s="923"/>
      <c r="I4" s="260" t="s">
        <v>762</v>
      </c>
      <c r="J4" s="261">
        <v>0.4</v>
      </c>
      <c r="K4" s="259" t="s">
        <v>94</v>
      </c>
    </row>
    <row r="5" spans="2:11" ht="33" customHeight="1" x14ac:dyDescent="0.2">
      <c r="B5" s="922" t="s">
        <v>763</v>
      </c>
      <c r="C5" s="923"/>
      <c r="D5" s="923"/>
      <c r="E5" s="923"/>
      <c r="F5" s="923"/>
      <c r="G5" s="923"/>
      <c r="H5" s="923"/>
      <c r="I5" s="260" t="s">
        <v>764</v>
      </c>
      <c r="J5" s="947">
        <v>1</v>
      </c>
      <c r="K5" s="948"/>
    </row>
    <row r="6" spans="2:11" ht="33" customHeight="1" x14ac:dyDescent="0.2">
      <c r="B6" s="945" t="s">
        <v>765</v>
      </c>
      <c r="C6" s="946"/>
      <c r="D6" s="946"/>
      <c r="E6" s="946"/>
      <c r="F6" s="946"/>
      <c r="G6" s="946"/>
      <c r="H6" s="946"/>
      <c r="I6" s="515" t="s">
        <v>766</v>
      </c>
      <c r="J6" s="261">
        <v>170</v>
      </c>
      <c r="K6" s="516" t="s">
        <v>104</v>
      </c>
    </row>
    <row r="7" spans="2:11" ht="33" customHeight="1" x14ac:dyDescent="0.2">
      <c r="B7" s="915" t="s">
        <v>103</v>
      </c>
      <c r="C7" s="916"/>
      <c r="D7" s="916"/>
      <c r="E7" s="916"/>
      <c r="F7" s="916"/>
      <c r="G7" s="916"/>
      <c r="H7" s="916"/>
      <c r="I7" s="271"/>
      <c r="J7" s="409">
        <f>J6*J5</f>
        <v>170</v>
      </c>
      <c r="K7" s="273" t="s">
        <v>104</v>
      </c>
    </row>
    <row r="8" spans="2:11" ht="33" customHeight="1" x14ac:dyDescent="0.2">
      <c r="B8" s="922" t="s">
        <v>105</v>
      </c>
      <c r="C8" s="923"/>
      <c r="D8" s="923"/>
      <c r="E8" s="923"/>
      <c r="F8" s="923"/>
      <c r="G8" s="923"/>
      <c r="H8" s="923"/>
      <c r="I8" s="260" t="s">
        <v>107</v>
      </c>
      <c r="J8" s="947"/>
      <c r="K8" s="948"/>
    </row>
    <row r="9" spans="2:11" ht="33" customHeight="1" x14ac:dyDescent="0.2">
      <c r="B9" s="922" t="s">
        <v>767</v>
      </c>
      <c r="C9" s="923"/>
      <c r="D9" s="923"/>
      <c r="E9" s="923"/>
      <c r="F9" s="923"/>
      <c r="G9" s="923"/>
      <c r="H9" s="923"/>
      <c r="I9" s="260" t="s">
        <v>768</v>
      </c>
      <c r="J9" s="261"/>
      <c r="K9" s="259" t="s">
        <v>108</v>
      </c>
    </row>
    <row r="10" spans="2:11" ht="45.75" customHeight="1" x14ac:dyDescent="0.2">
      <c r="B10" s="915" t="s">
        <v>769</v>
      </c>
      <c r="C10" s="916"/>
      <c r="D10" s="916"/>
      <c r="E10" s="916"/>
      <c r="F10" s="916"/>
      <c r="G10" s="916"/>
      <c r="H10" s="916"/>
      <c r="I10" s="271"/>
      <c r="J10" s="411">
        <f>(J9/100)*(((J4*10^3)^2)/(J6*10^3))</f>
        <v>0</v>
      </c>
      <c r="K10" s="273" t="s">
        <v>112</v>
      </c>
    </row>
    <row r="11" spans="2:11" ht="50.25" customHeight="1" thickBot="1" x14ac:dyDescent="0.25">
      <c r="B11" s="920" t="s">
        <v>770</v>
      </c>
      <c r="C11" s="921"/>
      <c r="D11" s="921"/>
      <c r="E11" s="921"/>
      <c r="F11" s="921"/>
      <c r="G11" s="921"/>
      <c r="H11" s="921"/>
      <c r="I11" s="287"/>
      <c r="J11" s="412" t="e">
        <f>(((J4*10^3)/(SQRT(3)*J10))/10^3)</f>
        <v>#DIV/0!</v>
      </c>
      <c r="K11" s="413" t="s">
        <v>114</v>
      </c>
    </row>
    <row r="12" spans="2:11" ht="4.5" customHeight="1" x14ac:dyDescent="0.2">
      <c r="B12" s="917"/>
      <c r="C12" s="917"/>
      <c r="D12" s="917"/>
      <c r="E12" s="917"/>
      <c r="F12" s="917"/>
      <c r="G12" s="917"/>
      <c r="H12" s="917"/>
      <c r="I12" s="222"/>
      <c r="J12" s="254"/>
      <c r="K12" s="223"/>
    </row>
    <row r="13" spans="2:11" ht="18.75" customHeight="1" x14ac:dyDescent="0.2">
      <c r="B13" s="917"/>
      <c r="C13" s="917"/>
      <c r="D13" s="917"/>
      <c r="E13" s="917"/>
      <c r="F13" s="917"/>
      <c r="G13" s="917"/>
      <c r="H13" s="917"/>
      <c r="I13" s="222"/>
      <c r="J13" s="254"/>
      <c r="K13" s="223"/>
    </row>
    <row r="14" spans="2:11" ht="18.75" customHeight="1" x14ac:dyDescent="0.2">
      <c r="B14" s="917"/>
      <c r="C14" s="917"/>
      <c r="D14" s="917"/>
      <c r="E14" s="917"/>
      <c r="F14" s="917"/>
      <c r="G14" s="917"/>
      <c r="H14" s="917"/>
      <c r="I14" s="222"/>
      <c r="J14" s="254"/>
      <c r="K14" s="223"/>
    </row>
    <row r="15" spans="2:11" ht="18.75" customHeight="1" x14ac:dyDescent="0.2">
      <c r="B15" s="917"/>
      <c r="C15" s="917"/>
      <c r="D15" s="917"/>
      <c r="E15" s="917"/>
      <c r="F15" s="917"/>
      <c r="G15" s="917"/>
      <c r="H15" s="917"/>
      <c r="I15" s="222"/>
      <c r="J15" s="254"/>
      <c r="K15" s="223"/>
    </row>
    <row r="16" spans="2:11" ht="18.75" customHeight="1" x14ac:dyDescent="0.2">
      <c r="B16" s="917"/>
      <c r="C16" s="917"/>
      <c r="D16" s="917"/>
      <c r="E16" s="917"/>
      <c r="F16" s="917"/>
      <c r="G16" s="917"/>
      <c r="H16" s="917"/>
      <c r="I16" s="222"/>
      <c r="J16" s="254"/>
      <c r="K16" s="223"/>
    </row>
    <row r="17" spans="2:11" ht="18.75" customHeight="1" x14ac:dyDescent="0.2">
      <c r="B17" s="917"/>
      <c r="C17" s="917"/>
      <c r="D17" s="917"/>
      <c r="E17" s="917"/>
      <c r="F17" s="917"/>
      <c r="G17" s="917"/>
      <c r="H17" s="917"/>
      <c r="I17" s="222"/>
      <c r="J17" s="254"/>
      <c r="K17" s="223"/>
    </row>
    <row r="18" spans="2:11" ht="18.75" customHeight="1" x14ac:dyDescent="0.2">
      <c r="B18" s="917"/>
      <c r="C18" s="917"/>
      <c r="D18" s="917"/>
      <c r="E18" s="917"/>
      <c r="F18" s="917"/>
      <c r="G18" s="917"/>
      <c r="H18" s="917"/>
      <c r="I18" s="222"/>
      <c r="J18" s="254"/>
      <c r="K18" s="223"/>
    </row>
    <row r="19" spans="2:11" ht="18.75" customHeight="1" x14ac:dyDescent="0.2">
      <c r="B19" s="917"/>
      <c r="C19" s="917"/>
      <c r="D19" s="917"/>
      <c r="E19" s="917"/>
      <c r="F19" s="917"/>
      <c r="G19" s="917"/>
      <c r="H19" s="917"/>
      <c r="I19" s="222"/>
      <c r="J19" s="254"/>
      <c r="K19" s="223"/>
    </row>
    <row r="20" spans="2:11" ht="18.75" customHeight="1" x14ac:dyDescent="0.2">
      <c r="B20" s="917"/>
      <c r="C20" s="917"/>
      <c r="D20" s="917"/>
      <c r="E20" s="917"/>
      <c r="F20" s="917"/>
      <c r="G20" s="917"/>
      <c r="H20" s="917"/>
      <c r="I20" s="222"/>
      <c r="J20" s="254"/>
      <c r="K20" s="223"/>
    </row>
    <row r="21" spans="2:11" ht="18.75" customHeight="1" x14ac:dyDescent="0.2">
      <c r="B21" s="917"/>
      <c r="C21" s="917"/>
      <c r="D21" s="917"/>
      <c r="E21" s="917"/>
      <c r="F21" s="917"/>
      <c r="G21" s="917"/>
      <c r="H21" s="917"/>
      <c r="I21" s="222"/>
      <c r="J21" s="254"/>
      <c r="K21" s="223"/>
    </row>
    <row r="22" spans="2:11" ht="18.75" customHeight="1" x14ac:dyDescent="0.2">
      <c r="B22" s="917"/>
      <c r="C22" s="917"/>
      <c r="D22" s="917"/>
      <c r="E22" s="917"/>
      <c r="F22" s="917"/>
      <c r="G22" s="917"/>
      <c r="H22" s="917"/>
      <c r="I22" s="222"/>
      <c r="J22" s="254"/>
      <c r="K22" s="223"/>
    </row>
    <row r="23" spans="2:11" ht="18.75" customHeight="1" x14ac:dyDescent="0.2">
      <c r="B23" s="917"/>
      <c r="C23" s="917"/>
      <c r="D23" s="917"/>
      <c r="E23" s="917"/>
      <c r="F23" s="917"/>
      <c r="G23" s="917"/>
      <c r="H23" s="917"/>
      <c r="I23" s="222"/>
      <c r="J23" s="254"/>
      <c r="K23" s="223"/>
    </row>
    <row r="24" spans="2:11" ht="18.75" customHeight="1" x14ac:dyDescent="0.2">
      <c r="B24" s="917"/>
      <c r="C24" s="917"/>
      <c r="D24" s="917"/>
      <c r="E24" s="917"/>
      <c r="F24" s="917"/>
      <c r="G24" s="917"/>
      <c r="H24" s="917"/>
      <c r="I24" s="222"/>
      <c r="J24" s="254"/>
      <c r="K24" s="223"/>
    </row>
    <row r="25" spans="2:11" ht="18.75" customHeight="1" x14ac:dyDescent="0.2">
      <c r="B25" s="917"/>
      <c r="C25" s="917"/>
      <c r="D25" s="917"/>
      <c r="E25" s="917"/>
      <c r="F25" s="917"/>
      <c r="G25" s="917"/>
      <c r="H25" s="917"/>
      <c r="I25" s="222"/>
      <c r="J25" s="254"/>
      <c r="K25" s="223"/>
    </row>
    <row r="26" spans="2:11" ht="18.75" customHeight="1" x14ac:dyDescent="0.2">
      <c r="B26" s="917"/>
      <c r="C26" s="917"/>
      <c r="D26" s="917"/>
      <c r="E26" s="917"/>
      <c r="F26" s="917"/>
      <c r="G26" s="917"/>
      <c r="H26" s="917"/>
      <c r="I26" s="222"/>
      <c r="J26" s="254"/>
      <c r="K26" s="223"/>
    </row>
    <row r="27" spans="2:11" ht="18.75" customHeight="1" x14ac:dyDescent="0.2">
      <c r="B27" s="917"/>
      <c r="C27" s="917"/>
      <c r="D27" s="917"/>
      <c r="E27" s="917"/>
      <c r="F27" s="917"/>
      <c r="G27" s="917"/>
      <c r="H27" s="917"/>
      <c r="I27" s="222"/>
      <c r="J27" s="254"/>
      <c r="K27" s="223"/>
    </row>
    <row r="28" spans="2:11" ht="15.75" x14ac:dyDescent="0.2">
      <c r="B28" s="917"/>
      <c r="C28" s="917"/>
      <c r="D28" s="917"/>
      <c r="E28" s="917"/>
      <c r="F28" s="917"/>
      <c r="G28" s="917"/>
      <c r="H28" s="917"/>
      <c r="I28" s="222"/>
      <c r="J28" s="254"/>
      <c r="K28" s="223"/>
    </row>
  </sheetData>
  <mergeCells count="30">
    <mergeCell ref="B2:K2"/>
    <mergeCell ref="B3:I3"/>
    <mergeCell ref="J3:K3"/>
    <mergeCell ref="B4:H4"/>
    <mergeCell ref="B5:H5"/>
    <mergeCell ref="J5:K5"/>
    <mergeCell ref="B16:H16"/>
    <mergeCell ref="B6:H6"/>
    <mergeCell ref="B7:H7"/>
    <mergeCell ref="B8:H8"/>
    <mergeCell ref="J8:K8"/>
    <mergeCell ref="B9:H9"/>
    <mergeCell ref="B10:H10"/>
    <mergeCell ref="B11:H11"/>
    <mergeCell ref="B12:H12"/>
    <mergeCell ref="B13:H13"/>
    <mergeCell ref="B14:H14"/>
    <mergeCell ref="B15:H15"/>
    <mergeCell ref="B28:H28"/>
    <mergeCell ref="B17:H17"/>
    <mergeCell ref="B18:H18"/>
    <mergeCell ref="B19:H19"/>
    <mergeCell ref="B20:H20"/>
    <mergeCell ref="B21:H21"/>
    <mergeCell ref="B22:H22"/>
    <mergeCell ref="B23:H23"/>
    <mergeCell ref="B24:H24"/>
    <mergeCell ref="B25:H25"/>
    <mergeCell ref="B26:H26"/>
    <mergeCell ref="B27:H27"/>
  </mergeCells>
  <printOptions horizontalCentered="1" verticalCentered="1"/>
  <pageMargins left="0" right="0" top="0.78740157480314965" bottom="0" header="0" footer="0"/>
  <pageSetup paperSize="9" scale="140" fitToWidth="0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Equation.DSMT4" shapeId="36865" r:id="rId4">
          <objectPr defaultSize="0" autoPict="0" r:id="rId5">
            <anchor moveWithCells="1">
              <from>
                <xdr:col>6</xdr:col>
                <xdr:colOff>371475</xdr:colOff>
                <xdr:row>9</xdr:row>
                <xdr:rowOff>9525</xdr:rowOff>
              </from>
              <to>
                <xdr:col>8</xdr:col>
                <xdr:colOff>523875</xdr:colOff>
                <xdr:row>10</xdr:row>
                <xdr:rowOff>19050</xdr:rowOff>
              </to>
            </anchor>
          </objectPr>
        </oleObject>
      </mc:Choice>
      <mc:Fallback>
        <oleObject progId="Equation.DSMT4" shapeId="36865" r:id="rId4"/>
      </mc:Fallback>
    </mc:AlternateContent>
    <mc:AlternateContent xmlns:mc="http://schemas.openxmlformats.org/markup-compatibility/2006">
      <mc:Choice Requires="x14">
        <oleObject progId="Equation.DSMT4" shapeId="36866" r:id="rId6">
          <objectPr defaultSize="0" autoPict="0" r:id="rId7">
            <anchor moveWithCells="1">
              <from>
                <xdr:col>6</xdr:col>
                <xdr:colOff>495300</xdr:colOff>
                <xdr:row>10</xdr:row>
                <xdr:rowOff>19050</xdr:rowOff>
              </from>
              <to>
                <xdr:col>8</xdr:col>
                <xdr:colOff>514350</xdr:colOff>
                <xdr:row>10</xdr:row>
                <xdr:rowOff>619125</xdr:rowOff>
              </to>
            </anchor>
          </objectPr>
        </oleObject>
      </mc:Choice>
      <mc:Fallback>
        <oleObject progId="Equation.DSMT4" shapeId="36866" r:id="rId6"/>
      </mc:Fallback>
    </mc:AlternateContent>
    <mc:AlternateContent xmlns:mc="http://schemas.openxmlformats.org/markup-compatibility/2006">
      <mc:Choice Requires="x14">
        <oleObject progId="Equation.DSMT4" shapeId="36867" r:id="rId8">
          <objectPr defaultSize="0" autoPict="0" r:id="rId9">
            <anchor moveWithCells="1">
              <from>
                <xdr:col>6</xdr:col>
                <xdr:colOff>457200</xdr:colOff>
                <xdr:row>6</xdr:row>
                <xdr:rowOff>38100</xdr:rowOff>
              </from>
              <to>
                <xdr:col>8</xdr:col>
                <xdr:colOff>514350</xdr:colOff>
                <xdr:row>6</xdr:row>
                <xdr:rowOff>400050</xdr:rowOff>
              </to>
            </anchor>
          </objectPr>
        </oleObject>
      </mc:Choice>
      <mc:Fallback>
        <oleObject progId="Equation.DSMT4" shapeId="36867" r:id="rId8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90F38-B31E-475E-8FEC-AA0C77CA826F}">
  <dimension ref="B1:U54"/>
  <sheetViews>
    <sheetView showGridLines="0" view="pageBreakPreview" zoomScale="70" zoomScaleNormal="85" zoomScaleSheetLayoutView="70" workbookViewId="0">
      <selection activeCell="D47" sqref="D47"/>
    </sheetView>
  </sheetViews>
  <sheetFormatPr defaultColWidth="9.140625" defaultRowHeight="15" x14ac:dyDescent="0.2"/>
  <cols>
    <col min="1" max="1" width="0.85546875" style="221" customWidth="1"/>
    <col min="2" max="6" width="9.140625" style="221"/>
    <col min="7" max="7" width="10" style="221" customWidth="1"/>
    <col min="8" max="16" width="9.140625" style="221"/>
    <col min="17" max="17" width="13.140625" style="221" customWidth="1"/>
    <col min="18" max="18" width="6.5703125" style="221" customWidth="1"/>
    <col min="19" max="19" width="0.85546875" style="221" customWidth="1"/>
    <col min="20" max="20" width="15.7109375" style="221" customWidth="1"/>
    <col min="21" max="21" width="9.140625" style="221"/>
    <col min="22" max="22" width="9.28515625" style="221" bestFit="1" customWidth="1"/>
    <col min="23" max="16384" width="9.140625" style="221"/>
  </cols>
  <sheetData>
    <row r="1" spans="2:21" ht="4.5" customHeight="1" thickBot="1" x14ac:dyDescent="0.25"/>
    <row r="2" spans="2:21" ht="60.75" customHeight="1" thickBot="1" x14ac:dyDescent="0.25">
      <c r="B2" s="987" t="s">
        <v>590</v>
      </c>
      <c r="C2" s="988"/>
      <c r="D2" s="988"/>
      <c r="E2" s="988"/>
      <c r="F2" s="988"/>
      <c r="G2" s="988"/>
      <c r="H2" s="988"/>
      <c r="I2" s="988"/>
      <c r="J2" s="988"/>
      <c r="K2" s="988"/>
      <c r="L2" s="988"/>
      <c r="M2" s="988"/>
      <c r="N2" s="988"/>
      <c r="O2" s="988"/>
      <c r="P2" s="988"/>
      <c r="Q2" s="988"/>
      <c r="R2" s="989"/>
    </row>
    <row r="3" spans="2:21" ht="21" customHeight="1" thickBot="1" x14ac:dyDescent="0.25">
      <c r="B3" s="937" t="s">
        <v>92</v>
      </c>
      <c r="C3" s="938"/>
      <c r="D3" s="938"/>
      <c r="E3" s="938"/>
      <c r="F3" s="938"/>
      <c r="G3" s="938"/>
      <c r="H3" s="938"/>
      <c r="I3" s="938"/>
      <c r="J3" s="938"/>
      <c r="K3" s="938"/>
      <c r="L3" s="938"/>
      <c r="M3" s="938"/>
      <c r="N3" s="938"/>
      <c r="O3" s="938"/>
      <c r="P3" s="938"/>
      <c r="Q3" s="935" t="s">
        <v>93</v>
      </c>
      <c r="R3" s="936"/>
    </row>
    <row r="4" spans="2:21" ht="45" customHeight="1" thickTop="1" x14ac:dyDescent="0.2">
      <c r="B4" s="977" t="s">
        <v>573</v>
      </c>
      <c r="C4" s="978"/>
      <c r="D4" s="978"/>
      <c r="E4" s="978"/>
      <c r="F4" s="978"/>
      <c r="G4" s="978"/>
      <c r="H4" s="978"/>
      <c r="I4" s="978"/>
      <c r="J4" s="978"/>
      <c r="K4" s="978"/>
      <c r="L4" s="978"/>
      <c r="M4" s="978"/>
      <c r="N4" s="978"/>
      <c r="O4" s="978"/>
      <c r="P4" s="268"/>
      <c r="Q4" s="269">
        <f>('ICC PT'!Q7/(SQRT(3)*'ICC PT'!Q4))</f>
        <v>3.8490017945975055</v>
      </c>
      <c r="R4" s="270" t="s">
        <v>450</v>
      </c>
    </row>
    <row r="5" spans="2:21" ht="45" customHeight="1" x14ac:dyDescent="0.2">
      <c r="B5" s="915" t="s">
        <v>573</v>
      </c>
      <c r="C5" s="916"/>
      <c r="D5" s="916"/>
      <c r="E5" s="916"/>
      <c r="F5" s="916"/>
      <c r="G5" s="916"/>
      <c r="H5" s="916"/>
      <c r="I5" s="916"/>
      <c r="J5" s="916"/>
      <c r="K5" s="916"/>
      <c r="L5" s="916"/>
      <c r="M5" s="916"/>
      <c r="N5" s="916"/>
      <c r="O5" s="916"/>
      <c r="P5" s="271"/>
      <c r="Q5" s="272">
        <f>('ICC PT'!Q7/(SQRT(3)*'ICC PT'!Q5))</f>
        <v>288.6751345948129</v>
      </c>
      <c r="R5" s="273" t="s">
        <v>450</v>
      </c>
      <c r="U5" s="274"/>
    </row>
    <row r="6" spans="2:21" ht="45" customHeight="1" x14ac:dyDescent="0.2">
      <c r="B6" s="915" t="s">
        <v>574</v>
      </c>
      <c r="C6" s="916"/>
      <c r="D6" s="916"/>
      <c r="E6" s="916"/>
      <c r="F6" s="916"/>
      <c r="G6" s="916"/>
      <c r="H6" s="916"/>
      <c r="I6" s="916"/>
      <c r="J6" s="916"/>
      <c r="K6" s="916"/>
      <c r="L6" s="916"/>
      <c r="M6" s="916"/>
      <c r="N6" s="916"/>
      <c r="O6" s="916"/>
      <c r="P6" s="271"/>
      <c r="Q6" s="985">
        <f>'ICC PT'!Q4/'ICC PT'!Q5</f>
        <v>75</v>
      </c>
      <c r="R6" s="986"/>
      <c r="U6" s="274"/>
    </row>
    <row r="7" spans="2:21" ht="33" customHeight="1" x14ac:dyDescent="0.2">
      <c r="B7" s="922" t="s">
        <v>575</v>
      </c>
      <c r="C7" s="923"/>
      <c r="D7" s="923"/>
      <c r="E7" s="923"/>
      <c r="F7" s="923"/>
      <c r="G7" s="923"/>
      <c r="H7" s="923"/>
      <c r="I7" s="923"/>
      <c r="J7" s="923"/>
      <c r="K7" s="923"/>
      <c r="L7" s="923"/>
      <c r="M7" s="923"/>
      <c r="N7" s="923"/>
      <c r="O7" s="923"/>
      <c r="P7" s="260" t="s">
        <v>576</v>
      </c>
      <c r="Q7" s="261">
        <v>577</v>
      </c>
      <c r="R7" s="259" t="s">
        <v>450</v>
      </c>
      <c r="U7" s="274"/>
    </row>
    <row r="8" spans="2:21" ht="33" customHeight="1" thickBot="1" x14ac:dyDescent="0.25">
      <c r="B8" s="973" t="s">
        <v>577</v>
      </c>
      <c r="C8" s="974"/>
      <c r="D8" s="974"/>
      <c r="E8" s="974"/>
      <c r="F8" s="974"/>
      <c r="G8" s="974"/>
      <c r="H8" s="974"/>
      <c r="I8" s="974"/>
      <c r="J8" s="974"/>
      <c r="K8" s="974"/>
      <c r="L8" s="974"/>
      <c r="M8" s="974"/>
      <c r="N8" s="974"/>
      <c r="O8" s="974"/>
      <c r="P8" s="275" t="s">
        <v>578</v>
      </c>
      <c r="Q8" s="975">
        <f>IF(Q7&lt;315,1.4,1.6)</f>
        <v>1.6</v>
      </c>
      <c r="R8" s="976"/>
      <c r="U8" s="274"/>
    </row>
    <row r="9" spans="2:21" ht="33" customHeight="1" thickTop="1" x14ac:dyDescent="0.2">
      <c r="B9" s="977" t="s">
        <v>579</v>
      </c>
      <c r="C9" s="978"/>
      <c r="D9" s="978"/>
      <c r="E9" s="978"/>
      <c r="F9" s="978"/>
      <c r="G9" s="978"/>
      <c r="H9" s="978"/>
      <c r="I9" s="978"/>
      <c r="J9" s="978"/>
      <c r="K9" s="978"/>
      <c r="L9" s="978"/>
      <c r="M9" s="978"/>
      <c r="N9" s="978"/>
      <c r="O9" s="978"/>
      <c r="P9" s="268"/>
      <c r="Q9" s="269">
        <f>8*Q4</f>
        <v>30.792014356780044</v>
      </c>
      <c r="R9" s="270" t="s">
        <v>450</v>
      </c>
      <c r="U9" s="274"/>
    </row>
    <row r="10" spans="2:21" ht="33" customHeight="1" x14ac:dyDescent="0.2">
      <c r="B10" s="939"/>
      <c r="C10" s="940"/>
      <c r="D10" s="940"/>
      <c r="E10" s="940"/>
      <c r="F10" s="940"/>
      <c r="G10" s="940"/>
      <c r="H10" s="940"/>
      <c r="I10" s="940"/>
      <c r="J10" s="940"/>
      <c r="K10" s="940"/>
      <c r="L10" s="940"/>
      <c r="M10" s="940"/>
      <c r="N10" s="940"/>
      <c r="O10" s="940"/>
      <c r="P10" s="276"/>
      <c r="Q10" s="979">
        <v>16</v>
      </c>
      <c r="R10" s="982" t="s">
        <v>450</v>
      </c>
    </row>
    <row r="11" spans="2:21" ht="33" customHeight="1" x14ac:dyDescent="0.2">
      <c r="B11" s="968"/>
      <c r="C11" s="917"/>
      <c r="D11" s="917"/>
      <c r="E11" s="917"/>
      <c r="F11" s="917"/>
      <c r="G11" s="917"/>
      <c r="H11" s="917"/>
      <c r="I11" s="917"/>
      <c r="J11" s="917"/>
      <c r="K11" s="917"/>
      <c r="L11" s="917"/>
      <c r="M11" s="917"/>
      <c r="N11" s="917"/>
      <c r="O11" s="917"/>
      <c r="P11" s="222"/>
      <c r="Q11" s="980"/>
      <c r="R11" s="983"/>
    </row>
    <row r="12" spans="2:21" ht="33" customHeight="1" x14ac:dyDescent="0.2">
      <c r="B12" s="968"/>
      <c r="C12" s="917"/>
      <c r="D12" s="917"/>
      <c r="E12" s="917"/>
      <c r="F12" s="917"/>
      <c r="G12" s="917"/>
      <c r="H12" s="917"/>
      <c r="I12" s="917"/>
      <c r="J12" s="917"/>
      <c r="K12" s="917"/>
      <c r="L12" s="917"/>
      <c r="M12" s="917"/>
      <c r="N12" s="917"/>
      <c r="O12" s="917"/>
      <c r="P12" s="222"/>
      <c r="Q12" s="980"/>
      <c r="R12" s="983"/>
    </row>
    <row r="13" spans="2:21" ht="33" customHeight="1" x14ac:dyDescent="0.2">
      <c r="B13" s="968"/>
      <c r="C13" s="917"/>
      <c r="D13" s="917"/>
      <c r="E13" s="917"/>
      <c r="F13" s="917"/>
      <c r="G13" s="917"/>
      <c r="H13" s="917"/>
      <c r="I13" s="917"/>
      <c r="J13" s="917"/>
      <c r="K13" s="917"/>
      <c r="L13" s="917"/>
      <c r="M13" s="917"/>
      <c r="N13" s="917"/>
      <c r="O13" s="917"/>
      <c r="P13" s="222"/>
      <c r="Q13" s="980"/>
      <c r="R13" s="983"/>
    </row>
    <row r="14" spans="2:21" ht="33" customHeight="1" x14ac:dyDescent="0.2">
      <c r="B14" s="968"/>
      <c r="C14" s="917"/>
      <c r="D14" s="917"/>
      <c r="E14" s="917"/>
      <c r="F14" s="917"/>
      <c r="G14" s="917"/>
      <c r="H14" s="917"/>
      <c r="I14" s="917"/>
      <c r="J14" s="917"/>
      <c r="K14" s="917"/>
      <c r="L14" s="917"/>
      <c r="M14" s="917"/>
      <c r="N14" s="917"/>
      <c r="O14" s="917"/>
      <c r="P14" s="222"/>
      <c r="Q14" s="980"/>
      <c r="R14" s="983"/>
    </row>
    <row r="15" spans="2:21" ht="33" customHeight="1" x14ac:dyDescent="0.2">
      <c r="B15" s="968"/>
      <c r="C15" s="917"/>
      <c r="D15" s="917"/>
      <c r="E15" s="917"/>
      <c r="F15" s="917"/>
      <c r="G15" s="917"/>
      <c r="H15" s="917"/>
      <c r="I15" s="917"/>
      <c r="J15" s="917"/>
      <c r="K15" s="917"/>
      <c r="L15" s="917"/>
      <c r="M15" s="917"/>
      <c r="N15" s="917"/>
      <c r="O15" s="917"/>
      <c r="P15" s="222"/>
      <c r="Q15" s="980"/>
      <c r="R15" s="983"/>
    </row>
    <row r="16" spans="2:21" ht="33" customHeight="1" x14ac:dyDescent="0.2">
      <c r="B16" s="968"/>
      <c r="C16" s="917"/>
      <c r="D16" s="917"/>
      <c r="E16" s="917"/>
      <c r="F16" s="917"/>
      <c r="G16" s="917"/>
      <c r="H16" s="917"/>
      <c r="I16" s="917"/>
      <c r="J16" s="917"/>
      <c r="K16" s="917"/>
      <c r="L16" s="917"/>
      <c r="M16" s="917"/>
      <c r="N16" s="917"/>
      <c r="O16" s="917"/>
      <c r="P16" s="222"/>
      <c r="Q16" s="980"/>
      <c r="R16" s="983"/>
    </row>
    <row r="17" spans="2:18" ht="33" customHeight="1" x14ac:dyDescent="0.2">
      <c r="B17" s="968"/>
      <c r="C17" s="917"/>
      <c r="D17" s="917"/>
      <c r="E17" s="917"/>
      <c r="F17" s="917"/>
      <c r="G17" s="917"/>
      <c r="H17" s="917"/>
      <c r="I17" s="917"/>
      <c r="J17" s="917"/>
      <c r="K17" s="917"/>
      <c r="L17" s="917"/>
      <c r="M17" s="917"/>
      <c r="N17" s="917"/>
      <c r="O17" s="917"/>
      <c r="P17" s="222"/>
      <c r="Q17" s="980"/>
      <c r="R17" s="983"/>
    </row>
    <row r="18" spans="2:18" ht="33" customHeight="1" x14ac:dyDescent="0.2">
      <c r="B18" s="968"/>
      <c r="C18" s="917"/>
      <c r="D18" s="917"/>
      <c r="E18" s="917"/>
      <c r="F18" s="917"/>
      <c r="G18" s="917"/>
      <c r="H18" s="917"/>
      <c r="I18" s="917"/>
      <c r="J18" s="917"/>
      <c r="K18" s="917"/>
      <c r="L18" s="917"/>
      <c r="M18" s="917"/>
      <c r="N18" s="917"/>
      <c r="O18" s="917"/>
      <c r="P18" s="222"/>
      <c r="Q18" s="980"/>
      <c r="R18" s="983"/>
    </row>
    <row r="19" spans="2:18" ht="33" customHeight="1" x14ac:dyDescent="0.2">
      <c r="B19" s="968"/>
      <c r="C19" s="917"/>
      <c r="D19" s="917"/>
      <c r="E19" s="917"/>
      <c r="F19" s="917"/>
      <c r="G19" s="917"/>
      <c r="H19" s="917"/>
      <c r="I19" s="917"/>
      <c r="J19" s="917"/>
      <c r="K19" s="917"/>
      <c r="L19" s="917"/>
      <c r="M19" s="917"/>
      <c r="N19" s="917"/>
      <c r="O19" s="917"/>
      <c r="P19" s="222"/>
      <c r="Q19" s="980"/>
      <c r="R19" s="983"/>
    </row>
    <row r="20" spans="2:18" ht="33" customHeight="1" x14ac:dyDescent="0.2">
      <c r="B20" s="968"/>
      <c r="C20" s="917"/>
      <c r="D20" s="917"/>
      <c r="E20" s="917"/>
      <c r="F20" s="917"/>
      <c r="G20" s="917"/>
      <c r="H20" s="917"/>
      <c r="I20" s="917"/>
      <c r="J20" s="917"/>
      <c r="K20" s="917"/>
      <c r="L20" s="917"/>
      <c r="M20" s="917"/>
      <c r="N20" s="917"/>
      <c r="O20" s="917"/>
      <c r="P20" s="222"/>
      <c r="Q20" s="980"/>
      <c r="R20" s="983"/>
    </row>
    <row r="21" spans="2:18" ht="33" customHeight="1" x14ac:dyDescent="0.2">
      <c r="B21" s="968"/>
      <c r="C21" s="917"/>
      <c r="D21" s="917"/>
      <c r="E21" s="917"/>
      <c r="F21" s="917"/>
      <c r="G21" s="917"/>
      <c r="H21" s="917"/>
      <c r="I21" s="917"/>
      <c r="J21" s="917"/>
      <c r="K21" s="917"/>
      <c r="L21" s="917"/>
      <c r="M21" s="917"/>
      <c r="N21" s="917"/>
      <c r="O21" s="917"/>
      <c r="P21" s="222"/>
      <c r="Q21" s="980"/>
      <c r="R21" s="983"/>
    </row>
    <row r="22" spans="2:18" ht="33" customHeight="1" x14ac:dyDescent="0.2">
      <c r="B22" s="968"/>
      <c r="C22" s="917"/>
      <c r="D22" s="917"/>
      <c r="E22" s="917"/>
      <c r="F22" s="917"/>
      <c r="G22" s="917"/>
      <c r="H22" s="917"/>
      <c r="I22" s="917"/>
      <c r="J22" s="917"/>
      <c r="K22" s="917"/>
      <c r="L22" s="917"/>
      <c r="M22" s="917"/>
      <c r="N22" s="917"/>
      <c r="O22" s="917"/>
      <c r="P22" s="222"/>
      <c r="Q22" s="980"/>
      <c r="R22" s="983"/>
    </row>
    <row r="23" spans="2:18" ht="33" customHeight="1" thickBot="1" x14ac:dyDescent="0.25">
      <c r="B23" s="969"/>
      <c r="C23" s="970"/>
      <c r="D23" s="970"/>
      <c r="E23" s="970"/>
      <c r="F23" s="970"/>
      <c r="G23" s="970"/>
      <c r="H23" s="970"/>
      <c r="I23" s="970"/>
      <c r="J23" s="970"/>
      <c r="K23" s="970"/>
      <c r="L23" s="970"/>
      <c r="M23" s="970"/>
      <c r="N23" s="970"/>
      <c r="O23" s="970"/>
      <c r="P23" s="277"/>
      <c r="Q23" s="981"/>
      <c r="R23" s="984"/>
    </row>
    <row r="24" spans="2:18" ht="45" customHeight="1" thickTop="1" thickBot="1" x14ac:dyDescent="0.25">
      <c r="B24" s="971" t="s">
        <v>580</v>
      </c>
      <c r="C24" s="972"/>
      <c r="D24" s="972"/>
      <c r="E24" s="972"/>
      <c r="F24" s="972"/>
      <c r="G24" s="972"/>
      <c r="H24" s="972"/>
      <c r="I24" s="972"/>
      <c r="J24" s="972"/>
      <c r="K24" s="972"/>
      <c r="L24" s="972"/>
      <c r="M24" s="972"/>
      <c r="N24" s="972"/>
      <c r="O24" s="972"/>
      <c r="P24" s="278"/>
      <c r="Q24" s="279">
        <f>3.33*Q4</f>
        <v>12.817175976009693</v>
      </c>
      <c r="R24" s="280" t="s">
        <v>450</v>
      </c>
    </row>
    <row r="25" spans="2:18" ht="50.25" customHeight="1" thickTop="1" thickBot="1" x14ac:dyDescent="0.25">
      <c r="B25" s="966" t="s">
        <v>581</v>
      </c>
      <c r="C25" s="967"/>
      <c r="D25" s="967"/>
      <c r="E25" s="967"/>
      <c r="F25" s="967"/>
      <c r="G25" s="967"/>
      <c r="H25" s="967"/>
      <c r="I25" s="967"/>
      <c r="J25" s="967"/>
      <c r="K25" s="967"/>
      <c r="L25" s="967"/>
      <c r="M25" s="967"/>
      <c r="N25" s="967"/>
      <c r="O25" s="967"/>
      <c r="P25" s="281"/>
      <c r="Q25" s="282">
        <f>1.3*Q4</f>
        <v>5.0037023329767569</v>
      </c>
      <c r="R25" s="283" t="s">
        <v>450</v>
      </c>
    </row>
    <row r="26" spans="2:18" ht="50.25" customHeight="1" thickTop="1" thickBot="1" x14ac:dyDescent="0.25">
      <c r="B26" s="952" t="s">
        <v>582</v>
      </c>
      <c r="C26" s="953"/>
      <c r="D26" s="953"/>
      <c r="E26" s="953"/>
      <c r="F26" s="953"/>
      <c r="G26" s="953"/>
      <c r="H26" s="953"/>
      <c r="I26" s="953"/>
      <c r="J26" s="953"/>
      <c r="K26" s="953"/>
      <c r="L26" s="953"/>
      <c r="M26" s="953"/>
      <c r="N26" s="953"/>
      <c r="O26" s="953"/>
      <c r="P26" s="284"/>
      <c r="Q26" s="285">
        <f>(Q8*Q7)/Q6</f>
        <v>12.309333333333335</v>
      </c>
      <c r="R26" s="286" t="s">
        <v>450</v>
      </c>
    </row>
    <row r="27" spans="2:18" ht="50.25" customHeight="1" thickBot="1" x14ac:dyDescent="0.25">
      <c r="B27" s="954" t="s">
        <v>583</v>
      </c>
      <c r="C27" s="955"/>
      <c r="D27" s="955"/>
      <c r="E27" s="955"/>
      <c r="F27" s="955"/>
      <c r="G27" s="955"/>
      <c r="H27" s="955"/>
      <c r="I27" s="955"/>
      <c r="J27" s="955"/>
      <c r="K27" s="955"/>
      <c r="L27" s="955"/>
      <c r="M27" s="955"/>
      <c r="N27" s="955"/>
      <c r="O27" s="955"/>
      <c r="P27" s="287"/>
      <c r="Q27" s="288" t="e">
        <f>VLOOKUP(1,$F$38:$G$51,2,FALSE)</f>
        <v>#N/A</v>
      </c>
      <c r="R27" s="289" t="s">
        <v>450</v>
      </c>
    </row>
    <row r="28" spans="2:18" ht="4.5" customHeight="1" x14ac:dyDescent="0.2">
      <c r="B28" s="917"/>
      <c r="C28" s="917"/>
      <c r="D28" s="917"/>
      <c r="E28" s="917"/>
      <c r="F28" s="917"/>
      <c r="G28" s="917"/>
      <c r="H28" s="917"/>
      <c r="I28" s="917"/>
      <c r="J28" s="917"/>
      <c r="K28" s="917"/>
      <c r="L28" s="917"/>
      <c r="M28" s="917"/>
      <c r="N28" s="917"/>
      <c r="O28" s="917"/>
      <c r="P28" s="222"/>
      <c r="Q28" s="254"/>
      <c r="R28" s="223"/>
    </row>
    <row r="29" spans="2:18" ht="18.75" customHeight="1" x14ac:dyDescent="0.2">
      <c r="B29" s="290"/>
      <c r="C29" s="290"/>
      <c r="D29" s="290"/>
      <c r="E29" s="290"/>
      <c r="F29" s="290"/>
      <c r="G29" s="290"/>
      <c r="H29" s="290"/>
      <c r="I29" s="290"/>
      <c r="J29" s="290"/>
      <c r="K29" s="290"/>
      <c r="L29" s="290"/>
      <c r="M29" s="290"/>
      <c r="N29" s="290"/>
      <c r="O29" s="290"/>
      <c r="P29" s="222"/>
      <c r="Q29" s="254"/>
      <c r="R29" s="223"/>
    </row>
    <row r="30" spans="2:18" ht="18.75" customHeight="1" x14ac:dyDescent="0.2">
      <c r="P30" s="222"/>
      <c r="Q30" s="254"/>
      <c r="R30" s="223"/>
    </row>
    <row r="31" spans="2:18" ht="18.75" customHeight="1" x14ac:dyDescent="0.2">
      <c r="B31" s="290"/>
      <c r="C31" s="290"/>
      <c r="D31" s="290"/>
      <c r="E31" s="290"/>
      <c r="F31" s="290"/>
      <c r="G31" s="290"/>
      <c r="H31" s="290"/>
      <c r="I31" s="290"/>
      <c r="J31" s="290"/>
      <c r="K31" s="290"/>
      <c r="L31" s="290"/>
      <c r="M31" s="290"/>
      <c r="N31" s="290"/>
      <c r="O31" s="290"/>
      <c r="P31" s="222"/>
      <c r="Q31" s="254"/>
      <c r="R31" s="223"/>
    </row>
    <row r="32" spans="2:18" ht="18.75" customHeight="1" thickBot="1" x14ac:dyDescent="0.25">
      <c r="B32" s="290"/>
      <c r="C32" s="290"/>
      <c r="D32" s="290"/>
      <c r="E32" s="290"/>
      <c r="F32" s="290"/>
      <c r="G32" s="290"/>
      <c r="H32" s="290"/>
      <c r="I32" s="290"/>
      <c r="J32" s="290"/>
      <c r="K32" s="290"/>
      <c r="L32" s="290"/>
      <c r="M32" s="290"/>
      <c r="N32" s="290"/>
      <c r="O32" s="290"/>
      <c r="P32" s="222"/>
      <c r="Q32" s="254"/>
      <c r="R32" s="223"/>
    </row>
    <row r="33" spans="2:18" ht="18.75" customHeight="1" x14ac:dyDescent="0.2">
      <c r="B33" s="956" t="s">
        <v>584</v>
      </c>
      <c r="C33" s="958" t="s">
        <v>585</v>
      </c>
      <c r="D33" s="958" t="s">
        <v>586</v>
      </c>
      <c r="E33" s="960" t="s">
        <v>587</v>
      </c>
      <c r="F33" s="962" t="s">
        <v>588</v>
      </c>
      <c r="G33" s="964" t="s">
        <v>589</v>
      </c>
      <c r="H33" s="290"/>
      <c r="I33" s="290"/>
      <c r="J33" s="290"/>
      <c r="K33" s="290"/>
      <c r="L33" s="290"/>
      <c r="M33" s="290"/>
      <c r="N33" s="290"/>
      <c r="O33" s="290"/>
      <c r="P33" s="222"/>
      <c r="Q33" s="254"/>
      <c r="R33" s="223"/>
    </row>
    <row r="34" spans="2:18" ht="18.75" customHeight="1" x14ac:dyDescent="0.2">
      <c r="B34" s="957"/>
      <c r="C34" s="959"/>
      <c r="D34" s="959"/>
      <c r="E34" s="961"/>
      <c r="F34" s="963"/>
      <c r="G34" s="965"/>
      <c r="H34" s="290"/>
      <c r="I34" s="290"/>
      <c r="J34" s="290"/>
      <c r="K34" s="290"/>
      <c r="L34" s="290"/>
      <c r="M34" s="290"/>
      <c r="N34" s="290"/>
      <c r="O34" s="290"/>
      <c r="P34" s="222"/>
      <c r="Q34" s="254"/>
      <c r="R34" s="223"/>
    </row>
    <row r="35" spans="2:18" ht="18.75" customHeight="1" x14ac:dyDescent="0.2">
      <c r="B35" s="957"/>
      <c r="C35" s="959"/>
      <c r="D35" s="959"/>
      <c r="E35" s="961"/>
      <c r="F35" s="963"/>
      <c r="G35" s="965"/>
      <c r="H35" s="290"/>
      <c r="I35" s="290"/>
      <c r="J35" s="290"/>
      <c r="K35" s="290"/>
      <c r="L35" s="290"/>
      <c r="M35" s="290"/>
      <c r="N35" s="290"/>
      <c r="O35" s="290"/>
      <c r="P35" s="222"/>
      <c r="Q35" s="254"/>
      <c r="R35" s="223"/>
    </row>
    <row r="36" spans="2:18" ht="18.75" customHeight="1" x14ac:dyDescent="0.2">
      <c r="B36" s="957"/>
      <c r="C36" s="959"/>
      <c r="D36" s="959"/>
      <c r="E36" s="961"/>
      <c r="F36" s="963"/>
      <c r="G36" s="965"/>
      <c r="H36" s="290"/>
      <c r="I36" s="290"/>
      <c r="J36" s="290"/>
      <c r="K36" s="290"/>
      <c r="L36" s="290"/>
      <c r="M36" s="222"/>
      <c r="N36" s="254"/>
      <c r="O36" s="223"/>
    </row>
    <row r="37" spans="2:18" ht="18.75" customHeight="1" thickBot="1" x14ac:dyDescent="0.25">
      <c r="B37" s="957"/>
      <c r="C37" s="959"/>
      <c r="D37" s="959"/>
      <c r="E37" s="961"/>
      <c r="F37" s="963"/>
      <c r="G37" s="965"/>
      <c r="H37" s="291"/>
      <c r="I37" s="291"/>
      <c r="J37" s="291"/>
      <c r="K37" s="291"/>
      <c r="L37" s="291"/>
      <c r="M37" s="291"/>
    </row>
    <row r="38" spans="2:18" ht="18.75" customHeight="1" thickTop="1" x14ac:dyDescent="0.2">
      <c r="B38" s="292">
        <f t="shared" ref="B38:B51" si="0">IF(G38&gt;$Q$10,1,0)</f>
        <v>0</v>
      </c>
      <c r="C38" s="293">
        <f t="shared" ref="C38:C51" si="1">IF(G38&lt;$Q$24,1,0)</f>
        <v>1</v>
      </c>
      <c r="D38" s="293">
        <f t="shared" ref="D38:D51" si="2">IF(G38&gt;$Q$25,1,0)</f>
        <v>1</v>
      </c>
      <c r="E38" s="294">
        <f t="shared" ref="E38:E51" si="3">IF(G38&gt;$Q$26,1,0)</f>
        <v>0</v>
      </c>
      <c r="F38" s="295">
        <f>IF(AND(B38=1,C38=1,D38=1,E38=1),1,0)</f>
        <v>0</v>
      </c>
      <c r="G38" s="296">
        <v>6.3</v>
      </c>
    </row>
    <row r="39" spans="2:18" ht="18.75" customHeight="1" x14ac:dyDescent="0.2">
      <c r="B39" s="297">
        <f t="shared" si="0"/>
        <v>0</v>
      </c>
      <c r="C39" s="298">
        <f t="shared" si="1"/>
        <v>1</v>
      </c>
      <c r="D39" s="298">
        <f t="shared" si="2"/>
        <v>1</v>
      </c>
      <c r="E39" s="299">
        <f t="shared" si="3"/>
        <v>0</v>
      </c>
      <c r="F39" s="300">
        <f t="shared" ref="F39:F51" si="4">IF(AND(B39=1,C39=1,D39=1,E39=1),1,0)</f>
        <v>0</v>
      </c>
      <c r="G39" s="301">
        <v>10</v>
      </c>
    </row>
    <row r="40" spans="2:18" ht="18.75" customHeight="1" x14ac:dyDescent="0.2">
      <c r="B40" s="297">
        <f t="shared" si="0"/>
        <v>0</v>
      </c>
      <c r="C40" s="298">
        <f t="shared" si="1"/>
        <v>0</v>
      </c>
      <c r="D40" s="298">
        <f t="shared" si="2"/>
        <v>1</v>
      </c>
      <c r="E40" s="299">
        <f t="shared" si="3"/>
        <v>1</v>
      </c>
      <c r="F40" s="300">
        <f t="shared" si="4"/>
        <v>0</v>
      </c>
      <c r="G40" s="301">
        <v>16</v>
      </c>
      <c r="H40" s="274"/>
      <c r="I40" s="274"/>
      <c r="J40" s="274"/>
      <c r="K40" s="274"/>
      <c r="L40" s="274"/>
      <c r="M40" s="274"/>
    </row>
    <row r="41" spans="2:18" ht="18.75" customHeight="1" x14ac:dyDescent="0.2">
      <c r="B41" s="297">
        <f t="shared" si="0"/>
        <v>1</v>
      </c>
      <c r="C41" s="298">
        <f t="shared" si="1"/>
        <v>0</v>
      </c>
      <c r="D41" s="298">
        <f t="shared" si="2"/>
        <v>1</v>
      </c>
      <c r="E41" s="299">
        <f t="shared" si="3"/>
        <v>1</v>
      </c>
      <c r="F41" s="300">
        <f t="shared" si="4"/>
        <v>0</v>
      </c>
      <c r="G41" s="301">
        <v>20</v>
      </c>
      <c r="H41" s="274"/>
      <c r="I41" s="274"/>
      <c r="J41" s="274"/>
      <c r="K41" s="274"/>
      <c r="L41" s="274"/>
      <c r="M41" s="274"/>
    </row>
    <row r="42" spans="2:18" ht="18.75" customHeight="1" x14ac:dyDescent="0.2">
      <c r="B42" s="297">
        <f t="shared" si="0"/>
        <v>1</v>
      </c>
      <c r="C42" s="298">
        <f t="shared" si="1"/>
        <v>0</v>
      </c>
      <c r="D42" s="298">
        <f t="shared" si="2"/>
        <v>1</v>
      </c>
      <c r="E42" s="299">
        <f t="shared" si="3"/>
        <v>1</v>
      </c>
      <c r="F42" s="300">
        <f t="shared" si="4"/>
        <v>0</v>
      </c>
      <c r="G42" s="301">
        <v>25</v>
      </c>
      <c r="H42" s="274"/>
      <c r="I42" s="274"/>
      <c r="J42" s="274"/>
      <c r="K42" s="274"/>
      <c r="L42" s="274"/>
      <c r="M42" s="274"/>
    </row>
    <row r="43" spans="2:18" ht="18.75" customHeight="1" x14ac:dyDescent="0.2">
      <c r="B43" s="297">
        <f t="shared" si="0"/>
        <v>1</v>
      </c>
      <c r="C43" s="298">
        <f t="shared" si="1"/>
        <v>0</v>
      </c>
      <c r="D43" s="298">
        <f t="shared" si="2"/>
        <v>1</v>
      </c>
      <c r="E43" s="299">
        <f t="shared" si="3"/>
        <v>1</v>
      </c>
      <c r="F43" s="300">
        <f t="shared" si="4"/>
        <v>0</v>
      </c>
      <c r="G43" s="301">
        <v>31.5</v>
      </c>
      <c r="H43" s="274"/>
      <c r="I43" s="274"/>
      <c r="J43" s="274"/>
      <c r="K43" s="274"/>
      <c r="L43" s="274"/>
      <c r="M43" s="274"/>
    </row>
    <row r="44" spans="2:18" ht="18.75" customHeight="1" x14ac:dyDescent="0.2">
      <c r="B44" s="297">
        <f t="shared" si="0"/>
        <v>1</v>
      </c>
      <c r="C44" s="298">
        <f t="shared" si="1"/>
        <v>0</v>
      </c>
      <c r="D44" s="298">
        <f t="shared" si="2"/>
        <v>1</v>
      </c>
      <c r="E44" s="299">
        <f t="shared" si="3"/>
        <v>1</v>
      </c>
      <c r="F44" s="300">
        <f t="shared" si="4"/>
        <v>0</v>
      </c>
      <c r="G44" s="301">
        <v>40</v>
      </c>
      <c r="H44" s="274"/>
      <c r="I44" s="274"/>
      <c r="J44" s="274"/>
      <c r="K44" s="274"/>
      <c r="L44" s="274"/>
      <c r="M44" s="274"/>
    </row>
    <row r="45" spans="2:18" ht="18.75" customHeight="1" x14ac:dyDescent="0.2">
      <c r="B45" s="297">
        <f t="shared" si="0"/>
        <v>1</v>
      </c>
      <c r="C45" s="298">
        <f t="shared" si="1"/>
        <v>0</v>
      </c>
      <c r="D45" s="298">
        <f t="shared" si="2"/>
        <v>1</v>
      </c>
      <c r="E45" s="299">
        <f t="shared" si="3"/>
        <v>1</v>
      </c>
      <c r="F45" s="300">
        <f t="shared" si="4"/>
        <v>0</v>
      </c>
      <c r="G45" s="301">
        <v>50</v>
      </c>
      <c r="H45" s="274"/>
      <c r="I45" s="274"/>
      <c r="J45" s="274"/>
      <c r="K45" s="274"/>
      <c r="L45" s="274"/>
      <c r="M45" s="274"/>
    </row>
    <row r="46" spans="2:18" ht="18.75" customHeight="1" x14ac:dyDescent="0.2">
      <c r="B46" s="297">
        <f t="shared" si="0"/>
        <v>1</v>
      </c>
      <c r="C46" s="298">
        <f t="shared" si="1"/>
        <v>0</v>
      </c>
      <c r="D46" s="298">
        <f t="shared" si="2"/>
        <v>1</v>
      </c>
      <c r="E46" s="299">
        <f t="shared" si="3"/>
        <v>1</v>
      </c>
      <c r="F46" s="300">
        <f t="shared" si="4"/>
        <v>0</v>
      </c>
      <c r="G46" s="301">
        <v>63</v>
      </c>
      <c r="H46" s="274"/>
      <c r="I46" s="274"/>
      <c r="J46" s="274"/>
      <c r="K46" s="274"/>
      <c r="L46" s="274"/>
      <c r="M46" s="274"/>
    </row>
    <row r="47" spans="2:18" ht="18.75" customHeight="1" x14ac:dyDescent="0.2">
      <c r="B47" s="297">
        <f t="shared" si="0"/>
        <v>1</v>
      </c>
      <c r="C47" s="298">
        <f t="shared" si="1"/>
        <v>0</v>
      </c>
      <c r="D47" s="298">
        <f t="shared" si="2"/>
        <v>1</v>
      </c>
      <c r="E47" s="299">
        <f t="shared" si="3"/>
        <v>1</v>
      </c>
      <c r="F47" s="300">
        <f t="shared" si="4"/>
        <v>0</v>
      </c>
      <c r="G47" s="301">
        <v>80</v>
      </c>
      <c r="H47" s="274"/>
      <c r="I47" s="274"/>
      <c r="J47" s="274"/>
      <c r="K47" s="274"/>
      <c r="L47" s="274"/>
      <c r="M47" s="274"/>
    </row>
    <row r="48" spans="2:18" ht="18.75" customHeight="1" x14ac:dyDescent="0.2">
      <c r="B48" s="297">
        <f t="shared" si="0"/>
        <v>1</v>
      </c>
      <c r="C48" s="298">
        <f t="shared" si="1"/>
        <v>0</v>
      </c>
      <c r="D48" s="298">
        <f t="shared" si="2"/>
        <v>1</v>
      </c>
      <c r="E48" s="299">
        <f t="shared" si="3"/>
        <v>1</v>
      </c>
      <c r="F48" s="300">
        <f t="shared" si="4"/>
        <v>0</v>
      </c>
      <c r="G48" s="301">
        <v>100</v>
      </c>
      <c r="H48" s="274"/>
      <c r="I48" s="274"/>
      <c r="J48" s="274"/>
      <c r="K48" s="274"/>
      <c r="L48" s="274"/>
      <c r="M48" s="274"/>
    </row>
    <row r="49" spans="2:15" ht="18.75" customHeight="1" x14ac:dyDescent="0.2">
      <c r="B49" s="297">
        <f t="shared" si="0"/>
        <v>1</v>
      </c>
      <c r="C49" s="298">
        <f t="shared" si="1"/>
        <v>0</v>
      </c>
      <c r="D49" s="298">
        <f t="shared" si="2"/>
        <v>1</v>
      </c>
      <c r="E49" s="299">
        <f t="shared" si="3"/>
        <v>1</v>
      </c>
      <c r="F49" s="300">
        <f t="shared" si="4"/>
        <v>0</v>
      </c>
      <c r="G49" s="301">
        <v>125</v>
      </c>
      <c r="H49" s="274"/>
      <c r="I49" s="274"/>
      <c r="J49" s="274"/>
      <c r="K49" s="274"/>
      <c r="L49" s="274"/>
      <c r="M49" s="274"/>
    </row>
    <row r="50" spans="2:15" ht="18.75" customHeight="1" x14ac:dyDescent="0.2">
      <c r="B50" s="297">
        <f t="shared" si="0"/>
        <v>1</v>
      </c>
      <c r="C50" s="298">
        <f t="shared" si="1"/>
        <v>0</v>
      </c>
      <c r="D50" s="298">
        <f t="shared" si="2"/>
        <v>1</v>
      </c>
      <c r="E50" s="299">
        <f t="shared" si="3"/>
        <v>1</v>
      </c>
      <c r="F50" s="300">
        <f t="shared" si="4"/>
        <v>0</v>
      </c>
      <c r="G50" s="301">
        <v>150</v>
      </c>
      <c r="H50" s="274"/>
      <c r="I50" s="274"/>
      <c r="J50" s="274"/>
      <c r="K50" s="274"/>
      <c r="L50" s="274"/>
      <c r="M50" s="274"/>
    </row>
    <row r="51" spans="2:15" ht="18.75" customHeight="1" thickBot="1" x14ac:dyDescent="0.25">
      <c r="B51" s="302">
        <f t="shared" si="0"/>
        <v>1</v>
      </c>
      <c r="C51" s="303">
        <f t="shared" si="1"/>
        <v>0</v>
      </c>
      <c r="D51" s="303">
        <f t="shared" si="2"/>
        <v>1</v>
      </c>
      <c r="E51" s="304">
        <f t="shared" si="3"/>
        <v>1</v>
      </c>
      <c r="F51" s="305">
        <f t="shared" si="4"/>
        <v>0</v>
      </c>
      <c r="G51" s="306">
        <v>200</v>
      </c>
      <c r="H51" s="274"/>
      <c r="I51" s="274"/>
      <c r="J51" s="274"/>
      <c r="K51" s="274"/>
      <c r="L51" s="274"/>
      <c r="M51" s="274"/>
    </row>
    <row r="52" spans="2:15" x14ac:dyDescent="0.2">
      <c r="B52" s="274"/>
      <c r="C52" s="274"/>
      <c r="D52" s="274"/>
      <c r="E52" s="274"/>
      <c r="F52" s="274"/>
      <c r="G52" s="274"/>
      <c r="H52" s="274"/>
      <c r="I52" s="274"/>
      <c r="J52" s="274"/>
      <c r="K52" s="274"/>
      <c r="L52" s="274"/>
    </row>
    <row r="53" spans="2:15" x14ac:dyDescent="0.2">
      <c r="B53" s="274"/>
      <c r="C53" s="274"/>
      <c r="D53" s="274"/>
      <c r="E53" s="274"/>
      <c r="F53" s="274"/>
      <c r="G53" s="274"/>
      <c r="H53" s="274"/>
      <c r="I53" s="274"/>
      <c r="J53" s="274"/>
      <c r="K53" s="274"/>
      <c r="L53" s="274"/>
      <c r="M53" s="274"/>
      <c r="N53" s="274"/>
      <c r="O53" s="274"/>
    </row>
    <row r="54" spans="2:15" x14ac:dyDescent="0.2">
      <c r="B54" s="274"/>
      <c r="C54" s="274"/>
      <c r="D54" s="274"/>
      <c r="E54" s="274"/>
      <c r="F54" s="274"/>
      <c r="G54" s="274"/>
      <c r="H54" s="274"/>
      <c r="I54" s="274"/>
      <c r="J54" s="274"/>
      <c r="K54" s="274"/>
      <c r="L54" s="274"/>
      <c r="M54" s="274"/>
      <c r="N54" s="274"/>
      <c r="O54" s="274"/>
    </row>
  </sheetData>
  <mergeCells count="38">
    <mergeCell ref="B6:O6"/>
    <mergeCell ref="Q6:R6"/>
    <mergeCell ref="B2:R2"/>
    <mergeCell ref="B3:P3"/>
    <mergeCell ref="Q3:R3"/>
    <mergeCell ref="B4:O4"/>
    <mergeCell ref="B5:O5"/>
    <mergeCell ref="B7:O7"/>
    <mergeCell ref="B8:O8"/>
    <mergeCell ref="Q8:R8"/>
    <mergeCell ref="B9:O9"/>
    <mergeCell ref="B10:O10"/>
    <mergeCell ref="Q10:Q23"/>
    <mergeCell ref="R10:R23"/>
    <mergeCell ref="B11:O11"/>
    <mergeCell ref="B12:O12"/>
    <mergeCell ref="B13:O13"/>
    <mergeCell ref="B25:O25"/>
    <mergeCell ref="B14:O14"/>
    <mergeCell ref="B15:O15"/>
    <mergeCell ref="B16:O16"/>
    <mergeCell ref="B17:O17"/>
    <mergeCell ref="B18:O18"/>
    <mergeCell ref="B19:O19"/>
    <mergeCell ref="B20:O20"/>
    <mergeCell ref="B21:O21"/>
    <mergeCell ref="B22:O22"/>
    <mergeCell ref="B23:O23"/>
    <mergeCell ref="B24:O24"/>
    <mergeCell ref="B26:O26"/>
    <mergeCell ref="B27:O27"/>
    <mergeCell ref="B28:O28"/>
    <mergeCell ref="B33:B37"/>
    <mergeCell ref="C33:C37"/>
    <mergeCell ref="D33:D37"/>
    <mergeCell ref="E33:E37"/>
    <mergeCell ref="F33:F37"/>
    <mergeCell ref="G33:G37"/>
  </mergeCells>
  <printOptions horizontalCentered="1" verticalCentered="1"/>
  <pageMargins left="0" right="0" top="0" bottom="0" header="0" footer="0"/>
  <pageSetup paperSize="9" scale="63" orientation="portrait" r:id="rId1"/>
  <drawing r:id="rId2"/>
  <legacyDrawing r:id="rId3"/>
  <oleObjects>
    <mc:AlternateContent xmlns:mc="http://schemas.openxmlformats.org/markup-compatibility/2006">
      <mc:Choice Requires="x14">
        <oleObject progId="Equation.DSMT4" shapeId="13313" r:id="rId4">
          <objectPr defaultSize="0" autoPict="0" r:id="rId5">
            <anchor moveWithCells="1">
              <from>
                <xdr:col>14</xdr:col>
                <xdr:colOff>38100</xdr:colOff>
                <xdr:row>3</xdr:row>
                <xdr:rowOff>19050</xdr:rowOff>
              </from>
              <to>
                <xdr:col>15</xdr:col>
                <xdr:colOff>495300</xdr:colOff>
                <xdr:row>4</xdr:row>
                <xdr:rowOff>0</xdr:rowOff>
              </to>
            </anchor>
          </objectPr>
        </oleObject>
      </mc:Choice>
      <mc:Fallback>
        <oleObject progId="Equation.DSMT4" shapeId="13313" r:id="rId4"/>
      </mc:Fallback>
    </mc:AlternateContent>
    <mc:AlternateContent xmlns:mc="http://schemas.openxmlformats.org/markup-compatibility/2006">
      <mc:Choice Requires="x14">
        <oleObject progId="Equation.DSMT4" shapeId="13314" r:id="rId6">
          <objectPr defaultSize="0" autoPict="0" r:id="rId7">
            <anchor moveWithCells="1">
              <from>
                <xdr:col>14</xdr:col>
                <xdr:colOff>38100</xdr:colOff>
                <xdr:row>4</xdr:row>
                <xdr:rowOff>19050</xdr:rowOff>
              </from>
              <to>
                <xdr:col>15</xdr:col>
                <xdr:colOff>495300</xdr:colOff>
                <xdr:row>5</xdr:row>
                <xdr:rowOff>0</xdr:rowOff>
              </to>
            </anchor>
          </objectPr>
        </oleObject>
      </mc:Choice>
      <mc:Fallback>
        <oleObject progId="Equation.DSMT4" shapeId="13314" r:id="rId6"/>
      </mc:Fallback>
    </mc:AlternateContent>
    <mc:AlternateContent xmlns:mc="http://schemas.openxmlformats.org/markup-compatibility/2006">
      <mc:Choice Requires="x14">
        <oleObject progId="Equation.DSMT4" shapeId="13315" r:id="rId8">
          <objectPr defaultSize="0" autoPict="0" r:id="rId9">
            <anchor moveWithCells="1">
              <from>
                <xdr:col>14</xdr:col>
                <xdr:colOff>400050</xdr:colOff>
                <xdr:row>5</xdr:row>
                <xdr:rowOff>9525</xdr:rowOff>
              </from>
              <to>
                <xdr:col>15</xdr:col>
                <xdr:colOff>485775</xdr:colOff>
                <xdr:row>5</xdr:row>
                <xdr:rowOff>561975</xdr:rowOff>
              </to>
            </anchor>
          </objectPr>
        </oleObject>
      </mc:Choice>
      <mc:Fallback>
        <oleObject progId="Equation.DSMT4" shapeId="13315" r:id="rId8"/>
      </mc:Fallback>
    </mc:AlternateContent>
    <mc:AlternateContent xmlns:mc="http://schemas.openxmlformats.org/markup-compatibility/2006">
      <mc:Choice Requires="x14">
        <oleObject progId="Equation.DSMT4" shapeId="13316" r:id="rId10">
          <objectPr defaultSize="0" autoPict="0" r:id="rId11">
            <anchor moveWithCells="1">
              <from>
                <xdr:col>14</xdr:col>
                <xdr:colOff>161925</xdr:colOff>
                <xdr:row>8</xdr:row>
                <xdr:rowOff>47625</xdr:rowOff>
              </from>
              <to>
                <xdr:col>15</xdr:col>
                <xdr:colOff>495300</xdr:colOff>
                <xdr:row>8</xdr:row>
                <xdr:rowOff>381000</xdr:rowOff>
              </to>
            </anchor>
          </objectPr>
        </oleObject>
      </mc:Choice>
      <mc:Fallback>
        <oleObject progId="Equation.DSMT4" shapeId="13316" r:id="rId10"/>
      </mc:Fallback>
    </mc:AlternateContent>
    <mc:AlternateContent xmlns:mc="http://schemas.openxmlformats.org/markup-compatibility/2006">
      <mc:Choice Requires="x14">
        <oleObject progId="Equation.DSMT4" shapeId="13317" r:id="rId12">
          <objectPr defaultSize="0" autoPict="0" r:id="rId13">
            <anchor moveWithCells="1">
              <from>
                <xdr:col>13</xdr:col>
                <xdr:colOff>495300</xdr:colOff>
                <xdr:row>23</xdr:row>
                <xdr:rowOff>133350</xdr:rowOff>
              </from>
              <to>
                <xdr:col>15</xdr:col>
                <xdr:colOff>485775</xdr:colOff>
                <xdr:row>23</xdr:row>
                <xdr:rowOff>466725</xdr:rowOff>
              </to>
            </anchor>
          </objectPr>
        </oleObject>
      </mc:Choice>
      <mc:Fallback>
        <oleObject progId="Equation.DSMT4" shapeId="13317" r:id="rId12"/>
      </mc:Fallback>
    </mc:AlternateContent>
    <mc:AlternateContent xmlns:mc="http://schemas.openxmlformats.org/markup-compatibility/2006">
      <mc:Choice Requires="x14">
        <oleObject progId="Equation.DSMT4" shapeId="13318" r:id="rId14">
          <objectPr defaultSize="0" autoPict="0" r:id="rId15">
            <anchor moveWithCells="1">
              <from>
                <xdr:col>14</xdr:col>
                <xdr:colOff>76200</xdr:colOff>
                <xdr:row>24</xdr:row>
                <xdr:rowOff>133350</xdr:rowOff>
              </from>
              <to>
                <xdr:col>15</xdr:col>
                <xdr:colOff>495300</xdr:colOff>
                <xdr:row>24</xdr:row>
                <xdr:rowOff>457200</xdr:rowOff>
              </to>
            </anchor>
          </objectPr>
        </oleObject>
      </mc:Choice>
      <mc:Fallback>
        <oleObject progId="Equation.DSMT4" shapeId="13318" r:id="rId14"/>
      </mc:Fallback>
    </mc:AlternateContent>
    <mc:AlternateContent xmlns:mc="http://schemas.openxmlformats.org/markup-compatibility/2006">
      <mc:Choice Requires="x14">
        <oleObject progId="Equation.DSMT4" shapeId="13319" r:id="rId16">
          <objectPr defaultSize="0" autoPict="0" r:id="rId17">
            <anchor moveWithCells="1">
              <from>
                <xdr:col>13</xdr:col>
                <xdr:colOff>590550</xdr:colOff>
                <xdr:row>25</xdr:row>
                <xdr:rowOff>57150</xdr:rowOff>
              </from>
              <to>
                <xdr:col>15</xdr:col>
                <xdr:colOff>495300</xdr:colOff>
                <xdr:row>25</xdr:row>
                <xdr:rowOff>581025</xdr:rowOff>
              </to>
            </anchor>
          </objectPr>
        </oleObject>
      </mc:Choice>
      <mc:Fallback>
        <oleObject progId="Equation.DSMT4" shapeId="13319" r:id="rId16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916D6-DA67-4737-A866-5B641D7C9EE5}">
  <dimension ref="B1:M26"/>
  <sheetViews>
    <sheetView showGridLines="0" view="pageBreakPreview" zoomScale="85" zoomScaleNormal="85" zoomScaleSheetLayoutView="85" workbookViewId="0">
      <selection activeCell="J9" sqref="J9"/>
    </sheetView>
  </sheetViews>
  <sheetFormatPr defaultColWidth="9.140625" defaultRowHeight="15" x14ac:dyDescent="0.2"/>
  <cols>
    <col min="1" max="1" width="0.7109375" style="221" customWidth="1"/>
    <col min="2" max="4" width="9.140625" style="221"/>
    <col min="5" max="5" width="7.7109375" style="221" customWidth="1"/>
    <col min="6" max="9" width="9.140625" style="221"/>
    <col min="10" max="10" width="13.140625" style="221" customWidth="1"/>
    <col min="11" max="11" width="7.42578125" style="221" customWidth="1"/>
    <col min="12" max="12" width="0.85546875" style="221" customWidth="1"/>
    <col min="13" max="13" width="15.7109375" style="221" customWidth="1"/>
    <col min="14" max="14" width="9.140625" style="221"/>
    <col min="15" max="15" width="9.28515625" style="221" bestFit="1" customWidth="1"/>
    <col min="16" max="16384" width="9.140625" style="221"/>
  </cols>
  <sheetData>
    <row r="1" spans="2:13" ht="3.75" customHeight="1" thickBot="1" x14ac:dyDescent="0.25"/>
    <row r="2" spans="2:13" ht="60.75" customHeight="1" thickBot="1" x14ac:dyDescent="0.25">
      <c r="B2" s="990" t="s">
        <v>771</v>
      </c>
      <c r="C2" s="991"/>
      <c r="D2" s="991"/>
      <c r="E2" s="991"/>
      <c r="F2" s="991"/>
      <c r="G2" s="991"/>
      <c r="H2" s="991"/>
      <c r="I2" s="991"/>
      <c r="J2" s="991"/>
      <c r="K2" s="992"/>
    </row>
    <row r="3" spans="2:13" ht="21" customHeight="1" thickBot="1" x14ac:dyDescent="0.25">
      <c r="B3" s="937" t="s">
        <v>92</v>
      </c>
      <c r="C3" s="938"/>
      <c r="D3" s="938"/>
      <c r="E3" s="938"/>
      <c r="F3" s="938"/>
      <c r="G3" s="938"/>
      <c r="H3" s="938"/>
      <c r="I3" s="938"/>
      <c r="J3" s="935" t="s">
        <v>93</v>
      </c>
      <c r="K3" s="936"/>
    </row>
    <row r="4" spans="2:13" ht="33" customHeight="1" thickTop="1" x14ac:dyDescent="0.2">
      <c r="B4" s="922" t="s">
        <v>778</v>
      </c>
      <c r="C4" s="923"/>
      <c r="D4" s="923"/>
      <c r="E4" s="923"/>
      <c r="F4" s="923"/>
      <c r="G4" s="923"/>
      <c r="H4" s="923"/>
      <c r="I4" s="260" t="s">
        <v>772</v>
      </c>
      <c r="J4" s="261">
        <v>270</v>
      </c>
      <c r="K4" s="259" t="s">
        <v>773</v>
      </c>
    </row>
    <row r="5" spans="2:13" ht="45" customHeight="1" x14ac:dyDescent="0.2">
      <c r="B5" s="993" t="s">
        <v>774</v>
      </c>
      <c r="C5" s="994"/>
      <c r="D5" s="994"/>
      <c r="E5" s="994"/>
      <c r="F5" s="994"/>
      <c r="G5" s="994"/>
      <c r="H5" s="994"/>
      <c r="I5" s="271" t="s">
        <v>775</v>
      </c>
      <c r="J5" s="409">
        <v>900</v>
      </c>
      <c r="K5" s="273" t="s">
        <v>776</v>
      </c>
      <c r="M5" s="517" t="s">
        <v>777</v>
      </c>
    </row>
    <row r="6" spans="2:13" ht="56.25" customHeight="1" x14ac:dyDescent="0.2">
      <c r="B6" s="915" t="s">
        <v>779</v>
      </c>
      <c r="C6" s="916"/>
      <c r="D6" s="916"/>
      <c r="E6" s="916"/>
      <c r="F6" s="916"/>
      <c r="G6" s="916"/>
      <c r="H6" s="916"/>
      <c r="I6" s="271"/>
      <c r="J6" s="272">
        <f>J4/J5</f>
        <v>0.3</v>
      </c>
      <c r="K6" s="273" t="s">
        <v>780</v>
      </c>
    </row>
    <row r="7" spans="2:13" ht="37.5" customHeight="1" x14ac:dyDescent="0.2">
      <c r="B7" s="945" t="s">
        <v>781</v>
      </c>
      <c r="C7" s="946"/>
      <c r="D7" s="946"/>
      <c r="E7" s="946"/>
      <c r="F7" s="946"/>
      <c r="G7" s="946"/>
      <c r="H7" s="946"/>
      <c r="I7" s="515"/>
      <c r="J7" s="995" t="s">
        <v>782</v>
      </c>
      <c r="K7" s="996"/>
    </row>
    <row r="8" spans="2:13" ht="33" customHeight="1" x14ac:dyDescent="0.2">
      <c r="B8" s="922" t="str">
        <f>IF(J7="Prisma Quadrangular","Comprimento e Largura pretendidos","Diâmetro pretendido")</f>
        <v>Comprimento e Largura pretendidos</v>
      </c>
      <c r="C8" s="923"/>
      <c r="D8" s="923"/>
      <c r="E8" s="923"/>
      <c r="F8" s="923"/>
      <c r="G8" s="923"/>
      <c r="H8" s="923"/>
      <c r="I8" s="260"/>
      <c r="J8" s="261">
        <v>1</v>
      </c>
      <c r="K8" s="259" t="s">
        <v>605</v>
      </c>
    </row>
    <row r="9" spans="2:13" ht="33" customHeight="1" thickBot="1" x14ac:dyDescent="0.25">
      <c r="B9" s="920" t="s">
        <v>783</v>
      </c>
      <c r="C9" s="921"/>
      <c r="D9" s="921"/>
      <c r="E9" s="921"/>
      <c r="F9" s="921"/>
      <c r="G9" s="921"/>
      <c r="H9" s="921"/>
      <c r="I9" s="287"/>
      <c r="J9" s="518">
        <f>IF(J7="Prisma Quadrangular",J6/J8/J8,J6/((PI()*J8^2)/4))</f>
        <v>0.3</v>
      </c>
      <c r="K9" s="413" t="s">
        <v>605</v>
      </c>
    </row>
    <row r="10" spans="2:13" ht="4.5" customHeight="1" x14ac:dyDescent="0.2">
      <c r="B10" s="917"/>
      <c r="C10" s="917"/>
      <c r="D10" s="917"/>
      <c r="E10" s="917"/>
      <c r="F10" s="917"/>
      <c r="G10" s="917"/>
      <c r="H10" s="917"/>
      <c r="I10" s="222"/>
      <c r="J10" s="254"/>
      <c r="K10" s="223"/>
    </row>
    <row r="11" spans="2:13" ht="18.75" customHeight="1" x14ac:dyDescent="0.2">
      <c r="B11" s="917"/>
      <c r="C11" s="917"/>
      <c r="D11" s="917"/>
      <c r="E11" s="917"/>
      <c r="F11" s="917"/>
      <c r="G11" s="917"/>
      <c r="H11" s="917"/>
      <c r="I11" s="222"/>
      <c r="J11" s="254"/>
      <c r="K11" s="223"/>
    </row>
    <row r="12" spans="2:13" ht="18.75" customHeight="1" x14ac:dyDescent="0.2">
      <c r="B12" s="917"/>
      <c r="C12" s="917"/>
      <c r="D12" s="917"/>
      <c r="E12" s="917"/>
      <c r="F12" s="917"/>
      <c r="G12" s="917"/>
      <c r="H12" s="917"/>
      <c r="I12" s="222"/>
      <c r="J12" s="254"/>
      <c r="K12" s="223"/>
    </row>
    <row r="13" spans="2:13" ht="18.75" customHeight="1" x14ac:dyDescent="0.2">
      <c r="B13" s="917"/>
      <c r="C13" s="917"/>
      <c r="D13" s="917"/>
      <c r="E13" s="917"/>
      <c r="F13" s="917"/>
      <c r="G13" s="917"/>
      <c r="H13" s="917"/>
      <c r="I13" s="222"/>
      <c r="J13" s="254"/>
      <c r="K13" s="223"/>
    </row>
    <row r="14" spans="2:13" ht="18.75" customHeight="1" x14ac:dyDescent="0.2">
      <c r="B14" s="917"/>
      <c r="C14" s="917"/>
      <c r="D14" s="917"/>
      <c r="E14" s="917"/>
      <c r="F14" s="917"/>
      <c r="G14" s="917"/>
      <c r="H14" s="917"/>
      <c r="I14" s="222"/>
      <c r="J14" s="254"/>
      <c r="K14" s="223"/>
    </row>
    <row r="15" spans="2:13" ht="18.75" customHeight="1" x14ac:dyDescent="0.2">
      <c r="B15" s="917"/>
      <c r="C15" s="917"/>
      <c r="D15" s="917"/>
      <c r="E15" s="917"/>
      <c r="F15" s="917"/>
      <c r="G15" s="917"/>
      <c r="H15" s="917"/>
      <c r="I15" s="222"/>
      <c r="J15" s="254"/>
      <c r="K15" s="223"/>
    </row>
    <row r="16" spans="2:13" ht="18.75" customHeight="1" x14ac:dyDescent="0.2">
      <c r="B16" s="917"/>
      <c r="C16" s="917"/>
      <c r="D16" s="917"/>
      <c r="E16" s="917"/>
      <c r="F16" s="917"/>
      <c r="G16" s="917"/>
      <c r="H16" s="917"/>
      <c r="I16" s="222"/>
      <c r="J16" s="254"/>
      <c r="K16" s="223"/>
    </row>
    <row r="17" spans="2:11" ht="18.75" customHeight="1" x14ac:dyDescent="0.2">
      <c r="B17" s="917"/>
      <c r="C17" s="917"/>
      <c r="D17" s="917"/>
      <c r="E17" s="917"/>
      <c r="F17" s="917"/>
      <c r="G17" s="917"/>
      <c r="H17" s="917"/>
      <c r="I17" s="222"/>
      <c r="J17" s="254"/>
      <c r="K17" s="223"/>
    </row>
    <row r="18" spans="2:11" ht="18.75" customHeight="1" x14ac:dyDescent="0.2">
      <c r="B18" s="917"/>
      <c r="C18" s="917"/>
      <c r="D18" s="917"/>
      <c r="E18" s="917"/>
      <c r="F18" s="917"/>
      <c r="G18" s="917"/>
      <c r="H18" s="917"/>
      <c r="I18" s="222"/>
      <c r="J18" s="254"/>
      <c r="K18" s="223"/>
    </row>
    <row r="19" spans="2:11" ht="18.75" customHeight="1" x14ac:dyDescent="0.2">
      <c r="B19" s="917"/>
      <c r="C19" s="917"/>
      <c r="D19" s="917"/>
      <c r="E19" s="917"/>
      <c r="F19" s="917"/>
      <c r="G19" s="917"/>
      <c r="H19" s="917"/>
      <c r="I19" s="222"/>
      <c r="J19" s="254"/>
      <c r="K19" s="223"/>
    </row>
    <row r="20" spans="2:11" ht="18.75" customHeight="1" x14ac:dyDescent="0.2">
      <c r="B20" s="917"/>
      <c r="C20" s="917"/>
      <c r="D20" s="917"/>
      <c r="E20" s="917"/>
      <c r="F20" s="917"/>
      <c r="G20" s="917"/>
      <c r="H20" s="917"/>
      <c r="I20" s="222"/>
      <c r="J20" s="254"/>
      <c r="K20" s="223"/>
    </row>
    <row r="21" spans="2:11" ht="18.75" customHeight="1" x14ac:dyDescent="0.2">
      <c r="B21" s="917"/>
      <c r="C21" s="917"/>
      <c r="D21" s="917"/>
      <c r="E21" s="917"/>
      <c r="F21" s="917"/>
      <c r="G21" s="917"/>
      <c r="H21" s="917"/>
      <c r="I21" s="222"/>
      <c r="J21" s="254"/>
      <c r="K21" s="223"/>
    </row>
    <row r="22" spans="2:11" ht="18.75" customHeight="1" x14ac:dyDescent="0.2">
      <c r="B22" s="917"/>
      <c r="C22" s="917"/>
      <c r="D22" s="917"/>
      <c r="E22" s="917"/>
      <c r="F22" s="917"/>
      <c r="G22" s="917"/>
      <c r="H22" s="917"/>
      <c r="I22" s="222"/>
      <c r="J22" s="254"/>
      <c r="K22" s="223"/>
    </row>
    <row r="23" spans="2:11" ht="18.75" customHeight="1" x14ac:dyDescent="0.2">
      <c r="B23" s="917"/>
      <c r="C23" s="917"/>
      <c r="D23" s="917"/>
      <c r="E23" s="917"/>
      <c r="F23" s="917"/>
      <c r="G23" s="917"/>
      <c r="H23" s="917"/>
      <c r="I23" s="222"/>
      <c r="J23" s="254"/>
      <c r="K23" s="223"/>
    </row>
    <row r="24" spans="2:11" ht="18.75" customHeight="1" x14ac:dyDescent="0.2">
      <c r="B24" s="917"/>
      <c r="C24" s="917"/>
      <c r="D24" s="917"/>
      <c r="E24" s="917"/>
      <c r="F24" s="917"/>
      <c r="G24" s="917"/>
      <c r="H24" s="917"/>
      <c r="I24" s="222"/>
      <c r="J24" s="254"/>
      <c r="K24" s="223"/>
    </row>
    <row r="25" spans="2:11" ht="18.75" customHeight="1" x14ac:dyDescent="0.2">
      <c r="B25" s="917"/>
      <c r="C25" s="917"/>
      <c r="D25" s="917"/>
      <c r="E25" s="917"/>
      <c r="F25" s="917"/>
      <c r="G25" s="917"/>
      <c r="H25" s="917"/>
      <c r="I25" s="222"/>
      <c r="J25" s="254"/>
      <c r="K25" s="223"/>
    </row>
    <row r="26" spans="2:11" ht="15.75" x14ac:dyDescent="0.2">
      <c r="B26" s="917"/>
      <c r="C26" s="917"/>
      <c r="D26" s="917"/>
      <c r="E26" s="917"/>
      <c r="F26" s="917"/>
      <c r="G26" s="917"/>
      <c r="H26" s="917"/>
      <c r="I26" s="222"/>
      <c r="J26" s="254"/>
      <c r="K26" s="223"/>
    </row>
  </sheetData>
  <mergeCells count="27">
    <mergeCell ref="B26:H26"/>
    <mergeCell ref="B15:H15"/>
    <mergeCell ref="B16:H16"/>
    <mergeCell ref="B17:H17"/>
    <mergeCell ref="B18:H18"/>
    <mergeCell ref="B19:H19"/>
    <mergeCell ref="B20:H20"/>
    <mergeCell ref="B21:H21"/>
    <mergeCell ref="B22:H22"/>
    <mergeCell ref="B23:H23"/>
    <mergeCell ref="B24:H24"/>
    <mergeCell ref="B25:H25"/>
    <mergeCell ref="B10:H10"/>
    <mergeCell ref="B11:H11"/>
    <mergeCell ref="B12:H12"/>
    <mergeCell ref="B13:H13"/>
    <mergeCell ref="B14:H14"/>
    <mergeCell ref="B6:H6"/>
    <mergeCell ref="B7:H7"/>
    <mergeCell ref="B8:H8"/>
    <mergeCell ref="B9:H9"/>
    <mergeCell ref="J7:K7"/>
    <mergeCell ref="B2:K2"/>
    <mergeCell ref="B3:I3"/>
    <mergeCell ref="J3:K3"/>
    <mergeCell ref="B4:H4"/>
    <mergeCell ref="B5:H5"/>
  </mergeCells>
  <dataValidations count="1">
    <dataValidation type="list" allowBlank="1" showInputMessage="1" showErrorMessage="1" sqref="J7:K7" xr:uid="{B079D728-2D8B-47FC-B117-136BC8B9BE89}">
      <formula1>"Prisma Quadrangular,Cilíndrico"</formula1>
    </dataValidation>
  </dataValidations>
  <hyperlinks>
    <hyperlink ref="M5" r:id="rId1" xr:uid="{BB110A5F-EB19-436F-A230-43C7128C668A}"/>
    <hyperlink ref="B5:H5" r:id="rId2" display="Massa volúmica do óleo mineral utilizado nos transformadores" xr:uid="{7ACCF927-F145-4D4F-A197-5B807C888976}"/>
  </hyperlinks>
  <printOptions horizontalCentered="1" verticalCentered="1"/>
  <pageMargins left="0" right="0" top="0.78740157480314965" bottom="0" header="0" footer="0"/>
  <pageSetup paperSize="9" scale="155" fitToWidth="0" fitToHeight="0" orientation="landscape" r:id="rId3"/>
  <drawing r:id="rId4"/>
  <legacyDrawing r:id="rId5"/>
  <oleObjects>
    <mc:AlternateContent xmlns:mc="http://schemas.openxmlformats.org/markup-compatibility/2006">
      <mc:Choice Requires="x14">
        <oleObject progId="Equation.DSMT4" shapeId="46084" r:id="rId6">
          <objectPr defaultSize="0" autoPict="0" r:id="rId7">
            <anchor moveWithCells="1">
              <from>
                <xdr:col>7</xdr:col>
                <xdr:colOff>485775</xdr:colOff>
                <xdr:row>5</xdr:row>
                <xdr:rowOff>76200</xdr:rowOff>
              </from>
              <to>
                <xdr:col>8</xdr:col>
                <xdr:colOff>466725</xdr:colOff>
                <xdr:row>5</xdr:row>
                <xdr:rowOff>647700</xdr:rowOff>
              </to>
            </anchor>
          </objectPr>
        </oleObject>
      </mc:Choice>
      <mc:Fallback>
        <oleObject progId="Equation.DSMT4" shapeId="46084" r:id="rId6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44265-9B9D-436A-B831-AA4065ADD2BE}">
  <dimension ref="B1:I20"/>
  <sheetViews>
    <sheetView showGridLines="0" view="pageBreakPreview" zoomScale="130" zoomScaleNormal="100" zoomScaleSheetLayoutView="130" workbookViewId="0">
      <selection activeCell="E5" sqref="E5"/>
    </sheetView>
  </sheetViews>
  <sheetFormatPr defaultColWidth="9.140625" defaultRowHeight="14.25" x14ac:dyDescent="0.2"/>
  <cols>
    <col min="1" max="1" width="0.85546875" style="311" customWidth="1"/>
    <col min="2" max="2" width="20.42578125" style="311" customWidth="1"/>
    <col min="3" max="3" width="22" style="311" customWidth="1"/>
    <col min="4" max="4" width="10" style="311" customWidth="1"/>
    <col min="5" max="5" width="7.85546875" style="311" customWidth="1"/>
    <col min="6" max="6" width="7.140625" style="311" customWidth="1"/>
    <col min="7" max="7" width="0.85546875" style="311" customWidth="1"/>
    <col min="8" max="8" width="9.140625" style="337"/>
    <col min="9" max="16384" width="9.140625" style="311"/>
  </cols>
  <sheetData>
    <row r="1" spans="2:9" ht="4.5" customHeight="1" thickBot="1" x14ac:dyDescent="0.25"/>
    <row r="2" spans="2:9" ht="36.75" customHeight="1" thickBot="1" x14ac:dyDescent="0.25">
      <c r="B2" s="997" t="s">
        <v>622</v>
      </c>
      <c r="C2" s="998"/>
      <c r="D2" s="998"/>
      <c r="E2" s="998"/>
      <c r="F2" s="999"/>
    </row>
    <row r="3" spans="2:9" ht="15" customHeight="1" x14ac:dyDescent="0.2">
      <c r="B3" s="1000" t="s">
        <v>92</v>
      </c>
      <c r="C3" s="1001"/>
      <c r="D3" s="1002"/>
      <c r="E3" s="1003" t="s">
        <v>93</v>
      </c>
      <c r="F3" s="1004"/>
    </row>
    <row r="4" spans="2:9" ht="16.5" customHeight="1" x14ac:dyDescent="0.2">
      <c r="B4" s="362" t="s">
        <v>646</v>
      </c>
      <c r="C4" s="363"/>
      <c r="D4" s="364"/>
      <c r="E4" s="365">
        <f>'ICC PT'!Q4</f>
        <v>30</v>
      </c>
      <c r="F4" s="366" t="s">
        <v>94</v>
      </c>
    </row>
    <row r="5" spans="2:9" ht="16.5" customHeight="1" x14ac:dyDescent="0.2">
      <c r="B5" s="367" t="s">
        <v>651</v>
      </c>
      <c r="C5" s="368"/>
      <c r="D5" s="369"/>
      <c r="E5" s="370">
        <f>'ICC PT'!Q8</f>
        <v>200</v>
      </c>
      <c r="F5" s="371" t="s">
        <v>104</v>
      </c>
    </row>
    <row r="6" spans="2:9" ht="16.5" customHeight="1" x14ac:dyDescent="0.2">
      <c r="B6" s="378" t="s">
        <v>660</v>
      </c>
      <c r="C6" s="379"/>
      <c r="D6" s="380"/>
      <c r="E6" s="1013" t="s">
        <v>661</v>
      </c>
      <c r="F6" s="1014"/>
    </row>
    <row r="7" spans="2:9" ht="16.5" customHeight="1" x14ac:dyDescent="0.2">
      <c r="B7" s="372" t="s">
        <v>650</v>
      </c>
      <c r="C7" s="373"/>
      <c r="D7" s="374" t="s">
        <v>652</v>
      </c>
      <c r="E7" s="375">
        <f>IF(AND($E$4&lt;=24,$E$6="Banho de Óleo"),VLOOKUP($E$5,Consulta!$BS$6:$BW$20,2,FALSE),IF(AND($E$4&gt;24,$E$6="Banho de Óleo"),VLOOKUP($E$5,Consulta!$BS$6:$BW$20,4,FALSE),IF(AND($E$4&lt;=24,$E$6="Seco"),VLOOKUP($E$5,Consulta!$BY$6:$CC$20,2,FALSE),IF(AND($E$4&gt;24,$E$6="Seco"),VLOOKUP($E$5,Consulta!$BY$6:$CC$20,4,FALSE)))))</f>
        <v>0.7</v>
      </c>
      <c r="F7" s="376" t="s">
        <v>658</v>
      </c>
    </row>
    <row r="8" spans="2:9" ht="16.5" customHeight="1" x14ac:dyDescent="0.2">
      <c r="B8" s="372" t="s">
        <v>653</v>
      </c>
      <c r="C8" s="373"/>
      <c r="D8" s="374" t="s">
        <v>654</v>
      </c>
      <c r="E8" s="375">
        <f>IF(AND($E$4&lt;=24,$E$6="Banho de Óleo"),VLOOKUP($E$5,Consulta!$BS$6:$BW$20,3,FALSE),IF(AND($E$4&gt;24,$E$6="Banho de Óleo"),VLOOKUP($E$5,Consulta!$BS$6:$BW$20,5,FALSE),IF(AND($E$4&lt;=24,$E$6="Seco"),VLOOKUP($E$5,Consulta!$BY$6:$CC$20,3,FALSE),IF(AND($E$4&gt;24,$E$6="Seco"),VLOOKUP($E$5,Consulta!$BY$6:$CC$20,5,FALSE)))))</f>
        <v>3.6</v>
      </c>
      <c r="F8" s="376" t="s">
        <v>658</v>
      </c>
    </row>
    <row r="9" spans="2:9" ht="16.5" customHeight="1" x14ac:dyDescent="0.2">
      <c r="B9" s="315" t="s">
        <v>647</v>
      </c>
      <c r="C9" s="316"/>
      <c r="D9" s="317"/>
      <c r="E9" s="1005" t="s">
        <v>638</v>
      </c>
      <c r="F9" s="1006"/>
    </row>
    <row r="10" spans="2:9" ht="16.5" customHeight="1" x14ac:dyDescent="0.2">
      <c r="B10" s="378" t="s">
        <v>666</v>
      </c>
      <c r="C10" s="379"/>
      <c r="D10" s="381"/>
      <c r="E10" s="1019" t="s">
        <v>635</v>
      </c>
      <c r="F10" s="1020"/>
    </row>
    <row r="11" spans="2:9" ht="16.5" customHeight="1" x14ac:dyDescent="0.2">
      <c r="B11" s="318" t="s">
        <v>648</v>
      </c>
      <c r="C11" s="319"/>
      <c r="D11" s="320"/>
      <c r="E11" s="1011" t="s">
        <v>649</v>
      </c>
      <c r="F11" s="1012"/>
    </row>
    <row r="12" spans="2:9" ht="16.5" customHeight="1" x14ac:dyDescent="0.2">
      <c r="B12" s="372" t="s">
        <v>655</v>
      </c>
      <c r="C12" s="373"/>
      <c r="D12" s="374" t="s">
        <v>656</v>
      </c>
      <c r="E12" s="484">
        <f>VLOOKUP($E$11,Consulta!$CE$15:$CI$16,2,FALSE)</f>
        <v>3</v>
      </c>
      <c r="F12" s="376" t="s">
        <v>605</v>
      </c>
      <c r="H12" s="377" t="s">
        <v>659</v>
      </c>
    </row>
    <row r="13" spans="2:9" ht="16.5" customHeight="1" x14ac:dyDescent="0.2">
      <c r="B13" s="372" t="s">
        <v>662</v>
      </c>
      <c r="C13" s="373"/>
      <c r="D13" s="374" t="s">
        <v>107</v>
      </c>
      <c r="E13" s="1017">
        <f>IF($E$9="Inverno",VLOOKUP($E$10,Consulta!$CE$6:$CI$10,2,FALSE),IF($E$9="Verão",VLOOKUP($E$10,Consulta!$CE$6:$CI$10,4,FALSE)))</f>
        <v>0.8</v>
      </c>
      <c r="F13" s="1018"/>
      <c r="H13" s="377"/>
    </row>
    <row r="14" spans="2:9" ht="33" customHeight="1" x14ac:dyDescent="0.2">
      <c r="B14" s="1015" t="s">
        <v>664</v>
      </c>
      <c r="C14" s="1016"/>
      <c r="D14" s="374" t="s">
        <v>663</v>
      </c>
      <c r="E14" s="502">
        <f>IF($E$9="Inverno",VLOOKUP($E$10,Consulta!$CE$6:$CI$10,3,FALSE),IF($E$9="Verão",VLOOKUP($E$10,Consulta!$CE$6:$CI$10,5,FALSE)))</f>
        <v>12</v>
      </c>
      <c r="F14" s="376" t="s">
        <v>665</v>
      </c>
    </row>
    <row r="15" spans="2:9" ht="57" customHeight="1" thickBot="1" x14ac:dyDescent="0.3">
      <c r="B15" s="1021" t="s">
        <v>676</v>
      </c>
      <c r="C15" s="1022"/>
      <c r="D15" s="1023"/>
      <c r="E15" s="397">
        <f>((10*(E7+((E13^2)*E8)))/SQRT((E12-1.2)*(E14^3)))</f>
        <v>0.53863157277810569</v>
      </c>
      <c r="F15" s="398" t="s">
        <v>615</v>
      </c>
      <c r="I15"/>
    </row>
    <row r="16" spans="2:9" ht="16.5" customHeight="1" thickTop="1" x14ac:dyDescent="0.2">
      <c r="B16" s="1007" t="s">
        <v>667</v>
      </c>
      <c r="C16" s="396" t="s">
        <v>668</v>
      </c>
      <c r="D16" s="381" t="s">
        <v>671</v>
      </c>
      <c r="E16" s="382">
        <v>0.65</v>
      </c>
      <c r="F16" s="383" t="s">
        <v>605</v>
      </c>
    </row>
    <row r="17" spans="2:8" ht="16.5" customHeight="1" thickBot="1" x14ac:dyDescent="0.25">
      <c r="B17" s="1008"/>
      <c r="C17" s="388" t="s">
        <v>670</v>
      </c>
      <c r="D17" s="389" t="s">
        <v>672</v>
      </c>
      <c r="E17" s="390">
        <f>E15/E16</f>
        <v>0.82866395812016258</v>
      </c>
      <c r="F17" s="391" t="s">
        <v>605</v>
      </c>
      <c r="H17" s="377" t="s">
        <v>675</v>
      </c>
    </row>
    <row r="18" spans="2:8" ht="16.5" customHeight="1" thickTop="1" x14ac:dyDescent="0.2">
      <c r="B18" s="1009" t="s">
        <v>669</v>
      </c>
      <c r="C18" s="387" t="s">
        <v>668</v>
      </c>
      <c r="D18" s="384" t="s">
        <v>673</v>
      </c>
      <c r="E18" s="385">
        <v>0.75</v>
      </c>
      <c r="F18" s="386" t="s">
        <v>605</v>
      </c>
    </row>
    <row r="19" spans="2:8" ht="16.5" customHeight="1" thickBot="1" x14ac:dyDescent="0.25">
      <c r="B19" s="1010"/>
      <c r="C19" s="392" t="s">
        <v>670</v>
      </c>
      <c r="D19" s="393" t="s">
        <v>674</v>
      </c>
      <c r="E19" s="395">
        <f>E15/E18</f>
        <v>0.71817543037080755</v>
      </c>
      <c r="F19" s="394" t="s">
        <v>605</v>
      </c>
    </row>
    <row r="20" spans="2:8" ht="4.5" customHeight="1" x14ac:dyDescent="0.2">
      <c r="B20" s="331"/>
      <c r="C20" s="331"/>
      <c r="D20" s="331"/>
      <c r="E20" s="332"/>
      <c r="F20" s="333"/>
    </row>
  </sheetData>
  <dataConsolidate link="1"/>
  <mergeCells count="12">
    <mergeCell ref="B18:B19"/>
    <mergeCell ref="E11:F11"/>
    <mergeCell ref="E6:F6"/>
    <mergeCell ref="B14:C14"/>
    <mergeCell ref="E13:F13"/>
    <mergeCell ref="E10:F10"/>
    <mergeCell ref="B15:D15"/>
    <mergeCell ref="B2:F2"/>
    <mergeCell ref="B3:D3"/>
    <mergeCell ref="E3:F3"/>
    <mergeCell ref="E9:F9"/>
    <mergeCell ref="B16:B17"/>
  </mergeCells>
  <dataValidations count="4">
    <dataValidation type="list" allowBlank="1" showInputMessage="1" showErrorMessage="1" sqref="E9:F9" xr:uid="{A5959A11-218A-4F42-9B86-49B118CBF9EB}">
      <formula1>"Verão,Inverno"</formula1>
    </dataValidation>
    <dataValidation type="list" allowBlank="1" showInputMessage="1" showErrorMessage="1" sqref="E11:F11" xr:uid="{19BEFB8C-EB48-407C-AEB0-D87E17FC5D9B}">
      <formula1>"Cabine Alta,Cabine Baixa"</formula1>
    </dataValidation>
    <dataValidation type="list" allowBlank="1" showInputMessage="1" showErrorMessage="1" sqref="E6:F6" xr:uid="{6698CC31-243B-4241-B9D1-F49CA4AF71D3}">
      <formula1>"Banho de Óleo,Seco"</formula1>
    </dataValidation>
    <dataValidation type="list" allowBlank="1" showInputMessage="1" showErrorMessage="1" sqref="E10:F10" xr:uid="{22E0E4E8-142F-436D-BC65-CA946F6AC5C2}">
      <formula1>"Residencial,Comercial/Serviços,Mista (Residencial/Comercial/Serviços),Industrial,Veraneio (Praias/Termas)"</formula1>
    </dataValidation>
  </dataValidations>
  <printOptions horizontalCentered="1" verticalCentered="1"/>
  <pageMargins left="0.78740157480314965" right="0.39370078740157483" top="0.39370078740157483" bottom="0.39370078740157483" header="0" footer="0"/>
  <pageSetup paperSize="9" scale="130" orientation="portrait" r:id="rId1"/>
  <drawing r:id="rId2"/>
  <legacyDrawing r:id="rId3"/>
  <oleObjects>
    <mc:AlternateContent xmlns:mc="http://schemas.openxmlformats.org/markup-compatibility/2006">
      <mc:Choice Requires="x14">
        <oleObject progId="Equation.DSMT4" shapeId="23553" r:id="rId4">
          <objectPr defaultSize="0" autoPict="0" r:id="rId5">
            <anchor moveWithCells="1">
              <from>
                <xdr:col>7</xdr:col>
                <xdr:colOff>133350</xdr:colOff>
                <xdr:row>8</xdr:row>
                <xdr:rowOff>133350</xdr:rowOff>
              </from>
              <to>
                <xdr:col>8</xdr:col>
                <xdr:colOff>295275</xdr:colOff>
                <xdr:row>8</xdr:row>
                <xdr:rowOff>133350</xdr:rowOff>
              </to>
            </anchor>
          </objectPr>
        </oleObject>
      </mc:Choice>
      <mc:Fallback>
        <oleObject progId="Equation.DSMT4" shapeId="23553" r:id="rId4"/>
      </mc:Fallback>
    </mc:AlternateContent>
    <mc:AlternateContent xmlns:mc="http://schemas.openxmlformats.org/markup-compatibility/2006">
      <mc:Choice Requires="x14">
        <oleObject progId="Equation.DSMT4" shapeId="23554" r:id="rId6">
          <objectPr defaultSize="0" autoPict="0" r:id="rId5">
            <anchor moveWithCells="1">
              <from>
                <xdr:col>7</xdr:col>
                <xdr:colOff>133350</xdr:colOff>
                <xdr:row>15</xdr:row>
                <xdr:rowOff>0</xdr:rowOff>
              </from>
              <to>
                <xdr:col>8</xdr:col>
                <xdr:colOff>295275</xdr:colOff>
                <xdr:row>15</xdr:row>
                <xdr:rowOff>0</xdr:rowOff>
              </to>
            </anchor>
          </objectPr>
        </oleObject>
      </mc:Choice>
      <mc:Fallback>
        <oleObject progId="Equation.DSMT4" shapeId="23554" r:id="rId6"/>
      </mc:Fallback>
    </mc:AlternateContent>
    <mc:AlternateContent xmlns:mc="http://schemas.openxmlformats.org/markup-compatibility/2006">
      <mc:Choice Requires="x14">
        <oleObject progId="Equation.DSMT4" shapeId="23562" r:id="rId7">
          <objectPr defaultSize="0" autoPict="0" r:id="rId8">
            <anchor moveWithCells="1" sizeWithCells="1">
              <from>
                <xdr:col>1</xdr:col>
                <xdr:colOff>1057275</xdr:colOff>
                <xdr:row>14</xdr:row>
                <xdr:rowOff>190500</xdr:rowOff>
              </from>
              <to>
                <xdr:col>2</xdr:col>
                <xdr:colOff>819150</xdr:colOff>
                <xdr:row>14</xdr:row>
                <xdr:rowOff>647700</xdr:rowOff>
              </to>
            </anchor>
          </objectPr>
        </oleObject>
      </mc:Choice>
      <mc:Fallback>
        <oleObject progId="Equation.DSMT4" shapeId="23562" r:id="rId7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DECFF-CE81-43B3-8DB6-7A0C10240A0A}">
  <dimension ref="B1:H26"/>
  <sheetViews>
    <sheetView showGridLines="0" view="pageBreakPreview" topLeftCell="A12" zoomScale="130" zoomScaleNormal="100" zoomScaleSheetLayoutView="130" workbookViewId="0">
      <selection activeCell="E5" sqref="E5:F5"/>
    </sheetView>
  </sheetViews>
  <sheetFormatPr defaultColWidth="9.140625" defaultRowHeight="14.25" x14ac:dyDescent="0.2"/>
  <cols>
    <col min="1" max="1" width="0.85546875" style="311" customWidth="1"/>
    <col min="2" max="2" width="20.42578125" style="311" customWidth="1"/>
    <col min="3" max="3" width="22" style="311" customWidth="1"/>
    <col min="4" max="4" width="10" style="311" customWidth="1"/>
    <col min="5" max="5" width="7.85546875" style="311" customWidth="1"/>
    <col min="6" max="6" width="7.140625" style="311" customWidth="1"/>
    <col min="7" max="7" width="0.85546875" style="311" customWidth="1"/>
    <col min="8" max="16384" width="9.140625" style="311"/>
  </cols>
  <sheetData>
    <row r="1" spans="2:8" ht="4.5" customHeight="1" thickBot="1" x14ac:dyDescent="0.25"/>
    <row r="2" spans="2:8" ht="36.75" customHeight="1" thickBot="1" x14ac:dyDescent="0.25">
      <c r="B2" s="997" t="s">
        <v>620</v>
      </c>
      <c r="C2" s="998"/>
      <c r="D2" s="998"/>
      <c r="E2" s="998"/>
      <c r="F2" s="999"/>
    </row>
    <row r="3" spans="2:8" ht="18.75" customHeight="1" x14ac:dyDescent="0.2">
      <c r="B3" s="1000" t="s">
        <v>617</v>
      </c>
      <c r="C3" s="1001"/>
      <c r="D3" s="1001"/>
      <c r="E3" s="1001"/>
      <c r="F3" s="1004"/>
    </row>
    <row r="4" spans="2:8" ht="18.75" customHeight="1" x14ac:dyDescent="0.2">
      <c r="B4" s="1032" t="s">
        <v>92</v>
      </c>
      <c r="C4" s="1033"/>
      <c r="D4" s="1034"/>
      <c r="E4" s="1035" t="s">
        <v>93</v>
      </c>
      <c r="F4" s="1036"/>
    </row>
    <row r="5" spans="2:8" ht="16.5" customHeight="1" x14ac:dyDescent="0.2">
      <c r="B5" s="312" t="s">
        <v>596</v>
      </c>
      <c r="C5" s="313"/>
      <c r="D5" s="314"/>
      <c r="E5" s="1037" t="s">
        <v>597</v>
      </c>
      <c r="F5" s="1038"/>
    </row>
    <row r="6" spans="2:8" ht="16.5" customHeight="1" x14ac:dyDescent="0.2">
      <c r="B6" s="315" t="s">
        <v>598</v>
      </c>
      <c r="C6" s="316"/>
      <c r="D6" s="317" t="s">
        <v>599</v>
      </c>
      <c r="E6" s="1005">
        <v>7</v>
      </c>
      <c r="F6" s="1006"/>
    </row>
    <row r="7" spans="2:8" x14ac:dyDescent="0.2">
      <c r="B7" s="318" t="s">
        <v>600</v>
      </c>
      <c r="C7" s="319"/>
      <c r="D7" s="320" t="s">
        <v>601</v>
      </c>
      <c r="E7" s="321">
        <v>100</v>
      </c>
      <c r="F7" s="322" t="s">
        <v>602</v>
      </c>
    </row>
    <row r="8" spans="2:8" x14ac:dyDescent="0.2">
      <c r="B8" s="318" t="s">
        <v>603</v>
      </c>
      <c r="C8" s="319"/>
      <c r="D8" s="320" t="s">
        <v>604</v>
      </c>
      <c r="E8" s="323">
        <v>1.75</v>
      </c>
      <c r="F8" s="322" t="s">
        <v>605</v>
      </c>
    </row>
    <row r="9" spans="2:8" x14ac:dyDescent="0.2">
      <c r="B9" s="318" t="s">
        <v>606</v>
      </c>
      <c r="C9" s="319"/>
      <c r="D9" s="320" t="s">
        <v>607</v>
      </c>
      <c r="E9" s="323">
        <v>0.05</v>
      </c>
      <c r="F9" s="322" t="s">
        <v>605</v>
      </c>
    </row>
    <row r="10" spans="2:8" x14ac:dyDescent="0.2">
      <c r="B10" s="318" t="s">
        <v>618</v>
      </c>
      <c r="C10" s="319"/>
      <c r="D10" s="320" t="s">
        <v>611</v>
      </c>
      <c r="E10" s="336">
        <v>5</v>
      </c>
      <c r="F10" s="322" t="s">
        <v>605</v>
      </c>
    </row>
    <row r="11" spans="2:8" ht="35.25" customHeight="1" x14ac:dyDescent="0.2">
      <c r="B11" s="1024" t="s">
        <v>621</v>
      </c>
      <c r="C11" s="1025"/>
      <c r="D11" s="324" t="s">
        <v>608</v>
      </c>
      <c r="E11" s="321">
        <v>2</v>
      </c>
      <c r="F11" s="322" t="s">
        <v>605</v>
      </c>
    </row>
    <row r="12" spans="2:8" ht="58.5" customHeight="1" thickBot="1" x14ac:dyDescent="0.25">
      <c r="B12" s="1026" t="s">
        <v>619</v>
      </c>
      <c r="C12" s="1027"/>
      <c r="D12" s="1028"/>
      <c r="E12" s="334">
        <f>(1/E6)*(((E7/(2*PI()*E8))*LN(((4*E8)/(E9/2))-1))+((E7/(PI()*E10))*(1/2+1/3+1/4+1/5+1/6+1/7)))</f>
        <v>8.7648404262992106</v>
      </c>
      <c r="F12" s="335" t="s">
        <v>609</v>
      </c>
      <c r="H12" s="337"/>
    </row>
    <row r="13" spans="2:8" ht="3" customHeight="1" x14ac:dyDescent="0.2"/>
    <row r="14" spans="2:8" ht="3" customHeight="1" thickBot="1" x14ac:dyDescent="0.25"/>
    <row r="15" spans="2:8" ht="28.5" customHeight="1" x14ac:dyDescent="0.2">
      <c r="B15" s="1029" t="s">
        <v>616</v>
      </c>
      <c r="C15" s="1030"/>
      <c r="D15" s="1030"/>
      <c r="E15" s="1030"/>
      <c r="F15" s="1031"/>
    </row>
    <row r="16" spans="2:8" ht="18.75" customHeight="1" x14ac:dyDescent="0.2">
      <c r="B16" s="1032" t="s">
        <v>92</v>
      </c>
      <c r="C16" s="1033"/>
      <c r="D16" s="1034"/>
      <c r="E16" s="1035" t="s">
        <v>93</v>
      </c>
      <c r="F16" s="1036"/>
    </row>
    <row r="17" spans="2:6" ht="40.5" customHeight="1" x14ac:dyDescent="0.2">
      <c r="B17" s="312" t="s">
        <v>596</v>
      </c>
      <c r="C17" s="313"/>
      <c r="D17" s="314"/>
      <c r="E17" s="1037" t="s">
        <v>610</v>
      </c>
      <c r="F17" s="1038"/>
    </row>
    <row r="18" spans="2:6" ht="16.5" customHeight="1" x14ac:dyDescent="0.2">
      <c r="B18" s="315" t="s">
        <v>598</v>
      </c>
      <c r="C18" s="316"/>
      <c r="D18" s="317" t="s">
        <v>599</v>
      </c>
      <c r="E18" s="1005">
        <v>4</v>
      </c>
      <c r="F18" s="1006"/>
    </row>
    <row r="19" spans="2:6" ht="16.5" customHeight="1" x14ac:dyDescent="0.2">
      <c r="B19" s="315" t="s">
        <v>618</v>
      </c>
      <c r="C19" s="316"/>
      <c r="D19" s="317" t="s">
        <v>611</v>
      </c>
      <c r="E19" s="327">
        <v>5</v>
      </c>
      <c r="F19" s="328" t="s">
        <v>605</v>
      </c>
    </row>
    <row r="20" spans="2:6" x14ac:dyDescent="0.2">
      <c r="B20" s="318" t="s">
        <v>600</v>
      </c>
      <c r="C20" s="319"/>
      <c r="D20" s="320" t="s">
        <v>601</v>
      </c>
      <c r="E20" s="321">
        <v>100</v>
      </c>
      <c r="F20" s="322" t="s">
        <v>602</v>
      </c>
    </row>
    <row r="21" spans="2:6" x14ac:dyDescent="0.2">
      <c r="B21" s="318" t="s">
        <v>603</v>
      </c>
      <c r="C21" s="319"/>
      <c r="D21" s="320" t="s">
        <v>366</v>
      </c>
      <c r="E21" s="323">
        <v>1</v>
      </c>
      <c r="F21" s="322" t="s">
        <v>605</v>
      </c>
    </row>
    <row r="22" spans="2:6" x14ac:dyDescent="0.2">
      <c r="B22" s="318" t="s">
        <v>612</v>
      </c>
      <c r="C22" s="319"/>
      <c r="D22" s="320" t="s">
        <v>367</v>
      </c>
      <c r="E22" s="323">
        <v>1</v>
      </c>
      <c r="F22" s="322" t="s">
        <v>605</v>
      </c>
    </row>
    <row r="23" spans="2:6" ht="35.25" customHeight="1" x14ac:dyDescent="0.2">
      <c r="B23" s="1024" t="s">
        <v>621</v>
      </c>
      <c r="C23" s="1025"/>
      <c r="D23" s="324" t="s">
        <v>608</v>
      </c>
      <c r="E23" s="321">
        <v>2</v>
      </c>
      <c r="F23" s="322" t="s">
        <v>605</v>
      </c>
    </row>
    <row r="24" spans="2:6" ht="79.5" customHeight="1" x14ac:dyDescent="0.2">
      <c r="B24" s="1041" t="s">
        <v>613</v>
      </c>
      <c r="C24" s="1042"/>
      <c r="D24" s="1043"/>
      <c r="E24" s="325">
        <f>IF(E18=1,((0.4*E20)/(E21+E22))*(1+((E21+E22)/(E21+E22+(8*(E23+(E22/2)))))),(((0.16*E20)/E18)*((((0.4*E20)/(E21+E22))*(1+((E21+E22)/(E21+E22+(8*(E23+(E22/2))))))/(0.16*E20))+((E18-1)/E19))))</f>
        <v>7.8545454545454536</v>
      </c>
      <c r="F24" s="326" t="s">
        <v>609</v>
      </c>
    </row>
    <row r="25" spans="2:6" ht="28.5" customHeight="1" thickBot="1" x14ac:dyDescent="0.25">
      <c r="B25" s="1039" t="s">
        <v>614</v>
      </c>
      <c r="C25" s="1040"/>
      <c r="D25" s="338"/>
      <c r="E25" s="329">
        <f>E18*(2*E21*E22)</f>
        <v>8</v>
      </c>
      <c r="F25" s="330" t="s">
        <v>615</v>
      </c>
    </row>
    <row r="26" spans="2:6" ht="4.5" customHeight="1" x14ac:dyDescent="0.2">
      <c r="B26" s="331"/>
      <c r="C26" s="331"/>
      <c r="D26" s="331"/>
      <c r="E26" s="332"/>
      <c r="F26" s="333"/>
    </row>
  </sheetData>
  <dataConsolidate link="1"/>
  <mergeCells count="16">
    <mergeCell ref="B25:C25"/>
    <mergeCell ref="B16:D16"/>
    <mergeCell ref="E16:F16"/>
    <mergeCell ref="E17:F17"/>
    <mergeCell ref="E18:F18"/>
    <mergeCell ref="B23:C23"/>
    <mergeCell ref="B24:D24"/>
    <mergeCell ref="B11:C11"/>
    <mergeCell ref="B12:D12"/>
    <mergeCell ref="B15:F15"/>
    <mergeCell ref="B2:F2"/>
    <mergeCell ref="B3:F3"/>
    <mergeCell ref="B4:D4"/>
    <mergeCell ref="E4:F4"/>
    <mergeCell ref="E5:F5"/>
    <mergeCell ref="E6:F6"/>
  </mergeCells>
  <dataValidations count="1">
    <dataValidation type="list" allowBlank="1" showInputMessage="1" showErrorMessage="1" sqref="E18:F18" xr:uid="{118AEE1A-E5EB-4821-9D87-0CB6CDA50C5D}">
      <formula1>"1,2,3,4,5,6"</formula1>
    </dataValidation>
  </dataValidations>
  <printOptions horizontalCentered="1" verticalCentered="1"/>
  <pageMargins left="0.78740157480314965" right="0.39370078740157483" top="0.39370078740157483" bottom="0.39370078740157483" header="0" footer="0"/>
  <pageSetup paperSize="9" scale="130" orientation="portrait" r:id="rId1"/>
  <drawing r:id="rId2"/>
  <legacyDrawing r:id="rId3"/>
  <oleObjects>
    <mc:AlternateContent xmlns:mc="http://schemas.openxmlformats.org/markup-compatibility/2006">
      <mc:Choice Requires="x14">
        <oleObject progId="Equation.DSMT4" shapeId="22529" r:id="rId4">
          <objectPr defaultSize="0" autoPict="0" r:id="rId5">
            <anchor moveWithCells="1">
              <from>
                <xdr:col>7</xdr:col>
                <xdr:colOff>133350</xdr:colOff>
                <xdr:row>5</xdr:row>
                <xdr:rowOff>133350</xdr:rowOff>
              </from>
              <to>
                <xdr:col>8</xdr:col>
                <xdr:colOff>295275</xdr:colOff>
                <xdr:row>5</xdr:row>
                <xdr:rowOff>133350</xdr:rowOff>
              </to>
            </anchor>
          </objectPr>
        </oleObject>
      </mc:Choice>
      <mc:Fallback>
        <oleObject progId="Equation.DSMT4" shapeId="22529" r:id="rId4"/>
      </mc:Fallback>
    </mc:AlternateContent>
    <mc:AlternateContent xmlns:mc="http://schemas.openxmlformats.org/markup-compatibility/2006">
      <mc:Choice Requires="x14">
        <oleObject progId="Equation.DSMT4" shapeId="22530" r:id="rId6">
          <objectPr defaultSize="0" autoPict="0" r:id="rId5">
            <anchor moveWithCells="1">
              <from>
                <xdr:col>7</xdr:col>
                <xdr:colOff>133350</xdr:colOff>
                <xdr:row>22</xdr:row>
                <xdr:rowOff>381000</xdr:rowOff>
              </from>
              <to>
                <xdr:col>8</xdr:col>
                <xdr:colOff>295275</xdr:colOff>
                <xdr:row>22</xdr:row>
                <xdr:rowOff>381000</xdr:rowOff>
              </to>
            </anchor>
          </objectPr>
        </oleObject>
      </mc:Choice>
      <mc:Fallback>
        <oleObject progId="Equation.DSMT4" shapeId="22530" r:id="rId6"/>
      </mc:Fallback>
    </mc:AlternateContent>
    <mc:AlternateContent xmlns:mc="http://schemas.openxmlformats.org/markup-compatibility/2006">
      <mc:Choice Requires="x14">
        <oleObject progId="Equation.DSMT4" shapeId="22531" r:id="rId7">
          <objectPr defaultSize="0" autoPict="0" r:id="rId8">
            <anchor moveWithCells="1">
              <from>
                <xdr:col>1</xdr:col>
                <xdr:colOff>104775</xdr:colOff>
                <xdr:row>23</xdr:row>
                <xdr:rowOff>371475</xdr:rowOff>
              </from>
              <to>
                <xdr:col>2</xdr:col>
                <xdr:colOff>276225</xdr:colOff>
                <xdr:row>23</xdr:row>
                <xdr:rowOff>1000125</xdr:rowOff>
              </to>
            </anchor>
          </objectPr>
        </oleObject>
      </mc:Choice>
      <mc:Fallback>
        <oleObject progId="Equation.DSMT4" shapeId="22531" r:id="rId7"/>
      </mc:Fallback>
    </mc:AlternateContent>
    <mc:AlternateContent xmlns:mc="http://schemas.openxmlformats.org/markup-compatibility/2006">
      <mc:Choice Requires="x14">
        <oleObject progId="Equation.DSMT4" shapeId="22532" r:id="rId9">
          <objectPr defaultSize="0" autoPict="0" r:id="rId10">
            <anchor moveWithCells="1">
              <from>
                <xdr:col>2</xdr:col>
                <xdr:colOff>466725</xdr:colOff>
                <xdr:row>23</xdr:row>
                <xdr:rowOff>485775</xdr:rowOff>
              </from>
              <to>
                <xdr:col>3</xdr:col>
                <xdr:colOff>571500</xdr:colOff>
                <xdr:row>23</xdr:row>
                <xdr:rowOff>885825</xdr:rowOff>
              </to>
            </anchor>
          </objectPr>
        </oleObject>
      </mc:Choice>
      <mc:Fallback>
        <oleObject progId="Equation.DSMT4" shapeId="22532" r:id="rId9"/>
      </mc:Fallback>
    </mc:AlternateContent>
    <mc:AlternateContent xmlns:mc="http://schemas.openxmlformats.org/markup-compatibility/2006">
      <mc:Choice Requires="x14">
        <oleObject progId="Equation.DSMT4" shapeId="22533" r:id="rId11">
          <objectPr defaultSize="0" autoPict="0" r:id="rId12">
            <anchor moveWithCells="1">
              <from>
                <xdr:col>2</xdr:col>
                <xdr:colOff>1285875</xdr:colOff>
                <xdr:row>24</xdr:row>
                <xdr:rowOff>76200</xdr:rowOff>
              </from>
              <to>
                <xdr:col>3</xdr:col>
                <xdr:colOff>571500</xdr:colOff>
                <xdr:row>24</xdr:row>
                <xdr:rowOff>295275</xdr:rowOff>
              </to>
            </anchor>
          </objectPr>
        </oleObject>
      </mc:Choice>
      <mc:Fallback>
        <oleObject progId="Equation.DSMT4" shapeId="22533" r:id="rId11"/>
      </mc:Fallback>
    </mc:AlternateContent>
    <mc:AlternateContent xmlns:mc="http://schemas.openxmlformats.org/markup-compatibility/2006">
      <mc:Choice Requires="x14">
        <oleObject progId="Equation.DSMT4" shapeId="22537" r:id="rId13">
          <objectPr defaultSize="0" autoPict="0" r:id="rId14">
            <anchor moveWithCells="1">
              <from>
                <xdr:col>1</xdr:col>
                <xdr:colOff>180975</xdr:colOff>
                <xdr:row>11</xdr:row>
                <xdr:rowOff>190500</xdr:rowOff>
              </from>
              <to>
                <xdr:col>3</xdr:col>
                <xdr:colOff>514350</xdr:colOff>
                <xdr:row>11</xdr:row>
                <xdr:rowOff>695325</xdr:rowOff>
              </to>
            </anchor>
          </objectPr>
        </oleObject>
      </mc:Choice>
      <mc:Fallback>
        <oleObject progId="Equation.DSMT4" shapeId="22537" r:id="rId13"/>
      </mc:Fallback>
    </mc:AlternateContent>
  </oleObjec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D660"/>
  <sheetViews>
    <sheetView showGridLines="0" tabSelected="1" topLeftCell="A4" zoomScale="70" zoomScaleNormal="70" zoomScaleSheetLayoutView="85" workbookViewId="0">
      <selection activeCell="V71" sqref="V71"/>
    </sheetView>
  </sheetViews>
  <sheetFormatPr defaultColWidth="9.140625" defaultRowHeight="15" x14ac:dyDescent="0.25"/>
  <cols>
    <col min="1" max="1" width="0.85546875" style="1" customWidth="1"/>
    <col min="2" max="2" width="52.5703125" style="4" customWidth="1"/>
    <col min="3" max="3" width="43.7109375" style="1" customWidth="1"/>
    <col min="4" max="4" width="19.7109375" style="252" bestFit="1" customWidth="1"/>
    <col min="5" max="5" width="9.5703125" style="1" bestFit="1" customWidth="1"/>
    <col min="6" max="6" width="13.5703125" style="1" bestFit="1" customWidth="1"/>
    <col min="7" max="7" width="20.5703125" style="1" bestFit="1" customWidth="1"/>
    <col min="8" max="8" width="7.5703125" style="1" customWidth="1"/>
    <col min="9" max="9" width="30.140625" style="4" bestFit="1" customWidth="1"/>
    <col min="10" max="10" width="11" style="1" customWidth="1"/>
    <col min="11" max="11" width="12.7109375" style="1" customWidth="1"/>
    <col min="12" max="12" width="9.28515625" style="1" customWidth="1"/>
    <col min="13" max="13" width="8.42578125" style="520" customWidth="1"/>
    <col min="14" max="15" width="6.42578125" style="520" customWidth="1"/>
    <col min="16" max="16" width="12.140625" style="1" bestFit="1" customWidth="1"/>
    <col min="17" max="17" width="7.7109375" style="520" customWidth="1"/>
    <col min="18" max="18" width="6.5703125" style="1" customWidth="1"/>
    <col min="19" max="19" width="7.7109375" style="652" customWidth="1"/>
    <col min="20" max="20" width="10.5703125" style="653" customWidth="1"/>
    <col min="21" max="21" width="14.42578125" style="1" customWidth="1"/>
    <col min="22" max="22" width="6" style="520" bestFit="1" customWidth="1"/>
    <col min="23" max="23" width="6" style="1" bestFit="1" customWidth="1"/>
    <col min="24" max="24" width="8" style="1" customWidth="1"/>
    <col min="25" max="25" width="10.85546875" style="1" customWidth="1"/>
    <col min="26" max="26" width="12.7109375" style="253" customWidth="1"/>
    <col min="27" max="27" width="12.7109375" style="1" customWidth="1"/>
    <col min="28" max="28" width="12.28515625" style="1" customWidth="1"/>
    <col min="29" max="30" width="11.5703125" style="1" customWidth="1"/>
    <col min="31" max="31" width="11" style="1" customWidth="1"/>
    <col min="32" max="32" width="12.28515625" style="1" customWidth="1"/>
    <col min="33" max="33" width="11" style="1" customWidth="1"/>
    <col min="34" max="34" width="11.5703125" style="1" customWidth="1"/>
    <col min="35" max="35" width="12.28515625" style="1" bestFit="1" customWidth="1"/>
    <col min="36" max="36" width="7.140625" style="1" customWidth="1"/>
    <col min="37" max="37" width="12.140625" style="1" customWidth="1"/>
    <col min="38" max="38" width="5.85546875" style="1" customWidth="1"/>
    <col min="39" max="39" width="12.7109375" style="1" customWidth="1"/>
    <col min="40" max="40" width="3.85546875" style="1" customWidth="1"/>
    <col min="41" max="41" width="2.28515625" style="1" bestFit="1" customWidth="1"/>
    <col min="42" max="42" width="5.85546875" style="1" bestFit="1" customWidth="1"/>
    <col min="43" max="43" width="3.85546875" style="1" bestFit="1" customWidth="1"/>
    <col min="44" max="44" width="4.7109375" style="1" bestFit="1" customWidth="1"/>
    <col min="45" max="45" width="7.140625" style="1" customWidth="1"/>
    <col min="46" max="46" width="6.42578125" style="1" customWidth="1"/>
    <col min="47" max="47" width="6.5703125" style="1" bestFit="1" customWidth="1"/>
    <col min="48" max="48" width="3.5703125" style="1" customWidth="1"/>
    <col min="49" max="49" width="6.140625" style="1" bestFit="1" customWidth="1"/>
    <col min="50" max="50" width="4.28515625" style="1" customWidth="1"/>
    <col min="51" max="51" width="4.7109375" style="1" bestFit="1" customWidth="1"/>
    <col min="52" max="52" width="9.85546875" style="4" customWidth="1"/>
    <col min="53" max="68" width="9.28515625" style="1" bestFit="1" customWidth="1"/>
    <col min="69" max="69" width="14.28515625" style="1" customWidth="1"/>
    <col min="70" max="70" width="9.28515625" style="1" bestFit="1" customWidth="1"/>
    <col min="71" max="71" width="9.85546875" style="1" bestFit="1" customWidth="1"/>
    <col min="72" max="72" width="10" style="1" bestFit="1" customWidth="1"/>
    <col min="73" max="74" width="9.28515625" style="1" bestFit="1" customWidth="1"/>
    <col min="75" max="75" width="12" style="1" customWidth="1"/>
    <col min="76" max="76" width="11.140625" style="1" customWidth="1"/>
    <col min="77" max="77" width="12.28515625" style="1" customWidth="1"/>
    <col min="78" max="78" width="10.7109375" style="1" customWidth="1"/>
    <col min="79" max="79" width="14.28515625" style="1" customWidth="1"/>
    <col min="80" max="80" width="11.140625" style="1" customWidth="1"/>
    <col min="81" max="81" width="12.140625" style="1" customWidth="1"/>
    <col min="82" max="82" width="10.7109375" style="1" customWidth="1"/>
    <col min="83" max="83" width="11.7109375" style="1" bestFit="1" customWidth="1"/>
    <col min="84" max="84" width="11.5703125" style="1" customWidth="1"/>
    <col min="85" max="16384" width="9.140625" style="1"/>
  </cols>
  <sheetData>
    <row r="1" spans="1:127" ht="60.75" customHeight="1" thickBot="1" x14ac:dyDescent="0.25">
      <c r="B1" s="1044" t="s">
        <v>591</v>
      </c>
      <c r="C1" s="1045"/>
      <c r="D1" s="1045"/>
      <c r="E1" s="1045"/>
      <c r="F1" s="1045"/>
      <c r="G1" s="1045"/>
      <c r="H1" s="1045"/>
      <c r="I1" s="1045"/>
      <c r="J1" s="1045"/>
      <c r="K1" s="1045"/>
      <c r="L1" s="1045"/>
      <c r="M1" s="1045"/>
      <c r="N1" s="1045"/>
      <c r="O1" s="1045"/>
      <c r="P1" s="1045"/>
      <c r="Q1" s="1045"/>
      <c r="R1" s="1045"/>
      <c r="S1" s="1045"/>
      <c r="T1" s="1045"/>
      <c r="U1" s="1045"/>
      <c r="V1" s="1045"/>
      <c r="W1" s="1045"/>
      <c r="X1" s="1045"/>
      <c r="Y1" s="1045"/>
      <c r="Z1" s="1045"/>
      <c r="AA1" s="1045"/>
      <c r="AB1" s="1045"/>
      <c r="AC1" s="1045"/>
      <c r="AD1" s="1045"/>
      <c r="AE1" s="1045"/>
      <c r="AF1" s="1045"/>
      <c r="AG1" s="1045"/>
      <c r="AH1" s="1045"/>
      <c r="AI1" s="1045"/>
      <c r="AJ1" s="1045"/>
      <c r="AK1" s="1045"/>
      <c r="AL1" s="1045"/>
      <c r="AM1" s="1045"/>
      <c r="AN1" s="1045"/>
      <c r="AO1" s="1045"/>
      <c r="AP1" s="1045"/>
      <c r="AQ1" s="1045"/>
      <c r="AR1" s="1045"/>
      <c r="AS1" s="1045"/>
      <c r="AT1" s="1045"/>
      <c r="AU1" s="1045"/>
      <c r="AV1" s="1045"/>
      <c r="AW1" s="1045"/>
      <c r="AX1" s="1045"/>
      <c r="AY1" s="1046"/>
      <c r="AZ1" s="564"/>
      <c r="BA1" s="1104" t="s">
        <v>497</v>
      </c>
      <c r="BB1" s="1105"/>
      <c r="BC1" s="1105"/>
      <c r="BD1" s="1105"/>
      <c r="BE1" s="1105"/>
      <c r="BF1" s="1105"/>
      <c r="BG1" s="1105"/>
      <c r="BH1" s="1105"/>
      <c r="BI1" s="1105"/>
      <c r="BJ1" s="1105"/>
      <c r="BK1" s="1105"/>
      <c r="BL1" s="1105"/>
      <c r="BM1" s="1105"/>
      <c r="BN1" s="1105"/>
      <c r="BO1" s="1105"/>
      <c r="BP1" s="1105"/>
      <c r="BQ1" s="1105"/>
      <c r="BR1" s="1105"/>
      <c r="BS1" s="1105"/>
      <c r="BT1" s="1105"/>
      <c r="BU1" s="1105"/>
      <c r="BV1" s="1106"/>
      <c r="BY1" s="1096" t="s">
        <v>19</v>
      </c>
      <c r="BZ1" s="1097"/>
      <c r="CA1" s="1097"/>
      <c r="CB1" s="1097"/>
      <c r="CC1" s="1097"/>
      <c r="CD1" s="1097"/>
      <c r="CE1" s="1097"/>
      <c r="CF1" s="1098"/>
    </row>
    <row r="2" spans="1:127" ht="33" customHeight="1" thickBot="1" x14ac:dyDescent="0.3">
      <c r="B2" s="1067" t="s">
        <v>530</v>
      </c>
      <c r="C2" s="1077" t="s">
        <v>531</v>
      </c>
      <c r="D2" s="1061" t="s">
        <v>805</v>
      </c>
      <c r="E2" s="1051" t="s">
        <v>529</v>
      </c>
      <c r="F2" s="1051" t="s">
        <v>243</v>
      </c>
      <c r="G2" s="1069" t="s">
        <v>790</v>
      </c>
      <c r="H2" s="1051" t="s">
        <v>677</v>
      </c>
      <c r="I2" s="1123" t="s">
        <v>566</v>
      </c>
      <c r="J2" s="1051" t="s">
        <v>524</v>
      </c>
      <c r="K2" s="1051" t="s">
        <v>525</v>
      </c>
      <c r="L2" s="1051" t="s">
        <v>3</v>
      </c>
      <c r="M2" s="1051" t="s">
        <v>533</v>
      </c>
      <c r="N2" s="1081" t="s">
        <v>527</v>
      </c>
      <c r="O2" s="1089" t="s">
        <v>681</v>
      </c>
      <c r="P2" s="1073" t="s">
        <v>593</v>
      </c>
      <c r="Q2" s="1051" t="s">
        <v>528</v>
      </c>
      <c r="R2" s="1083" t="s">
        <v>680</v>
      </c>
      <c r="S2" s="1079" t="s">
        <v>572</v>
      </c>
      <c r="T2" s="1071" t="s">
        <v>689</v>
      </c>
      <c r="U2" s="1051" t="s">
        <v>498</v>
      </c>
      <c r="V2" s="1073" t="s">
        <v>678</v>
      </c>
      <c r="W2" s="1051" t="s">
        <v>679</v>
      </c>
      <c r="X2" s="1093" t="s">
        <v>871</v>
      </c>
      <c r="Y2" s="1095" t="s">
        <v>2</v>
      </c>
      <c r="Z2" s="1077"/>
      <c r="AA2" s="1053" t="s">
        <v>592</v>
      </c>
      <c r="AB2" s="1085" t="s">
        <v>570</v>
      </c>
      <c r="AC2" s="1087" t="s">
        <v>571</v>
      </c>
      <c r="AD2" s="1055" t="s">
        <v>784</v>
      </c>
      <c r="AE2" s="1055" t="s">
        <v>687</v>
      </c>
      <c r="AF2" s="1051" t="s">
        <v>688</v>
      </c>
      <c r="AG2" s="1091" t="s">
        <v>686</v>
      </c>
      <c r="AH2" s="1075" t="s">
        <v>685</v>
      </c>
      <c r="AI2" s="1049" t="s">
        <v>788</v>
      </c>
      <c r="AJ2" s="1075" t="s">
        <v>526</v>
      </c>
      <c r="AK2" s="1057" t="s">
        <v>787</v>
      </c>
      <c r="AL2" s="1059" t="s">
        <v>785</v>
      </c>
      <c r="AM2" s="1047" t="s">
        <v>786</v>
      </c>
      <c r="AN2" s="1063" t="s">
        <v>532</v>
      </c>
      <c r="AO2" s="1051"/>
      <c r="AP2" s="1051"/>
      <c r="AQ2" s="1051"/>
      <c r="AR2" s="1051"/>
      <c r="AS2" s="1051"/>
      <c r="AT2" s="1051"/>
      <c r="AU2" s="1051"/>
      <c r="AV2" s="1051"/>
      <c r="AW2" s="1051"/>
      <c r="AX2" s="1051"/>
      <c r="AY2" s="1064"/>
      <c r="AZ2" s="564"/>
      <c r="BA2" s="1113" t="s">
        <v>363</v>
      </c>
      <c r="BB2" s="1111"/>
      <c r="BC2" s="1111"/>
      <c r="BD2" s="1111"/>
      <c r="BE2" s="1111"/>
      <c r="BF2" s="1111"/>
      <c r="BG2" s="1111"/>
      <c r="BH2" s="1111"/>
      <c r="BI2" s="1112"/>
      <c r="BJ2" s="1110" t="s">
        <v>364</v>
      </c>
      <c r="BK2" s="1111"/>
      <c r="BL2" s="1111"/>
      <c r="BM2" s="1111"/>
      <c r="BN2" s="1111"/>
      <c r="BO2" s="1111"/>
      <c r="BP2" s="1111"/>
      <c r="BQ2" s="1111"/>
      <c r="BR2" s="1112"/>
      <c r="BS2" s="1107" t="s">
        <v>463</v>
      </c>
      <c r="BT2" s="1108"/>
      <c r="BU2" s="1108"/>
      <c r="BV2" s="1109"/>
      <c r="BW2" s="1102" t="s">
        <v>496</v>
      </c>
      <c r="BY2" s="1099" t="s">
        <v>18</v>
      </c>
      <c r="BZ2" s="1100"/>
      <c r="CA2" s="1100"/>
      <c r="CB2" s="1101"/>
      <c r="CC2" s="1099" t="s">
        <v>20</v>
      </c>
      <c r="CD2" s="1100"/>
      <c r="CE2" s="1100"/>
      <c r="CF2" s="1101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</row>
    <row r="3" spans="1:127" ht="74.25" customHeight="1" thickTop="1" thickBot="1" x14ac:dyDescent="0.3">
      <c r="B3" s="1068"/>
      <c r="C3" s="1078"/>
      <c r="D3" s="1062"/>
      <c r="E3" s="1052"/>
      <c r="F3" s="1052"/>
      <c r="G3" s="1070"/>
      <c r="H3" s="1052"/>
      <c r="I3" s="1124"/>
      <c r="J3" s="1052"/>
      <c r="K3" s="1052"/>
      <c r="L3" s="1052"/>
      <c r="M3" s="1052"/>
      <c r="N3" s="1082"/>
      <c r="O3" s="1090"/>
      <c r="P3" s="1074"/>
      <c r="Q3" s="1052"/>
      <c r="R3" s="1084"/>
      <c r="S3" s="1080"/>
      <c r="T3" s="1072"/>
      <c r="U3" s="1052"/>
      <c r="V3" s="1074"/>
      <c r="W3" s="1052"/>
      <c r="X3" s="1094"/>
      <c r="Y3" s="577" t="s">
        <v>568</v>
      </c>
      <c r="Z3" s="574" t="s">
        <v>569</v>
      </c>
      <c r="AA3" s="1054"/>
      <c r="AB3" s="1086"/>
      <c r="AC3" s="1088"/>
      <c r="AD3" s="1056"/>
      <c r="AE3" s="1056"/>
      <c r="AF3" s="1052"/>
      <c r="AG3" s="1092"/>
      <c r="AH3" s="1076"/>
      <c r="AI3" s="1050"/>
      <c r="AJ3" s="1076"/>
      <c r="AK3" s="1058"/>
      <c r="AL3" s="1060"/>
      <c r="AM3" s="1048"/>
      <c r="AN3" s="1065"/>
      <c r="AO3" s="1052"/>
      <c r="AP3" s="1052"/>
      <c r="AQ3" s="1052"/>
      <c r="AR3" s="1052"/>
      <c r="AS3" s="1052"/>
      <c r="AT3" s="1052"/>
      <c r="AU3" s="1052"/>
      <c r="AV3" s="1052"/>
      <c r="AW3" s="1052"/>
      <c r="AX3" s="1052"/>
      <c r="AY3" s="1066"/>
      <c r="AZ3" s="564"/>
      <c r="BA3" s="9" t="s">
        <v>450</v>
      </c>
      <c r="BB3" s="9" t="s">
        <v>451</v>
      </c>
      <c r="BC3" s="9" t="s">
        <v>452</v>
      </c>
      <c r="BD3" s="9" t="s">
        <v>453</v>
      </c>
      <c r="BE3" s="9" t="s">
        <v>382</v>
      </c>
      <c r="BF3" s="9" t="s">
        <v>454</v>
      </c>
      <c r="BG3" s="9" t="s">
        <v>455</v>
      </c>
      <c r="BH3" s="9" t="s">
        <v>456</v>
      </c>
      <c r="BI3" s="10" t="s">
        <v>457</v>
      </c>
      <c r="BJ3" s="579" t="s">
        <v>450</v>
      </c>
      <c r="BK3" s="9" t="s">
        <v>451</v>
      </c>
      <c r="BL3" s="9" t="s">
        <v>452</v>
      </c>
      <c r="BM3" s="9" t="s">
        <v>453</v>
      </c>
      <c r="BN3" s="9" t="s">
        <v>382</v>
      </c>
      <c r="BO3" s="9" t="s">
        <v>454</v>
      </c>
      <c r="BP3" s="9" t="s">
        <v>455</v>
      </c>
      <c r="BQ3" s="399" t="s">
        <v>456</v>
      </c>
      <c r="BR3" s="10" t="s">
        <v>457</v>
      </c>
      <c r="BS3" s="400" t="s">
        <v>382</v>
      </c>
      <c r="BT3" s="401" t="s">
        <v>455</v>
      </c>
      <c r="BU3" s="401" t="s">
        <v>456</v>
      </c>
      <c r="BV3" s="402" t="s">
        <v>457</v>
      </c>
      <c r="BW3" s="1103"/>
      <c r="BX3" s="582"/>
      <c r="BY3" s="580" t="s">
        <v>14</v>
      </c>
      <c r="BZ3" s="404" t="s">
        <v>15</v>
      </c>
      <c r="CA3" s="404" t="s">
        <v>16</v>
      </c>
      <c r="CB3" s="405" t="s">
        <v>17</v>
      </c>
      <c r="CC3" s="403" t="s">
        <v>14</v>
      </c>
      <c r="CD3" s="404" t="s">
        <v>15</v>
      </c>
      <c r="CE3" s="404" t="s">
        <v>16</v>
      </c>
      <c r="CF3" s="405" t="s">
        <v>17</v>
      </c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</row>
    <row r="4" spans="1:127" ht="28.5" customHeight="1" thickTop="1" thickBot="1" x14ac:dyDescent="0.3">
      <c r="B4" s="534" t="s">
        <v>535</v>
      </c>
      <c r="C4" s="535" t="s">
        <v>567</v>
      </c>
      <c r="D4" s="536">
        <f>SUM(D5:D11)*0.4*1.2</f>
        <v>117.63984000000002</v>
      </c>
      <c r="E4" s="572">
        <v>1</v>
      </c>
      <c r="F4" s="572" t="s">
        <v>246</v>
      </c>
      <c r="G4" s="572" t="s">
        <v>789</v>
      </c>
      <c r="H4" s="572">
        <v>1</v>
      </c>
      <c r="I4" s="791" t="s">
        <v>13</v>
      </c>
      <c r="J4" s="572" t="s">
        <v>242</v>
      </c>
      <c r="K4" s="572" t="s">
        <v>363</v>
      </c>
      <c r="L4" s="572">
        <v>2</v>
      </c>
      <c r="M4" s="572">
        <v>25</v>
      </c>
      <c r="N4" s="537" t="s">
        <v>456</v>
      </c>
      <c r="O4" s="572" t="s">
        <v>682</v>
      </c>
      <c r="P4" s="554">
        <f>IF(K4="PVC",HLOOKUP(N4,$BA$3:$BI$17,BW4,FALSE),IF(OR(K4="XLPE",K4="EPR"),HLOOKUP(N4,$BJ$3:$BR$17,BW4,FALSE),IF(K4="Mineral",HLOOKUP(N4,$BS$3:$BV$17,BW4,FALSE),"N/A")))*L4</f>
        <v>220</v>
      </c>
      <c r="Q4" s="572">
        <v>1</v>
      </c>
      <c r="R4" s="575">
        <v>1</v>
      </c>
      <c r="S4" s="741">
        <f>IF(F4="Monofásico",(((D4*10^3)/H4)/230),(((D4*10^3)/H4)/(SQRT(3)*400)))</f>
        <v>169.79848322856131</v>
      </c>
      <c r="T4" s="538">
        <f>P4*R4</f>
        <v>220</v>
      </c>
      <c r="U4" s="539" t="s">
        <v>417</v>
      </c>
      <c r="V4" s="554" t="s">
        <v>417</v>
      </c>
      <c r="W4" s="572" t="s">
        <v>417</v>
      </c>
      <c r="X4" s="618" t="s">
        <v>417</v>
      </c>
      <c r="Y4" s="540">
        <f>S4/T4</f>
        <v>0.77181128740255145</v>
      </c>
      <c r="Z4" s="541" t="s">
        <v>417</v>
      </c>
      <c r="AA4" s="542">
        <f>'ICC PT'!Q17</f>
        <v>4.0586666666666674E-2</v>
      </c>
      <c r="AB4" s="543">
        <f>(IF(J4="Cobre",(1.25*0.0225),(1.25*0.036)))*((E4/M4)/L4)</f>
        <v>5.6249999999999996E-4</v>
      </c>
      <c r="AC4" s="544">
        <f>(IF(M4&lt;10,0,(0.00008)))*(E4)</f>
        <v>8.0000000000000007E-5</v>
      </c>
      <c r="AD4" s="545">
        <v>0</v>
      </c>
      <c r="AE4" s="546">
        <f>IF(F4="Trifásico",S4*((AB4*H4)+(AC4*SIN(ACOS(H4)))),2*S4*(AB4*H4+AC4*SIN(ACOS(H4))))</f>
        <v>9.5511646816065734E-2</v>
      </c>
      <c r="AF4" s="578">
        <f>AD4+AE4</f>
        <v>9.5511646816065734E-2</v>
      </c>
      <c r="AG4" s="547">
        <f>AE4/230</f>
        <v>4.1526802963506843E-4</v>
      </c>
      <c r="AH4" s="548">
        <f>AF4/230</f>
        <v>4.1526802963506843E-4</v>
      </c>
      <c r="AI4" s="549">
        <f>IF(F4="Monofásico",(0.23/(SQRT((AB4^2)+(AC4^2))+AA4)),(0.4/(SQRT(3)*(SQRT((AB4^2)+(AC4^2))+AA4))))</f>
        <v>5.6114950319922494</v>
      </c>
      <c r="AJ4" s="550">
        <v>6</v>
      </c>
      <c r="AK4" s="546">
        <v>0.1</v>
      </c>
      <c r="AL4" s="792">
        <f t="shared" ref="AL4:AL11" si="0">IF(G4="Multicondutor",(IF(AND(J4="Cobre",K4="PVC"),115,IF(AND(J4="Cobre",K4="XLPE"),143,IF(AND(J4="Alumínio",K4="PVC"),76,IF(AND(J4="Alumínio",K4="XLPE"),94))))),(IF(AND(J4="Cobre",K4="PVC"),143,IF(AND(J4="Cobre",K4="XLPE"),176,IF(AND(J4="Alumínio",K4="PVC"),95,IF(AND(J4="Alumínio",K4="XLPE"),116))))))</f>
        <v>143</v>
      </c>
      <c r="AM4" s="576">
        <f>((AI4*1000)*SQRT(AK4))/AL4</f>
        <v>12.409164601269184</v>
      </c>
      <c r="AN4" s="909">
        <f t="shared" ref="AN4:AN11" si="1">L4</f>
        <v>2</v>
      </c>
      <c r="AO4" s="910" t="s">
        <v>563</v>
      </c>
      <c r="AP4" s="911" t="s">
        <v>523</v>
      </c>
      <c r="AQ4" s="911" t="str">
        <f t="shared" ref="AQ4:AQ11" si="2">IF(F4="Monofásico","3G",IF(AND(F4="Trifásico",M4&lt;25),"5G","3×"))</f>
        <v>3×</v>
      </c>
      <c r="AR4" s="911">
        <f t="shared" ref="AR4:AR11" si="3">M4</f>
        <v>25</v>
      </c>
      <c r="AS4" s="793"/>
      <c r="AT4" s="793"/>
      <c r="AU4" s="912"/>
      <c r="AV4" s="793"/>
      <c r="AW4" s="913"/>
      <c r="AX4" s="913"/>
      <c r="AY4" s="914"/>
      <c r="AZ4" s="564"/>
      <c r="BA4" s="604">
        <f>IF(AND(J4="Cobre",F4="Monofásico"),VLOOKUP(M4,'Iz''s'!$B$8:$E$23,2,FALSE),IF(AND(J4="Cobre",F4="Trifásico"),VLOOKUP(M4,'Iz''s'!$L$8:$O$23,2,FALSE),IF(AND(J4="Alumínio",F4="Monofásico"),VLOOKUP(M4,'Iz''s'!$B$25:$E$39,2,FALSE),IF(AND(J4="Alumínio",F4="Trifásico"),VLOOKUP(M4,'Iz''s'!$L$25:$O$39,2,FALSE)))))</f>
        <v>73</v>
      </c>
      <c r="BB4" s="522">
        <f>IF(AND(J4="Cobre",F4="Monofásico"),VLOOKUP(M4,'Iz''s'!$CD$9:$CH$24,2,FALSE),IF(AND(J4="Cobre",F4="Trifásico"),VLOOKUP(M4,'Iz''s'!$CD$9:$CH$24,4,FALSE),IF(AND(J4="Alumínio",F4="Monofásico"),VLOOKUP(M4,'Iz''s'!$CD$26:$CH$40,2,FALSE),IF(AND(J4="Alumínio",F4="Trifásico"),VLOOKUP(M4,'Iz''s'!$CD$26:$CH$40,4,FALSE)))))</f>
        <v>68</v>
      </c>
      <c r="BC4" s="522">
        <f>IF(AND(J4="Cobre",F4="Monofásico"),VLOOKUP(M4,'Iz''s'!$B$8:$E$23,3,FALSE),IF(AND(J4="Cobre",F4="Trifásico"),VLOOKUP(M4,'Iz''s'!$L$8:$O$23,3,FALSE),IF(AND(J4="Alumínio",F4="Monofásico"),VLOOKUP(M4,'Iz''s'!$B$25:$E$39,3,FALSE),IF(AND(J4="Alumínio",F4="Trifásico"),VLOOKUP(M4,'Iz''s'!$L$25:$O$39,3,FALSE)))))</f>
        <v>89</v>
      </c>
      <c r="BD4" s="522">
        <f>IF(AND(J4="Cobre",F4="Monofásico"),VLOOKUP(M4,'Iz''s'!$CD$9:$CH$24,3,FALSE),IF(AND(J4="Cobre",F4="Trifásico"),VLOOKUP(M4,'Iz''s'!$CD$9:$CH$24,5,FALSE),IF(AND(J4="Alumínio",F4="Monofásico"),VLOOKUP(M4,'Iz''s'!$CD$26:$CH$40,3,FALSE),IF(AND(J4="Alumínio",F4="Trifásico"),VLOOKUP(M4,'Iz''s'!$CD$26:$CH$40,5,FALSE)))))</f>
        <v>80</v>
      </c>
      <c r="BE4" s="522">
        <f>IF(AND(J4="Cobre",F4="Monofásico"),VLOOKUP(M4,'Iz''s'!$B$8:$E$23,4,FALSE),IF(AND(J4="Cobre",F4="Trifásico"),VLOOKUP(M4,'Iz''s'!$L$8:$O$23,4,FALSE),IF(AND(J4="Alumínio",F4="Monofásico"),VLOOKUP(M4,'Iz''s'!$B$25:$E$39,4,FALSE),IF(AND(J4="Alumínio",F4="Trifásico"),VLOOKUP(M4,'Iz''s'!$L$25:$O$39,4,FALSE)))))</f>
        <v>96</v>
      </c>
      <c r="BF4" s="522">
        <f>IF(AND(J4="Cobre",F4="Monofásico"),VLOOKUP(M4,'Iz''s'!$CP$9:$CT$24,3,FALSE),IF(AND(J4="Cobre",F4="Trifásico"),VLOOKUP(M4,'Iz''s'!$CP$9:$CT$24,2,FALSE),IF(AND(J4="Alumínio",F4="Monofásico"),VLOOKUP(M4,'Iz''s'!$CP$26:$CT$37,3,FALSE),IF(AND(J4="Alumínio",F4="Trifásico"),VLOOKUP(M4,'Iz''s'!$CP$26:$CT$37,2,FALSE)))))</f>
        <v>123</v>
      </c>
      <c r="BG4" s="522">
        <f>IF(AND(J4="Cobre",F4="Monofásico"),VLOOKUP(M4,'Iz''s'!$AT$10:$BA$28,2,FALSE),IF(AND(J4="Cobre",F4="Trifásico"),VLOOKUP(M4,'Iz''s'!$AT$10:$BA$28,3,FALSE),IF(AND(J4="Alumínio",F4="Monofásico"),VLOOKUP(M4,'Iz''s'!$BC$10:$BJ$27,2,FALSE),IF(AND(J4="Alumínio",F4="Trifásico"),VLOOKUP(M4,'Iz''s'!$BC$10:$BJ$27,3,FALSE)))))</f>
        <v>101</v>
      </c>
      <c r="BH4" s="522">
        <f>IF(AND(J4="Cobre",F4="Monofásico"),VLOOKUP(M4,'Iz''s'!$AT$10:$BA$28,4,FALSE),IF(AND(J4="Cobre",F4="Trifásico"),VLOOKUP(M4,'Iz''s'!$AT$10:$BA$28,5,FALSE),IF(AND(J4="Alumínio",F4="Monofásico"),VLOOKUP(M4,'Iz''s'!$BC$10:$BJ$27,4,FALSE),IF(AND(J4="Alumínio",F4="Trifásico"),VLOOKUP(M4,'Iz''s'!$BC$10:$BJ$27,5,FALSE)))))</f>
        <v>110</v>
      </c>
      <c r="BI4" s="523">
        <f>IF(AND(J4="Cobre",F4="Monofásico"),"N/A",IF(AND(J4="Cobre",F4="Trifásico"),VLOOKUP(M4,'Iz''s'!$AT$10:$BA$28,8,FALSE),IF(AND(J4="Alumínio",F4="Monofásico"),"N/A",IF(AND(J4="Alumínio",F4="Trifásico"),VLOOKUP(M4,'Iz''s'!$BC$10:$BJ$27,8,FALSE)))))</f>
        <v>130</v>
      </c>
      <c r="BJ4" s="521">
        <f>IF(AND(J4="Cobre",F4="Monofásico"),VLOOKUP(M4,'Iz''s'!$G$8:$J$23,2,FALSE),IF(AND(J4="Cobre",F4="Trifásico"),VLOOKUP(M4,'Iz''s'!$Q$8:$T$23,2,FALSE),IF(AND(J4="Alumínio",F4="Monofásico"),VLOOKUP(M4,'Iz''s'!$G$25:$J$39,2,FALSE),IF(AND(J4="Alumínio",F4="Trifásico"),VLOOKUP(M4,'Iz''s'!$Q$25:$T$39,2,FALSE)))))</f>
        <v>95</v>
      </c>
      <c r="BK4" s="522">
        <f>IF(AND(J4="Cobre",F4="Monofásico"),VLOOKUP(M4,'Iz''s'!$CJ$9:$CN$24,2,FALSE),IF(AND(J4="Cobre",F4="Trifásico"),VLOOKUP(M4,'Iz''s'!$CJ$9:$CN$24,4,FALSE),IF(AND(J4="Alumínio",F4="Monofásico"),VLOOKUP(M4,'Iz''s'!$CJ$26:$CN$40,2,FALSE),IF(AND(J4="Alumínio",F4="Trifásico"),VLOOKUP(M4,'Iz''s'!$CJ$26:$CN$40,4,FALSE)))))</f>
        <v>89</v>
      </c>
      <c r="BL4" s="522">
        <f>IF(AND(J4="Cobre",F4="Monofásico"),VLOOKUP(M4,'Iz''s'!$G$8:$J$23,3,FALSE),IF(AND(J4="Cobre",F4="Trifásico"),VLOOKUP(M4,'Iz''s'!$Q$8:$T$23,3,FALSE),IF(AND(J4="Alumínio",F4="Monofásico"),VLOOKUP(M4,'Iz''s'!$G$25:$J$39,3,FALSE),IF(AND(J4="Alumínio",F4="Trifásico"),VLOOKUP(M4,'Iz''s'!$Q$25:$T$39,3,FALSE)))))</f>
        <v>117</v>
      </c>
      <c r="BM4" s="522">
        <f>IF(AND(J4="Cobre",F4="Monofásico"),VLOOKUP(M4,'Iz''s'!$CJ$9:$CN$24,3,FALSE),IF(AND(J4="Cobre",F4="Trifásico"),VLOOKUP(M4,'Iz''s'!$CJ$9:$CN$24,5,FALSE),IF(AND(J4="Alumínio",F4="Monofásico"),VLOOKUP(M4,'Iz''s'!$CJ$26:$CN$40,3,FALSE),IF(AND(J4="Alumínio",F4="Trifásico"),VLOOKUP(M4,'Iz''s'!$CJ$26:$CN$40,5,FALSE)))))</f>
        <v>105</v>
      </c>
      <c r="BN4" s="522">
        <f>IF(AND(J4="Cobre",F4="Monofásico"),VLOOKUP(M4,'Iz''s'!$G$8:$J$23,4,FALSE),IF(AND(J4="Cobre",F4="Trifásico"),VLOOKUP(M4,'Iz''s'!$Q$8:$T$23,4,FALSE),IF(AND(J4="Alumínio",F4="Monofásico"),VLOOKUP(M4,'Iz''s'!$G$25:$J$39,4,FALSE),IF(AND(J4="Alumínio",F4="Trifásico"),VLOOKUP(M4,'Iz''s'!$Q$25:$T$39,4,FALSE)))))</f>
        <v>119</v>
      </c>
      <c r="BO4" s="522">
        <f>IF(AND(J4="Cobre",F4="Monofásico"),VLOOKUP(M4,'Iz''s'!$CP$9:$CT$24,5,FALSE),IF(AND(J4="Cobre",F4="Trifásico"),VLOOKUP(M4,'Iz''s'!$CP$9:$CT$24,4,FALSE),IF(AND(J4="Alumínio",F4="Monofásico"),VLOOKUP(M4,'Iz''s'!$CP$26:$CT$37,5,FALSE),IF(AND(J4="Alumínio",F4="Trifásico"),VLOOKUP(M4,'Iz''s'!$CP$26:$CT$37,4,FALSE)))))</f>
        <v>144</v>
      </c>
      <c r="BP4" s="522">
        <f>IF(AND(J4="Cobre",F4="Monofásico"),VLOOKUP(M4,'Iz''s'!$BL$10:$BS$28,2,FALSE),IF(AND(J4="Cobre",F4="Trifásico"),VLOOKUP(M4,'Iz''s'!$BL$10:$BS$28,3,FALSE),IF(AND(J4="Alumínio",F4="Monofásico"),VLOOKUP(M4,'Iz''s'!$BU$10:$CB$27,2,FALSE),IF(AND(J4="Alumínio",F4="Trifásico"),VLOOKUP(M4,'Iz''s'!$BU$10:$CB$27,3,FALSE)))))</f>
        <v>127</v>
      </c>
      <c r="BQ4" s="524">
        <f>IF(AND(J4="Cobre",F4="Monofásico"),VLOOKUP(M4,'Iz''s'!$BL$10:$BS$28,4,FALSE),IF(AND(J4="Cobre",F4="Trifásico"),VLOOKUP(M4,'Iz''s'!$BL$10:$BS$28,5,FALSE),IF(AND(J4="Alumínio",F4="Monofásico"),VLOOKUP(M4,'Iz''s'!$BU$10:$CB$27,4,FALSE),IF(AND(J4="Alumínio",F4="Trifásico"),VLOOKUP(M4,'Iz''s'!$BU$10:$CB$27,5,FALSE)))))</f>
        <v>135</v>
      </c>
      <c r="BR4" s="523">
        <f>IF(AND(J4="Cobre",F4="Monofásico"),"N/A",IF(AND(J4="Cobre",F4="Trifásico"),VLOOKUP(M4,'Iz''s'!$BL$10:$BS$28,8,FALSE),IF(AND(J4="Alumínio",F4="Monofásico"),"N/A",IF(AND(J4="Alumínio",F4="Trifásico"),VLOOKUP(M4,'Iz''s'!$BU$10:$CB$27,8,FALSE)))))</f>
        <v>161</v>
      </c>
      <c r="BS4" s="523" t="b">
        <f>IF(AND(K4="Cobre",G4="Monofásico"),"N/A",IF(AND(K4="Cobre",G4="Trifásico"),VLOOKUP(N4,'Iz''s'!$BL$10:$BS$28,8,FALSE),IF(AND(K4="Alumínio",G4="Monofásico"),"N/A",IF(AND(K4="Alumínio",G4="Trifásico"),VLOOKUP(N4,'Iz''s'!$BU$10:$CB$27,8,FALSE)))))</f>
        <v>0</v>
      </c>
      <c r="BT4" s="522">
        <f>IF(AND(J4="Cobre",F4="Monofásico"),VLOOKUP(M4,'Iz''s'!$AF$15:$AK$29,2,FALSE),IF(AND(J4="Cobre",F4="Trifásico"),VLOOKUP(M4,'Iz''s'!$AF$15:$AK$29,3,FALSE),IF(AND(J4="Alumínio",F4="Monofásico"),"N/A",IF(AND(J4="Alumínio",F4="Trifásico"),"N/A"))))</f>
        <v>120</v>
      </c>
      <c r="BU4" s="522">
        <f>IF(AND(J4="Cobre",F4="Monofásico"),VLOOKUP(M4,'Iz''s'!$AF$15:$AK$29,2,FALSE),IF(AND(J4="Cobre",F4="Trifásico"),VLOOKUP(M4,'Iz''s'!$AF$15:$AK$29,3,FALSE),IF(AND(J4="Alumínio",F4="Monofásico"),"N/A",IF(AND(J4="Alumínio",F4="Trifásico"),"N/A"))))</f>
        <v>120</v>
      </c>
      <c r="BV4" s="523">
        <f>IF(AND(J4="Cobre",F4="Monofásico"),"N/A",IF(AND(J4="Cobre",F4="Trifásico"),VLOOKUP(M4,'Iz''s'!$AF$15:$AK$29,6,FALSE),IF(AND(J4="Alumínio",F4="Monofásico"),"N/A",IF(AND(J4="Alumínio",F4="Trifásico"),"N/A"))))</f>
        <v>162</v>
      </c>
      <c r="BW4" s="521">
        <v>2</v>
      </c>
      <c r="BX4" s="582"/>
      <c r="BY4" s="581">
        <f>VLOOKUP(M4,Consulta!$W$6:$AB$23,4,FALSE)</f>
        <v>40</v>
      </c>
      <c r="BZ4" s="84">
        <f>VLOOKUP(M4,Consulta!$W$6:$AB$23,6,FALSE)</f>
        <v>50</v>
      </c>
      <c r="CA4" s="84">
        <f>VLOOKUP(M4,Consulta!$AK$6:$AP$23,4,FALSE)</f>
        <v>40</v>
      </c>
      <c r="CB4" s="526">
        <f>VLOOKUP(M4,Consulta!$AK$6:$AP$23,6,FALSE)</f>
        <v>40</v>
      </c>
      <c r="CC4" s="525">
        <f>VLOOKUP(M4,Consulta!$AD$6:$AI$19,4,FALSE)</f>
        <v>50</v>
      </c>
      <c r="CD4" s="84">
        <f>VLOOKUP(M4,Consulta!$AD$6:$AI$19,6,FALSE)</f>
        <v>63</v>
      </c>
      <c r="CE4" s="84">
        <f>VLOOKUP(M4,Consulta!$AR$6:$AW$19,4,FALSE)</f>
        <v>63</v>
      </c>
      <c r="CF4" s="526">
        <f>VLOOKUP(M4,Consulta!$AR$6:$AW$19,6,FALSE)</f>
        <v>63</v>
      </c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</row>
    <row r="5" spans="1:127" s="551" customFormat="1" ht="16.5" customHeight="1" thickTop="1" x14ac:dyDescent="0.25">
      <c r="A5" s="566"/>
      <c r="B5" s="1114"/>
      <c r="C5" s="795" t="s">
        <v>825</v>
      </c>
      <c r="D5" s="590">
        <f>SUM(D12:D20)</f>
        <v>35.5</v>
      </c>
      <c r="E5" s="587">
        <f>0.344+5.8+0.3+15.35+2.1</f>
        <v>23.894000000000002</v>
      </c>
      <c r="F5" s="588" t="s">
        <v>246</v>
      </c>
      <c r="G5" s="588" t="s">
        <v>808</v>
      </c>
      <c r="H5" s="588">
        <v>0.96</v>
      </c>
      <c r="I5" s="758" t="s">
        <v>13</v>
      </c>
      <c r="J5" s="588" t="s">
        <v>242</v>
      </c>
      <c r="K5" s="588" t="s">
        <v>363</v>
      </c>
      <c r="L5" s="588">
        <v>2</v>
      </c>
      <c r="M5" s="589">
        <v>6</v>
      </c>
      <c r="N5" s="588" t="s">
        <v>455</v>
      </c>
      <c r="O5" s="588">
        <v>13</v>
      </c>
      <c r="P5" s="616">
        <f t="shared" ref="P5:P36" si="4">IF(K5="PVC",HLOOKUP(N5,$BA$3:$BI$104,BW5,FALSE),IF(OR(K5="XLPE",K5="EPR"),HLOOKUP(N5,$BJ$3:$BR$104,BW5,FALSE),IF(K5="Mineral",HLOOKUP(N5,$BS$3:$BV$104,BW5,FALSE),"N/A")))*L5</f>
        <v>86</v>
      </c>
      <c r="Q5" s="588">
        <v>5</v>
      </c>
      <c r="R5" s="588">
        <v>0.75</v>
      </c>
      <c r="S5" s="740">
        <f>IF(F5="Monofásico",(((D5*10^3)/H5)/230),(((D5*10^3)/H5)/(SQRT(3)*400)))</f>
        <v>53.374829573520095</v>
      </c>
      <c r="T5" s="743">
        <f t="shared" ref="T5:T11" si="5">P5*R5</f>
        <v>64.5</v>
      </c>
      <c r="U5" s="588" t="s">
        <v>499</v>
      </c>
      <c r="V5" s="616">
        <v>63</v>
      </c>
      <c r="W5" s="588">
        <f>IF(U5="C.C.Fusíveis",VLOOKUP(V5,Consulta!$L$5:$N$31,3,FALSE),VLOOKUP(V5,Consulta!$P$5:$R$34,3,FALSE))</f>
        <v>85</v>
      </c>
      <c r="X5" s="590">
        <f>CEILING(1.45*P5,1)</f>
        <v>125</v>
      </c>
      <c r="Y5" s="796">
        <f>S5/T5</f>
        <v>0.82751673757395494</v>
      </c>
      <c r="Z5" s="797" t="str">
        <f>IF(AND(S5&lt;=V5,V5&lt;=P5,W5&lt;=X5),"Sim","Não")</f>
        <v>Sim</v>
      </c>
      <c r="AA5" s="798">
        <f>$AA$4+SQRT($AB$4^2+$AC$4^2)</f>
        <v>4.1154827075354221E-2</v>
      </c>
      <c r="AB5" s="798">
        <f>(IF(J5="Cobre",(1.25*0.0225),(1.25*0.036)))*((E5/M5)/L5)</f>
        <v>5.6001562499999998E-2</v>
      </c>
      <c r="AC5" s="798">
        <f t="shared" ref="AC5:AC71" si="6">(IF(M5&lt;10,0,(0.00008)))*(E5)</f>
        <v>0</v>
      </c>
      <c r="AD5" s="587">
        <f>$AF$4</f>
        <v>9.5511646816065734E-2</v>
      </c>
      <c r="AE5" s="587">
        <f>IF(F5="Trifásico",S5*(AB5*H5+AC5*SIN(ACOS(H5))),2*S5*(AB5*H5+AC5*SIN(ACOS(H5))))</f>
        <v>2.8695109001168007</v>
      </c>
      <c r="AF5" s="587">
        <f>AD5+AE5</f>
        <v>2.9650225469328664</v>
      </c>
      <c r="AG5" s="598">
        <f>AE5/230</f>
        <v>1.2476134348333915E-2</v>
      </c>
      <c r="AH5" s="799">
        <f>AF5/230</f>
        <v>1.2891402377968984E-2</v>
      </c>
      <c r="AI5" s="587">
        <f t="shared" ref="AI5:AI71" si="7">IF(F5="Monofásico",(0.23/(SQRT((AB5^2)+(AC5^2))+AA5)),(0.4/(SQRT(3)*(SQRT((AB5^2)+(AC5^2))+AA5))))</f>
        <v>2.3769935120606127</v>
      </c>
      <c r="AJ5" s="588">
        <v>3</v>
      </c>
      <c r="AK5" s="587">
        <v>0.1</v>
      </c>
      <c r="AL5" s="590">
        <f t="shared" si="0"/>
        <v>115</v>
      </c>
      <c r="AM5" s="587">
        <f>((AI5*1000)*SQRT(AK5))/AL5</f>
        <v>6.5362725926560463</v>
      </c>
      <c r="AN5" s="797">
        <f t="shared" si="1"/>
        <v>2</v>
      </c>
      <c r="AO5" s="800" t="s">
        <v>563</v>
      </c>
      <c r="AP5" s="797" t="s">
        <v>523</v>
      </c>
      <c r="AQ5" s="797" t="str">
        <f t="shared" si="2"/>
        <v>5G</v>
      </c>
      <c r="AR5" s="797">
        <f t="shared" si="3"/>
        <v>6</v>
      </c>
      <c r="AS5" s="801" t="str">
        <f t="shared" ref="AS5:AS68" si="8">IF(OR(AQ5="3G",AQ5="5G"),"","+2G")</f>
        <v/>
      </c>
      <c r="AT5" s="801" t="str">
        <f>IF(OR(AQ5="3G",AQ5="5G"),"",VLOOKUP(AR5,Consulta!$T$5:$U$25,2,FALSE))</f>
        <v/>
      </c>
      <c r="AU5" s="802" t="s">
        <v>565</v>
      </c>
      <c r="AV5" s="797" t="s">
        <v>23</v>
      </c>
      <c r="AW5" s="797" t="s">
        <v>564</v>
      </c>
      <c r="AX5" s="803">
        <f>IF(AND(F5="Monofásico",I5="Fio/Canalizações"),BY4,IF(AND(F5="Trifásico",I5="Fio/Canalizações"),BZ4,IF(AND(F5="Monofásico",I5="Cabo/Canalizações"),CA4,IF(AND(F5="Trifásico",I5="Cabo/Canalizações"),CB4,IF(AND(F5="Monofásico",I5="Fio/Colunas&amp;Entradas"),CC4,IF(AND(F5="Trifásico",I5="Fio/Colunas&amp;Entradas"),CD4,IF(AND(F5="Monofásico",I5="Cabo/Colunas&amp;Entradas"),CE4,IF(AND(F5="Trifásico",I5="Cabo/Colunas&amp;Entradas"),CF4))))))))</f>
        <v>40</v>
      </c>
      <c r="AY5" s="827" t="s">
        <v>24</v>
      </c>
      <c r="AZ5" s="564"/>
      <c r="BA5" s="604">
        <f>IF(AND(J5="Cobre",F5="Monofásico"),VLOOKUP(M5,'Iz''s'!$B$8:$E$23,2,FALSE),IF(AND(J5="Cobre",F5="Trifásico"),VLOOKUP(M5,'Iz''s'!$L$8:$O$23,2,FALSE),IF(AND(J5="Alumínio",F5="Monofásico"),VLOOKUP(M5,'Iz''s'!$B$25:$E$39,2,FALSE),IF(AND(J5="Alumínio",F5="Trifásico"),VLOOKUP(M5,'Iz''s'!$L$25:$O$39,2,FALSE)))))</f>
        <v>31</v>
      </c>
      <c r="BB5" s="605">
        <f>IF(AND(J5="Cobre",F5="Monofásico"),VLOOKUP(M5,'Iz''s'!$CD$9:$CH$24,2,FALSE),IF(AND(J5="Cobre",F5="Trifásico"),VLOOKUP(M5,'Iz''s'!$CD$9:$CH$24,4,FALSE),IF(AND(J5="Alumínio",F5="Monofásico"),VLOOKUP(M5,'Iz''s'!$CD$26:$CH$40,2,FALSE),IF(AND(J5="Alumínio",F5="Trifásico"),VLOOKUP(M5,'Iz''s'!$CD$26:$CH$40,4,FALSE)))))</f>
        <v>29</v>
      </c>
      <c r="BC5" s="605">
        <f>IF(AND(J5="Cobre",F5="Monofásico"),VLOOKUP(M5,'Iz''s'!$B$8:$E$23,3,FALSE),IF(AND(J5="Cobre",F5="Trifásico"),VLOOKUP(M5,'Iz''s'!$L$8:$O$23,3,FALSE),IF(AND(J5="Alumínio",F5="Monofásico"),VLOOKUP(M5,'Iz''s'!$B$25:$E$39,3,FALSE),IF(AND(J5="Alumínio",F5="Trifásico"),VLOOKUP(M5,'Iz''s'!$L$25:$O$39,3,FALSE)))))</f>
        <v>36</v>
      </c>
      <c r="BD5" s="605">
        <f>IF(AND(J5="Cobre",F5="Monofásico"),VLOOKUP(M5,'Iz''s'!$CD$9:$CH$24,3,FALSE),IF(AND(J5="Cobre",F5="Trifásico"),VLOOKUP(M5,'Iz''s'!$CD$9:$CH$24,5,FALSE),IF(AND(J5="Alumínio",F5="Monofásico"),VLOOKUP(M5,'Iz''s'!$CD$26:$CH$40,3,FALSE),IF(AND(J5="Alumínio",F5="Trifásico"),VLOOKUP(M5,'Iz''s'!$CD$26:$CH$40,5,FALSE)))))</f>
        <v>34</v>
      </c>
      <c r="BE5" s="605">
        <f>IF(AND(J5="Cobre",F5="Monofásico"),VLOOKUP(M5,'Iz''s'!$B$8:$E$23,4,FALSE),IF(AND(J5="Cobre",F5="Trifásico"),VLOOKUP(M5,'Iz''s'!$L$8:$O$23,4,FALSE),IF(AND(J5="Alumínio",F5="Monofásico"),VLOOKUP(M5,'Iz''s'!$B$25:$E$39,4,FALSE),IF(AND(J5="Alumínio",F5="Trifásico"),VLOOKUP(M5,'Iz''s'!$L$25:$O$39,4,FALSE)))))</f>
        <v>41</v>
      </c>
      <c r="BF5" s="605">
        <f>IF(AND(J5="Cobre",F5="Monofásico"),VLOOKUP(M5,'Iz''s'!$CP$9:$CT$24,3,FALSE),IF(AND(J5="Cobre",F5="Trifásico"),VLOOKUP(M5,'Iz''s'!$CP$9:$CT$24,2,FALSE),IF(AND(J5="Alumínio",F5="Monofásico"),VLOOKUP(M5,'Iz''s'!$CP$26:$CT$37,3,FALSE),IF(AND(J5="Alumínio",F5="Trifásico"),VLOOKUP(M5,'Iz''s'!$CP$26:$CT$37,2,FALSE)))))</f>
        <v>56</v>
      </c>
      <c r="BG5" s="605">
        <f>IF(AND(J5="Cobre",F5="Monofásico"),VLOOKUP(M5,'Iz''s'!$AT$10:$BA$28,2,FALSE),IF(AND(J5="Cobre",F5="Trifásico"),VLOOKUP(M5,'Iz''s'!$AT$10:$BA$28,3,FALSE),IF(AND(J5="Alumínio",F5="Monofásico"),VLOOKUP(M5,'Iz''s'!$BC$10:$BJ$27,2,FALSE),IF(AND(J5="Alumínio",F5="Trifásico"),VLOOKUP(M5,'Iz''s'!$BC$10:$BJ$27,3,FALSE)))))</f>
        <v>43</v>
      </c>
      <c r="BH5" s="605" t="str">
        <f>IF(AND(J5="Cobre",F5="Monofásico"),VLOOKUP(M5,'Iz''s'!$AT$10:$BA$28,4,FALSE),IF(AND(J5="Cobre",F5="Trifásico"),VLOOKUP(M5,'Iz''s'!$AT$10:$BA$28,5,FALSE),IF(AND(J5="Alumínio",F5="Monofásico"),VLOOKUP(M5,'Iz''s'!$BC$10:$BJ$27,4,FALSE),IF(AND(J5="Alumínio",F5="Trifásico"),VLOOKUP(M5,'Iz''s'!$BC$10:$BJ$27,5,FALSE)))))</f>
        <v xml:space="preserve"> --- </v>
      </c>
      <c r="BI5" s="605" t="str">
        <f>IF(AND(J5="Cobre",F5="Monofásico"),"N/A",IF(AND(J5="Cobre",F5="Trifásico"),VLOOKUP(M5,'Iz''s'!$AT$10:$BA$28,8,FALSE),IF(AND(J5="Alumínio",F5="Monofásico"),"N/A",IF(AND(J5="Alumínio",F5="Trifásico"),VLOOKUP(M5,'Iz''s'!$BC$10:$BJ$27,8,FALSE)))))</f>
        <v xml:space="preserve"> --- </v>
      </c>
      <c r="BJ5" s="605">
        <f>IF(AND(J5="Cobre",F5="Monofásico"),VLOOKUP(M5,'Iz''s'!$G$8:$J$23,2,FALSE),IF(AND(J5="Cobre",F5="Trifásico"),VLOOKUP(M5,'Iz''s'!$Q$8:$T$23,2,FALSE),IF(AND(J5="Alumínio",F5="Monofásico"),VLOOKUP(M5,'Iz''s'!$G$25:$J$39,2,FALSE),IF(AND(J5="Alumínio",F5="Trifásico"),VLOOKUP(M5,'Iz''s'!$Q$25:$T$39,2,FALSE)))))</f>
        <v>40</v>
      </c>
      <c r="BK5" s="605">
        <f>IF(AND(J5="Cobre",F5="Monofásico"),VLOOKUP(M5,'Iz''s'!$CJ$9:$CN$24,2,FALSE),IF(AND(J5="Cobre",F5="Trifásico"),VLOOKUP(M5,'Iz''s'!$CJ$9:$CN$24,4,FALSE),IF(AND(J5="Alumínio",F5="Monofásico"),VLOOKUP(M5,'Iz''s'!$CJ$26:$CN$40,2,FALSE),IF(AND(J5="Alumínio",F5="Trifásico"),VLOOKUP(M5,'Iz''s'!$CJ$26:$CN$40,4,FALSE)))))</f>
        <v>38</v>
      </c>
      <c r="BL5" s="605">
        <f>IF(AND(J5="Cobre",F5="Monofásico"),VLOOKUP(M5,'Iz''s'!$G$8:$J$23,3,FALSE),IF(AND(J5="Cobre",F5="Trifásico"),VLOOKUP(M5,'Iz''s'!$Q$8:$T$23,3,FALSE),IF(AND(J5="Alumínio",F5="Monofásico"),VLOOKUP(M5,'Iz''s'!$G$25:$J$39,3,FALSE),IF(AND(J5="Alumínio",F5="Trifásico"),VLOOKUP(M5,'Iz''s'!$Q$25:$T$39,3,FALSE)))))</f>
        <v>48</v>
      </c>
      <c r="BM5" s="605">
        <f>IF(AND(J5="Cobre",F5="Monofásico"),VLOOKUP(M5,'Iz''s'!$CJ$9:$CN$24,3,FALSE),IF(AND(J5="Cobre",F5="Trifásico"),VLOOKUP(M5,'Iz''s'!$CJ$9:$CN$24,5,FALSE),IF(AND(J5="Alumínio",F5="Monofásico"),VLOOKUP(M5,'Iz''s'!$CJ$26:$CN$40,3,FALSE),IF(AND(J5="Alumínio",F5="Trifásico"),VLOOKUP(M5,'Iz''s'!$CJ$26:$CN$40,5,FALSE)))))</f>
        <v>44</v>
      </c>
      <c r="BN5" s="605">
        <f>IF(AND(J5="Cobre",F5="Monofásico"),VLOOKUP(M5,'Iz''s'!$G$8:$J$23,4,FALSE),IF(AND(J5="Cobre",F5="Trifásico"),VLOOKUP(M5,'Iz''s'!$Q$8:$T$23,4,FALSE),IF(AND(J5="Alumínio",F5="Monofásico"),VLOOKUP(M5,'Iz''s'!$G$25:$J$39,4,FALSE),IF(AND(J5="Alumínio",F5="Trifásico"),VLOOKUP(M5,'Iz''s'!$Q$25:$T$39,4,FALSE)))))</f>
        <v>52</v>
      </c>
      <c r="BO5" s="605">
        <f>IF(AND(J5="Cobre",F5="Monofásico"),VLOOKUP(M5,'Iz''s'!$CP$9:$CT$24,5,FALSE),IF(AND(J5="Cobre",F5="Trifásico"),VLOOKUP(M5,'Iz''s'!$CP$9:$CT$24,4,FALSE),IF(AND(J5="Alumínio",F5="Monofásico"),VLOOKUP(M5,'Iz''s'!$CP$26:$CT$37,5,FALSE),IF(AND(J5="Alumínio",F5="Trifásico"),VLOOKUP(M5,'Iz''s'!$CP$26:$CT$37,4,FALSE)))))</f>
        <v>66</v>
      </c>
      <c r="BP5" s="605">
        <f>IF(AND(J5="Cobre",F5="Monofásico"),VLOOKUP(M5,'Iz''s'!$BL$10:$BS$28,2,FALSE),IF(AND(J5="Cobre",F5="Trifásico"),VLOOKUP(M5,'Iz''s'!$BL$10:$BS$28,3,FALSE),IF(AND(J5="Alumínio",F5="Monofásico"),VLOOKUP(M5,'Iz''s'!$BU$10:$CB$27,2,FALSE),IF(AND(J5="Alumínio",F5="Trifásico"),VLOOKUP(M5,'Iz''s'!$BU$10:$CB$27,3,FALSE)))))</f>
        <v>54</v>
      </c>
      <c r="BQ5" s="605" t="str">
        <f>IF(AND(J5="Cobre",F5="Monofásico"),VLOOKUP(M5,'Iz''s'!$BL$10:$BS$28,4,FALSE),IF(AND(J5="Cobre",F5="Trifásico"),VLOOKUP(M5,'Iz''s'!$BL$10:$BS$28,5,FALSE),IF(AND(J5="Alumínio",F5="Monofásico"),VLOOKUP(M5,'Iz''s'!$BU$10:$CB$27,4,FALSE),IF(AND(J5="Alumínio",F5="Trifásico"),VLOOKUP(M5,'Iz''s'!$BU$10:$CB$27,5,FALSE)))))</f>
        <v xml:space="preserve"> --- </v>
      </c>
      <c r="BR5" s="605" t="str">
        <f>IF(AND(J5="Cobre",F5="Monofásico"),"N/A",IF(AND(J5="Cobre",F5="Trifásico"),VLOOKUP(M5,'Iz''s'!$BL$10:$BS$28,8,FALSE),IF(AND(J5="Alumínio",F5="Monofásico"),"N/A",IF(AND(J5="Alumínio",F5="Trifásico"),VLOOKUP(M5,'Iz''s'!$BU$10:$CB$27,8,FALSE)))))</f>
        <v xml:space="preserve"> --- </v>
      </c>
      <c r="BS5" s="605">
        <f>IF(AND(J5="Cobre",F5="Monofásico"),VLOOKUP(M5,'Iz''s'!$V$14:$Y$28,2,FALSE),IF(AND(J5="Cobre",F5="Trifásico"),VLOOKUP(M5,'Iz''s'!$V$14:$Y$28,3,FALSE),IF(AND(J5="Alumínio",F5="Monofásico"),VLOOKUP(M5,"N/A",4,FALSE),IF(AND(J5="Alumínio",F5="Trifásico"),VLOOKUP(M5,"N/A",4,FALSE)))))</f>
        <v>48</v>
      </c>
      <c r="BT5" s="605">
        <f>IF(AND(J5="Cobre",F5="Monofásico"),VLOOKUP(M5,'Iz''s'!$AF$15:$AK$29,2,FALSE),IF(AND(J5="Cobre",F5="Trifásico"),VLOOKUP(M5,'Iz''s'!$AF$15:$AK$29,3,FALSE),IF(AND(J5="Alumínio",F5="Monofásico"),"N/A",IF(AND(J5="Alumínio",F5="Trifásico"),"N/A"))))</f>
        <v>51</v>
      </c>
      <c r="BU5" s="605">
        <f>IF(AND(J5="Cobre",F5="Monofásico"),VLOOKUP(M5,'Iz''s'!$AF$15:$AK$29,2,FALSE),IF(AND(J5="Cobre",F5="Trifásico"),VLOOKUP(M5,'Iz''s'!$AF$15:$AK$29,3,FALSE),IF(AND(J5="Alumínio",F5="Monofásico"),"N/A",IF(AND(J5="Alumínio",F5="Trifásico"),"N/A"))))</f>
        <v>51</v>
      </c>
      <c r="BV5" s="606">
        <f>IF(AND(J5="Cobre",F5="Monofásico"),"N/A",IF(AND(J5="Cobre",F5="Trifásico"),VLOOKUP(M5,'Iz''s'!$AF$15:$AK$29,6,FALSE),IF(AND(J5="Alumínio",F5="Monofásico"),"N/A",IF(AND(J5="Alumínio",F5="Trifásico"),"N/A"))))</f>
        <v>71</v>
      </c>
      <c r="BW5" s="607">
        <v>3</v>
      </c>
      <c r="BX5" s="583"/>
      <c r="BY5" s="614">
        <f>VLOOKUP(M5,Consulta!$W$6:$AB$23,4,FALSE)</f>
        <v>20</v>
      </c>
      <c r="BZ5" s="614">
        <f>VLOOKUP(M5,Consulta!$W$6:$AB$23,6,FALSE)</f>
        <v>25</v>
      </c>
      <c r="CA5" s="614">
        <f>VLOOKUP(M5,Consulta!$AK$6:$AP$23,4,FALSE)</f>
        <v>25</v>
      </c>
      <c r="CB5" s="614">
        <f>VLOOKUP(M5,Consulta!$AK$6:$AP$23,6,FALSE)</f>
        <v>32</v>
      </c>
      <c r="CC5" s="614" t="e">
        <f>VLOOKUP(M5,Consulta!$AD$6:$AI$19,4,FALSE)</f>
        <v>#N/A</v>
      </c>
      <c r="CD5" s="614" t="e">
        <f>VLOOKUP(M5,Consulta!$AD$6:$AI$19,6,FALSE)</f>
        <v>#N/A</v>
      </c>
      <c r="CE5" s="614" t="e">
        <f>VLOOKUP(M5,Consulta!$AR$6:$AW$19,4,FALSE)</f>
        <v>#N/A</v>
      </c>
      <c r="CF5" s="615" t="e">
        <f>VLOOKUP(M5,Consulta!$AR$6:$AW$19,6,FALSE)</f>
        <v>#N/A</v>
      </c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</row>
    <row r="6" spans="1:127" s="562" customFormat="1" ht="16.5" customHeight="1" x14ac:dyDescent="0.25">
      <c r="A6" s="567"/>
      <c r="B6" s="1117"/>
      <c r="C6" s="804" t="s">
        <v>826</v>
      </c>
      <c r="D6" s="593">
        <f>SUM(D21:D34)</f>
        <v>43.360000000000014</v>
      </c>
      <c r="E6" s="594">
        <f>0.344+5.8+0.3+15.35+2.1+2</f>
        <v>25.894000000000002</v>
      </c>
      <c r="F6" s="591" t="s">
        <v>246</v>
      </c>
      <c r="G6" s="591" t="s">
        <v>808</v>
      </c>
      <c r="H6" s="591">
        <v>0.96</v>
      </c>
      <c r="I6" s="592" t="s">
        <v>13</v>
      </c>
      <c r="J6" s="591" t="s">
        <v>242</v>
      </c>
      <c r="K6" s="591" t="s">
        <v>363</v>
      </c>
      <c r="L6" s="591">
        <v>2</v>
      </c>
      <c r="M6" s="595">
        <v>10</v>
      </c>
      <c r="N6" s="591" t="s">
        <v>455</v>
      </c>
      <c r="O6" s="591">
        <v>13</v>
      </c>
      <c r="P6" s="555">
        <f t="shared" si="4"/>
        <v>120</v>
      </c>
      <c r="Q6" s="591">
        <v>5</v>
      </c>
      <c r="R6" s="591">
        <v>0.75</v>
      </c>
      <c r="S6" s="742">
        <f t="shared" ref="S6:S11" si="9">IF(F6="Monofásico",(((D6*10^3)/H6)/230),(((D6*10^3)/H6)/(SQRT(3)*400)))</f>
        <v>65.192467895995279</v>
      </c>
      <c r="T6" s="744">
        <f t="shared" si="5"/>
        <v>90</v>
      </c>
      <c r="U6" s="591" t="s">
        <v>499</v>
      </c>
      <c r="V6" s="555">
        <v>80</v>
      </c>
      <c r="W6" s="591">
        <f>IF(U6="C.C.Fusíveis",VLOOKUP(V6,Consulta!$L$5:$N$31,3,FALSE),VLOOKUP(V6,Consulta!$P$5:$R$34,3,FALSE))</f>
        <v>108</v>
      </c>
      <c r="X6" s="593">
        <f t="shared" ref="X6:X69" si="10">CEILING(1.45*P6,1)</f>
        <v>174</v>
      </c>
      <c r="Y6" s="805">
        <f>S6/T6</f>
        <v>0.72436075439994752</v>
      </c>
      <c r="Z6" s="601" t="str">
        <f t="shared" ref="Z6:Z69" si="11">IF(AND(S6&lt;=V6,V6&lt;=P6,W6&lt;=X6),"Sim","Não")</f>
        <v>Sim</v>
      </c>
      <c r="AA6" s="806">
        <f>$AA$4+SQRT($AB$4^2+$AC$4^2)</f>
        <v>4.1154827075354221E-2</v>
      </c>
      <c r="AB6" s="806">
        <f t="shared" ref="AB6:AB71" si="12">(IF(J6="Cobre",(1.25*0.0225),(1.25*0.036)))*((E6/M6)/L6)</f>
        <v>3.64134375E-2</v>
      </c>
      <c r="AC6" s="806">
        <f t="shared" si="6"/>
        <v>2.0715200000000003E-3</v>
      </c>
      <c r="AD6" s="594">
        <f t="shared" ref="AD6:AD11" si="13">$AF$4</f>
        <v>9.5511646816065734E-2</v>
      </c>
      <c r="AE6" s="594">
        <f>IF(F6="Trifásico",S6*(AB6*H6+AC6*SIN(ACOS(H6))),2*S6*(AB6*H6+AC6*SIN(ACOS(H6))))</f>
        <v>2.3167398813003728</v>
      </c>
      <c r="AF6" s="594">
        <f>AD6+AE6</f>
        <v>2.4122515281164385</v>
      </c>
      <c r="AG6" s="599">
        <f>AE6/230</f>
        <v>1.0072782092610316E-2</v>
      </c>
      <c r="AH6" s="807">
        <f t="shared" ref="AG6:AH20" si="14">AF6/230</f>
        <v>1.0488050122245384E-2</v>
      </c>
      <c r="AI6" s="594">
        <f t="shared" si="7"/>
        <v>2.9749918268207791</v>
      </c>
      <c r="AJ6" s="591">
        <v>3</v>
      </c>
      <c r="AK6" s="594">
        <v>0.1</v>
      </c>
      <c r="AL6" s="593">
        <f t="shared" si="0"/>
        <v>115</v>
      </c>
      <c r="AM6" s="594">
        <f t="shared" ref="AM6:AM11" si="15">((AI6*1000)*SQRT(AK6))/AL6</f>
        <v>8.1806523418598829</v>
      </c>
      <c r="AN6" s="601">
        <f>L6</f>
        <v>2</v>
      </c>
      <c r="AO6" s="600" t="s">
        <v>563</v>
      </c>
      <c r="AP6" s="601" t="s">
        <v>523</v>
      </c>
      <c r="AQ6" s="601" t="str">
        <f t="shared" si="2"/>
        <v>5G</v>
      </c>
      <c r="AR6" s="601">
        <f t="shared" si="3"/>
        <v>10</v>
      </c>
      <c r="AS6" s="808" t="str">
        <f t="shared" si="8"/>
        <v/>
      </c>
      <c r="AT6" s="808" t="str">
        <f>IF(OR(AQ6="3G",AQ6="5G"),"",VLOOKUP(AR6,Consulta!$T$5:$U$25,2,FALSE))</f>
        <v/>
      </c>
      <c r="AU6" s="602" t="s">
        <v>565</v>
      </c>
      <c r="AV6" s="601" t="s">
        <v>23</v>
      </c>
      <c r="AW6" s="601" t="s">
        <v>564</v>
      </c>
      <c r="AX6" s="603">
        <f t="shared" ref="AX6:AX11" si="16">IF(AND(F6="Monofásico",I6="Fio/Canalizações"),BY5,IF(AND(F6="Trifásico",I6="Fio/Canalizações"),BZ5,IF(AND(F6="Monofásico",I6="Cabo/Canalizações"),CA5,IF(AND(F6="Trifásico",I6="Cabo/Canalizações"),CB5,IF(AND(F6="Monofásico",I6="Fio/Colunas&amp;Entradas"),CC5,IF(AND(F6="Trifásico",I6="Fio/Colunas&amp;Entradas"),CD5,IF(AND(F6="Monofásico",I6="Cabo/Colunas&amp;Entradas"),CE5,IF(AND(F6="Trifásico",I6="Cabo/Colunas&amp;Entradas"),CF5))))))))</f>
        <v>32</v>
      </c>
      <c r="AY6" s="828" t="s">
        <v>24</v>
      </c>
      <c r="AZ6" s="564"/>
      <c r="BA6" s="608">
        <f>IF(AND(J6="Cobre",F6="Monofásico"),VLOOKUP(M6,'Iz''s'!$B$8:$E$23,2,FALSE),IF(AND(J6="Cobre",F6="Trifásico"),VLOOKUP(M6,'Iz''s'!$L$8:$O$23,2,FALSE),IF(AND(J6="Alumínio",F6="Monofásico"),VLOOKUP(M6,'Iz''s'!$B$25:$E$39,2,FALSE),IF(AND(J6="Alumínio",F6="Trifásico"),VLOOKUP(M6,'Iz''s'!$L$25:$O$39,2,FALSE)))))</f>
        <v>42</v>
      </c>
      <c r="BB6" s="609">
        <f>IF(AND(J6="Cobre",F6="Monofásico"),VLOOKUP(M6,'Iz''s'!$CD$9:$CH$24,2,FALSE),IF(AND(J6="Cobre",F6="Trifásico"),VLOOKUP(M6,'Iz''s'!$CD$9:$CH$24,4,FALSE),IF(AND(J6="Alumínio",F6="Monofásico"),VLOOKUP(M6,'Iz''s'!$CD$26:$CH$40,2,FALSE),IF(AND(J6="Alumínio",F6="Trifásico"),VLOOKUP(M6,'Iz''s'!$CD$26:$CH$40,4,FALSE)))))</f>
        <v>39</v>
      </c>
      <c r="BC6" s="609">
        <f>IF(AND(J6="Cobre",F6="Monofásico"),VLOOKUP(M6,'Iz''s'!$B$8:$E$23,3,FALSE),IF(AND(J6="Cobre",F6="Trifásico"),VLOOKUP(M6,'Iz''s'!$L$8:$O$23,3,FALSE),IF(AND(J6="Alumínio",F6="Monofásico"),VLOOKUP(M6,'Iz''s'!$B$25:$E$39,3,FALSE),IF(AND(J6="Alumínio",F6="Trifásico"),VLOOKUP(M6,'Iz''s'!$L$25:$O$39,3,FALSE)))))</f>
        <v>50</v>
      </c>
      <c r="BD6" s="609">
        <f>IF(AND(J6="Cobre",F6="Monofásico"),VLOOKUP(M6,'Iz''s'!$CD$9:$CH$24,3,FALSE),IF(AND(J6="Cobre",F6="Trifásico"),VLOOKUP(M6,'Iz''s'!$CD$9:$CH$24,5,FALSE),IF(AND(J6="Alumínio",F6="Monofásico"),VLOOKUP(M6,'Iz''s'!$CD$26:$CH$40,3,FALSE),IF(AND(J6="Alumínio",F6="Trifásico"),VLOOKUP(M6,'Iz''s'!$CD$26:$CH$40,5,FALSE)))))</f>
        <v>46</v>
      </c>
      <c r="BE6" s="609">
        <f>IF(AND(J6="Cobre",F6="Monofásico"),VLOOKUP(M6,'Iz''s'!$B$8:$E$23,4,FALSE),IF(AND(J6="Cobre",F6="Trifásico"),VLOOKUP(M6,'Iz''s'!$L$8:$O$23,4,FALSE),IF(AND(J6="Alumínio",F6="Monofásico"),VLOOKUP(M6,'Iz''s'!$B$25:$E$39,4,FALSE),IF(AND(J6="Alumínio",F6="Trifásico"),VLOOKUP(M6,'Iz''s'!$L$25:$O$39,4,FALSE)))))</f>
        <v>57</v>
      </c>
      <c r="BF6" s="609">
        <f>IF(AND(J6="Cobre",F6="Monofásico"),VLOOKUP(M6,'Iz''s'!$CP$9:$CT$24,3,FALSE),IF(AND(J6="Cobre",F6="Trifásico"),VLOOKUP(M6,'Iz''s'!$CP$9:$CT$24,2,FALSE),IF(AND(J6="Alumínio",F6="Monofásico"),VLOOKUP(M6,'Iz''s'!$CP$26:$CT$37,3,FALSE),IF(AND(J6="Alumínio",F6="Trifásico"),VLOOKUP(M6,'Iz''s'!$CP$26:$CT$37,2,FALSE)))))</f>
        <v>74</v>
      </c>
      <c r="BG6" s="609">
        <f>IF(AND(J6="Cobre",F6="Monofásico"),VLOOKUP(M6,'Iz''s'!$AT$10:$BA$28,2,FALSE),IF(AND(J6="Cobre",F6="Trifásico"),VLOOKUP(M6,'Iz''s'!$AT$10:$BA$28,3,FALSE),IF(AND(J6="Alumínio",F6="Monofásico"),VLOOKUP(M6,'Iz''s'!$BC$10:$BJ$27,2,FALSE),IF(AND(J6="Alumínio",F6="Trifásico"),VLOOKUP(M6,'Iz''s'!$BC$10:$BJ$27,3,FALSE)))))</f>
        <v>60</v>
      </c>
      <c r="BH6" s="609" t="str">
        <f>IF(AND(J6="Cobre",F6="Monofásico"),VLOOKUP(M6,'Iz''s'!$AT$10:$BA$28,4,FALSE),IF(AND(J6="Cobre",F6="Trifásico"),VLOOKUP(M6,'Iz''s'!$AT$10:$BA$28,5,FALSE),IF(AND(J6="Alumínio",F6="Monofásico"),VLOOKUP(M6,'Iz''s'!$BC$10:$BJ$27,4,FALSE),IF(AND(J6="Alumínio",F6="Trifásico"),VLOOKUP(M6,'Iz''s'!$BC$10:$BJ$27,5,FALSE)))))</f>
        <v xml:space="preserve"> --- </v>
      </c>
      <c r="BI6" s="609" t="str">
        <f>IF(AND(J6="Cobre",F6="Monofásico"),"N/A",IF(AND(J6="Cobre",F6="Trifásico"),VLOOKUP(M6,'Iz''s'!$AT$10:$BA$28,8,FALSE),IF(AND(J6="Alumínio",F6="Monofásico"),"N/A",IF(AND(J6="Alumínio",F6="Trifásico"),VLOOKUP(M6,'Iz''s'!$BC$10:$BJ$27,8,FALSE)))))</f>
        <v xml:space="preserve"> --- </v>
      </c>
      <c r="BJ6" s="609">
        <f>IF(AND(J6="Cobre",F6="Monofásico"),VLOOKUP(M6,'Iz''s'!$G$8:$J$23,2,FALSE),IF(AND(J6="Cobre",F6="Trifásico"),VLOOKUP(M6,'Iz''s'!$Q$8:$T$23,2,FALSE),IF(AND(J6="Alumínio",F6="Monofásico"),VLOOKUP(M6,'Iz''s'!$G$25:$J$39,2,FALSE),IF(AND(J6="Alumínio",F6="Trifásico"),VLOOKUP(M6,'Iz''s'!$Q$25:$T$39,2,FALSE)))))</f>
        <v>54</v>
      </c>
      <c r="BK6" s="609">
        <f>IF(AND(J6="Cobre",F6="Monofásico"),VLOOKUP(M6,'Iz''s'!$CJ$9:$CN$24,2,FALSE),IF(AND(J6="Cobre",F6="Trifásico"),VLOOKUP(M6,'Iz''s'!$CJ$9:$CN$24,4,FALSE),IF(AND(J6="Alumínio",F6="Monofásico"),VLOOKUP(M6,'Iz''s'!$CJ$26:$CN$40,2,FALSE),IF(AND(J6="Alumínio",F6="Trifásico"),VLOOKUP(M6,'Iz''s'!$CJ$26:$CN$40,4,FALSE)))))</f>
        <v>51</v>
      </c>
      <c r="BL6" s="609">
        <f>IF(AND(J6="Cobre",F6="Monofásico"),VLOOKUP(M6,'Iz''s'!$G$8:$J$23,3,FALSE),IF(AND(J6="Cobre",F6="Trifásico"),VLOOKUP(M6,'Iz''s'!$Q$8:$T$23,3,FALSE),IF(AND(J6="Alumínio",F6="Monofásico"),VLOOKUP(M6,'Iz''s'!$G$25:$J$39,3,FALSE),IF(AND(J6="Alumínio",F6="Trifásico"),VLOOKUP(M6,'Iz''s'!$Q$25:$T$39,3,FALSE)))))</f>
        <v>66</v>
      </c>
      <c r="BM6" s="609">
        <f>IF(AND(J6="Cobre",F6="Monofásico"),VLOOKUP(M6,'Iz''s'!$CJ$9:$CN$24,3,FALSE),IF(AND(J6="Cobre",F6="Trifásico"),VLOOKUP(M6,'Iz''s'!$CJ$9:$CN$24,5,FALSE),IF(AND(J6="Alumínio",F6="Monofásico"),VLOOKUP(M6,'Iz''s'!$CJ$26:$CN$40,3,FALSE),IF(AND(J6="Alumínio",F6="Trifásico"),VLOOKUP(M6,'Iz''s'!$CJ$26:$CN$40,5,FALSE)))))</f>
        <v>60</v>
      </c>
      <c r="BN6" s="609">
        <f>IF(AND(J6="Cobre",F6="Monofásico"),VLOOKUP(M6,'Iz''s'!$G$8:$J$23,4,FALSE),IF(AND(J6="Cobre",F6="Trifásico"),VLOOKUP(M6,'Iz''s'!$Q$8:$T$23,4,FALSE),IF(AND(J6="Alumínio",F6="Monofásico"),VLOOKUP(M6,'Iz''s'!$G$25:$J$39,4,FALSE),IF(AND(J6="Alumínio",F6="Trifásico"),VLOOKUP(M6,'Iz''s'!$Q$25:$T$39,4,FALSE)))))</f>
        <v>71</v>
      </c>
      <c r="BO6" s="609">
        <f>IF(AND(J6="Cobre",F6="Monofásico"),VLOOKUP(M6,'Iz''s'!$CP$9:$CT$24,5,FALSE),IF(AND(J6="Cobre",F6="Trifásico"),VLOOKUP(M6,'Iz''s'!$CP$9:$CT$24,4,FALSE),IF(AND(J6="Alumínio",F6="Monofásico"),VLOOKUP(M6,'Iz''s'!$CP$26:$CT$37,5,FALSE),IF(AND(J6="Alumínio",F6="Trifásico"),VLOOKUP(M6,'Iz''s'!$CP$26:$CT$37,4,FALSE)))))</f>
        <v>87</v>
      </c>
      <c r="BP6" s="609">
        <f>IF(AND(J6="Cobre",F6="Monofásico"),VLOOKUP(M6,'Iz''s'!$BL$10:$BS$28,2,FALSE),IF(AND(J6="Cobre",F6="Trifásico"),VLOOKUP(M6,'Iz''s'!$BL$10:$BS$28,3,FALSE),IF(AND(J6="Alumínio",F6="Monofásico"),VLOOKUP(M6,'Iz''s'!$BU$10:$CB$27,2,FALSE),IF(AND(J6="Alumínio",F6="Trifásico"),VLOOKUP(M6,'Iz''s'!$BU$10:$CB$27,3,FALSE)))))</f>
        <v>75</v>
      </c>
      <c r="BQ6" s="609" t="str">
        <f>IF(AND(J6="Cobre",F6="Monofásico"),VLOOKUP(M6,'Iz''s'!$BL$10:$BS$28,4,FALSE),IF(AND(J6="Cobre",F6="Trifásico"),VLOOKUP(M6,'Iz''s'!$BL$10:$BS$28,5,FALSE),IF(AND(J6="Alumínio",F6="Monofásico"),VLOOKUP(M6,'Iz''s'!$BU$10:$CB$27,4,FALSE),IF(AND(J6="Alumínio",F6="Trifásico"),VLOOKUP(M6,'Iz''s'!$BU$10:$CB$27,5,FALSE)))))</f>
        <v xml:space="preserve"> --- </v>
      </c>
      <c r="BR6" s="609" t="str">
        <f>IF(AND(J6="Cobre",F6="Monofásico"),"N/A",IF(AND(J6="Cobre",F6="Trifásico"),VLOOKUP(M6,'Iz''s'!$BL$10:$BS$28,8,FALSE),IF(AND(J6="Alumínio",F6="Monofásico"),"N/A",IF(AND(J6="Alumínio",F6="Trifásico"),VLOOKUP(M6,'Iz''s'!$BU$10:$CB$27,8,FALSE)))))</f>
        <v xml:space="preserve"> --- </v>
      </c>
      <c r="BS6" s="609">
        <f>IF(AND(J6="Cobre",F6="Monofásico"),VLOOKUP(M6,'Iz''s'!$V$14:$Y$28,2,FALSE),IF(AND(J6="Cobre",F6="Trifásico"),VLOOKUP(M6,'Iz''s'!$V$14:$Y$28,3,FALSE),IF(AND(J6="Alumínio",F6="Monofásico"),VLOOKUP(M6,"N/A",4,FALSE),IF(AND(J6="Alumínio",F6="Trifásico"),VLOOKUP(M6,"N/A",4,FALSE)))))</f>
        <v>65</v>
      </c>
      <c r="BT6" s="609">
        <f>IF(AND(J6="Cobre",F6="Monofásico"),VLOOKUP(M6,'Iz''s'!$AF$15:$AK$29,2,FALSE),IF(AND(J6="Cobre",F6="Trifásico"),VLOOKUP(M6,'Iz''s'!$AF$15:$AK$29,3,FALSE),IF(AND(J6="Alumínio",F6="Monofásico"),"N/A",IF(AND(J6="Alumínio",F6="Trifásico"),"N/A"))))</f>
        <v>69</v>
      </c>
      <c r="BU6" s="609">
        <f>IF(AND(J6="Cobre",F6="Monofásico"),VLOOKUP(M6,'Iz''s'!$AF$15:$AK$29,2,FALSE),IF(AND(J6="Cobre",F6="Trifásico"),VLOOKUP(M6,'Iz''s'!$AF$15:$AK$29,3,FALSE),IF(AND(J6="Alumínio",F6="Monofásico"),"N/A",IF(AND(J6="Alumínio",F6="Trifásico"),"N/A"))))</f>
        <v>69</v>
      </c>
      <c r="BV6" s="610">
        <f>IF(AND(J6="Cobre",F6="Monofásico"),"N/A",IF(AND(J6="Cobre",F6="Trifásico"),VLOOKUP(M6,'Iz''s'!$AF$15:$AK$29,6,FALSE),IF(AND(J6="Alumínio",F6="Monofásico"),"N/A",IF(AND(J6="Alumínio",F6="Trifásico"),"N/A"))))</f>
        <v>95</v>
      </c>
      <c r="BW6" s="611">
        <v>4</v>
      </c>
      <c r="BX6" s="583"/>
      <c r="BY6" s="612">
        <f>VLOOKUP(M6,Consulta!$W$6:$AB$23,4,FALSE)</f>
        <v>25</v>
      </c>
      <c r="BZ6" s="612">
        <f>VLOOKUP(M6,Consulta!$W$6:$AB$23,6,FALSE)</f>
        <v>32</v>
      </c>
      <c r="CA6" s="612">
        <f>VLOOKUP(M6,Consulta!$AK$6:$AP$23,4,FALSE)</f>
        <v>32</v>
      </c>
      <c r="CB6" s="612">
        <f>VLOOKUP(M6,Consulta!$AK$6:$AP$23,6,FALSE)</f>
        <v>32</v>
      </c>
      <c r="CC6" s="612">
        <f>VLOOKUP(M6,Consulta!$AD$6:$AI$19,4,FALSE)</f>
        <v>32</v>
      </c>
      <c r="CD6" s="612">
        <f>VLOOKUP(M6,Consulta!$AD$6:$AI$19,6,FALSE)</f>
        <v>40</v>
      </c>
      <c r="CE6" s="612">
        <f>VLOOKUP(M6,Consulta!$AR$6:$AW$19,4,FALSE)</f>
        <v>50</v>
      </c>
      <c r="CF6" s="613">
        <f>VLOOKUP(M6,Consulta!$AR$6:$AW$19,6,FALSE)</f>
        <v>50</v>
      </c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</row>
    <row r="7" spans="1:127" s="552" customFormat="1" ht="16.5" customHeight="1" x14ac:dyDescent="0.25">
      <c r="A7" s="568"/>
      <c r="B7" s="1117"/>
      <c r="C7" s="804" t="s">
        <v>827</v>
      </c>
      <c r="D7" s="591">
        <f>SUM(D35:D49)</f>
        <v>31.803000000000008</v>
      </c>
      <c r="E7" s="594">
        <f>0.6516+0.736</f>
        <v>1.3875999999999999</v>
      </c>
      <c r="F7" s="591" t="s">
        <v>246</v>
      </c>
      <c r="G7" s="591" t="s">
        <v>808</v>
      </c>
      <c r="H7" s="591">
        <v>0.96</v>
      </c>
      <c r="I7" s="592" t="s">
        <v>13</v>
      </c>
      <c r="J7" s="591" t="s">
        <v>242</v>
      </c>
      <c r="K7" s="591" t="s">
        <v>363</v>
      </c>
      <c r="L7" s="591">
        <v>2</v>
      </c>
      <c r="M7" s="595">
        <v>6</v>
      </c>
      <c r="N7" s="591" t="s">
        <v>455</v>
      </c>
      <c r="O7" s="591">
        <v>13</v>
      </c>
      <c r="P7" s="555">
        <f t="shared" si="4"/>
        <v>86</v>
      </c>
      <c r="Q7" s="591">
        <v>5</v>
      </c>
      <c r="R7" s="591">
        <v>0.75</v>
      </c>
      <c r="S7" s="742">
        <f t="shared" si="9"/>
        <v>47.816329716243942</v>
      </c>
      <c r="T7" s="744">
        <f t="shared" si="5"/>
        <v>64.5</v>
      </c>
      <c r="U7" s="591" t="s">
        <v>499</v>
      </c>
      <c r="V7" s="555">
        <v>63</v>
      </c>
      <c r="W7" s="591">
        <f>IF(U7="C.C.Fusíveis",VLOOKUP(V7,Consulta!$L$5:$N$31,3,FALSE),VLOOKUP(V7,Consulta!$P$5:$R$34,3,FALSE))</f>
        <v>85</v>
      </c>
      <c r="X7" s="593">
        <f t="shared" si="10"/>
        <v>125</v>
      </c>
      <c r="Y7" s="805">
        <f>S7/T7</f>
        <v>0.74133844521308434</v>
      </c>
      <c r="Z7" s="601" t="str">
        <f t="shared" si="11"/>
        <v>Sim</v>
      </c>
      <c r="AA7" s="806">
        <f>$AA$4+SQRT($AB$4^2+$AC$4^2)</f>
        <v>4.1154827075354221E-2</v>
      </c>
      <c r="AB7" s="806">
        <f t="shared" si="12"/>
        <v>3.2521874999999994E-3</v>
      </c>
      <c r="AC7" s="806">
        <f t="shared" si="6"/>
        <v>0</v>
      </c>
      <c r="AD7" s="594">
        <f t="shared" si="13"/>
        <v>9.5511646816065734E-2</v>
      </c>
      <c r="AE7" s="594">
        <f t="shared" ref="AE7:AE71" si="17">IF(F7="Trifásico",S7*(AB7*H7+AC7*SIN(ACOS(H7))),2*S7*(AB7*H7+AC7*SIN(ACOS(H7))))</f>
        <v>0.14928736300708517</v>
      </c>
      <c r="AF7" s="594">
        <f t="shared" ref="AF7:AF71" si="18">AD7+AE7</f>
        <v>0.24479900982315089</v>
      </c>
      <c r="AG7" s="599">
        <f>AE7/230</f>
        <v>6.4907549133515294E-4</v>
      </c>
      <c r="AH7" s="807">
        <f t="shared" si="14"/>
        <v>1.0643435209702213E-3</v>
      </c>
      <c r="AI7" s="594">
        <f t="shared" si="7"/>
        <v>5.2005321655651562</v>
      </c>
      <c r="AJ7" s="591">
        <v>3</v>
      </c>
      <c r="AK7" s="594">
        <v>0.1</v>
      </c>
      <c r="AL7" s="593">
        <f t="shared" si="0"/>
        <v>115</v>
      </c>
      <c r="AM7" s="594">
        <f t="shared" si="15"/>
        <v>14.300457989698936</v>
      </c>
      <c r="AN7" s="601">
        <f t="shared" si="1"/>
        <v>2</v>
      </c>
      <c r="AO7" s="600" t="s">
        <v>563</v>
      </c>
      <c r="AP7" s="601" t="s">
        <v>523</v>
      </c>
      <c r="AQ7" s="601" t="str">
        <f t="shared" si="2"/>
        <v>5G</v>
      </c>
      <c r="AR7" s="601">
        <f t="shared" si="3"/>
        <v>6</v>
      </c>
      <c r="AS7" s="808" t="str">
        <f t="shared" si="8"/>
        <v/>
      </c>
      <c r="AT7" s="808" t="str">
        <f>IF(OR(AQ7="3G",AQ7="5G"),"",VLOOKUP(AR7,Consulta!$T$5:$U$25,2,FALSE))</f>
        <v/>
      </c>
      <c r="AU7" s="602" t="s">
        <v>565</v>
      </c>
      <c r="AV7" s="601" t="s">
        <v>23</v>
      </c>
      <c r="AW7" s="601" t="s">
        <v>564</v>
      </c>
      <c r="AX7" s="603">
        <f t="shared" si="16"/>
        <v>32</v>
      </c>
      <c r="AY7" s="828" t="s">
        <v>24</v>
      </c>
      <c r="AZ7" s="564"/>
      <c r="BA7" s="608">
        <f>IF(AND(J7="Cobre",F7="Monofásico"),VLOOKUP(M7,'Iz''s'!$B$8:$E$23,2,FALSE),IF(AND(J7="Cobre",F7="Trifásico"),VLOOKUP(M7,'Iz''s'!$L$8:$O$23,2,FALSE),IF(AND(J7="Alumínio",F7="Monofásico"),VLOOKUP(M7,'Iz''s'!$B$25:$E$39,2,FALSE),IF(AND(J7="Alumínio",F7="Trifásico"),VLOOKUP(M7,'Iz''s'!$L$25:$O$39,2,FALSE)))))</f>
        <v>31</v>
      </c>
      <c r="BB7" s="609">
        <f>IF(AND(J7="Cobre",F7="Monofásico"),VLOOKUP(M7,'Iz''s'!$CD$9:$CH$24,2,FALSE),IF(AND(J7="Cobre",F7="Trifásico"),VLOOKUP(M7,'Iz''s'!$CD$9:$CH$24,4,FALSE),IF(AND(J7="Alumínio",F7="Monofásico"),VLOOKUP(M7,'Iz''s'!$CD$26:$CH$40,2,FALSE),IF(AND(J7="Alumínio",F7="Trifásico"),VLOOKUP(M7,'Iz''s'!$CD$26:$CH$40,4,FALSE)))))</f>
        <v>29</v>
      </c>
      <c r="BC7" s="609">
        <f>IF(AND(J7="Cobre",F7="Monofásico"),VLOOKUP(M7,'Iz''s'!$B$8:$E$23,3,FALSE),IF(AND(J7="Cobre",F7="Trifásico"),VLOOKUP(M7,'Iz''s'!$L$8:$O$23,3,FALSE),IF(AND(J7="Alumínio",F7="Monofásico"),VLOOKUP(M7,'Iz''s'!$B$25:$E$39,3,FALSE),IF(AND(J7="Alumínio",F7="Trifásico"),VLOOKUP(M7,'Iz''s'!$L$25:$O$39,3,FALSE)))))</f>
        <v>36</v>
      </c>
      <c r="BD7" s="609">
        <f>IF(AND(J7="Cobre",F7="Monofásico"),VLOOKUP(M7,'Iz''s'!$CD$9:$CH$24,3,FALSE),IF(AND(J7="Cobre",F7="Trifásico"),VLOOKUP(M7,'Iz''s'!$CD$9:$CH$24,5,FALSE),IF(AND(J7="Alumínio",F7="Monofásico"),VLOOKUP(M7,'Iz''s'!$CD$26:$CH$40,3,FALSE),IF(AND(J7="Alumínio",F7="Trifásico"),VLOOKUP(M7,'Iz''s'!$CD$26:$CH$40,5,FALSE)))))</f>
        <v>34</v>
      </c>
      <c r="BE7" s="609">
        <f>IF(AND(J7="Cobre",F7="Monofásico"),VLOOKUP(M7,'Iz''s'!$B$8:$E$23,4,FALSE),IF(AND(J7="Cobre",F7="Trifásico"),VLOOKUP(M7,'Iz''s'!$L$8:$O$23,4,FALSE),IF(AND(J7="Alumínio",F7="Monofásico"),VLOOKUP(M7,'Iz''s'!$B$25:$E$39,4,FALSE),IF(AND(J7="Alumínio",F7="Trifásico"),VLOOKUP(M7,'Iz''s'!$L$25:$O$39,4,FALSE)))))</f>
        <v>41</v>
      </c>
      <c r="BF7" s="609">
        <f>IF(AND(J7="Cobre",F7="Monofásico"),VLOOKUP(M7,'Iz''s'!$CP$9:$CT$24,3,FALSE),IF(AND(J7="Cobre",F7="Trifásico"),VLOOKUP(M7,'Iz''s'!$CP$9:$CT$24,2,FALSE),IF(AND(J7="Alumínio",F7="Monofásico"),VLOOKUP(M7,'Iz''s'!$CP$26:$CT$37,3,FALSE),IF(AND(J7="Alumínio",F7="Trifásico"),VLOOKUP(M7,'Iz''s'!$CP$26:$CT$37,2,FALSE)))))</f>
        <v>56</v>
      </c>
      <c r="BG7" s="609">
        <f>IF(AND(J7="Cobre",F7="Monofásico"),VLOOKUP(M7,'Iz''s'!$AT$10:$BA$28,2,FALSE),IF(AND(J7="Cobre",F7="Trifásico"),VLOOKUP(M7,'Iz''s'!$AT$10:$BA$28,3,FALSE),IF(AND(J7="Alumínio",F7="Monofásico"),VLOOKUP(M7,'Iz''s'!$BC$10:$BJ$27,2,FALSE),IF(AND(J7="Alumínio",F7="Trifásico"),VLOOKUP(M7,'Iz''s'!$BC$10:$BJ$27,3,FALSE)))))</f>
        <v>43</v>
      </c>
      <c r="BH7" s="609" t="str">
        <f>IF(AND(J7="Cobre",F7="Monofásico"),VLOOKUP(M7,'Iz''s'!$AT$10:$BA$28,4,FALSE),IF(AND(J7="Cobre",F7="Trifásico"),VLOOKUP(M7,'Iz''s'!$AT$10:$BA$28,5,FALSE),IF(AND(J7="Alumínio",F7="Monofásico"),VLOOKUP(M7,'Iz''s'!$BC$10:$BJ$27,4,FALSE),IF(AND(J7="Alumínio",F7="Trifásico"),VLOOKUP(M7,'Iz''s'!$BC$10:$BJ$27,5,FALSE)))))</f>
        <v xml:space="preserve"> --- </v>
      </c>
      <c r="BI7" s="609" t="str">
        <f>IF(AND(J7="Cobre",F7="Monofásico"),"N/A",IF(AND(J7="Cobre",F7="Trifásico"),VLOOKUP(M7,'Iz''s'!$AT$10:$BA$28,8,FALSE),IF(AND(J7="Alumínio",F7="Monofásico"),"N/A",IF(AND(J7="Alumínio",F7="Trifásico"),VLOOKUP(M7,'Iz''s'!$BC$10:$BJ$27,8,FALSE)))))</f>
        <v xml:space="preserve"> --- </v>
      </c>
      <c r="BJ7" s="609">
        <f>IF(AND(J7="Cobre",F7="Monofásico"),VLOOKUP(M7,'Iz''s'!$G$8:$J$23,2,FALSE),IF(AND(J7="Cobre",F7="Trifásico"),VLOOKUP(M7,'Iz''s'!$Q$8:$T$23,2,FALSE),IF(AND(J7="Alumínio",F7="Monofásico"),VLOOKUP(M7,'Iz''s'!$G$25:$J$39,2,FALSE),IF(AND(J7="Alumínio",F7="Trifásico"),VLOOKUP(M7,'Iz''s'!$Q$25:$T$39,2,FALSE)))))</f>
        <v>40</v>
      </c>
      <c r="BK7" s="609">
        <f>IF(AND(J7="Cobre",F7="Monofásico"),VLOOKUP(M7,'Iz''s'!$CJ$9:$CN$24,2,FALSE),IF(AND(J7="Cobre",F7="Trifásico"),VLOOKUP(M7,'Iz''s'!$CJ$9:$CN$24,4,FALSE),IF(AND(J7="Alumínio",F7="Monofásico"),VLOOKUP(M7,'Iz''s'!$CJ$26:$CN$40,2,FALSE),IF(AND(J7="Alumínio",F7="Trifásico"),VLOOKUP(M7,'Iz''s'!$CJ$26:$CN$40,4,FALSE)))))</f>
        <v>38</v>
      </c>
      <c r="BL7" s="609">
        <f>IF(AND(J7="Cobre",F7="Monofásico"),VLOOKUP(M7,'Iz''s'!$G$8:$J$23,3,FALSE),IF(AND(J7="Cobre",F7="Trifásico"),VLOOKUP(M7,'Iz''s'!$Q$8:$T$23,3,FALSE),IF(AND(J7="Alumínio",F7="Monofásico"),VLOOKUP(M7,'Iz''s'!$G$25:$J$39,3,FALSE),IF(AND(J7="Alumínio",F7="Trifásico"),VLOOKUP(M7,'Iz''s'!$Q$25:$T$39,3,FALSE)))))</f>
        <v>48</v>
      </c>
      <c r="BM7" s="609">
        <f>IF(AND(J7="Cobre",F7="Monofásico"),VLOOKUP(M7,'Iz''s'!$CJ$9:$CN$24,3,FALSE),IF(AND(J7="Cobre",F7="Trifásico"),VLOOKUP(M7,'Iz''s'!$CJ$9:$CN$24,5,FALSE),IF(AND(J7="Alumínio",F7="Monofásico"),VLOOKUP(M7,'Iz''s'!$CJ$26:$CN$40,3,FALSE),IF(AND(J7="Alumínio",F7="Trifásico"),VLOOKUP(M7,'Iz''s'!$CJ$26:$CN$40,5,FALSE)))))</f>
        <v>44</v>
      </c>
      <c r="BN7" s="609">
        <f>IF(AND(J7="Cobre",F7="Monofásico"),VLOOKUP(M7,'Iz''s'!$G$8:$J$23,4,FALSE),IF(AND(J7="Cobre",F7="Trifásico"),VLOOKUP(M7,'Iz''s'!$Q$8:$T$23,4,FALSE),IF(AND(J7="Alumínio",F7="Monofásico"),VLOOKUP(M7,'Iz''s'!$G$25:$J$39,4,FALSE),IF(AND(J7="Alumínio",F7="Trifásico"),VLOOKUP(M7,'Iz''s'!$Q$25:$T$39,4,FALSE)))))</f>
        <v>52</v>
      </c>
      <c r="BO7" s="609">
        <f>IF(AND(J7="Cobre",F7="Monofásico"),VLOOKUP(M7,'Iz''s'!$CP$9:$CT$24,5,FALSE),IF(AND(J7="Cobre",F7="Trifásico"),VLOOKUP(M7,'Iz''s'!$CP$9:$CT$24,4,FALSE),IF(AND(J7="Alumínio",F7="Monofásico"),VLOOKUP(M7,'Iz''s'!$CP$26:$CT$37,5,FALSE),IF(AND(J7="Alumínio",F7="Trifásico"),VLOOKUP(M7,'Iz''s'!$CP$26:$CT$37,4,FALSE)))))</f>
        <v>66</v>
      </c>
      <c r="BP7" s="609">
        <f>IF(AND(J7="Cobre",F7="Monofásico"),VLOOKUP(M7,'Iz''s'!$BL$10:$BS$28,2,FALSE),IF(AND(J7="Cobre",F7="Trifásico"),VLOOKUP(M7,'Iz''s'!$BL$10:$BS$28,3,FALSE),IF(AND(J7="Alumínio",F7="Monofásico"),VLOOKUP(M7,'Iz''s'!$BU$10:$CB$27,2,FALSE),IF(AND(J7="Alumínio",F7="Trifásico"),VLOOKUP(M7,'Iz''s'!$BU$10:$CB$27,3,FALSE)))))</f>
        <v>54</v>
      </c>
      <c r="BQ7" s="609" t="str">
        <f>IF(AND(J7="Cobre",F7="Monofásico"),VLOOKUP(M7,'Iz''s'!$BL$10:$BS$28,4,FALSE),IF(AND(J7="Cobre",F7="Trifásico"),VLOOKUP(M7,'Iz''s'!$BL$10:$BS$28,5,FALSE),IF(AND(J7="Alumínio",F7="Monofásico"),VLOOKUP(M7,'Iz''s'!$BU$10:$CB$27,4,FALSE),IF(AND(J7="Alumínio",F7="Trifásico"),VLOOKUP(M7,'Iz''s'!$BU$10:$CB$27,5,FALSE)))))</f>
        <v xml:space="preserve"> --- </v>
      </c>
      <c r="BR7" s="609" t="str">
        <f>IF(AND(J7="Cobre",F7="Monofásico"),"N/A",IF(AND(J7="Cobre",F7="Trifásico"),VLOOKUP(M7,'Iz''s'!$BL$10:$BS$28,8,FALSE),IF(AND(J7="Alumínio",F7="Monofásico"),"N/A",IF(AND(J7="Alumínio",F7="Trifásico"),VLOOKUP(M7,'Iz''s'!$BU$10:$CB$27,8,FALSE)))))</f>
        <v xml:space="preserve"> --- </v>
      </c>
      <c r="BS7" s="609">
        <f>IF(AND(J7="Cobre",F7="Monofásico"),VLOOKUP(M7,'Iz''s'!$V$14:$Y$28,2,FALSE),IF(AND(J7="Cobre",F7="Trifásico"),VLOOKUP(M7,'Iz''s'!$V$14:$Y$28,3,FALSE),IF(AND(J7="Alumínio",F7="Monofásico"),VLOOKUP(M7,"N/A",4,FALSE),IF(AND(J7="Alumínio",F7="Trifásico"),VLOOKUP(M7,"N/A",4,FALSE)))))</f>
        <v>48</v>
      </c>
      <c r="BT7" s="609">
        <f>IF(AND(J7="Cobre",F7="Monofásico"),VLOOKUP(M7,'Iz''s'!$AF$15:$AK$29,2,FALSE),IF(AND(J7="Cobre",F7="Trifásico"),VLOOKUP(M7,'Iz''s'!$AF$15:$AK$29,3,FALSE),IF(AND(J7="Alumínio",F7="Monofásico"),"N/A",IF(AND(J7="Alumínio",F7="Trifásico"),"N/A"))))</f>
        <v>51</v>
      </c>
      <c r="BU7" s="609">
        <f>IF(AND(J7="Cobre",F7="Monofásico"),VLOOKUP(M7,'Iz''s'!$AF$15:$AK$29,2,FALSE),IF(AND(J7="Cobre",F7="Trifásico"),VLOOKUP(M7,'Iz''s'!$AF$15:$AK$29,3,FALSE),IF(AND(J7="Alumínio",F7="Monofásico"),"N/A",IF(AND(J7="Alumínio",F7="Trifásico"),"N/A"))))</f>
        <v>51</v>
      </c>
      <c r="BV7" s="610">
        <f>IF(AND(J7="Cobre",F7="Monofásico"),"N/A",IF(AND(J7="Cobre",F7="Trifásico"),VLOOKUP(M7,'Iz''s'!$AF$15:$AK$29,6,FALSE),IF(AND(J7="Alumínio",F7="Monofásico"),"N/A",IF(AND(J7="Alumínio",F7="Trifásico"),"N/A"))))</f>
        <v>71</v>
      </c>
      <c r="BW7" s="611">
        <v>5</v>
      </c>
      <c r="BX7" s="583"/>
      <c r="BY7" s="612">
        <f>VLOOKUP(M7,Consulta!$W$6:$AB$23,4,FALSE)</f>
        <v>20</v>
      </c>
      <c r="BZ7" s="612">
        <f>VLOOKUP(M7,Consulta!$W$6:$AB$23,6,FALSE)</f>
        <v>25</v>
      </c>
      <c r="CA7" s="612">
        <f>VLOOKUP(M7,Consulta!$AK$6:$AP$23,4,FALSE)</f>
        <v>25</v>
      </c>
      <c r="CB7" s="612">
        <f>VLOOKUP(M7,Consulta!$AK$6:$AP$23,6,FALSE)</f>
        <v>32</v>
      </c>
      <c r="CC7" s="612" t="e">
        <f>VLOOKUP(M7,Consulta!$AD$6:$AI$19,4,FALSE)</f>
        <v>#N/A</v>
      </c>
      <c r="CD7" s="612" t="e">
        <f>VLOOKUP(M7,Consulta!$AD$6:$AI$19,6,FALSE)</f>
        <v>#N/A</v>
      </c>
      <c r="CE7" s="612" t="e">
        <f>VLOOKUP(M7,Consulta!$AR$6:$AW$19,4,FALSE)</f>
        <v>#N/A</v>
      </c>
      <c r="CF7" s="613" t="e">
        <f>VLOOKUP(M7,Consulta!$AR$6:$AW$19,6,FALSE)</f>
        <v>#N/A</v>
      </c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</row>
    <row r="8" spans="1:127" s="552" customFormat="1" ht="16.5" customHeight="1" x14ac:dyDescent="0.25">
      <c r="A8" s="568"/>
      <c r="B8" s="1117"/>
      <c r="C8" s="804" t="s">
        <v>828</v>
      </c>
      <c r="D8" s="591">
        <f>SUM(D50:D59)+D9</f>
        <v>35.164000000000001</v>
      </c>
      <c r="E8" s="591">
        <f>4.8+15.35+2.1+0.5516</f>
        <v>22.801600000000001</v>
      </c>
      <c r="F8" s="591" t="s">
        <v>246</v>
      </c>
      <c r="G8" s="591" t="s">
        <v>808</v>
      </c>
      <c r="H8" s="591">
        <v>0.96</v>
      </c>
      <c r="I8" s="592" t="s">
        <v>13</v>
      </c>
      <c r="J8" s="591" t="s">
        <v>242</v>
      </c>
      <c r="K8" s="591" t="s">
        <v>363</v>
      </c>
      <c r="L8" s="591">
        <v>2</v>
      </c>
      <c r="M8" s="595">
        <v>6</v>
      </c>
      <c r="N8" s="591" t="s">
        <v>455</v>
      </c>
      <c r="O8" s="591">
        <v>13</v>
      </c>
      <c r="P8" s="555">
        <f t="shared" si="4"/>
        <v>86</v>
      </c>
      <c r="Q8" s="591">
        <v>5</v>
      </c>
      <c r="R8" s="591">
        <v>0.75</v>
      </c>
      <c r="S8" s="742">
        <f t="shared" si="9"/>
        <v>52.869648087979179</v>
      </c>
      <c r="T8" s="744">
        <f t="shared" si="5"/>
        <v>64.5</v>
      </c>
      <c r="U8" s="591" t="s">
        <v>499</v>
      </c>
      <c r="V8" s="555">
        <v>63</v>
      </c>
      <c r="W8" s="591">
        <f>IF(U8="C.C.Fusíveis",VLOOKUP(V8,Consulta!$L$5:$N$31,3,FALSE),VLOOKUP(V8,Consulta!$P$5:$R$34,3,FALSE))</f>
        <v>85</v>
      </c>
      <c r="X8" s="593">
        <f t="shared" si="10"/>
        <v>125</v>
      </c>
      <c r="Y8" s="805">
        <f t="shared" ref="Y8:Y11" si="19">S8/T8</f>
        <v>0.81968446648029736</v>
      </c>
      <c r="Z8" s="601" t="str">
        <f t="shared" si="11"/>
        <v>Sim</v>
      </c>
      <c r="AA8" s="806">
        <f t="shared" ref="AA8:AA11" si="20">$AA$4+SQRT($AB$4^2+$AC$4^2)</f>
        <v>4.1154827075354221E-2</v>
      </c>
      <c r="AB8" s="806">
        <f t="shared" si="12"/>
        <v>5.3441249999999996E-2</v>
      </c>
      <c r="AC8" s="806">
        <f t="shared" si="6"/>
        <v>0</v>
      </c>
      <c r="AD8" s="594">
        <f>$AF$4</f>
        <v>9.5511646816065734E-2</v>
      </c>
      <c r="AE8" s="594">
        <f t="shared" si="17"/>
        <v>2.7124032776464482</v>
      </c>
      <c r="AF8" s="594">
        <f t="shared" si="18"/>
        <v>2.8079149244625139</v>
      </c>
      <c r="AG8" s="599">
        <f t="shared" si="14"/>
        <v>1.1793057728897601E-2</v>
      </c>
      <c r="AH8" s="807">
        <f t="shared" si="14"/>
        <v>1.220832575853267E-2</v>
      </c>
      <c r="AI8" s="594">
        <f t="shared" si="7"/>
        <v>2.4413285922193784</v>
      </c>
      <c r="AJ8" s="591">
        <v>3</v>
      </c>
      <c r="AK8" s="594">
        <v>0.1</v>
      </c>
      <c r="AL8" s="593">
        <f t="shared" si="0"/>
        <v>115</v>
      </c>
      <c r="AM8" s="594">
        <f t="shared" si="15"/>
        <v>6.7131816246136164</v>
      </c>
      <c r="AN8" s="601">
        <f t="shared" si="1"/>
        <v>2</v>
      </c>
      <c r="AO8" s="600" t="s">
        <v>563</v>
      </c>
      <c r="AP8" s="601" t="s">
        <v>523</v>
      </c>
      <c r="AQ8" s="601" t="str">
        <f t="shared" si="2"/>
        <v>5G</v>
      </c>
      <c r="AR8" s="601">
        <f t="shared" si="3"/>
        <v>6</v>
      </c>
      <c r="AS8" s="808" t="str">
        <f t="shared" si="8"/>
        <v/>
      </c>
      <c r="AT8" s="808" t="str">
        <f>IF(OR(AQ8="3G",AQ8="5G"),"",VLOOKUP(AR8,Consulta!$T$5:$U$25,2,FALSE))</f>
        <v/>
      </c>
      <c r="AU8" s="602" t="s">
        <v>565</v>
      </c>
      <c r="AV8" s="601" t="s">
        <v>23</v>
      </c>
      <c r="AW8" s="601" t="s">
        <v>564</v>
      </c>
      <c r="AX8" s="603">
        <f t="shared" si="16"/>
        <v>32</v>
      </c>
      <c r="AY8" s="828" t="s">
        <v>24</v>
      </c>
      <c r="AZ8" s="564"/>
      <c r="BA8" s="608">
        <f>IF(AND(J8="Cobre",F8="Monofásico"),VLOOKUP(M8,'Iz''s'!$B$8:$E$23,2,FALSE),IF(AND(J8="Cobre",F8="Trifásico"),VLOOKUP(M8,'Iz''s'!$L$8:$O$23,2,FALSE),IF(AND(J8="Alumínio",F8="Monofásico"),VLOOKUP(M8,'Iz''s'!$B$25:$E$39,2,FALSE),IF(AND(J8="Alumínio",F8="Trifásico"),VLOOKUP(M8,'Iz''s'!$L$25:$O$39,2,FALSE)))))</f>
        <v>31</v>
      </c>
      <c r="BB8" s="609">
        <f>IF(AND(J8="Cobre",F8="Monofásico"),VLOOKUP(M8,'Iz''s'!$CD$9:$CH$24,2,FALSE),IF(AND(J8="Cobre",F8="Trifásico"),VLOOKUP(M8,'Iz''s'!$CD$9:$CH$24,4,FALSE),IF(AND(J8="Alumínio",F8="Monofásico"),VLOOKUP(M8,'Iz''s'!$CD$26:$CH$40,2,FALSE),IF(AND(J8="Alumínio",F8="Trifásico"),VLOOKUP(M8,'Iz''s'!$CD$26:$CH$40,4,FALSE)))))</f>
        <v>29</v>
      </c>
      <c r="BC8" s="609">
        <f>IF(AND(J8="Cobre",F8="Monofásico"),VLOOKUP(M8,'Iz''s'!$B$8:$E$23,3,FALSE),IF(AND(J8="Cobre",F8="Trifásico"),VLOOKUP(M8,'Iz''s'!$L$8:$O$23,3,FALSE),IF(AND(J8="Alumínio",F8="Monofásico"),VLOOKUP(M8,'Iz''s'!$B$25:$E$39,3,FALSE),IF(AND(J8="Alumínio",F8="Trifásico"),VLOOKUP(M8,'Iz''s'!$L$25:$O$39,3,FALSE)))))</f>
        <v>36</v>
      </c>
      <c r="BD8" s="609">
        <f>IF(AND(J8="Cobre",F8="Monofásico"),VLOOKUP(M8,'Iz''s'!$CD$9:$CH$24,3,FALSE),IF(AND(J8="Cobre",F8="Trifásico"),VLOOKUP(M8,'Iz''s'!$CD$9:$CH$24,5,FALSE),IF(AND(J8="Alumínio",F8="Monofásico"),VLOOKUP(M8,'Iz''s'!$CD$26:$CH$40,3,FALSE),IF(AND(J8="Alumínio",F8="Trifásico"),VLOOKUP(M8,'Iz''s'!$CD$26:$CH$40,5,FALSE)))))</f>
        <v>34</v>
      </c>
      <c r="BE8" s="609">
        <f>IF(AND(J8="Cobre",F8="Monofásico"),VLOOKUP(M8,'Iz''s'!$B$8:$E$23,4,FALSE),IF(AND(J8="Cobre",F8="Trifásico"),VLOOKUP(M8,'Iz''s'!$L$8:$O$23,4,FALSE),IF(AND(J8="Alumínio",F8="Monofásico"),VLOOKUP(M8,'Iz''s'!$B$25:$E$39,4,FALSE),IF(AND(J8="Alumínio",F8="Trifásico"),VLOOKUP(M8,'Iz''s'!$L$25:$O$39,4,FALSE)))))</f>
        <v>41</v>
      </c>
      <c r="BF8" s="609">
        <f>IF(AND(J8="Cobre",F8="Monofásico"),VLOOKUP(M8,'Iz''s'!$CP$9:$CT$24,3,FALSE),IF(AND(J8="Cobre",F8="Trifásico"),VLOOKUP(M8,'Iz''s'!$CP$9:$CT$24,2,FALSE),IF(AND(J8="Alumínio",F8="Monofásico"),VLOOKUP(M8,'Iz''s'!$CP$26:$CT$37,3,FALSE),IF(AND(J8="Alumínio",F8="Trifásico"),VLOOKUP(M8,'Iz''s'!$CP$26:$CT$37,2,FALSE)))))</f>
        <v>56</v>
      </c>
      <c r="BG8" s="609">
        <f>IF(AND(J8="Cobre",F8="Monofásico"),VLOOKUP(M8,'Iz''s'!$AT$10:$BA$28,2,FALSE),IF(AND(J8="Cobre",F8="Trifásico"),VLOOKUP(M8,'Iz''s'!$AT$10:$BA$28,3,FALSE),IF(AND(J8="Alumínio",F8="Monofásico"),VLOOKUP(M8,'Iz''s'!$BC$10:$BJ$27,2,FALSE),IF(AND(J8="Alumínio",F8="Trifásico"),VLOOKUP(M8,'Iz''s'!$BC$10:$BJ$27,3,FALSE)))))</f>
        <v>43</v>
      </c>
      <c r="BH8" s="609" t="str">
        <f>IF(AND(J8="Cobre",F8="Monofásico"),VLOOKUP(M8,'Iz''s'!$AT$10:$BA$28,4,FALSE),IF(AND(J8="Cobre",F8="Trifásico"),VLOOKUP(M8,'Iz''s'!$AT$10:$BA$28,5,FALSE),IF(AND(J8="Alumínio",F8="Monofásico"),VLOOKUP(M8,'Iz''s'!$BC$10:$BJ$27,4,FALSE),IF(AND(J8="Alumínio",F8="Trifásico"),VLOOKUP(M8,'Iz''s'!$BC$10:$BJ$27,5,FALSE)))))</f>
        <v xml:space="preserve"> --- </v>
      </c>
      <c r="BI8" s="609" t="str">
        <f>IF(AND(J8="Cobre",F8="Monofásico"),"N/A",IF(AND(J8="Cobre",F8="Trifásico"),VLOOKUP(M8,'Iz''s'!$AT$10:$BA$28,8,FALSE),IF(AND(J8="Alumínio",F8="Monofásico"),"N/A",IF(AND(J8="Alumínio",F8="Trifásico"),VLOOKUP(M8,'Iz''s'!$BC$10:$BJ$27,8,FALSE)))))</f>
        <v xml:space="preserve"> --- </v>
      </c>
      <c r="BJ8" s="609">
        <f>IF(AND(J8="Cobre",F8="Monofásico"),VLOOKUP(M8,'Iz''s'!$G$8:$J$23,2,FALSE),IF(AND(J8="Cobre",F8="Trifásico"),VLOOKUP(M8,'Iz''s'!$Q$8:$T$23,2,FALSE),IF(AND(J8="Alumínio",F8="Monofásico"),VLOOKUP(M8,'Iz''s'!$G$25:$J$39,2,FALSE),IF(AND(J8="Alumínio",F8="Trifásico"),VLOOKUP(M8,'Iz''s'!$Q$25:$T$39,2,FALSE)))))</f>
        <v>40</v>
      </c>
      <c r="BK8" s="609">
        <f>IF(AND(J8="Cobre",F8="Monofásico"),VLOOKUP(M8,'Iz''s'!$CJ$9:$CN$24,2,FALSE),IF(AND(J8="Cobre",F8="Trifásico"),VLOOKUP(M8,'Iz''s'!$CJ$9:$CN$24,4,FALSE),IF(AND(J8="Alumínio",F8="Monofásico"),VLOOKUP(M8,'Iz''s'!$CJ$26:$CN$40,2,FALSE),IF(AND(J8="Alumínio",F8="Trifásico"),VLOOKUP(M8,'Iz''s'!$CJ$26:$CN$40,4,FALSE)))))</f>
        <v>38</v>
      </c>
      <c r="BL8" s="609">
        <f>IF(AND(J8="Cobre",F8="Monofásico"),VLOOKUP(M8,'Iz''s'!$G$8:$J$23,3,FALSE),IF(AND(J8="Cobre",F8="Trifásico"),VLOOKUP(M8,'Iz''s'!$Q$8:$T$23,3,FALSE),IF(AND(J8="Alumínio",F8="Monofásico"),VLOOKUP(M8,'Iz''s'!$G$25:$J$39,3,FALSE),IF(AND(J8="Alumínio",F8="Trifásico"),VLOOKUP(M8,'Iz''s'!$Q$25:$T$39,3,FALSE)))))</f>
        <v>48</v>
      </c>
      <c r="BM8" s="609">
        <f>IF(AND(J8="Cobre",F8="Monofásico"),VLOOKUP(M8,'Iz''s'!$CJ$9:$CN$24,3,FALSE),IF(AND(J8="Cobre",F8="Trifásico"),VLOOKUP(M8,'Iz''s'!$CJ$9:$CN$24,5,FALSE),IF(AND(J8="Alumínio",F8="Monofásico"),VLOOKUP(M8,'Iz''s'!$CJ$26:$CN$40,3,FALSE),IF(AND(J8="Alumínio",F8="Trifásico"),VLOOKUP(M8,'Iz''s'!$CJ$26:$CN$40,5,FALSE)))))</f>
        <v>44</v>
      </c>
      <c r="BN8" s="609">
        <f>IF(AND(J8="Cobre",F8="Monofásico"),VLOOKUP(M8,'Iz''s'!$G$8:$J$23,4,FALSE),IF(AND(J8="Cobre",F8="Trifásico"),VLOOKUP(M8,'Iz''s'!$Q$8:$T$23,4,FALSE),IF(AND(J8="Alumínio",F8="Monofásico"),VLOOKUP(M8,'Iz''s'!$G$25:$J$39,4,FALSE),IF(AND(J8="Alumínio",F8="Trifásico"),VLOOKUP(M8,'Iz''s'!$Q$25:$T$39,4,FALSE)))))</f>
        <v>52</v>
      </c>
      <c r="BO8" s="609">
        <f>IF(AND(J8="Cobre",F8="Monofásico"),VLOOKUP(M8,'Iz''s'!$CP$9:$CT$24,5,FALSE),IF(AND(J8="Cobre",F8="Trifásico"),VLOOKUP(M8,'Iz''s'!$CP$9:$CT$24,4,FALSE),IF(AND(J8="Alumínio",F8="Monofásico"),VLOOKUP(M8,'Iz''s'!$CP$26:$CT$37,5,FALSE),IF(AND(J8="Alumínio",F8="Trifásico"),VLOOKUP(M8,'Iz''s'!$CP$26:$CT$37,4,FALSE)))))</f>
        <v>66</v>
      </c>
      <c r="BP8" s="609">
        <f>IF(AND(J8="Cobre",F8="Monofásico"),VLOOKUP(M8,'Iz''s'!$BL$10:$BS$28,2,FALSE),IF(AND(J8="Cobre",F8="Trifásico"),VLOOKUP(M8,'Iz''s'!$BL$10:$BS$28,3,FALSE),IF(AND(J8="Alumínio",F8="Monofásico"),VLOOKUP(M8,'Iz''s'!$BU$10:$CB$27,2,FALSE),IF(AND(J8="Alumínio",F8="Trifásico"),VLOOKUP(M8,'Iz''s'!$BU$10:$CB$27,3,FALSE)))))</f>
        <v>54</v>
      </c>
      <c r="BQ8" s="609" t="str">
        <f>IF(AND(J8="Cobre",F8="Monofásico"),VLOOKUP(M8,'Iz''s'!$BL$10:$BS$28,4,FALSE),IF(AND(J8="Cobre",F8="Trifásico"),VLOOKUP(M8,'Iz''s'!$BL$10:$BS$28,5,FALSE),IF(AND(J8="Alumínio",F8="Monofásico"),VLOOKUP(M8,'Iz''s'!$BU$10:$CB$27,4,FALSE),IF(AND(J8="Alumínio",F8="Trifásico"),VLOOKUP(M8,'Iz''s'!$BU$10:$CB$27,5,FALSE)))))</f>
        <v xml:space="preserve"> --- </v>
      </c>
      <c r="BR8" s="609" t="str">
        <f>IF(AND(J8="Cobre",F8="Monofásico"),"N/A",IF(AND(J8="Cobre",F8="Trifásico"),VLOOKUP(M8,'Iz''s'!$BL$10:$BS$28,8,FALSE),IF(AND(J8="Alumínio",F8="Monofásico"),"N/A",IF(AND(J8="Alumínio",F8="Trifásico"),VLOOKUP(M8,'Iz''s'!$BU$10:$CB$27,8,FALSE)))))</f>
        <v xml:space="preserve"> --- </v>
      </c>
      <c r="BS8" s="609">
        <f>IF(AND(J8="Cobre",F8="Monofásico"),VLOOKUP(M8,'Iz''s'!$V$14:$Y$28,2,FALSE),IF(AND(J8="Cobre",F8="Trifásico"),VLOOKUP(M8,'Iz''s'!$V$14:$Y$28,3,FALSE),IF(AND(J8="Alumínio",F8="Monofásico"),VLOOKUP(M8,"N/A",4,FALSE),IF(AND(J8="Alumínio",F8="Trifásico"),VLOOKUP(M8,"N/A",4,FALSE)))))</f>
        <v>48</v>
      </c>
      <c r="BT8" s="609">
        <f>IF(AND(J8="Cobre",F8="Monofásico"),VLOOKUP(M8,'Iz''s'!$AF$15:$AK$29,2,FALSE),IF(AND(J8="Cobre",F8="Trifásico"),VLOOKUP(M8,'Iz''s'!$AF$15:$AK$29,3,FALSE),IF(AND(J8="Alumínio",F8="Monofásico"),"N/A",IF(AND(J8="Alumínio",F8="Trifásico"),"N/A"))))</f>
        <v>51</v>
      </c>
      <c r="BU8" s="609">
        <f>IF(AND(J8="Cobre",F8="Monofásico"),VLOOKUP(M8,'Iz''s'!$AF$15:$AK$29,2,FALSE),IF(AND(J8="Cobre",F8="Trifásico"),VLOOKUP(M8,'Iz''s'!$AF$15:$AK$29,3,FALSE),IF(AND(J8="Alumínio",F8="Monofásico"),"N/A",IF(AND(J8="Alumínio",F8="Trifásico"),"N/A"))))</f>
        <v>51</v>
      </c>
      <c r="BV8" s="610">
        <f>IF(AND(J8="Cobre",F8="Monofásico"),"N/A",IF(AND(J8="Cobre",F8="Trifásico"),VLOOKUP(M8,'Iz''s'!$AF$15:$AK$29,6,FALSE),IF(AND(J8="Alumínio",F8="Monofásico"),"N/A",IF(AND(J8="Alumínio",F8="Trifásico"),"N/A"))))</f>
        <v>71</v>
      </c>
      <c r="BW8" s="611">
        <v>6</v>
      </c>
      <c r="BX8" s="583"/>
      <c r="BY8" s="612">
        <f>VLOOKUP(M8,Consulta!$W$6:$AB$23,4,FALSE)</f>
        <v>20</v>
      </c>
      <c r="BZ8" s="612">
        <f>VLOOKUP(M8,Consulta!$W$6:$AB$23,6,FALSE)</f>
        <v>25</v>
      </c>
      <c r="CA8" s="612">
        <f>VLOOKUP(M8,Consulta!$AK$6:$AP$23,4,FALSE)</f>
        <v>25</v>
      </c>
      <c r="CB8" s="612">
        <f>VLOOKUP(M8,Consulta!$AK$6:$AP$23,6,FALSE)</f>
        <v>32</v>
      </c>
      <c r="CC8" s="612" t="e">
        <f>VLOOKUP(M8,Consulta!$AD$6:$AI$19,4,FALSE)</f>
        <v>#N/A</v>
      </c>
      <c r="CD8" s="612" t="e">
        <f>VLOOKUP(M8,Consulta!$AD$6:$AI$19,6,FALSE)</f>
        <v>#N/A</v>
      </c>
      <c r="CE8" s="612" t="e">
        <f>VLOOKUP(M8,Consulta!$AR$6:$AW$19,4,FALSE)</f>
        <v>#N/A</v>
      </c>
      <c r="CF8" s="613" t="e">
        <f>VLOOKUP(M8,Consulta!$AR$6:$AW$19,6,FALSE)</f>
        <v>#N/A</v>
      </c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</row>
    <row r="9" spans="1:127" s="552" customFormat="1" ht="16.5" customHeight="1" x14ac:dyDescent="0.25">
      <c r="A9" s="568"/>
      <c r="B9" s="1117"/>
      <c r="C9" s="804" t="s">
        <v>830</v>
      </c>
      <c r="D9" s="591">
        <f>SUM(D60:D67)</f>
        <v>18.54</v>
      </c>
      <c r="E9" s="596">
        <f>3.05+2.1+1.1+7.5+0.2</f>
        <v>13.95</v>
      </c>
      <c r="F9" s="591" t="s">
        <v>246</v>
      </c>
      <c r="G9" s="591" t="s">
        <v>808</v>
      </c>
      <c r="H9" s="591">
        <v>0.96</v>
      </c>
      <c r="I9" s="592" t="s">
        <v>13</v>
      </c>
      <c r="J9" s="591" t="s">
        <v>242</v>
      </c>
      <c r="K9" s="591" t="s">
        <v>363</v>
      </c>
      <c r="L9" s="591">
        <v>1</v>
      </c>
      <c r="M9" s="595">
        <v>6</v>
      </c>
      <c r="N9" s="591" t="s">
        <v>453</v>
      </c>
      <c r="O9" s="591">
        <v>13</v>
      </c>
      <c r="P9" s="555">
        <f t="shared" si="4"/>
        <v>34</v>
      </c>
      <c r="Q9" s="591">
        <v>1</v>
      </c>
      <c r="R9" s="591">
        <v>1</v>
      </c>
      <c r="S9" s="742">
        <f t="shared" si="9"/>
        <v>27.875192684311621</v>
      </c>
      <c r="T9" s="744">
        <f t="shared" si="5"/>
        <v>34</v>
      </c>
      <c r="U9" s="591" t="s">
        <v>499</v>
      </c>
      <c r="V9" s="555">
        <v>32</v>
      </c>
      <c r="W9" s="591">
        <f>IF(U9="C.C.Fusíveis",VLOOKUP(V9,Consulta!$L$5:$N$31,3,FALSE),VLOOKUP(V9,Consulta!$P$5:$R$34,3,FALSE))</f>
        <v>39</v>
      </c>
      <c r="X9" s="593">
        <f t="shared" si="10"/>
        <v>50</v>
      </c>
      <c r="Y9" s="805">
        <f t="shared" si="19"/>
        <v>0.81985860836210644</v>
      </c>
      <c r="Z9" s="601" t="str">
        <f t="shared" si="11"/>
        <v>Sim</v>
      </c>
      <c r="AA9" s="806">
        <f>$AA$8+SQRT($AB$8^2+$AC$8^2)</f>
        <v>9.4596077075354223E-2</v>
      </c>
      <c r="AB9" s="806">
        <f t="shared" si="12"/>
        <v>6.539062499999998E-2</v>
      </c>
      <c r="AC9" s="806">
        <f t="shared" si="6"/>
        <v>0</v>
      </c>
      <c r="AD9" s="594">
        <f>$AF$4</f>
        <v>9.5511646816065734E-2</v>
      </c>
      <c r="AE9" s="594">
        <f>IF(F9="Trifásico",S9*(AB9*H9+AC9*SIN(ACOS(H9))),2*S9*(AB9*H9+AC9*SIN(ACOS(H9))))</f>
        <v>1.7498652207576615</v>
      </c>
      <c r="AF9" s="594">
        <f>AD9+AE9</f>
        <v>1.8453768675737272</v>
      </c>
      <c r="AG9" s="599">
        <f>AE9/230</f>
        <v>7.608109655468093E-3</v>
      </c>
      <c r="AH9" s="807">
        <f>AF9/230</f>
        <v>8.0233776851031616E-3</v>
      </c>
      <c r="AI9" s="594">
        <f t="shared" si="7"/>
        <v>1.443495644826011</v>
      </c>
      <c r="AJ9" s="591">
        <v>3</v>
      </c>
      <c r="AK9" s="594">
        <v>0.1</v>
      </c>
      <c r="AL9" s="593">
        <f t="shared" si="0"/>
        <v>115</v>
      </c>
      <c r="AM9" s="594">
        <f t="shared" si="15"/>
        <v>3.969333939290125</v>
      </c>
      <c r="AN9" s="601">
        <f t="shared" si="1"/>
        <v>1</v>
      </c>
      <c r="AO9" s="600" t="s">
        <v>563</v>
      </c>
      <c r="AP9" s="601" t="s">
        <v>523</v>
      </c>
      <c r="AQ9" s="601" t="str">
        <f t="shared" si="2"/>
        <v>5G</v>
      </c>
      <c r="AR9" s="601">
        <f t="shared" si="3"/>
        <v>6</v>
      </c>
      <c r="AS9" s="808" t="str">
        <f t="shared" si="8"/>
        <v/>
      </c>
      <c r="AT9" s="808" t="str">
        <f>IF(OR(AQ9="3G",AQ9="5G"),"",VLOOKUP(AR9,Consulta!$T$5:$U$25,2,FALSE))</f>
        <v/>
      </c>
      <c r="AU9" s="602" t="s">
        <v>565</v>
      </c>
      <c r="AV9" s="601" t="s">
        <v>23</v>
      </c>
      <c r="AW9" s="601" t="s">
        <v>564</v>
      </c>
      <c r="AX9" s="603">
        <f t="shared" si="16"/>
        <v>32</v>
      </c>
      <c r="AY9" s="828" t="s">
        <v>24</v>
      </c>
      <c r="AZ9" s="564"/>
      <c r="BA9" s="608">
        <f>IF(AND(J9="Cobre",F9="Monofásico"),VLOOKUP(M9,'Iz''s'!$B$8:$E$23,2,FALSE),IF(AND(J9="Cobre",F9="Trifásico"),VLOOKUP(M9,'Iz''s'!$L$8:$O$23,2,FALSE),IF(AND(J9="Alumínio",F9="Monofásico"),VLOOKUP(M9,'Iz''s'!$B$25:$E$39,2,FALSE),IF(AND(J9="Alumínio",F9="Trifásico"),VLOOKUP(M9,'Iz''s'!$L$25:$O$39,2,FALSE)))))</f>
        <v>31</v>
      </c>
      <c r="BB9" s="609">
        <f>IF(AND(J9="Cobre",F9="Monofásico"),VLOOKUP(M9,'Iz''s'!$CD$9:$CH$24,2,FALSE),IF(AND(J9="Cobre",F9="Trifásico"),VLOOKUP(M9,'Iz''s'!$CD$9:$CH$24,4,FALSE),IF(AND(J9="Alumínio",F9="Monofásico"),VLOOKUP(M9,'Iz''s'!$CD$26:$CH$40,2,FALSE),IF(AND(J9="Alumínio",F9="Trifásico"),VLOOKUP(M9,'Iz''s'!$CD$26:$CH$40,4,FALSE)))))</f>
        <v>29</v>
      </c>
      <c r="BC9" s="609">
        <f>IF(AND(J9="Cobre",F9="Monofásico"),VLOOKUP(M9,'Iz''s'!$B$8:$E$23,3,FALSE),IF(AND(J9="Cobre",F9="Trifásico"),VLOOKUP(M9,'Iz''s'!$L$8:$O$23,3,FALSE),IF(AND(J9="Alumínio",F9="Monofásico"),VLOOKUP(M9,'Iz''s'!$B$25:$E$39,3,FALSE),IF(AND(J9="Alumínio",F9="Trifásico"),VLOOKUP(M9,'Iz''s'!$L$25:$O$39,3,FALSE)))))</f>
        <v>36</v>
      </c>
      <c r="BD9" s="609">
        <f>IF(AND(J9="Cobre",F9="Monofásico"),VLOOKUP(M9,'Iz''s'!$CD$9:$CH$24,3,FALSE),IF(AND(J9="Cobre",F9="Trifásico"),VLOOKUP(M9,'Iz''s'!$CD$9:$CH$24,5,FALSE),IF(AND(J9="Alumínio",F9="Monofásico"),VLOOKUP(M9,'Iz''s'!$CD$26:$CH$40,3,FALSE),IF(AND(J9="Alumínio",F9="Trifásico"),VLOOKUP(M9,'Iz''s'!$CD$26:$CH$40,5,FALSE)))))</f>
        <v>34</v>
      </c>
      <c r="BE9" s="609">
        <f>IF(AND(J9="Cobre",F9="Monofásico"),VLOOKUP(M9,'Iz''s'!$B$8:$E$23,4,FALSE),IF(AND(J9="Cobre",F9="Trifásico"),VLOOKUP(M9,'Iz''s'!$L$8:$O$23,4,FALSE),IF(AND(J9="Alumínio",F9="Monofásico"),VLOOKUP(M9,'Iz''s'!$B$25:$E$39,4,FALSE),IF(AND(J9="Alumínio",F9="Trifásico"),VLOOKUP(M9,'Iz''s'!$L$25:$O$39,4,FALSE)))))</f>
        <v>41</v>
      </c>
      <c r="BF9" s="609">
        <f>IF(AND(J9="Cobre",F9="Monofásico"),VLOOKUP(M9,'Iz''s'!$CP$9:$CT$24,3,FALSE),IF(AND(J9="Cobre",F9="Trifásico"),VLOOKUP(M9,'Iz''s'!$CP$9:$CT$24,2,FALSE),IF(AND(J9="Alumínio",F9="Monofásico"),VLOOKUP(M9,'Iz''s'!$CP$26:$CT$37,3,FALSE),IF(AND(J9="Alumínio",F9="Trifásico"),VLOOKUP(M9,'Iz''s'!$CP$26:$CT$37,2,FALSE)))))</f>
        <v>56</v>
      </c>
      <c r="BG9" s="609">
        <f>IF(AND(J9="Cobre",F9="Monofásico"),VLOOKUP(M9,'Iz''s'!$AT$10:$BA$28,2,FALSE),IF(AND(J9="Cobre",F9="Trifásico"),VLOOKUP(M9,'Iz''s'!$AT$10:$BA$28,3,FALSE),IF(AND(J9="Alumínio",F9="Monofásico"),VLOOKUP(M9,'Iz''s'!$BC$10:$BJ$27,2,FALSE),IF(AND(J9="Alumínio",F9="Trifásico"),VLOOKUP(M9,'Iz''s'!$BC$10:$BJ$27,3,FALSE)))))</f>
        <v>43</v>
      </c>
      <c r="BH9" s="609" t="str">
        <f>IF(AND(J9="Cobre",F9="Monofásico"),VLOOKUP(M9,'Iz''s'!$AT$10:$BA$28,4,FALSE),IF(AND(J9="Cobre",F9="Trifásico"),VLOOKUP(M9,'Iz''s'!$AT$10:$BA$28,5,FALSE),IF(AND(J9="Alumínio",F9="Monofásico"),VLOOKUP(M9,'Iz''s'!$BC$10:$BJ$27,4,FALSE),IF(AND(J9="Alumínio",F9="Trifásico"),VLOOKUP(M9,'Iz''s'!$BC$10:$BJ$27,5,FALSE)))))</f>
        <v xml:space="preserve"> --- </v>
      </c>
      <c r="BI9" s="609" t="str">
        <f>IF(AND(J9="Cobre",F9="Monofásico"),"N/A",IF(AND(J9="Cobre",F9="Trifásico"),VLOOKUP(M9,'Iz''s'!$AT$10:$BA$28,8,FALSE),IF(AND(J9="Alumínio",F9="Monofásico"),"N/A",IF(AND(J9="Alumínio",F9="Trifásico"),VLOOKUP(M9,'Iz''s'!$BC$10:$BJ$27,8,FALSE)))))</f>
        <v xml:space="preserve"> --- </v>
      </c>
      <c r="BJ9" s="609">
        <f>IF(AND(J9="Cobre",F9="Monofásico"),VLOOKUP(M9,'Iz''s'!$G$8:$J$23,2,FALSE),IF(AND(J9="Cobre",F9="Trifásico"),VLOOKUP(M9,'Iz''s'!$Q$8:$T$23,2,FALSE),IF(AND(J9="Alumínio",F9="Monofásico"),VLOOKUP(M9,'Iz''s'!$G$25:$J$39,2,FALSE),IF(AND(J9="Alumínio",F9="Trifásico"),VLOOKUP(M9,'Iz''s'!$Q$25:$T$39,2,FALSE)))))</f>
        <v>40</v>
      </c>
      <c r="BK9" s="609">
        <f>IF(AND(J9="Cobre",F9="Monofásico"),VLOOKUP(M9,'Iz''s'!$CJ$9:$CN$24,2,FALSE),IF(AND(J9="Cobre",F9="Trifásico"),VLOOKUP(M9,'Iz''s'!$CJ$9:$CN$24,4,FALSE),IF(AND(J9="Alumínio",F9="Monofásico"),VLOOKUP(M9,'Iz''s'!$CJ$26:$CN$40,2,FALSE),IF(AND(J9="Alumínio",F9="Trifásico"),VLOOKUP(M9,'Iz''s'!$CJ$26:$CN$40,4,FALSE)))))</f>
        <v>38</v>
      </c>
      <c r="BL9" s="609">
        <f>IF(AND(J9="Cobre",F9="Monofásico"),VLOOKUP(M9,'Iz''s'!$G$8:$J$23,3,FALSE),IF(AND(J9="Cobre",F9="Trifásico"),VLOOKUP(M9,'Iz''s'!$Q$8:$T$23,3,FALSE),IF(AND(J9="Alumínio",F9="Monofásico"),VLOOKUP(M9,'Iz''s'!$G$25:$J$39,3,FALSE),IF(AND(J9="Alumínio",F9="Trifásico"),VLOOKUP(M9,'Iz''s'!$Q$25:$T$39,3,FALSE)))))</f>
        <v>48</v>
      </c>
      <c r="BM9" s="609">
        <f>IF(AND(J9="Cobre",F9="Monofásico"),VLOOKUP(M9,'Iz''s'!$CJ$9:$CN$24,3,FALSE),IF(AND(J9="Cobre",F9="Trifásico"),VLOOKUP(M9,'Iz''s'!$CJ$9:$CN$24,5,FALSE),IF(AND(J9="Alumínio",F9="Monofásico"),VLOOKUP(M9,'Iz''s'!$CJ$26:$CN$40,3,FALSE),IF(AND(J9="Alumínio",F9="Trifásico"),VLOOKUP(M9,'Iz''s'!$CJ$26:$CN$40,5,FALSE)))))</f>
        <v>44</v>
      </c>
      <c r="BN9" s="609">
        <f>IF(AND(J9="Cobre",F9="Monofásico"),VLOOKUP(M9,'Iz''s'!$G$8:$J$23,4,FALSE),IF(AND(J9="Cobre",F9="Trifásico"),VLOOKUP(M9,'Iz''s'!$Q$8:$T$23,4,FALSE),IF(AND(J9="Alumínio",F9="Monofásico"),VLOOKUP(M9,'Iz''s'!$G$25:$J$39,4,FALSE),IF(AND(J9="Alumínio",F9="Trifásico"),VLOOKUP(M9,'Iz''s'!$Q$25:$T$39,4,FALSE)))))</f>
        <v>52</v>
      </c>
      <c r="BO9" s="609">
        <f>IF(AND(J9="Cobre",F9="Monofásico"),VLOOKUP(M9,'Iz''s'!$CP$9:$CT$24,5,FALSE),IF(AND(J9="Cobre",F9="Trifásico"),VLOOKUP(M9,'Iz''s'!$CP$9:$CT$24,4,FALSE),IF(AND(J9="Alumínio",F9="Monofásico"),VLOOKUP(M9,'Iz''s'!$CP$26:$CT$37,5,FALSE),IF(AND(J9="Alumínio",F9="Trifásico"),VLOOKUP(M9,'Iz''s'!$CP$26:$CT$37,4,FALSE)))))</f>
        <v>66</v>
      </c>
      <c r="BP9" s="609">
        <f>IF(AND(J9="Cobre",F9="Monofásico"),VLOOKUP(M9,'Iz''s'!$BL$10:$BS$28,2,FALSE),IF(AND(J9="Cobre",F9="Trifásico"),VLOOKUP(M9,'Iz''s'!$BL$10:$BS$28,3,FALSE),IF(AND(J9="Alumínio",F9="Monofásico"),VLOOKUP(M9,'Iz''s'!$BU$10:$CB$27,2,FALSE),IF(AND(J9="Alumínio",F9="Trifásico"),VLOOKUP(M9,'Iz''s'!$BU$10:$CB$27,3,FALSE)))))</f>
        <v>54</v>
      </c>
      <c r="BQ9" s="609" t="str">
        <f>IF(AND(J9="Cobre",F9="Monofásico"),VLOOKUP(M9,'Iz''s'!$BL$10:$BS$28,4,FALSE),IF(AND(J9="Cobre",F9="Trifásico"),VLOOKUP(M9,'Iz''s'!$BL$10:$BS$28,5,FALSE),IF(AND(J9="Alumínio",F9="Monofásico"),VLOOKUP(M9,'Iz''s'!$BU$10:$CB$27,4,FALSE),IF(AND(J9="Alumínio",F9="Trifásico"),VLOOKUP(M9,'Iz''s'!$BU$10:$CB$27,5,FALSE)))))</f>
        <v xml:space="preserve"> --- </v>
      </c>
      <c r="BR9" s="609" t="str">
        <f>IF(AND(J9="Cobre",F9="Monofásico"),"N/A",IF(AND(J9="Cobre",F9="Trifásico"),VLOOKUP(M9,'Iz''s'!$BL$10:$BS$28,8,FALSE),IF(AND(J9="Alumínio",F9="Monofásico"),"N/A",IF(AND(J9="Alumínio",F9="Trifásico"),VLOOKUP(M9,'Iz''s'!$BU$10:$CB$27,8,FALSE)))))</f>
        <v xml:space="preserve"> --- </v>
      </c>
      <c r="BS9" s="609">
        <f>IF(AND(J9="Cobre",F9="Monofásico"),VLOOKUP(M9,'Iz''s'!$V$14:$Y$28,2,FALSE),IF(AND(J9="Cobre",F9="Trifásico"),VLOOKUP(M9,'Iz''s'!$V$14:$Y$28,3,FALSE),IF(AND(J9="Alumínio",F9="Monofásico"),VLOOKUP(M9,"N/A",4,FALSE),IF(AND(J9="Alumínio",F9="Trifásico"),VLOOKUP(M9,"N/A",4,FALSE)))))</f>
        <v>48</v>
      </c>
      <c r="BT9" s="609">
        <f>IF(AND(J9="Cobre",F9="Monofásico"),VLOOKUP(M9,'Iz''s'!$AF$15:$AK$29,2,FALSE),IF(AND(J9="Cobre",F9="Trifásico"),VLOOKUP(M9,'Iz''s'!$AF$15:$AK$29,3,FALSE),IF(AND(J9="Alumínio",F9="Monofásico"),"N/A",IF(AND(J9="Alumínio",F9="Trifásico"),"N/A"))))</f>
        <v>51</v>
      </c>
      <c r="BU9" s="609">
        <f>IF(AND(J9="Cobre",F9="Monofásico"),VLOOKUP(M9,'Iz''s'!$AF$15:$AK$29,2,FALSE),IF(AND(J9="Cobre",F9="Trifásico"),VLOOKUP(M9,'Iz''s'!$AF$15:$AK$29,3,FALSE),IF(AND(J9="Alumínio",F9="Monofásico"),"N/A",IF(AND(J9="Alumínio",F9="Trifásico"),"N/A"))))</f>
        <v>51</v>
      </c>
      <c r="BV9" s="610">
        <f>IF(AND(J9="Cobre",F9="Monofásico"),"N/A",IF(AND(J9="Cobre",F9="Trifásico"),VLOOKUP(M9,'Iz''s'!$AF$15:$AK$29,6,FALSE),IF(AND(J9="Alumínio",F9="Monofásico"),"N/A",IF(AND(J9="Alumínio",F9="Trifásico"),"N/A"))))</f>
        <v>71</v>
      </c>
      <c r="BW9" s="611">
        <v>7</v>
      </c>
      <c r="BX9" s="583"/>
      <c r="BY9" s="612">
        <f>VLOOKUP(M9,Consulta!$W$6:$AB$23,4,FALSE)</f>
        <v>20</v>
      </c>
      <c r="BZ9" s="612">
        <f>VLOOKUP(M9,Consulta!$W$6:$AB$23,6,FALSE)</f>
        <v>25</v>
      </c>
      <c r="CA9" s="612">
        <f>VLOOKUP(M9,Consulta!$AK$6:$AP$23,4,FALSE)</f>
        <v>25</v>
      </c>
      <c r="CB9" s="612">
        <f>VLOOKUP(M9,Consulta!$AK$6:$AP$23,6,FALSE)</f>
        <v>32</v>
      </c>
      <c r="CC9" s="612" t="e">
        <f>VLOOKUP(M9,Consulta!$AD$6:$AI$19,4,FALSE)</f>
        <v>#N/A</v>
      </c>
      <c r="CD9" s="612" t="e">
        <f>VLOOKUP(M9,Consulta!$AD$6:$AI$19,6,FALSE)</f>
        <v>#N/A</v>
      </c>
      <c r="CE9" s="612" t="e">
        <f>VLOOKUP(M9,Consulta!$AR$6:$AW$19,4,FALSE)</f>
        <v>#N/A</v>
      </c>
      <c r="CF9" s="613" t="e">
        <f>VLOOKUP(M9,Consulta!$AR$6:$AW$19,6,FALSE)</f>
        <v>#N/A</v>
      </c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</row>
    <row r="10" spans="1:127" s="552" customFormat="1" ht="16.5" customHeight="1" x14ac:dyDescent="0.25">
      <c r="A10" s="568"/>
      <c r="B10" s="1117"/>
      <c r="C10" s="804" t="s">
        <v>829</v>
      </c>
      <c r="D10" s="591">
        <f>SUM(D68:D71)</f>
        <v>28.58</v>
      </c>
      <c r="E10" s="594">
        <f>0.344+5.8+0.3+15.35+2.1+30.35+10+9.21+5.75+4.47</f>
        <v>83.674000000000007</v>
      </c>
      <c r="F10" s="591" t="s">
        <v>246</v>
      </c>
      <c r="G10" s="591" t="s">
        <v>808</v>
      </c>
      <c r="H10" s="591">
        <v>0.96</v>
      </c>
      <c r="I10" s="592" t="s">
        <v>13</v>
      </c>
      <c r="J10" s="591" t="s">
        <v>242</v>
      </c>
      <c r="K10" s="591" t="s">
        <v>363</v>
      </c>
      <c r="L10" s="591">
        <v>2</v>
      </c>
      <c r="M10" s="595">
        <v>4</v>
      </c>
      <c r="N10" s="591" t="s">
        <v>455</v>
      </c>
      <c r="O10" s="591">
        <v>13</v>
      </c>
      <c r="P10" s="555">
        <f t="shared" si="4"/>
        <v>68</v>
      </c>
      <c r="Q10" s="591">
        <v>5</v>
      </c>
      <c r="R10" s="591">
        <v>0.75</v>
      </c>
      <c r="S10" s="742">
        <f t="shared" si="9"/>
        <v>42.970496597498716</v>
      </c>
      <c r="T10" s="744">
        <f t="shared" si="5"/>
        <v>51</v>
      </c>
      <c r="U10" s="591" t="s">
        <v>499</v>
      </c>
      <c r="V10" s="555">
        <v>50</v>
      </c>
      <c r="W10" s="591">
        <f>IF(U10="C.C.Fusíveis",VLOOKUP(V10,Consulta!$L$5:$N$31,3,FALSE),VLOOKUP(V10,Consulta!$P$5:$R$34,3,FALSE))</f>
        <v>68</v>
      </c>
      <c r="X10" s="593">
        <f t="shared" si="10"/>
        <v>99</v>
      </c>
      <c r="Y10" s="805">
        <f t="shared" si="19"/>
        <v>0.84255875681370029</v>
      </c>
      <c r="Z10" s="601" t="str">
        <f t="shared" si="11"/>
        <v>Sim</v>
      </c>
      <c r="AA10" s="806">
        <f>$AA$4+SQRT($AB$4^2+$AC$4^2)</f>
        <v>4.1154827075354221E-2</v>
      </c>
      <c r="AB10" s="806">
        <f>(IF(J10="Cobre",(1.25*0.0225),(1.25*0.036)))*((E10/M10)/L10)</f>
        <v>0.29416640625000001</v>
      </c>
      <c r="AC10" s="806">
        <f t="shared" si="6"/>
        <v>0</v>
      </c>
      <c r="AD10" s="594">
        <f t="shared" si="13"/>
        <v>9.5511646816065734E-2</v>
      </c>
      <c r="AE10" s="594">
        <f t="shared" si="17"/>
        <v>12.134857496509488</v>
      </c>
      <c r="AF10" s="594">
        <f t="shared" si="18"/>
        <v>12.230369143325554</v>
      </c>
      <c r="AG10" s="599">
        <f t="shared" si="14"/>
        <v>5.2760249984823863E-2</v>
      </c>
      <c r="AH10" s="807">
        <f t="shared" si="14"/>
        <v>5.3175518014458932E-2</v>
      </c>
      <c r="AI10" s="594">
        <f t="shared" si="7"/>
        <v>0.68871304505722908</v>
      </c>
      <c r="AJ10" s="591">
        <v>3</v>
      </c>
      <c r="AK10" s="594">
        <v>0.1</v>
      </c>
      <c r="AL10" s="593">
        <f t="shared" si="0"/>
        <v>115</v>
      </c>
      <c r="AM10" s="594">
        <f t="shared" si="15"/>
        <v>1.893827718826969</v>
      </c>
      <c r="AN10" s="601">
        <f t="shared" si="1"/>
        <v>2</v>
      </c>
      <c r="AO10" s="600" t="s">
        <v>563</v>
      </c>
      <c r="AP10" s="601" t="s">
        <v>523</v>
      </c>
      <c r="AQ10" s="601" t="str">
        <f t="shared" si="2"/>
        <v>5G</v>
      </c>
      <c r="AR10" s="601">
        <f t="shared" si="3"/>
        <v>4</v>
      </c>
      <c r="AS10" s="808" t="str">
        <f t="shared" si="8"/>
        <v/>
      </c>
      <c r="AT10" s="808" t="str">
        <f>IF(OR(AQ10="3G",AQ10="5G"),"",VLOOKUP(AR10,Consulta!$T$5:$U$25,2,FALSE))</f>
        <v/>
      </c>
      <c r="AU10" s="602" t="s">
        <v>565</v>
      </c>
      <c r="AV10" s="601" t="s">
        <v>23</v>
      </c>
      <c r="AW10" s="601" t="s">
        <v>564</v>
      </c>
      <c r="AX10" s="603">
        <f t="shared" si="16"/>
        <v>32</v>
      </c>
      <c r="AY10" s="828" t="s">
        <v>24</v>
      </c>
      <c r="AZ10" s="564"/>
      <c r="BA10" s="608">
        <f>IF(AND(J10="Cobre",F10="Monofásico"),VLOOKUP(M10,'Iz''s'!$B$8:$E$23,2,FALSE),IF(AND(J10="Cobre",F10="Trifásico"),VLOOKUP(M10,'Iz''s'!$L$8:$O$23,2,FALSE),IF(AND(J10="Alumínio",F10="Monofásico"),VLOOKUP(M10,'Iz''s'!$B$25:$E$39,2,FALSE),IF(AND(J10="Alumínio",F10="Trifásico"),VLOOKUP(M10,'Iz''s'!$L$25:$O$39,2,FALSE)))))</f>
        <v>24</v>
      </c>
      <c r="BB10" s="609">
        <f>IF(AND(J10="Cobre",F10="Monofásico"),VLOOKUP(M10,'Iz''s'!$CD$9:$CH$24,2,FALSE),IF(AND(J10="Cobre",F10="Trifásico"),VLOOKUP(M10,'Iz''s'!$CD$9:$CH$24,4,FALSE),IF(AND(J10="Alumínio",F10="Monofásico"),VLOOKUP(M10,'Iz''s'!$CD$26:$CH$40,2,FALSE),IF(AND(J10="Alumínio",F10="Trifásico"),VLOOKUP(M10,'Iz''s'!$CD$26:$CH$40,4,FALSE)))))</f>
        <v>23</v>
      </c>
      <c r="BC10" s="609">
        <f>IF(AND(J10="Cobre",F10="Monofásico"),VLOOKUP(M10,'Iz''s'!$B$8:$E$23,3,FALSE),IF(AND(J10="Cobre",F10="Trifásico"),VLOOKUP(M10,'Iz''s'!$L$8:$O$23,3,FALSE),IF(AND(J10="Alumínio",F10="Monofásico"),VLOOKUP(M10,'Iz''s'!$B$25:$E$39,3,FALSE),IF(AND(J10="Alumínio",F10="Trifásico"),VLOOKUP(M10,'Iz''s'!$L$25:$O$39,3,FALSE)))))</f>
        <v>28</v>
      </c>
      <c r="BD10" s="609">
        <f>IF(AND(J10="Cobre",F10="Monofásico"),VLOOKUP(M10,'Iz''s'!$CD$9:$CH$24,3,FALSE),IF(AND(J10="Cobre",F10="Trifásico"),VLOOKUP(M10,'Iz''s'!$CD$9:$CH$24,5,FALSE),IF(AND(J10="Alumínio",F10="Monofásico"),VLOOKUP(M10,'Iz''s'!$CD$26:$CH$40,3,FALSE),IF(AND(J10="Alumínio",F10="Trifásico"),VLOOKUP(M10,'Iz''s'!$CD$26:$CH$40,5,FALSE)))))</f>
        <v>27</v>
      </c>
      <c r="BE10" s="609">
        <f>IF(AND(J10="Cobre",F10="Monofásico"),VLOOKUP(M10,'Iz''s'!$B$8:$E$23,4,FALSE),IF(AND(J10="Cobre",F10="Trifásico"),VLOOKUP(M10,'Iz''s'!$L$8:$O$23,4,FALSE),IF(AND(J10="Alumínio",F10="Monofásico"),VLOOKUP(M10,'Iz''s'!$B$25:$E$39,4,FALSE),IF(AND(J10="Alumínio",F10="Trifásico"),VLOOKUP(M10,'Iz''s'!$L$25:$O$39,4,FALSE)))))</f>
        <v>32</v>
      </c>
      <c r="BF10" s="609">
        <f>IF(AND(J10="Cobre",F10="Monofásico"),VLOOKUP(M10,'Iz''s'!$CP$9:$CT$24,3,FALSE),IF(AND(J10="Cobre",F10="Trifásico"),VLOOKUP(M10,'Iz''s'!$CP$9:$CT$24,2,FALSE),IF(AND(J10="Alumínio",F10="Monofásico"),VLOOKUP(M10,'Iz''s'!$CP$26:$CT$37,3,FALSE),IF(AND(J10="Alumínio",F10="Trifásico"),VLOOKUP(M10,'Iz''s'!$CP$26:$CT$37,2,FALSE)))))</f>
        <v>44</v>
      </c>
      <c r="BG10" s="609">
        <f>IF(AND(J10="Cobre",F10="Monofásico"),VLOOKUP(M10,'Iz''s'!$AT$10:$BA$28,2,FALSE),IF(AND(J10="Cobre",F10="Trifásico"),VLOOKUP(M10,'Iz''s'!$AT$10:$BA$28,3,FALSE),IF(AND(J10="Alumínio",F10="Monofásico"),VLOOKUP(M10,'Iz''s'!$BC$10:$BJ$27,2,FALSE),IF(AND(J10="Alumínio",F10="Trifásico"),VLOOKUP(M10,'Iz''s'!$BC$10:$BJ$27,3,FALSE)))))</f>
        <v>34</v>
      </c>
      <c r="BH10" s="609" t="str">
        <f>IF(AND(J10="Cobre",F10="Monofásico"),VLOOKUP(M10,'Iz''s'!$AT$10:$BA$28,4,FALSE),IF(AND(J10="Cobre",F10="Trifásico"),VLOOKUP(M10,'Iz''s'!$AT$10:$BA$28,5,FALSE),IF(AND(J10="Alumínio",F10="Monofásico"),VLOOKUP(M10,'Iz''s'!$BC$10:$BJ$27,4,FALSE),IF(AND(J10="Alumínio",F10="Trifásico"),VLOOKUP(M10,'Iz''s'!$BC$10:$BJ$27,5,FALSE)))))</f>
        <v xml:space="preserve"> --- </v>
      </c>
      <c r="BI10" s="609" t="str">
        <f>IF(AND(J10="Cobre",F10="Monofásico"),"N/A",IF(AND(J10="Cobre",F10="Trifásico"),VLOOKUP(M10,'Iz''s'!$AT$10:$BA$28,8,FALSE),IF(AND(J10="Alumínio",F10="Monofásico"),"N/A",IF(AND(J10="Alumínio",F10="Trifásico"),VLOOKUP(M10,'Iz''s'!$BC$10:$BJ$27,8,FALSE)))))</f>
        <v xml:space="preserve"> --- </v>
      </c>
      <c r="BJ10" s="609">
        <f>IF(AND(J10="Cobre",F10="Monofásico"),VLOOKUP(M10,'Iz''s'!$G$8:$J$23,2,FALSE),IF(AND(J10="Cobre",F10="Trifásico"),VLOOKUP(M10,'Iz''s'!$Q$8:$T$23,2,FALSE),IF(AND(J10="Alumínio",F10="Monofásico"),VLOOKUP(M10,'Iz''s'!$G$25:$J$39,2,FALSE),IF(AND(J10="Alumínio",F10="Trifásico"),VLOOKUP(M10,'Iz''s'!$Q$25:$T$39,2,FALSE)))))</f>
        <v>31</v>
      </c>
      <c r="BK10" s="609">
        <f>IF(AND(J10="Cobre",F10="Monofásico"),VLOOKUP(M10,'Iz''s'!$CJ$9:$CN$24,2,FALSE),IF(AND(J10="Cobre",F10="Trifásico"),VLOOKUP(M10,'Iz''s'!$CJ$9:$CN$24,4,FALSE),IF(AND(J10="Alumínio",F10="Monofásico"),VLOOKUP(M10,'Iz''s'!$CJ$26:$CN$40,2,FALSE),IF(AND(J10="Alumínio",F10="Trifásico"),VLOOKUP(M10,'Iz''s'!$CJ$26:$CN$40,4,FALSE)))))</f>
        <v>30</v>
      </c>
      <c r="BL10" s="609">
        <f>IF(AND(J10="Cobre",F10="Monofásico"),VLOOKUP(M10,'Iz''s'!$G$8:$J$23,3,FALSE),IF(AND(J10="Cobre",F10="Trifásico"),VLOOKUP(M10,'Iz''s'!$Q$8:$T$23,3,FALSE),IF(AND(J10="Alumínio",F10="Monofásico"),VLOOKUP(M10,'Iz''s'!$G$25:$J$39,3,FALSE),IF(AND(J10="Alumínio",F10="Trifásico"),VLOOKUP(M10,'Iz''s'!$Q$25:$T$39,3,FALSE)))))</f>
        <v>37</v>
      </c>
      <c r="BM10" s="609">
        <f>IF(AND(J10="Cobre",F10="Monofásico"),VLOOKUP(M10,'Iz''s'!$CJ$9:$CN$24,3,FALSE),IF(AND(J10="Cobre",F10="Trifásico"),VLOOKUP(M10,'Iz''s'!$CJ$9:$CN$24,5,FALSE),IF(AND(J10="Alumínio",F10="Monofásico"),VLOOKUP(M10,'Iz''s'!$CJ$26:$CN$40,3,FALSE),IF(AND(J10="Alumínio",F10="Trifásico"),VLOOKUP(M10,'Iz''s'!$CJ$26:$CN$40,5,FALSE)))))</f>
        <v>35</v>
      </c>
      <c r="BN10" s="609">
        <f>IF(AND(J10="Cobre",F10="Monofásico"),VLOOKUP(M10,'Iz''s'!$G$8:$J$23,4,FALSE),IF(AND(J10="Cobre",F10="Trifásico"),VLOOKUP(M10,'Iz''s'!$Q$8:$T$23,4,FALSE),IF(AND(J10="Alumínio",F10="Monofásico"),VLOOKUP(M10,'Iz''s'!$G$25:$J$39,4,FALSE),IF(AND(J10="Alumínio",F10="Trifásico"),VLOOKUP(M10,'Iz''s'!$Q$25:$T$39,4,FALSE)))))</f>
        <v>40</v>
      </c>
      <c r="BO10" s="609">
        <f>IF(AND(J10="Cobre",F10="Monofásico"),VLOOKUP(M10,'Iz''s'!$CP$9:$CT$24,5,FALSE),IF(AND(J10="Cobre",F10="Trifásico"),VLOOKUP(M10,'Iz''s'!$CP$9:$CT$24,4,FALSE),IF(AND(J10="Alumínio",F10="Monofásico"),VLOOKUP(M10,'Iz''s'!$CP$26:$CT$37,5,FALSE),IF(AND(J10="Alumínio",F10="Trifásico"),VLOOKUP(M10,'Iz''s'!$CP$26:$CT$37,4,FALSE)))))</f>
        <v>53</v>
      </c>
      <c r="BP10" s="609">
        <f>IF(AND(J10="Cobre",F10="Monofásico"),VLOOKUP(M10,'Iz''s'!$BL$10:$BS$28,2,FALSE),IF(AND(J10="Cobre",F10="Trifásico"),VLOOKUP(M10,'Iz''s'!$BL$10:$BS$28,3,FALSE),IF(AND(J10="Alumínio",F10="Monofásico"),VLOOKUP(M10,'Iz''s'!$BU$10:$CB$27,2,FALSE),IF(AND(J10="Alumínio",F10="Trifásico"),VLOOKUP(M10,'Iz''s'!$BU$10:$CB$27,3,FALSE)))))</f>
        <v>42</v>
      </c>
      <c r="BQ10" s="609" t="str">
        <f>IF(AND(J10="Cobre",F10="Monofásico"),VLOOKUP(M10,'Iz''s'!$BL$10:$BS$28,4,FALSE),IF(AND(J10="Cobre",F10="Trifásico"),VLOOKUP(M10,'Iz''s'!$BL$10:$BS$28,5,FALSE),IF(AND(J10="Alumínio",F10="Monofásico"),VLOOKUP(M10,'Iz''s'!$BU$10:$CB$27,4,FALSE),IF(AND(J10="Alumínio",F10="Trifásico"),VLOOKUP(M10,'Iz''s'!$BU$10:$CB$27,5,FALSE)))))</f>
        <v xml:space="preserve"> --- </v>
      </c>
      <c r="BR10" s="609" t="str">
        <f>IF(AND(J10="Cobre",F10="Monofásico"),"N/A",IF(AND(J10="Cobre",F10="Trifásico"),VLOOKUP(M10,'Iz''s'!$BL$10:$BS$28,8,FALSE),IF(AND(J10="Alumínio",F10="Monofásico"),"N/A",IF(AND(J10="Alumínio",F10="Trifásico"),VLOOKUP(M10,'Iz''s'!$BU$10:$CB$27,8,FALSE)))))</f>
        <v xml:space="preserve"> --- </v>
      </c>
      <c r="BS10" s="609">
        <f>IF(AND(J10="Cobre",F10="Monofásico"),VLOOKUP(M10,'Iz''s'!$V$14:$Y$28,2,FALSE),IF(AND(J10="Cobre",F10="Trifásico"),VLOOKUP(M10,'Iz''s'!$V$14:$Y$28,3,FALSE),IF(AND(J10="Alumínio",F10="Monofásico"),VLOOKUP(M10,"N/A",4,FALSE),IF(AND(J10="Alumínio",F10="Trifásico"),VLOOKUP(M10,"N/A",4,FALSE)))))</f>
        <v>37</v>
      </c>
      <c r="BT10" s="609">
        <f>IF(AND(J10="Cobre",F10="Monofásico"),VLOOKUP(M10,'Iz''s'!$AF$15:$AK$29,2,FALSE),IF(AND(J10="Cobre",F10="Trifásico"),VLOOKUP(M10,'Iz''s'!$AF$15:$AK$29,3,FALSE),IF(AND(J10="Alumínio",F10="Monofásico"),"N/A",IF(AND(J10="Alumínio",F10="Trifásico"),"N/A"))))</f>
        <v>40</v>
      </c>
      <c r="BU10" s="609">
        <f>IF(AND(J10="Cobre",F10="Monofásico"),VLOOKUP(M10,'Iz''s'!$AF$15:$AK$29,2,FALSE),IF(AND(J10="Cobre",F10="Trifásico"),VLOOKUP(M10,'Iz''s'!$AF$15:$AK$29,3,FALSE),IF(AND(J10="Alumínio",F10="Monofásico"),"N/A",IF(AND(J10="Alumínio",F10="Trifásico"),"N/A"))))</f>
        <v>40</v>
      </c>
      <c r="BV10" s="610">
        <f>IF(AND(J10="Cobre",F10="Monofásico"),"N/A",IF(AND(J10="Cobre",F10="Trifásico"),VLOOKUP(M10,'Iz''s'!$AF$15:$AK$29,6,FALSE),IF(AND(J10="Alumínio",F10="Monofásico"),"N/A",IF(AND(J10="Alumínio",F10="Trifásico"),"N/A"))))</f>
        <v>56</v>
      </c>
      <c r="BW10" s="611">
        <v>8</v>
      </c>
      <c r="BX10" s="583"/>
      <c r="BY10" s="612">
        <f>VLOOKUP(M10,Consulta!$W$6:$AB$23,4,FALSE)</f>
        <v>20</v>
      </c>
      <c r="BZ10" s="612">
        <f>VLOOKUP(M10,Consulta!$W$6:$AB$23,6,FALSE)</f>
        <v>25</v>
      </c>
      <c r="CA10" s="612">
        <f>VLOOKUP(M10,Consulta!$AK$6:$AP$23,4,FALSE)</f>
        <v>25</v>
      </c>
      <c r="CB10" s="612">
        <f>VLOOKUP(M10,Consulta!$AK$6:$AP$23,6,FALSE)</f>
        <v>25</v>
      </c>
      <c r="CC10" s="612" t="e">
        <f>VLOOKUP(M10,Consulta!$AD$6:$AI$19,4,FALSE)</f>
        <v>#N/A</v>
      </c>
      <c r="CD10" s="612" t="e">
        <f>VLOOKUP(M10,Consulta!$AD$6:$AI$19,6,FALSE)</f>
        <v>#N/A</v>
      </c>
      <c r="CE10" s="612" t="e">
        <f>VLOOKUP(M10,Consulta!$AR$6:$AW$19,4,FALSE)</f>
        <v>#N/A</v>
      </c>
      <c r="CF10" s="613" t="e">
        <f>VLOOKUP(M10,Consulta!$AR$6:$AW$19,6,FALSE)</f>
        <v>#N/A</v>
      </c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</row>
    <row r="11" spans="1:127" s="553" customFormat="1" ht="21" customHeight="1" thickBot="1" x14ac:dyDescent="0.3">
      <c r="A11" s="569"/>
      <c r="B11" s="1119"/>
      <c r="C11" s="829" t="s">
        <v>843</v>
      </c>
      <c r="D11" s="830">
        <f>SUM(D72:D104)</f>
        <v>52.136000000000031</v>
      </c>
      <c r="E11" s="830">
        <f>4.8+15.35+2.1+0.5516+2.8</f>
        <v>25.601600000000001</v>
      </c>
      <c r="F11" s="830" t="s">
        <v>246</v>
      </c>
      <c r="G11" s="830" t="s">
        <v>808</v>
      </c>
      <c r="H11" s="830">
        <v>0.96</v>
      </c>
      <c r="I11" s="831" t="s">
        <v>13</v>
      </c>
      <c r="J11" s="830" t="s">
        <v>242</v>
      </c>
      <c r="K11" s="830" t="s">
        <v>363</v>
      </c>
      <c r="L11" s="830">
        <v>3</v>
      </c>
      <c r="M11" s="832">
        <v>10</v>
      </c>
      <c r="N11" s="830" t="s">
        <v>455</v>
      </c>
      <c r="O11" s="830">
        <v>13</v>
      </c>
      <c r="P11" s="619">
        <f t="shared" si="4"/>
        <v>180</v>
      </c>
      <c r="Q11" s="830">
        <v>5</v>
      </c>
      <c r="R11" s="830">
        <v>0.75</v>
      </c>
      <c r="S11" s="833">
        <f t="shared" si="9"/>
        <v>78.387327173099862</v>
      </c>
      <c r="T11" s="834">
        <f t="shared" si="5"/>
        <v>135</v>
      </c>
      <c r="U11" s="830" t="s">
        <v>499</v>
      </c>
      <c r="V11" s="619">
        <v>125</v>
      </c>
      <c r="W11" s="830">
        <f>IF(U11="C.C.Fusíveis",VLOOKUP(V11,Consulta!$L$5:$N$31,3,FALSE),VLOOKUP(V11,Consulta!$P$5:$R$34,3,FALSE))</f>
        <v>169</v>
      </c>
      <c r="X11" s="835">
        <f t="shared" si="10"/>
        <v>261</v>
      </c>
      <c r="Y11" s="836">
        <f t="shared" si="19"/>
        <v>0.58064686794888787</v>
      </c>
      <c r="Z11" s="794" t="str">
        <f>IF(AND(S11&lt;=V11,V11&lt;=P11,W11&lt;=X11),"Sim","Não")</f>
        <v>Sim</v>
      </c>
      <c r="AA11" s="837">
        <f t="shared" si="20"/>
        <v>4.1154827075354221E-2</v>
      </c>
      <c r="AB11" s="837">
        <f t="shared" si="12"/>
        <v>2.4001499999999999E-2</v>
      </c>
      <c r="AC11" s="837">
        <f t="shared" si="6"/>
        <v>2.0481280000000002E-3</v>
      </c>
      <c r="AD11" s="838">
        <f t="shared" si="13"/>
        <v>9.5511646816065734E-2</v>
      </c>
      <c r="AE11" s="838">
        <f t="shared" si="17"/>
        <v>1.851110134115298</v>
      </c>
      <c r="AF11" s="838">
        <f t="shared" si="18"/>
        <v>1.9466217809313637</v>
      </c>
      <c r="AG11" s="839">
        <f t="shared" si="14"/>
        <v>8.0483049309360791E-3</v>
      </c>
      <c r="AH11" s="840">
        <f t="shared" si="14"/>
        <v>8.463572960571146E-3</v>
      </c>
      <c r="AI11" s="838">
        <f t="shared" si="7"/>
        <v>3.5396616016422615</v>
      </c>
      <c r="AJ11" s="830">
        <v>6</v>
      </c>
      <c r="AK11" s="838">
        <v>0.1</v>
      </c>
      <c r="AL11" s="835">
        <f t="shared" si="0"/>
        <v>115</v>
      </c>
      <c r="AM11" s="838">
        <f t="shared" si="15"/>
        <v>9.7333850499383896</v>
      </c>
      <c r="AN11" s="794">
        <f t="shared" si="1"/>
        <v>3</v>
      </c>
      <c r="AO11" s="841" t="s">
        <v>563</v>
      </c>
      <c r="AP11" s="794" t="s">
        <v>523</v>
      </c>
      <c r="AQ11" s="794" t="str">
        <f t="shared" si="2"/>
        <v>5G</v>
      </c>
      <c r="AR11" s="794">
        <f t="shared" si="3"/>
        <v>10</v>
      </c>
      <c r="AS11" s="842" t="str">
        <f t="shared" si="8"/>
        <v/>
      </c>
      <c r="AT11" s="842" t="str">
        <f>IF(OR(AQ11="3G",AQ11="5G"),"",VLOOKUP(AR11,Consulta!$T$5:$U$25,2,FALSE))</f>
        <v/>
      </c>
      <c r="AU11" s="843" t="s">
        <v>565</v>
      </c>
      <c r="AV11" s="794" t="s">
        <v>23</v>
      </c>
      <c r="AW11" s="794" t="s">
        <v>564</v>
      </c>
      <c r="AX11" s="844">
        <f t="shared" si="16"/>
        <v>25</v>
      </c>
      <c r="AY11" s="845" t="s">
        <v>24</v>
      </c>
      <c r="AZ11" s="662"/>
      <c r="BA11" s="663">
        <f>IF(AND(J11="Cobre",F11="Monofásico"),VLOOKUP(M11,'Iz''s'!$B$8:$E$23,2,FALSE),IF(AND(J11="Cobre",F11="Trifásico"),VLOOKUP(M11,'Iz''s'!$L$8:$O$23,2,FALSE),IF(AND(J11="Alumínio",F11="Monofásico"),VLOOKUP(M11,'Iz''s'!$B$25:$E$39,2,FALSE),IF(AND(J11="Alumínio",F11="Trifásico"),VLOOKUP(M11,'Iz''s'!$L$25:$O$39,2,FALSE)))))</f>
        <v>42</v>
      </c>
      <c r="BB11" s="664">
        <f>IF(AND(J11="Cobre",F11="Monofásico"),VLOOKUP(M11,'Iz''s'!$CD$9:$CH$24,2,FALSE),IF(AND(J11="Cobre",F11="Trifásico"),VLOOKUP(M11,'Iz''s'!$CD$9:$CH$24,4,FALSE),IF(AND(J11="Alumínio",F11="Monofásico"),VLOOKUP(M11,'Iz''s'!$CD$26:$CH$40,2,FALSE),IF(AND(J11="Alumínio",F11="Trifásico"),VLOOKUP(M11,'Iz''s'!$CD$26:$CH$40,4,FALSE)))))</f>
        <v>39</v>
      </c>
      <c r="BC11" s="664">
        <f>IF(AND(J11="Cobre",F11="Monofásico"),VLOOKUP(M11,'Iz''s'!$B$8:$E$23,3,FALSE),IF(AND(J11="Cobre",F11="Trifásico"),VLOOKUP(M11,'Iz''s'!$L$8:$O$23,3,FALSE),IF(AND(J11="Alumínio",F11="Monofásico"),VLOOKUP(M11,'Iz''s'!$B$25:$E$39,3,FALSE),IF(AND(J11="Alumínio",F11="Trifásico"),VLOOKUP(M11,'Iz''s'!$L$25:$O$39,3,FALSE)))))</f>
        <v>50</v>
      </c>
      <c r="BD11" s="664">
        <f>IF(AND(J11="Cobre",F11="Monofásico"),VLOOKUP(M11,'Iz''s'!$CD$9:$CH$24,3,FALSE),IF(AND(J11="Cobre",F11="Trifásico"),VLOOKUP(M11,'Iz''s'!$CD$9:$CH$24,5,FALSE),IF(AND(J11="Alumínio",F11="Monofásico"),VLOOKUP(M11,'Iz''s'!$CD$26:$CH$40,3,FALSE),IF(AND(J11="Alumínio",F11="Trifásico"),VLOOKUP(M11,'Iz''s'!$CD$26:$CH$40,5,FALSE)))))</f>
        <v>46</v>
      </c>
      <c r="BE11" s="664">
        <f>IF(AND(J11="Cobre",F11="Monofásico"),VLOOKUP(M11,'Iz''s'!$B$8:$E$23,4,FALSE),IF(AND(J11="Cobre",F11="Trifásico"),VLOOKUP(M11,'Iz''s'!$L$8:$O$23,4,FALSE),IF(AND(J11="Alumínio",F11="Monofásico"),VLOOKUP(M11,'Iz''s'!$B$25:$E$39,4,FALSE),IF(AND(J11="Alumínio",F11="Trifásico"),VLOOKUP(M11,'Iz''s'!$L$25:$O$39,4,FALSE)))))</f>
        <v>57</v>
      </c>
      <c r="BF11" s="664">
        <f>IF(AND(J11="Cobre",F11="Monofásico"),VLOOKUP(M11,'Iz''s'!$CP$9:$CT$24,3,FALSE),IF(AND(J11="Cobre",F11="Trifásico"),VLOOKUP(M11,'Iz''s'!$CP$9:$CT$24,2,FALSE),IF(AND(J11="Alumínio",F11="Monofásico"),VLOOKUP(M11,'Iz''s'!$CP$26:$CT$37,3,FALSE),IF(AND(J11="Alumínio",F11="Trifásico"),VLOOKUP(M11,'Iz''s'!$CP$26:$CT$37,2,FALSE)))))</f>
        <v>74</v>
      </c>
      <c r="BG11" s="664">
        <f>IF(AND(J11="Cobre",F11="Monofásico"),VLOOKUP(M11,'Iz''s'!$AT$10:$BA$28,2,FALSE),IF(AND(J11="Cobre",F11="Trifásico"),VLOOKUP(M11,'Iz''s'!$AT$10:$BA$28,3,FALSE),IF(AND(J11="Alumínio",F11="Monofásico"),VLOOKUP(M11,'Iz''s'!$BC$10:$BJ$27,2,FALSE),IF(AND(J11="Alumínio",F11="Trifásico"),VLOOKUP(M11,'Iz''s'!$BC$10:$BJ$27,3,FALSE)))))</f>
        <v>60</v>
      </c>
      <c r="BH11" s="664" t="str">
        <f>IF(AND(J11="Cobre",F11="Monofásico"),VLOOKUP(M11,'Iz''s'!$AT$10:$BA$28,4,FALSE),IF(AND(J11="Cobre",F11="Trifásico"),VLOOKUP(M11,'Iz''s'!$AT$10:$BA$28,5,FALSE),IF(AND(J11="Alumínio",F11="Monofásico"),VLOOKUP(M11,'Iz''s'!$BC$10:$BJ$27,4,FALSE),IF(AND(J11="Alumínio",F11="Trifásico"),VLOOKUP(M11,'Iz''s'!$BC$10:$BJ$27,5,FALSE)))))</f>
        <v xml:space="preserve"> --- </v>
      </c>
      <c r="BI11" s="664" t="str">
        <f>IF(AND(J11="Cobre",F11="Monofásico"),"N/A",IF(AND(J11="Cobre",F11="Trifásico"),VLOOKUP(M11,'Iz''s'!$AT$10:$BA$28,8,FALSE),IF(AND(J11="Alumínio",F11="Monofásico"),"N/A",IF(AND(J11="Alumínio",F11="Trifásico"),VLOOKUP(M11,'Iz''s'!$BC$10:$BJ$27,8,FALSE)))))</f>
        <v xml:space="preserve"> --- </v>
      </c>
      <c r="BJ11" s="664">
        <f>IF(AND(J11="Cobre",F11="Monofásico"),VLOOKUP(M11,'Iz''s'!$G$8:$J$23,2,FALSE),IF(AND(J11="Cobre",F11="Trifásico"),VLOOKUP(M11,'Iz''s'!$Q$8:$T$23,2,FALSE),IF(AND(J11="Alumínio",F11="Monofásico"),VLOOKUP(M11,'Iz''s'!$G$25:$J$39,2,FALSE),IF(AND(J11="Alumínio",F11="Trifásico"),VLOOKUP(M11,'Iz''s'!$Q$25:$T$39,2,FALSE)))))</f>
        <v>54</v>
      </c>
      <c r="BK11" s="664">
        <f>IF(AND(J11="Cobre",F11="Monofásico"),VLOOKUP(M11,'Iz''s'!$CJ$9:$CN$24,2,FALSE),IF(AND(J11="Cobre",F11="Trifásico"),VLOOKUP(M11,'Iz''s'!$CJ$9:$CN$24,4,FALSE),IF(AND(J11="Alumínio",F11="Monofásico"),VLOOKUP(M11,'Iz''s'!$CJ$26:$CN$40,2,FALSE),IF(AND(J11="Alumínio",F11="Trifásico"),VLOOKUP(M11,'Iz''s'!$CJ$26:$CN$40,4,FALSE)))))</f>
        <v>51</v>
      </c>
      <c r="BL11" s="664">
        <f>IF(AND(J11="Cobre",F11="Monofásico"),VLOOKUP(M11,'Iz''s'!$G$8:$J$23,3,FALSE),IF(AND(J11="Cobre",F11="Trifásico"),VLOOKUP(M11,'Iz''s'!$Q$8:$T$23,3,FALSE),IF(AND(J11="Alumínio",F11="Monofásico"),VLOOKUP(M11,'Iz''s'!$G$25:$J$39,3,FALSE),IF(AND(J11="Alumínio",F11="Trifásico"),VLOOKUP(M11,'Iz''s'!$Q$25:$T$39,3,FALSE)))))</f>
        <v>66</v>
      </c>
      <c r="BM11" s="664">
        <f>IF(AND(J11="Cobre",F11="Monofásico"),VLOOKUP(M11,'Iz''s'!$CJ$9:$CN$24,3,FALSE),IF(AND(J11="Cobre",F11="Trifásico"),VLOOKUP(M11,'Iz''s'!$CJ$9:$CN$24,5,FALSE),IF(AND(J11="Alumínio",F11="Monofásico"),VLOOKUP(M11,'Iz''s'!$CJ$26:$CN$40,3,FALSE),IF(AND(J11="Alumínio",F11="Trifásico"),VLOOKUP(M11,'Iz''s'!$CJ$26:$CN$40,5,FALSE)))))</f>
        <v>60</v>
      </c>
      <c r="BN11" s="664">
        <f>IF(AND(J11="Cobre",F11="Monofásico"),VLOOKUP(M11,'Iz''s'!$G$8:$J$23,4,FALSE),IF(AND(J11="Cobre",F11="Trifásico"),VLOOKUP(M11,'Iz''s'!$Q$8:$T$23,4,FALSE),IF(AND(J11="Alumínio",F11="Monofásico"),VLOOKUP(M11,'Iz''s'!$G$25:$J$39,4,FALSE),IF(AND(J11="Alumínio",F11="Trifásico"),VLOOKUP(M11,'Iz''s'!$Q$25:$T$39,4,FALSE)))))</f>
        <v>71</v>
      </c>
      <c r="BO11" s="664">
        <f>IF(AND(J11="Cobre",F11="Monofásico"),VLOOKUP(M11,'Iz''s'!$CP$9:$CT$24,5,FALSE),IF(AND(J11="Cobre",F11="Trifásico"),VLOOKUP(M11,'Iz''s'!$CP$9:$CT$24,4,FALSE),IF(AND(J11="Alumínio",F11="Monofásico"),VLOOKUP(M11,'Iz''s'!$CP$26:$CT$37,5,FALSE),IF(AND(J11="Alumínio",F11="Trifásico"),VLOOKUP(M11,'Iz''s'!$CP$26:$CT$37,4,FALSE)))))</f>
        <v>87</v>
      </c>
      <c r="BP11" s="664">
        <f>IF(AND(J11="Cobre",F11="Monofásico"),VLOOKUP(M11,'Iz''s'!$BL$10:$BS$28,2,FALSE),IF(AND(J11="Cobre",F11="Trifásico"),VLOOKUP(M11,'Iz''s'!$BL$10:$BS$28,3,FALSE),IF(AND(J11="Alumínio",F11="Monofásico"),VLOOKUP(M11,'Iz''s'!$BU$10:$CB$27,2,FALSE),IF(AND(J11="Alumínio",F11="Trifásico"),VLOOKUP(M11,'Iz''s'!$BU$10:$CB$27,3,FALSE)))))</f>
        <v>75</v>
      </c>
      <c r="BQ11" s="664" t="str">
        <f>IF(AND(J11="Cobre",F11="Monofásico"),VLOOKUP(M11,'Iz''s'!$BL$10:$BS$28,4,FALSE),IF(AND(J11="Cobre",F11="Trifásico"),VLOOKUP(M11,'Iz''s'!$BL$10:$BS$28,5,FALSE),IF(AND(J11="Alumínio",F11="Monofásico"),VLOOKUP(M11,'Iz''s'!$BU$10:$CB$27,4,FALSE),IF(AND(J11="Alumínio",F11="Trifásico"),VLOOKUP(M11,'Iz''s'!$BU$10:$CB$27,5,FALSE)))))</f>
        <v xml:space="preserve"> --- </v>
      </c>
      <c r="BR11" s="664" t="str">
        <f>IF(AND(J11="Cobre",F11="Monofásico"),"N/A",IF(AND(J11="Cobre",F11="Trifásico"),VLOOKUP(M11,'Iz''s'!$BL$10:$BS$28,8,FALSE),IF(AND(J11="Alumínio",F11="Monofásico"),"N/A",IF(AND(J11="Alumínio",F11="Trifásico"),VLOOKUP(M11,'Iz''s'!$BU$10:$CB$27,8,FALSE)))))</f>
        <v xml:space="preserve"> --- </v>
      </c>
      <c r="BS11" s="664">
        <f>IF(AND(J11="Cobre",F11="Monofásico"),VLOOKUP(M11,'Iz''s'!$V$14:$Y$28,2,FALSE),IF(AND(J11="Cobre",F11="Trifásico"),VLOOKUP(M11,'Iz''s'!$V$14:$Y$28,3,FALSE),IF(AND(J11="Alumínio",F11="Monofásico"),VLOOKUP(M11,"N/A",4,FALSE),IF(AND(J11="Alumínio",F11="Trifásico"),VLOOKUP(M11,"N/A",4,FALSE)))))</f>
        <v>65</v>
      </c>
      <c r="BT11" s="664">
        <f>IF(AND(J11="Cobre",F11="Monofásico"),VLOOKUP(M11,'Iz''s'!$AF$15:$AK$29,2,FALSE),IF(AND(J11="Cobre",F11="Trifásico"),VLOOKUP(M11,'Iz''s'!$AF$15:$AK$29,3,FALSE),IF(AND(J11="Alumínio",F11="Monofásico"),"N/A",IF(AND(J11="Alumínio",F11="Trifásico"),"N/A"))))</f>
        <v>69</v>
      </c>
      <c r="BU11" s="664">
        <f>IF(AND(J11="Cobre",F11="Monofásico"),VLOOKUP(M11,'Iz''s'!$AF$15:$AK$29,2,FALSE),IF(AND(J11="Cobre",F11="Trifásico"),VLOOKUP(M11,'Iz''s'!$AF$15:$AK$29,3,FALSE),IF(AND(J11="Alumínio",F11="Monofásico"),"N/A",IF(AND(J11="Alumínio",F11="Trifásico"),"N/A"))))</f>
        <v>69</v>
      </c>
      <c r="BV11" s="665">
        <f>IF(AND(J11="Cobre",F11="Monofásico"),"N/A",IF(AND(J11="Cobre",F11="Trifásico"),VLOOKUP(M11,'Iz''s'!$AF$15:$AK$29,6,FALSE),IF(AND(J11="Alumínio",F11="Monofásico"),"N/A",IF(AND(J11="Alumínio",F11="Trifásico"),"N/A"))))</f>
        <v>95</v>
      </c>
      <c r="BW11" s="666">
        <v>9</v>
      </c>
      <c r="BX11" s="667"/>
      <c r="BY11" s="668">
        <f>VLOOKUP(M11,Consulta!$W$6:$AB$23,4,FALSE)</f>
        <v>25</v>
      </c>
      <c r="BZ11" s="668">
        <f>VLOOKUP(M11,Consulta!$W$6:$AB$23,6,FALSE)</f>
        <v>32</v>
      </c>
      <c r="CA11" s="668">
        <f>VLOOKUP(M11,Consulta!$AK$6:$AP$23,4,FALSE)</f>
        <v>32</v>
      </c>
      <c r="CB11" s="668">
        <f>VLOOKUP(M11,Consulta!$AK$6:$AP$23,6,FALSE)</f>
        <v>32</v>
      </c>
      <c r="CC11" s="668">
        <f>VLOOKUP(M11,Consulta!$AD$6:$AI$19,4,FALSE)</f>
        <v>32</v>
      </c>
      <c r="CD11" s="668">
        <f>VLOOKUP(M11,Consulta!$AD$6:$AI$19,6,FALSE)</f>
        <v>40</v>
      </c>
      <c r="CE11" s="668">
        <f>VLOOKUP(M11,Consulta!$AR$6:$AW$19,4,FALSE)</f>
        <v>50</v>
      </c>
      <c r="CF11" s="669">
        <f>VLOOKUP(M11,Consulta!$AR$6:$AW$19,6,FALSE)</f>
        <v>50</v>
      </c>
      <c r="CG11" s="670"/>
      <c r="CH11" s="670"/>
      <c r="CI11" s="670"/>
      <c r="CJ11" s="670"/>
      <c r="CK11" s="670"/>
      <c r="CL11" s="670"/>
      <c r="CM11" s="670"/>
      <c r="CN11" s="670"/>
      <c r="CO11" s="670"/>
      <c r="CP11" s="670"/>
      <c r="CQ11" s="670"/>
      <c r="CR11" s="670"/>
      <c r="CS11" s="670"/>
      <c r="CT11" s="670"/>
      <c r="CU11" s="670"/>
      <c r="CV11" s="670"/>
      <c r="CW11" s="670"/>
      <c r="CX11" s="670"/>
      <c r="CY11" s="670"/>
      <c r="CZ11" s="670"/>
      <c r="DA11" s="670"/>
      <c r="DB11" s="670"/>
      <c r="DC11" s="670"/>
      <c r="DD11" s="670"/>
      <c r="DE11" s="670"/>
      <c r="DF11" s="670"/>
      <c r="DG11" s="670"/>
      <c r="DH11" s="670"/>
      <c r="DI11" s="670"/>
      <c r="DJ11" s="670"/>
      <c r="DK11" s="670"/>
      <c r="DL11" s="670"/>
      <c r="DM11" s="670"/>
      <c r="DN11" s="670"/>
      <c r="DO11" s="670"/>
      <c r="DP11" s="670"/>
      <c r="DQ11" s="670"/>
      <c r="DR11" s="670"/>
      <c r="DS11" s="670"/>
      <c r="DT11" s="670"/>
    </row>
    <row r="12" spans="1:127" s="561" customFormat="1" ht="16.5" customHeight="1" x14ac:dyDescent="0.25">
      <c r="B12" s="1114" t="s">
        <v>809</v>
      </c>
      <c r="C12" s="849" t="s">
        <v>816</v>
      </c>
      <c r="D12" s="850">
        <v>15</v>
      </c>
      <c r="E12" s="851">
        <f>5.9144+5.75+4.6302+2.4456</f>
        <v>18.740200000000002</v>
      </c>
      <c r="F12" s="851" t="s">
        <v>246</v>
      </c>
      <c r="G12" s="851" t="s">
        <v>808</v>
      </c>
      <c r="H12" s="851">
        <v>0.8</v>
      </c>
      <c r="I12" s="852" t="s">
        <v>13</v>
      </c>
      <c r="J12" s="851" t="s">
        <v>242</v>
      </c>
      <c r="K12" s="851" t="s">
        <v>363</v>
      </c>
      <c r="L12" s="851">
        <v>1</v>
      </c>
      <c r="M12" s="853">
        <v>6</v>
      </c>
      <c r="N12" s="851" t="s">
        <v>455</v>
      </c>
      <c r="O12" s="851">
        <v>13</v>
      </c>
      <c r="P12" s="616">
        <f t="shared" si="4"/>
        <v>43</v>
      </c>
      <c r="Q12" s="851">
        <v>3</v>
      </c>
      <c r="R12" s="851">
        <v>1</v>
      </c>
      <c r="S12" s="616">
        <f t="shared" ref="S12:S20" si="21">IF(F12="Monofásico",(((D12*10^3)/H12)/230),(((D12*10^3)/H12)/(SQRT(3)*400)))</f>
        <v>27.06329386826371</v>
      </c>
      <c r="T12" s="854">
        <f>P12*R12</f>
        <v>43</v>
      </c>
      <c r="U12" s="851" t="s">
        <v>499</v>
      </c>
      <c r="V12" s="616">
        <v>32</v>
      </c>
      <c r="W12" s="851">
        <f>IF(U12="C.C.Fusíveis",VLOOKUP(V12,Consulta!$L$5:$N$31,3,FALSE),VLOOKUP(V12,Consulta!$P$5:$R$34,3,FALSE))</f>
        <v>39</v>
      </c>
      <c r="X12" s="850">
        <f t="shared" si="10"/>
        <v>63</v>
      </c>
      <c r="Y12" s="855">
        <f t="shared" ref="Y12:Y19" si="22">S12/T12</f>
        <v>0.62937892716892352</v>
      </c>
      <c r="Z12" s="856" t="str">
        <f t="shared" si="11"/>
        <v>Sim</v>
      </c>
      <c r="AA12" s="857">
        <f t="shared" ref="AA12:AA20" si="23">$AA$5+SQRT($AB$5^2+$AC$5^2)</f>
        <v>9.7156389575354218E-2</v>
      </c>
      <c r="AB12" s="857">
        <f>(IF(J12="Cobre",(1.25*0.0225),(1.25*0.036)))*((E12/M12)/L12)</f>
        <v>8.7844687500000004E-2</v>
      </c>
      <c r="AC12" s="857">
        <f>(IF(M12&lt;10,0,(0.00008)))*(E12)</f>
        <v>0</v>
      </c>
      <c r="AD12" s="858">
        <f>$AF$5</f>
        <v>2.9650225469328664</v>
      </c>
      <c r="AE12" s="858">
        <f>IF(F12="Trifásico",S12*(AB12*H12+AC12*SIN(ACOS(H12))),2*S12*(AB12*H12+AC12*SIN(ACOS(H12))))</f>
        <v>1.9018932740626338</v>
      </c>
      <c r="AF12" s="858">
        <f t="shared" si="18"/>
        <v>4.8669158209954997</v>
      </c>
      <c r="AG12" s="859">
        <f t="shared" si="14"/>
        <v>8.2691011915766686E-3</v>
      </c>
      <c r="AH12" s="860">
        <f t="shared" si="14"/>
        <v>2.1160503569545651E-2</v>
      </c>
      <c r="AI12" s="858">
        <f t="shared" si="7"/>
        <v>1.2483176386145272</v>
      </c>
      <c r="AJ12" s="851">
        <v>3</v>
      </c>
      <c r="AK12" s="858">
        <v>0.1</v>
      </c>
      <c r="AL12" s="850">
        <f t="shared" ref="AL12:AL20" si="24">IF(G12="Multicondutor",(IF(AND(J12="Cobre",K12="PVC"),115,IF(AND(J12="Cobre",K12="XLPE"),143,IF(AND(J12="Alumínio",K12="PVC"),76,IF(AND(J12="Alumínio",K12="XLPE"),94))))),(IF(AND(J12="Cobre",K12="PVC"),143,IF(AND(J12="Cobre",K12="XLPE"),176,IF(AND(J12="Alumínio",K12="PVC"),95,IF(AND(J12="Alumínio",K12="XLPE"),116))))))</f>
        <v>115</v>
      </c>
      <c r="AM12" s="858">
        <f t="shared" ref="AM12:AM20" si="25">((AI12*1000)*SQRT(AK12))/AL12</f>
        <v>3.4326321577259686</v>
      </c>
      <c r="AN12" s="856">
        <f t="shared" ref="AN12:AN20" si="26">L12</f>
        <v>1</v>
      </c>
      <c r="AO12" s="861" t="s">
        <v>563</v>
      </c>
      <c r="AP12" s="856" t="s">
        <v>523</v>
      </c>
      <c r="AQ12" s="856" t="str">
        <f t="shared" ref="AQ12:AQ20" si="27">IF(F12="Monofásico","3G",IF(AND(F12="Trifásico",M12&lt;25),"5G","3×"))</f>
        <v>5G</v>
      </c>
      <c r="AR12" s="856">
        <f t="shared" ref="AR12:AR20" si="28">M12</f>
        <v>6</v>
      </c>
      <c r="AS12" s="905" t="str">
        <f t="shared" si="8"/>
        <v/>
      </c>
      <c r="AT12" s="905" t="str">
        <f>IF(OR(AQ12="3G",AQ12="5G"),"",VLOOKUP(AR12,Consulta!$T$5:$U$25,2,FALSE))</f>
        <v/>
      </c>
      <c r="AU12" s="906" t="s">
        <v>565</v>
      </c>
      <c r="AV12" s="856" t="s">
        <v>23</v>
      </c>
      <c r="AW12" s="856" t="s">
        <v>564</v>
      </c>
      <c r="AX12" s="856">
        <f>IF(AND(F12="Monofásico",I12="Fio/Canalizações"),BY11,IF(AND(F12="Trifásico",I12="Fio/Canalizações"),BZ11,IF(AND(F12="Monofásico",I12="Cabo/Canalizações"),CA11,IF(AND(F12="Trifásico",I12="Cabo/Canalizações"),CB11,IF(AND(F12="Monofásico",I12="Fio/Colunas&amp;Entradas"),CC11,IF(AND(F12="Trifásico",I12="Fio/Colunas&amp;Entradas"),CD11,IF(AND(F12="Monofásico",I12="Cabo/Colunas&amp;Entradas"),CE11,IF(AND(F12="Trifásico",I12="Cabo/Colunas&amp;Entradas"),CF11))))))))</f>
        <v>32</v>
      </c>
      <c r="AY12" s="862" t="s">
        <v>24</v>
      </c>
      <c r="AZ12" s="564"/>
      <c r="BA12" s="654">
        <f>IF(AND(J12="Cobre",F12="Monofásico"),VLOOKUP(M12,'Iz''s'!$B$8:$E$23,2,FALSE),IF(AND(J12="Cobre",F12="Trifásico"),VLOOKUP(M12,'Iz''s'!$L$8:$O$23,2,FALSE),IF(AND(J12="Alumínio",F12="Monofásico"),VLOOKUP(M12,'Iz''s'!$B$25:$E$39,2,FALSE),IF(AND(J12="Alumínio",F12="Trifásico"),VLOOKUP(M12,'Iz''s'!$L$25:$O$39,2,FALSE)))))</f>
        <v>31</v>
      </c>
      <c r="BB12" s="655">
        <f>IF(AND(J12="Cobre",F12="Monofásico"),VLOOKUP(M12,'Iz''s'!$CD$9:$CH$24,2,FALSE),IF(AND(J12="Cobre",F12="Trifásico"),VLOOKUP(M12,'Iz''s'!$CD$9:$CH$24,4,FALSE),IF(AND(J12="Alumínio",F12="Monofásico"),VLOOKUP(M12,'Iz''s'!$CD$26:$CH$40,2,FALSE),IF(AND(J12="Alumínio",F12="Trifásico"),VLOOKUP(M12,'Iz''s'!$CD$26:$CH$40,4,FALSE)))))</f>
        <v>29</v>
      </c>
      <c r="BC12" s="655">
        <f>IF(AND(J12="Cobre",F12="Monofásico"),VLOOKUP(M12,'Iz''s'!$B$8:$E$23,3,FALSE),IF(AND(J12="Cobre",F12="Trifásico"),VLOOKUP(M12,'Iz''s'!$L$8:$O$23,3,FALSE),IF(AND(J12="Alumínio",F12="Monofásico"),VLOOKUP(M12,'Iz''s'!$B$25:$E$39,3,FALSE),IF(AND(J12="Alumínio",F12="Trifásico"),VLOOKUP(M12,'Iz''s'!$L$25:$O$39,3,FALSE)))))</f>
        <v>36</v>
      </c>
      <c r="BD12" s="655">
        <f>IF(AND(J12="Cobre",F12="Monofásico"),VLOOKUP(M12,'Iz''s'!$CD$9:$CH$24,3,FALSE),IF(AND(J12="Cobre",F12="Trifásico"),VLOOKUP(M12,'Iz''s'!$CD$9:$CH$24,5,FALSE),IF(AND(J12="Alumínio",F12="Monofásico"),VLOOKUP(M12,'Iz''s'!$CD$26:$CH$40,3,FALSE),IF(AND(J12="Alumínio",F12="Trifásico"),VLOOKUP(M12,'Iz''s'!$CD$26:$CH$40,5,FALSE)))))</f>
        <v>34</v>
      </c>
      <c r="BE12" s="655">
        <f>IF(AND(J12="Cobre",F12="Monofásico"),VLOOKUP(M12,'Iz''s'!$B$8:$E$23,4,FALSE),IF(AND(J12="Cobre",F12="Trifásico"),VLOOKUP(M12,'Iz''s'!$L$8:$O$23,4,FALSE),IF(AND(J12="Alumínio",F12="Monofásico"),VLOOKUP(M12,'Iz''s'!$B$25:$E$39,4,FALSE),IF(AND(J12="Alumínio",F12="Trifásico"),VLOOKUP(M12,'Iz''s'!$L$25:$O$39,4,FALSE)))))</f>
        <v>41</v>
      </c>
      <c r="BF12" s="655">
        <f>IF(AND(J12="Cobre",F12="Monofásico"),VLOOKUP(M12,'Iz''s'!$CP$9:$CT$24,3,FALSE),IF(AND(J12="Cobre",F12="Trifásico"),VLOOKUP(M12,'Iz''s'!$CP$9:$CT$24,2,FALSE),IF(AND(J12="Alumínio",F12="Monofásico"),VLOOKUP(M12,'Iz''s'!$CP$26:$CT$37,3,FALSE),IF(AND(J12="Alumínio",F12="Trifásico"),VLOOKUP(M12,'Iz''s'!$CP$26:$CT$37,2,FALSE)))))</f>
        <v>56</v>
      </c>
      <c r="BG12" s="655">
        <f>IF(AND(J12="Cobre",F12="Monofásico"),VLOOKUP(M12,'Iz''s'!$AT$10:$BA$28,2,FALSE),IF(AND(J12="Cobre",F12="Trifásico"),VLOOKUP(M12,'Iz''s'!$AT$10:$BA$28,3,FALSE),IF(AND(J12="Alumínio",F12="Monofásico"),VLOOKUP(M12,'Iz''s'!$BC$10:$BJ$27,2,FALSE),IF(AND(J12="Alumínio",F12="Trifásico"),VLOOKUP(M12,'Iz''s'!$BC$10:$BJ$27,3,FALSE)))))</f>
        <v>43</v>
      </c>
      <c r="BH12" s="656" t="str">
        <f>IF(AND(J12="Cobre",F12="Monofásico"),VLOOKUP(M12,'Iz''s'!$AT$10:$BA$28,4,FALSE),IF(AND(J12="Cobre",F12="Trifásico"),VLOOKUP(M12,'Iz''s'!$AT$10:$BA$28,5,FALSE),IF(AND(J12="Alumínio",F12="Monofásico"),VLOOKUP(M12,'Iz''s'!$BC$10:$BJ$27,4,FALSE),IF(AND(J12="Alumínio",F12="Trifásico"),VLOOKUP(M12,'Iz''s'!$BC$10:$BJ$27,5,FALSE)))))</f>
        <v xml:space="preserve"> --- </v>
      </c>
      <c r="BI12" s="656" t="str">
        <f>IF(AND(J12="Cobre",F12="Monofásico"),"N/A",IF(AND(J12="Cobre",F12="Trifásico"),VLOOKUP(M12,'Iz''s'!$AT$10:$BA$28,8,FALSE),IF(AND(J12="Alumínio",F12="Monofásico"),"N/A",IF(AND(J12="Alumínio",F12="Trifásico"),VLOOKUP(M12,'Iz''s'!$BC$10:$BJ$27,8,FALSE)))))</f>
        <v xml:space="preserve"> --- </v>
      </c>
      <c r="BJ12" s="655">
        <f>IF(AND(J12="Cobre",F12="Monofásico"),VLOOKUP(M12,'Iz''s'!$G$8:$J$23,2,FALSE),IF(AND(J12="Cobre",F12="Trifásico"),VLOOKUP(M12,'Iz''s'!$Q$8:$T$23,2,FALSE),IF(AND(J12="Alumínio",F12="Monofásico"),VLOOKUP(M12,'Iz''s'!$G$25:$J$39,2,FALSE),IF(AND(J12="Alumínio",F12="Trifásico"),VLOOKUP(M12,'Iz''s'!$Q$25:$T$39,2,FALSE)))))</f>
        <v>40</v>
      </c>
      <c r="BK12" s="656">
        <f>IF(AND(J12="Cobre",F12="Monofásico"),VLOOKUP(M12,'Iz''s'!$CJ$9:$CN$24,2,FALSE),IF(AND(J12="Cobre",F12="Trifásico"),VLOOKUP(M12,'Iz''s'!$CJ$9:$CN$24,4,FALSE),IF(AND(J12="Alumínio",F12="Monofásico"),VLOOKUP(M12,'Iz''s'!$CJ$26:$CN$40,2,FALSE),IF(AND(J12="Alumínio",F12="Trifásico"),VLOOKUP(M12,'Iz''s'!$CJ$26:$CN$40,4,FALSE)))))</f>
        <v>38</v>
      </c>
      <c r="BL12" s="656">
        <f>IF(AND(J12="Cobre",F12="Monofásico"),VLOOKUP(M12,'Iz''s'!$G$8:$J$23,3,FALSE),IF(AND(J12="Cobre",F12="Trifásico"),VLOOKUP(M12,'Iz''s'!$Q$8:$T$23,3,FALSE),IF(AND(J12="Alumínio",F12="Monofásico"),VLOOKUP(M12,'Iz''s'!$G$25:$J$39,3,FALSE),IF(AND(J12="Alumínio",F12="Trifásico"),VLOOKUP(M12,'Iz''s'!$Q$25:$T$39,3,FALSE)))))</f>
        <v>48</v>
      </c>
      <c r="BM12" s="656">
        <f>IF(AND(J12="Cobre",F12="Monofásico"),VLOOKUP(M12,'Iz''s'!$CJ$9:$CN$24,3,FALSE),IF(AND(J12="Cobre",F12="Trifásico"),VLOOKUP(M12,'Iz''s'!$CJ$9:$CN$24,5,FALSE),IF(AND(J12="Alumínio",F12="Monofásico"),VLOOKUP(M12,'Iz''s'!$CJ$26:$CN$40,3,FALSE),IF(AND(J12="Alumínio",F12="Trifásico"),VLOOKUP(M12,'Iz''s'!$CJ$26:$CN$40,5,FALSE)))))</f>
        <v>44</v>
      </c>
      <c r="BN12" s="656">
        <f>IF(AND(J12="Cobre",F12="Monofásico"),VLOOKUP(M12,'Iz''s'!$G$8:$J$23,4,FALSE),IF(AND(J12="Cobre",F12="Trifásico"),VLOOKUP(M12,'Iz''s'!$Q$8:$T$23,4,FALSE),IF(AND(J12="Alumínio",F12="Monofásico"),VLOOKUP(M12,'Iz''s'!$G$25:$J$39,4,FALSE),IF(AND(J12="Alumínio",F12="Trifásico"),VLOOKUP(M12,'Iz''s'!$Q$25:$T$39,4,FALSE)))))</f>
        <v>52</v>
      </c>
      <c r="BO12" s="656">
        <f>IF(AND(J12="Cobre",F12="Monofásico"),VLOOKUP(M12,'Iz''s'!$CP$9:$CT$24,5,FALSE),IF(AND(J12="Cobre",F12="Trifásico"),VLOOKUP(M12,'Iz''s'!$CP$9:$CT$24,4,FALSE),IF(AND(J12="Alumínio",F12="Monofásico"),VLOOKUP(M12,'Iz''s'!$CP$26:$CT$37,5,FALSE),IF(AND(J12="Alumínio",F12="Trifásico"),VLOOKUP(M12,'Iz''s'!$CP$26:$CT$37,4,FALSE)))))</f>
        <v>66</v>
      </c>
      <c r="BP12" s="656">
        <f>IF(AND(J12="Cobre",F12="Monofásico"),VLOOKUP(M12,'Iz''s'!$BL$10:$BS$28,2,FALSE),IF(AND(J12="Cobre",F12="Trifásico"),VLOOKUP(M12,'Iz''s'!$BL$10:$BS$28,3,FALSE),IF(AND(J12="Alumínio",F12="Monofásico"),VLOOKUP(M12,'Iz''s'!$BU$10:$CB$27,2,FALSE),IF(AND(J12="Alumínio",F12="Trifásico"),VLOOKUP(M12,'Iz''s'!$BU$10:$CB$27,3,FALSE)))))</f>
        <v>54</v>
      </c>
      <c r="BQ12" s="655" t="str">
        <f>IF(AND(J12="Cobre",F12="Monofásico"),VLOOKUP(M12,'Iz''s'!$BL$10:$BS$28,4,FALSE),IF(AND(J12="Cobre",F12="Trifásico"),VLOOKUP(M12,'Iz''s'!$BL$10:$BS$28,5,FALSE),IF(AND(J12="Alumínio",F12="Monofásico"),VLOOKUP(M12,'Iz''s'!$BU$10:$CB$27,4,FALSE),IF(AND(J12="Alumínio",F12="Trifásico"),VLOOKUP(M12,'Iz''s'!$BU$10:$CB$27,5,FALSE)))))</f>
        <v xml:space="preserve"> --- </v>
      </c>
      <c r="BR12" s="656" t="str">
        <f>IF(AND(J12="Cobre",F12="Monofásico"),"N/A",IF(AND(J12="Cobre",F12="Trifásico"),VLOOKUP(M12,'Iz''s'!$BL$10:$BS$28,8,FALSE),IF(AND(J12="Alumínio",F12="Monofásico"),"N/A",IF(AND(J12="Alumínio",F12="Trifásico"),VLOOKUP(M12,'Iz''s'!$BU$10:$CB$27,8,FALSE)))))</f>
        <v xml:space="preserve"> --- </v>
      </c>
      <c r="BS12" s="656">
        <f>IF(AND(J12="Cobre",F12="Monofásico"),VLOOKUP(M12,'Iz''s'!$V$14:$Y$28,2,FALSE),IF(AND(J12="Cobre",F12="Trifásico"),VLOOKUP(M12,'Iz''s'!$V$14:$Y$28,3,FALSE),IF(AND(J12="Alumínio",F12="Monofásico"),VLOOKUP(M12,"N/A",4,FALSE),IF(AND(J12="Alumínio",F12="Trifásico"),VLOOKUP(M12,"N/A",4,FALSE)))))</f>
        <v>48</v>
      </c>
      <c r="BT12" s="656">
        <f>IF(AND(J12="Cobre",F12="Monofásico"),VLOOKUP(M12,'Iz''s'!$AF$15:$AK$29,2,FALSE),IF(AND(J12="Cobre",F12="Trifásico"),VLOOKUP(M12,'Iz''s'!$AF$15:$AK$29,3,FALSE),IF(AND(J12="Alumínio",F12="Monofásico"),"N/A",IF(AND(J12="Alumínio",F12="Trifásico"),"N/A"))))</f>
        <v>51</v>
      </c>
      <c r="BU12" s="656">
        <f>IF(AND(J12="Cobre",F12="Monofásico"),VLOOKUP(M12,'Iz''s'!$AF$15:$AK$29,2,FALSE),IF(AND(J12="Cobre",F12="Trifásico"),VLOOKUP(M12,'Iz''s'!$AF$15:$AK$29,3,FALSE),IF(AND(J12="Alumínio",F12="Monofásico"),"N/A",IF(AND(J12="Alumínio",F12="Trifásico"),"N/A"))))</f>
        <v>51</v>
      </c>
      <c r="BV12" s="657">
        <f>IF(AND(J12="Cobre",F12="Monofásico"),"N/A",IF(AND(J12="Cobre",F12="Trifásico"),VLOOKUP(M12,'Iz''s'!$AF$15:$AK$29,6,FALSE),IF(AND(J12="Alumínio",F12="Monofásico"),"N/A",IF(AND(J12="Alumínio",F12="Trifásico"),"N/A"))))</f>
        <v>71</v>
      </c>
      <c r="BW12" s="658">
        <v>10</v>
      </c>
      <c r="BX12" s="583"/>
      <c r="BY12" s="659">
        <f>VLOOKUP(M12,Consulta!$W$6:$AB$23,4,FALSE)</f>
        <v>20</v>
      </c>
      <c r="BZ12" s="659">
        <f>VLOOKUP(M12,Consulta!$W$6:$AB$23,6,FALSE)</f>
        <v>25</v>
      </c>
      <c r="CA12" s="659">
        <f>VLOOKUP(M12,Consulta!$AK$6:$AP$23,4,FALSE)</f>
        <v>25</v>
      </c>
      <c r="CB12" s="659">
        <f>VLOOKUP(M12,Consulta!$AK$6:$AP$23,6,FALSE)</f>
        <v>32</v>
      </c>
      <c r="CC12" s="660" t="e">
        <f>VLOOKUP(M12,Consulta!$AD$6:$AI$19,4,FALSE)</f>
        <v>#N/A</v>
      </c>
      <c r="CD12" s="660" t="e">
        <f>VLOOKUP(M12,Consulta!$AD$6:$AI$19,6,FALSE)</f>
        <v>#N/A</v>
      </c>
      <c r="CE12" s="660" t="e">
        <f>VLOOKUP(M12,Consulta!$AR$6:$AW$19,4,FALSE)</f>
        <v>#N/A</v>
      </c>
      <c r="CF12" s="661" t="e">
        <f>VLOOKUP(M12,Consulta!$AR$6:$AW$19,6,FALSE)</f>
        <v>#N/A</v>
      </c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 s="1"/>
      <c r="DV12" s="1"/>
      <c r="DW12" s="1"/>
    </row>
    <row r="13" spans="1:127" s="561" customFormat="1" ht="17.25" customHeight="1" x14ac:dyDescent="0.25">
      <c r="B13" s="1117"/>
      <c r="C13" s="809" t="s">
        <v>817</v>
      </c>
      <c r="D13" s="815">
        <v>10</v>
      </c>
      <c r="E13" s="714">
        <f>5.5+1.8756+3.4856+0.5</f>
        <v>11.3612</v>
      </c>
      <c r="F13" s="714" t="s">
        <v>246</v>
      </c>
      <c r="G13" s="714" t="s">
        <v>808</v>
      </c>
      <c r="H13" s="714">
        <v>0.8</v>
      </c>
      <c r="I13" s="715" t="s">
        <v>13</v>
      </c>
      <c r="J13" s="714" t="s">
        <v>242</v>
      </c>
      <c r="K13" s="714" t="s">
        <v>363</v>
      </c>
      <c r="L13" s="714">
        <v>1</v>
      </c>
      <c r="M13" s="716">
        <v>4</v>
      </c>
      <c r="N13" s="714" t="s">
        <v>455</v>
      </c>
      <c r="O13" s="714">
        <v>13</v>
      </c>
      <c r="P13" s="555">
        <f t="shared" si="4"/>
        <v>34</v>
      </c>
      <c r="Q13" s="714">
        <v>3</v>
      </c>
      <c r="R13" s="714">
        <v>0.88</v>
      </c>
      <c r="S13" s="555">
        <f t="shared" si="21"/>
        <v>18.042195912175806</v>
      </c>
      <c r="T13" s="717">
        <f>P13*R13</f>
        <v>29.92</v>
      </c>
      <c r="U13" s="714" t="s">
        <v>499</v>
      </c>
      <c r="V13" s="555">
        <v>20</v>
      </c>
      <c r="W13" s="714">
        <f>IF(U13="C.C.Fusíveis",VLOOKUP(V13,Consulta!$L$5:$N$31,3,FALSE),VLOOKUP(V13,Consulta!$P$5:$R$34,3,FALSE))</f>
        <v>27</v>
      </c>
      <c r="X13" s="720">
        <f t="shared" si="10"/>
        <v>50</v>
      </c>
      <c r="Y13" s="810">
        <f t="shared" ref="Y13:Y18" si="29">S13/T13</f>
        <v>0.60301456925721275</v>
      </c>
      <c r="Z13" s="721" t="str">
        <f t="shared" si="11"/>
        <v>Sim</v>
      </c>
      <c r="AA13" s="811">
        <f t="shared" si="23"/>
        <v>9.7156389575354218E-2</v>
      </c>
      <c r="AB13" s="811">
        <f t="shared" si="12"/>
        <v>7.9883437499999987E-2</v>
      </c>
      <c r="AC13" s="811">
        <f t="shared" si="6"/>
        <v>0</v>
      </c>
      <c r="AD13" s="718">
        <f>$AF$5</f>
        <v>2.9650225469328664</v>
      </c>
      <c r="AE13" s="718">
        <f t="shared" si="17"/>
        <v>1.1530181036104412</v>
      </c>
      <c r="AF13" s="718">
        <f t="shared" si="18"/>
        <v>4.1180406505433078</v>
      </c>
      <c r="AG13" s="719">
        <f t="shared" si="14"/>
        <v>5.0131221896106137E-3</v>
      </c>
      <c r="AH13" s="812">
        <f t="shared" si="14"/>
        <v>1.7904524567579599E-2</v>
      </c>
      <c r="AI13" s="718">
        <f t="shared" si="7"/>
        <v>1.3044528538629576</v>
      </c>
      <c r="AJ13" s="714">
        <v>3</v>
      </c>
      <c r="AK13" s="718">
        <v>0.1</v>
      </c>
      <c r="AL13" s="720">
        <f t="shared" si="24"/>
        <v>115</v>
      </c>
      <c r="AM13" s="718">
        <f t="shared" si="25"/>
        <v>3.5869931465336689</v>
      </c>
      <c r="AN13" s="721">
        <f t="shared" si="26"/>
        <v>1</v>
      </c>
      <c r="AO13" s="813" t="s">
        <v>563</v>
      </c>
      <c r="AP13" s="721" t="s">
        <v>523</v>
      </c>
      <c r="AQ13" s="721" t="str">
        <f t="shared" si="27"/>
        <v>5G</v>
      </c>
      <c r="AR13" s="721">
        <f t="shared" si="28"/>
        <v>4</v>
      </c>
      <c r="AS13" s="907" t="str">
        <f t="shared" si="8"/>
        <v/>
      </c>
      <c r="AT13" s="907" t="str">
        <f>IF(OR(AQ13="3G",AQ13="5G"),"",VLOOKUP(AR13,Consulta!$T$5:$U$25,2,FALSE))</f>
        <v/>
      </c>
      <c r="AU13" s="908" t="s">
        <v>565</v>
      </c>
      <c r="AV13" s="721" t="s">
        <v>23</v>
      </c>
      <c r="AW13" s="721" t="s">
        <v>564</v>
      </c>
      <c r="AX13" s="721">
        <f t="shared" ref="AX13:AX75" si="30">IF(AND(F13="Monofásico",I13="Fio/Canalizações"),BY12,IF(AND(F13="Trifásico",I13="Fio/Canalizações"),BZ12,IF(AND(F13="Monofásico",I13="Cabo/Canalizações"),CA12,IF(AND(F13="Trifásico",I13="Cabo/Canalizações"),CB12,IF(AND(F13="Monofásico",I13="Fio/Colunas&amp;Entradas"),CC12,IF(AND(F13="Trifásico",I13="Fio/Colunas&amp;Entradas"),CD12,IF(AND(F13="Monofásico",I13="Cabo/Colunas&amp;Entradas"),CE12,IF(AND(F13="Trifásico",I13="Cabo/Colunas&amp;Entradas"),CF12))))))))</f>
        <v>32</v>
      </c>
      <c r="AY13" s="814" t="s">
        <v>24</v>
      </c>
      <c r="AZ13" s="564"/>
      <c r="BA13" s="584">
        <f>IF(AND(J13="Cobre",F13="Monofásico"),VLOOKUP(M13,'Iz''s'!$B$8:$E$23,2,FALSE),IF(AND(J13="Cobre",F13="Trifásico"),VLOOKUP(M13,'Iz''s'!$L$8:$O$23,2,FALSE),IF(AND(J13="Alumínio",F13="Monofásico"),VLOOKUP(M13,'Iz''s'!$B$25:$E$39,2,FALSE),IF(AND(J13="Alumínio",F13="Trifásico"),VLOOKUP(M13,'Iz''s'!$L$25:$O$39,2,FALSE)))))</f>
        <v>24</v>
      </c>
      <c r="BB13" s="531">
        <f>IF(AND(J13="Cobre",F13="Monofásico"),VLOOKUP(M13,'Iz''s'!$CD$9:$CH$24,2,FALSE),IF(AND(J13="Cobre",F13="Trifásico"),VLOOKUP(M13,'Iz''s'!$CD$9:$CH$24,4,FALSE),IF(AND(J13="Alumínio",F13="Monofásico"),VLOOKUP(M13,'Iz''s'!$CD$26:$CH$40,2,FALSE),IF(AND(J13="Alumínio",F13="Trifásico"),VLOOKUP(M13,'Iz''s'!$CD$26:$CH$40,4,FALSE)))))</f>
        <v>23</v>
      </c>
      <c r="BC13" s="531">
        <f>IF(AND(J13="Cobre",F13="Monofásico"),VLOOKUP(M13,'Iz''s'!$B$8:$E$23,3,FALSE),IF(AND(J13="Cobre",F13="Trifásico"),VLOOKUP(M13,'Iz''s'!$L$8:$O$23,3,FALSE),IF(AND(J13="Alumínio",F13="Monofásico"),VLOOKUP(M13,'Iz''s'!$B$25:$E$39,3,FALSE),IF(AND(J13="Alumínio",F13="Trifásico"),VLOOKUP(M13,'Iz''s'!$L$25:$O$39,3,FALSE)))))</f>
        <v>28</v>
      </c>
      <c r="BD13" s="531">
        <f>IF(AND(J13="Cobre",F13="Monofásico"),VLOOKUP(M13,'Iz''s'!$CD$9:$CH$24,3,FALSE),IF(AND(J13="Cobre",F13="Trifásico"),VLOOKUP(M13,'Iz''s'!$CD$9:$CH$24,5,FALSE),IF(AND(J13="Alumínio",F13="Monofásico"),VLOOKUP(M13,'Iz''s'!$CD$26:$CH$40,3,FALSE),IF(AND(J13="Alumínio",F13="Trifásico"),VLOOKUP(M13,'Iz''s'!$CD$26:$CH$40,5,FALSE)))))</f>
        <v>27</v>
      </c>
      <c r="BE13" s="531">
        <f>IF(AND(J13="Cobre",F13="Monofásico"),VLOOKUP(M13,'Iz''s'!$B$8:$E$23,4,FALSE),IF(AND(J13="Cobre",F13="Trifásico"),VLOOKUP(M13,'Iz''s'!$L$8:$O$23,4,FALSE),IF(AND(J13="Alumínio",F13="Monofásico"),VLOOKUP(M13,'Iz''s'!$B$25:$E$39,4,FALSE),IF(AND(J13="Alumínio",F13="Trifásico"),VLOOKUP(M13,'Iz''s'!$L$25:$O$39,4,FALSE)))))</f>
        <v>32</v>
      </c>
      <c r="BF13" s="531">
        <f>IF(AND(J13="Cobre",F13="Monofásico"),VLOOKUP(M13,'Iz''s'!$CP$9:$CT$24,3,FALSE),IF(AND(J13="Cobre",F13="Trifásico"),VLOOKUP(M13,'Iz''s'!$CP$9:$CT$24,2,FALSE),IF(AND(J13="Alumínio",F13="Monofásico"),VLOOKUP(M13,'Iz''s'!$CP$26:$CT$37,3,FALSE),IF(AND(J13="Alumínio",F13="Trifásico"),VLOOKUP(M13,'Iz''s'!$CP$26:$CT$37,2,FALSE)))))</f>
        <v>44</v>
      </c>
      <c r="BG13" s="531">
        <f>IF(AND(J13="Cobre",F13="Monofásico"),VLOOKUP(M13,'Iz''s'!$AT$10:$BA$28,2,FALSE),IF(AND(J13="Cobre",F13="Trifásico"),VLOOKUP(M13,'Iz''s'!$AT$10:$BA$28,3,FALSE),IF(AND(J13="Alumínio",F13="Monofásico"),VLOOKUP(M13,'Iz''s'!$BC$10:$BJ$27,2,FALSE),IF(AND(J13="Alumínio",F13="Trifásico"),VLOOKUP(M13,'Iz''s'!$BC$10:$BJ$27,3,FALSE)))))</f>
        <v>34</v>
      </c>
      <c r="BH13" s="609" t="str">
        <f>IF(AND(J13="Cobre",F13="Monofásico"),VLOOKUP(M13,'Iz''s'!$AT$10:$BA$28,4,FALSE),IF(AND(J13="Cobre",F13="Trifásico"),VLOOKUP(M13,'Iz''s'!$AT$10:$BA$28,5,FALSE),IF(AND(J13="Alumínio",F13="Monofásico"),VLOOKUP(M13,'Iz''s'!$BC$10:$BJ$27,4,FALSE),IF(AND(J13="Alumínio",F13="Trifásico"),VLOOKUP(M13,'Iz''s'!$BC$10:$BJ$27,5,FALSE)))))</f>
        <v xml:space="preserve"> --- </v>
      </c>
      <c r="BI13" s="609" t="str">
        <f>IF(AND(J13="Cobre",F13="Monofásico"),"N/A",IF(AND(J13="Cobre",F13="Trifásico"),VLOOKUP(M13,'Iz''s'!$AT$10:$BA$28,8,FALSE),IF(AND(J13="Alumínio",F13="Monofásico"),"N/A",IF(AND(J13="Alumínio",F13="Trifásico"),VLOOKUP(M13,'Iz''s'!$BC$10:$BJ$27,8,FALSE)))))</f>
        <v xml:space="preserve"> --- </v>
      </c>
      <c r="BJ13" s="531">
        <f>IF(AND(J13="Cobre",F13="Monofásico"),VLOOKUP(M13,'Iz''s'!$G$8:$J$23,2,FALSE),IF(AND(J13="Cobre",F13="Trifásico"),VLOOKUP(M13,'Iz''s'!$Q$8:$T$23,2,FALSE),IF(AND(J13="Alumínio",F13="Monofásico"),VLOOKUP(M13,'Iz''s'!$G$25:$J$39,2,FALSE),IF(AND(J13="Alumínio",F13="Trifásico"),VLOOKUP(M13,'Iz''s'!$Q$25:$T$39,2,FALSE)))))</f>
        <v>31</v>
      </c>
      <c r="BK13" s="609">
        <f>IF(AND(J13="Cobre",F13="Monofásico"),VLOOKUP(M13,'Iz''s'!$CJ$9:$CN$24,2,FALSE),IF(AND(J13="Cobre",F13="Trifásico"),VLOOKUP(M13,'Iz''s'!$CJ$9:$CN$24,4,FALSE),IF(AND(J13="Alumínio",F13="Monofásico"),VLOOKUP(M13,'Iz''s'!$CJ$26:$CN$40,2,FALSE),IF(AND(J13="Alumínio",F13="Trifásico"),VLOOKUP(M13,'Iz''s'!$CJ$26:$CN$40,4,FALSE)))))</f>
        <v>30</v>
      </c>
      <c r="BL13" s="609">
        <f>IF(AND(J13="Cobre",F13="Monofásico"),VLOOKUP(M13,'Iz''s'!$G$8:$J$23,3,FALSE),IF(AND(J13="Cobre",F13="Trifásico"),VLOOKUP(M13,'Iz''s'!$Q$8:$T$23,3,FALSE),IF(AND(J13="Alumínio",F13="Monofásico"),VLOOKUP(M13,'Iz''s'!$G$25:$J$39,3,FALSE),IF(AND(J13="Alumínio",F13="Trifásico"),VLOOKUP(M13,'Iz''s'!$Q$25:$T$39,3,FALSE)))))</f>
        <v>37</v>
      </c>
      <c r="BM13" s="609">
        <f>IF(AND(J13="Cobre",F13="Monofásico"),VLOOKUP(M13,'Iz''s'!$CJ$9:$CN$24,3,FALSE),IF(AND(J13="Cobre",F13="Trifásico"),VLOOKUP(M13,'Iz''s'!$CJ$9:$CN$24,5,FALSE),IF(AND(J13="Alumínio",F13="Monofásico"),VLOOKUP(M13,'Iz''s'!$CJ$26:$CN$40,3,FALSE),IF(AND(J13="Alumínio",F13="Trifásico"),VLOOKUP(M13,'Iz''s'!$CJ$26:$CN$40,5,FALSE)))))</f>
        <v>35</v>
      </c>
      <c r="BN13" s="609">
        <f>IF(AND(J13="Cobre",F13="Monofásico"),VLOOKUP(M13,'Iz''s'!$G$8:$J$23,4,FALSE),IF(AND(J13="Cobre",F13="Trifásico"),VLOOKUP(M13,'Iz''s'!$Q$8:$T$23,4,FALSE),IF(AND(J13="Alumínio",F13="Monofásico"),VLOOKUP(M13,'Iz''s'!$G$25:$J$39,4,FALSE),IF(AND(J13="Alumínio",F13="Trifásico"),VLOOKUP(M13,'Iz''s'!$Q$25:$T$39,4,FALSE)))))</f>
        <v>40</v>
      </c>
      <c r="BO13" s="609">
        <f>IF(AND(J13="Cobre",F13="Monofásico"),VLOOKUP(M13,'Iz''s'!$CP$9:$CT$24,5,FALSE),IF(AND(J13="Cobre",F13="Trifásico"),VLOOKUP(M13,'Iz''s'!$CP$9:$CT$24,4,FALSE),IF(AND(J13="Alumínio",F13="Monofásico"),VLOOKUP(M13,'Iz''s'!$CP$26:$CT$37,5,FALSE),IF(AND(J13="Alumínio",F13="Trifásico"),VLOOKUP(M13,'Iz''s'!$CP$26:$CT$37,4,FALSE)))))</f>
        <v>53</v>
      </c>
      <c r="BP13" s="609">
        <f>IF(AND(J13="Cobre",F13="Monofásico"),VLOOKUP(M13,'Iz''s'!$BL$10:$BS$28,2,FALSE),IF(AND(J13="Cobre",F13="Trifásico"),VLOOKUP(M13,'Iz''s'!$BL$10:$BS$28,3,FALSE),IF(AND(J13="Alumínio",F13="Monofásico"),VLOOKUP(M13,'Iz''s'!$BU$10:$CB$27,2,FALSE),IF(AND(J13="Alumínio",F13="Trifásico"),VLOOKUP(M13,'Iz''s'!$BU$10:$CB$27,3,FALSE)))))</f>
        <v>42</v>
      </c>
      <c r="BQ13" s="531" t="str">
        <f>IF(AND(J13="Cobre",F13="Monofásico"),VLOOKUP(M13,'Iz''s'!$BL$10:$BS$28,4,FALSE),IF(AND(J13="Cobre",F13="Trifásico"),VLOOKUP(M13,'Iz''s'!$BL$10:$BS$28,5,FALSE),IF(AND(J13="Alumínio",F13="Monofásico"),VLOOKUP(M13,'Iz''s'!$BU$10:$CB$27,4,FALSE),IF(AND(J13="Alumínio",F13="Trifásico"),VLOOKUP(M13,'Iz''s'!$BU$10:$CB$27,5,FALSE)))))</f>
        <v xml:space="preserve"> --- </v>
      </c>
      <c r="BR13" s="609" t="str">
        <f>IF(AND(J13="Cobre",F13="Monofásico"),"N/A",IF(AND(J13="Cobre",F13="Trifásico"),VLOOKUP(M13,'Iz''s'!$BL$10:$BS$28,8,FALSE),IF(AND(J13="Alumínio",F13="Monofásico"),"N/A",IF(AND(J13="Alumínio",F13="Trifásico"),VLOOKUP(M13,'Iz''s'!$BU$10:$CB$27,8,FALSE)))))</f>
        <v xml:space="preserve"> --- </v>
      </c>
      <c r="BS13" s="609">
        <f>IF(AND(J13="Cobre",F13="Monofásico"),VLOOKUP(M13,'Iz''s'!$V$14:$Y$28,2,FALSE),IF(AND(J13="Cobre",F13="Trifásico"),VLOOKUP(M13,'Iz''s'!$V$14:$Y$28,3,FALSE),IF(AND(J13="Alumínio",F13="Monofásico"),VLOOKUP(M13,"N/A",4,FALSE),IF(AND(J13="Alumínio",F13="Trifásico"),VLOOKUP(M13,"N/A",4,FALSE)))))</f>
        <v>37</v>
      </c>
      <c r="BT13" s="609">
        <f>IF(AND(J13="Cobre",F13="Monofásico"),VLOOKUP(M13,'Iz''s'!$AF$15:$AK$29,2,FALSE),IF(AND(J13="Cobre",F13="Trifásico"),VLOOKUP(M13,'Iz''s'!$AF$15:$AK$29,3,FALSE),IF(AND(J13="Alumínio",F13="Monofásico"),"N/A",IF(AND(J13="Alumínio",F13="Trifásico"),"N/A"))))</f>
        <v>40</v>
      </c>
      <c r="BU13" s="609">
        <f>IF(AND(J13="Cobre",F13="Monofásico"),VLOOKUP(M13,'Iz''s'!$AF$15:$AK$29,2,FALSE),IF(AND(J13="Cobre",F13="Trifásico"),VLOOKUP(M13,'Iz''s'!$AF$15:$AK$29,3,FALSE),IF(AND(J13="Alumínio",F13="Monofásico"),"N/A",IF(AND(J13="Alumínio",F13="Trifásico"),"N/A"))))</f>
        <v>40</v>
      </c>
      <c r="BV13" s="610">
        <f>IF(AND(J13="Cobre",F13="Monofásico"),"N/A",IF(AND(J13="Cobre",F13="Trifásico"),VLOOKUP(M13,'Iz''s'!$AF$15:$AK$29,6,FALSE),IF(AND(J13="Alumínio",F13="Monofásico"),"N/A",IF(AND(J13="Alumínio",F13="Trifásico"),"N/A"))))</f>
        <v>56</v>
      </c>
      <c r="BW13" s="611">
        <v>11</v>
      </c>
      <c r="BX13" s="583"/>
      <c r="BY13" s="612">
        <f>VLOOKUP(M13,Consulta!$W$6:$AB$23,4,FALSE)</f>
        <v>20</v>
      </c>
      <c r="BZ13" s="612">
        <f>VLOOKUP(M13,Consulta!$W$6:$AB$23,6,FALSE)</f>
        <v>25</v>
      </c>
      <c r="CA13" s="612">
        <f>VLOOKUP(M13,Consulta!$AK$6:$AP$23,4,FALSE)</f>
        <v>25</v>
      </c>
      <c r="CB13" s="612">
        <f>VLOOKUP(M13,Consulta!$AK$6:$AP$23,6,FALSE)</f>
        <v>25</v>
      </c>
      <c r="CC13" s="585" t="e">
        <f>VLOOKUP(M13,Consulta!$AD$6:$AI$19,4,FALSE)</f>
        <v>#N/A</v>
      </c>
      <c r="CD13" s="585" t="e">
        <f>VLOOKUP(M13,Consulta!$AD$6:$AI$19,6,FALSE)</f>
        <v>#N/A</v>
      </c>
      <c r="CE13" s="585" t="e">
        <f>VLOOKUP(M13,Consulta!$AR$6:$AW$19,4,FALSE)</f>
        <v>#N/A</v>
      </c>
      <c r="CF13" s="586" t="e">
        <f>VLOOKUP(M13,Consulta!$AR$6:$AW$19,6,FALSE)</f>
        <v>#N/A</v>
      </c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 s="1"/>
      <c r="DV13" s="1"/>
      <c r="DW13" s="1"/>
    </row>
    <row r="14" spans="1:127" s="561" customFormat="1" ht="16.5" customHeight="1" x14ac:dyDescent="0.25">
      <c r="B14" s="1117"/>
      <c r="C14" s="809" t="s">
        <v>818</v>
      </c>
      <c r="D14" s="720">
        <v>5</v>
      </c>
      <c r="E14" s="714">
        <f>24.0729+1.6681+3.5856+0.5</f>
        <v>29.826599999999999</v>
      </c>
      <c r="F14" s="714" t="s">
        <v>246</v>
      </c>
      <c r="G14" s="714" t="s">
        <v>808</v>
      </c>
      <c r="H14" s="714">
        <v>0.8</v>
      </c>
      <c r="I14" s="715" t="s">
        <v>13</v>
      </c>
      <c r="J14" s="714" t="s">
        <v>242</v>
      </c>
      <c r="K14" s="714" t="s">
        <v>363</v>
      </c>
      <c r="L14" s="714">
        <v>1</v>
      </c>
      <c r="M14" s="716">
        <v>1.5</v>
      </c>
      <c r="N14" s="714" t="s">
        <v>455</v>
      </c>
      <c r="O14" s="714">
        <v>13</v>
      </c>
      <c r="P14" s="555">
        <f t="shared" si="4"/>
        <v>18.5</v>
      </c>
      <c r="Q14" s="714">
        <v>3</v>
      </c>
      <c r="R14" s="714">
        <v>0.73</v>
      </c>
      <c r="S14" s="555">
        <f t="shared" si="21"/>
        <v>9.0210979560879032</v>
      </c>
      <c r="T14" s="717">
        <f t="shared" ref="T14:T20" si="31">P14*R14</f>
        <v>13.504999999999999</v>
      </c>
      <c r="U14" s="714" t="s">
        <v>499</v>
      </c>
      <c r="V14" s="555">
        <v>12</v>
      </c>
      <c r="W14" s="714">
        <f>IF(U14="C.C.Fusíveis",VLOOKUP(V14,Consulta!$L$5:$N$31,3,FALSE),VLOOKUP(V14,Consulta!$P$5:$R$34,3,FALSE))</f>
        <v>16.2</v>
      </c>
      <c r="X14" s="720">
        <f t="shared" si="10"/>
        <v>27</v>
      </c>
      <c r="Y14" s="810">
        <f t="shared" si="29"/>
        <v>0.66798207745930427</v>
      </c>
      <c r="Z14" s="721" t="str">
        <f t="shared" si="11"/>
        <v>Sim</v>
      </c>
      <c r="AA14" s="811">
        <f t="shared" si="23"/>
        <v>9.7156389575354218E-2</v>
      </c>
      <c r="AB14" s="811">
        <f t="shared" si="12"/>
        <v>0.55924874999999996</v>
      </c>
      <c r="AC14" s="811">
        <f t="shared" si="6"/>
        <v>0</v>
      </c>
      <c r="AD14" s="718">
        <f t="shared" ref="AD14:AD20" si="32">$AF$5</f>
        <v>2.9650225469328664</v>
      </c>
      <c r="AE14" s="718">
        <f t="shared" si="17"/>
        <v>4.0360302044557717</v>
      </c>
      <c r="AF14" s="718">
        <f>AD14+AE14</f>
        <v>7.001052751388638</v>
      </c>
      <c r="AG14" s="719">
        <f>AE14/230</f>
        <v>1.7547957410677269E-2</v>
      </c>
      <c r="AH14" s="812">
        <f t="shared" si="14"/>
        <v>3.0439359788646252E-2</v>
      </c>
      <c r="AI14" s="718">
        <f t="shared" si="7"/>
        <v>0.35182556283037575</v>
      </c>
      <c r="AJ14" s="714">
        <v>3</v>
      </c>
      <c r="AK14" s="718">
        <v>0.1</v>
      </c>
      <c r="AL14" s="720">
        <f t="shared" si="24"/>
        <v>115</v>
      </c>
      <c r="AM14" s="718">
        <f t="shared" si="25"/>
        <v>0.96745227618666418</v>
      </c>
      <c r="AN14" s="721">
        <f t="shared" si="26"/>
        <v>1</v>
      </c>
      <c r="AO14" s="813" t="s">
        <v>563</v>
      </c>
      <c r="AP14" s="721" t="s">
        <v>523</v>
      </c>
      <c r="AQ14" s="721" t="str">
        <f t="shared" si="27"/>
        <v>5G</v>
      </c>
      <c r="AR14" s="721">
        <f t="shared" si="28"/>
        <v>1.5</v>
      </c>
      <c r="AS14" s="907" t="str">
        <f t="shared" si="8"/>
        <v/>
      </c>
      <c r="AT14" s="907" t="str">
        <f>IF(OR(AQ14="3G",AQ14="5G"),"",VLOOKUP(AR14,Consulta!$T$5:$U$25,2,FALSE))</f>
        <v/>
      </c>
      <c r="AU14" s="908" t="s">
        <v>565</v>
      </c>
      <c r="AV14" s="721" t="s">
        <v>23</v>
      </c>
      <c r="AW14" s="721" t="s">
        <v>564</v>
      </c>
      <c r="AX14" s="721">
        <f t="shared" si="30"/>
        <v>25</v>
      </c>
      <c r="AY14" s="814" t="s">
        <v>24</v>
      </c>
      <c r="AZ14" s="564"/>
      <c r="BA14" s="584">
        <f>IF(AND(J14="Cobre",F14="Monofásico"),VLOOKUP(M14,'Iz''s'!$B$8:$E$23,2,FALSE),IF(AND(J14="Cobre",F14="Trifásico"),VLOOKUP(M14,'Iz''s'!$L$8:$O$23,2,FALSE),IF(AND(J14="Alumínio",F14="Monofásico"),VLOOKUP(M14,'Iz''s'!$B$25:$E$39,2,FALSE),IF(AND(J14="Alumínio",F14="Trifásico"),VLOOKUP(M14,'Iz''s'!$L$25:$O$39,2,FALSE)))))</f>
        <v>13.5</v>
      </c>
      <c r="BB14" s="531">
        <f>IF(AND(J14="Cobre",F14="Monofásico"),VLOOKUP(M14,'Iz''s'!$CD$9:$CH$24,2,FALSE),IF(AND(J14="Cobre",F14="Trifásico"),VLOOKUP(M14,'Iz''s'!$CD$9:$CH$24,4,FALSE),IF(AND(J14="Alumínio",F14="Monofásico"),VLOOKUP(M14,'Iz''s'!$CD$26:$CH$40,2,FALSE),IF(AND(J14="Alumínio",F14="Trifásico"),VLOOKUP(M14,'Iz''s'!$CD$26:$CH$40,4,FALSE)))))</f>
        <v>13</v>
      </c>
      <c r="BC14" s="531">
        <f>IF(AND(J14="Cobre",F14="Monofásico"),VLOOKUP(M14,'Iz''s'!$B$8:$E$23,3,FALSE),IF(AND(J14="Cobre",F14="Trifásico"),VLOOKUP(M14,'Iz''s'!$L$8:$O$23,3,FALSE),IF(AND(J14="Alumínio",F14="Monofásico"),VLOOKUP(M14,'Iz''s'!$B$25:$E$39,3,FALSE),IF(AND(J14="Alumínio",F14="Trifásico"),VLOOKUP(M14,'Iz''s'!$L$25:$O$39,3,FALSE)))))</f>
        <v>15.5</v>
      </c>
      <c r="BD14" s="531">
        <f>IF(AND(J14="Cobre",F14="Monofásico"),VLOOKUP(M14,'Iz''s'!$CD$9:$CH$24,3,FALSE),IF(AND(J14="Cobre",F14="Trifásico"),VLOOKUP(M14,'Iz''s'!$CD$9:$CH$24,5,FALSE),IF(AND(J14="Alumínio",F14="Monofásico"),VLOOKUP(M14,'Iz''s'!$CD$26:$CH$40,3,FALSE),IF(AND(J14="Alumínio",F14="Trifásico"),VLOOKUP(M14,'Iz''s'!$CD$26:$CH$40,5,FALSE)))))</f>
        <v>15</v>
      </c>
      <c r="BE14" s="531">
        <f>IF(AND(J14="Cobre",F14="Monofásico"),VLOOKUP(M14,'Iz''s'!$B$8:$E$23,4,FALSE),IF(AND(J14="Cobre",F14="Trifásico"),VLOOKUP(M14,'Iz''s'!$L$8:$O$23,4,FALSE),IF(AND(J14="Alumínio",F14="Monofásico"),VLOOKUP(M14,'Iz''s'!$B$25:$E$39,4,FALSE),IF(AND(J14="Alumínio",F14="Trifásico"),VLOOKUP(M14,'Iz''s'!$L$25:$O$39,4,FALSE)))))</f>
        <v>17.5</v>
      </c>
      <c r="BF14" s="531">
        <f>IF(AND(J14="Cobre",F14="Monofásico"),VLOOKUP(M14,'Iz''s'!$CP$9:$CT$24,3,FALSE),IF(AND(J14="Cobre",F14="Trifásico"),VLOOKUP(M14,'Iz''s'!$CP$9:$CT$24,2,FALSE),IF(AND(J14="Alumínio",F14="Monofásico"),VLOOKUP(M14,'Iz''s'!$CP$26:$CT$37,3,FALSE),IF(AND(J14="Alumínio",F14="Trifásico"),VLOOKUP(M14,'Iz''s'!$CP$26:$CT$37,2,FALSE)))))</f>
        <v>26</v>
      </c>
      <c r="BG14" s="531">
        <f>IF(AND(J14="Cobre",F14="Monofásico"),VLOOKUP(M14,'Iz''s'!$AT$10:$BA$28,2,FALSE),IF(AND(J14="Cobre",F14="Trifásico"),VLOOKUP(M14,'Iz''s'!$AT$10:$BA$28,3,FALSE),IF(AND(J14="Alumínio",F14="Monofásico"),VLOOKUP(M14,'Iz''s'!$BC$10:$BJ$27,2,FALSE),IF(AND(J14="Alumínio",F14="Trifásico"),VLOOKUP(M14,'Iz''s'!$BC$10:$BJ$27,3,FALSE)))))</f>
        <v>18.5</v>
      </c>
      <c r="BH14" s="609" t="str">
        <f>IF(AND(J14="Cobre",F14="Monofásico"),VLOOKUP(M14,'Iz''s'!$AT$10:$BA$28,4,FALSE),IF(AND(J14="Cobre",F14="Trifásico"),VLOOKUP(M14,'Iz''s'!$AT$10:$BA$28,5,FALSE),IF(AND(J14="Alumínio",F14="Monofásico"),VLOOKUP(M14,'Iz''s'!$BC$10:$BJ$27,4,FALSE),IF(AND(J14="Alumínio",F14="Trifásico"),VLOOKUP(M14,'Iz''s'!$BC$10:$BJ$27,5,FALSE)))))</f>
        <v xml:space="preserve"> --- </v>
      </c>
      <c r="BI14" s="609" t="str">
        <f>IF(AND(J14="Cobre",F14="Monofásico"),"N/A",IF(AND(J14="Cobre",F14="Trifásico"),VLOOKUP(M14,'Iz''s'!$AT$10:$BA$28,8,FALSE),IF(AND(J14="Alumínio",F14="Monofásico"),"N/A",IF(AND(J14="Alumínio",F14="Trifásico"),VLOOKUP(M14,'Iz''s'!$BC$10:$BJ$27,8,FALSE)))))</f>
        <v xml:space="preserve"> --- </v>
      </c>
      <c r="BJ14" s="531">
        <f>IF(AND(J14="Cobre",F14="Monofásico"),VLOOKUP(M14,'Iz''s'!$G$8:$J$23,2,FALSE),IF(AND(J14="Cobre",F14="Trifásico"),VLOOKUP(M14,'Iz''s'!$Q$8:$T$23,2,FALSE),IF(AND(J14="Alumínio",F14="Monofásico"),VLOOKUP(M14,'Iz''s'!$G$25:$J$39,2,FALSE),IF(AND(J14="Alumínio",F14="Trifásico"),VLOOKUP(M14,'Iz''s'!$Q$25:$T$39,2,FALSE)))))</f>
        <v>17</v>
      </c>
      <c r="BK14" s="609">
        <f>IF(AND(J14="Cobre",F14="Monofásico"),VLOOKUP(M14,'Iz''s'!$CJ$9:$CN$24,2,FALSE),IF(AND(J14="Cobre",F14="Trifásico"),VLOOKUP(M14,'Iz''s'!$CJ$9:$CN$24,4,FALSE),IF(AND(J14="Alumínio",F14="Monofásico"),VLOOKUP(M14,'Iz''s'!$CJ$26:$CN$40,2,FALSE),IF(AND(J14="Alumínio",F14="Trifásico"),VLOOKUP(M14,'Iz''s'!$CJ$26:$CN$40,4,FALSE)))))</f>
        <v>16.5</v>
      </c>
      <c r="BL14" s="609">
        <f>IF(AND(J14="Cobre",F14="Monofásico"),VLOOKUP(M14,'Iz''s'!$G$8:$J$23,3,FALSE),IF(AND(J14="Cobre",F14="Trifásico"),VLOOKUP(M14,'Iz''s'!$Q$8:$T$23,3,FALSE),IF(AND(J14="Alumínio",F14="Monofásico"),VLOOKUP(M14,'Iz''s'!$G$25:$J$39,3,FALSE),IF(AND(J14="Alumínio",F14="Trifásico"),VLOOKUP(M14,'Iz''s'!$Q$25:$T$39,3,FALSE)))))</f>
        <v>20</v>
      </c>
      <c r="BM14" s="609">
        <f>IF(AND(J14="Cobre",F14="Monofásico"),VLOOKUP(M14,'Iz''s'!$CJ$9:$CN$24,3,FALSE),IF(AND(J14="Cobre",F14="Trifásico"),VLOOKUP(M14,'Iz''s'!$CJ$9:$CN$24,5,FALSE),IF(AND(J14="Alumínio",F14="Monofásico"),VLOOKUP(M14,'Iz''s'!$CJ$26:$CN$40,3,FALSE),IF(AND(J14="Alumínio",F14="Trifásico"),VLOOKUP(M14,'Iz''s'!$CJ$26:$CN$40,5,FALSE)))))</f>
        <v>19.5</v>
      </c>
      <c r="BN14" s="609">
        <f>IF(AND(J14="Cobre",F14="Monofásico"),VLOOKUP(M14,'Iz''s'!$G$8:$J$23,4,FALSE),IF(AND(J14="Cobre",F14="Trifásico"),VLOOKUP(M14,'Iz''s'!$Q$8:$T$23,4,FALSE),IF(AND(J14="Alumínio",F14="Monofásico"),VLOOKUP(M14,'Iz''s'!$G$25:$J$39,4,FALSE),IF(AND(J14="Alumínio",F14="Trifásico"),VLOOKUP(M14,'Iz''s'!$Q$25:$T$39,4,FALSE)))))</f>
        <v>22</v>
      </c>
      <c r="BO14" s="609">
        <f>IF(AND(J14="Cobre",F14="Monofásico"),VLOOKUP(M14,'Iz''s'!$CP$9:$CT$24,5,FALSE),IF(AND(J14="Cobre",F14="Trifásico"),VLOOKUP(M14,'Iz''s'!$CP$9:$CT$24,4,FALSE),IF(AND(J14="Alumínio",F14="Monofásico"),VLOOKUP(M14,'Iz''s'!$CP$26:$CT$37,5,FALSE),IF(AND(J14="Alumínio",F14="Trifásico"),VLOOKUP(M14,'Iz''s'!$CP$26:$CT$37,4,FALSE)))))</f>
        <v>31</v>
      </c>
      <c r="BP14" s="609">
        <f>IF(AND(J14="Cobre",F14="Monofásico"),VLOOKUP(M14,'Iz''s'!$BL$10:$BS$28,2,FALSE),IF(AND(J14="Cobre",F14="Trifásico"),VLOOKUP(M14,'Iz''s'!$BL$10:$BS$28,3,FALSE),IF(AND(J14="Alumínio",F14="Monofásico"),VLOOKUP(M14,'Iz''s'!$BU$10:$CB$27,2,FALSE),IF(AND(J14="Alumínio",F14="Trifásico"),VLOOKUP(M14,'Iz''s'!$BU$10:$CB$27,3,FALSE)))))</f>
        <v>23</v>
      </c>
      <c r="BQ14" s="531" t="str">
        <f>IF(AND(J14="Cobre",F14="Monofásico"),VLOOKUP(M14,'Iz''s'!$BL$10:$BS$28,4,FALSE),IF(AND(J14="Cobre",F14="Trifásico"),VLOOKUP(M14,'Iz''s'!$BL$10:$BS$28,5,FALSE),IF(AND(J14="Alumínio",F14="Monofásico"),VLOOKUP(M14,'Iz''s'!$BU$10:$CB$27,4,FALSE),IF(AND(J14="Alumínio",F14="Trifásico"),VLOOKUP(M14,'Iz''s'!$BU$10:$CB$27,5,FALSE)))))</f>
        <v xml:space="preserve"> --- </v>
      </c>
      <c r="BR14" s="609" t="str">
        <f>IF(AND(J14="Cobre",F14="Monofásico"),"N/A",IF(AND(J14="Cobre",F14="Trifásico"),VLOOKUP(M14,'Iz''s'!$BL$10:$BS$28,8,FALSE),IF(AND(J14="Alumínio",F14="Monofásico"),"N/A",IF(AND(J14="Alumínio",F14="Trifásico"),VLOOKUP(M14,'Iz''s'!$BU$10:$CB$27,8,FALSE)))))</f>
        <v xml:space="preserve"> --- </v>
      </c>
      <c r="BS14" s="609">
        <f>IF(AND(J14="Cobre",F14="Monofásico"),VLOOKUP(M14,'Iz''s'!$V$14:$Y$28,2,FALSE),IF(AND(J14="Cobre",F14="Trifásico"),VLOOKUP(M14,'Iz''s'!$V$14:$Y$28,3,FALSE),IF(AND(J14="Alumínio",F14="Monofásico"),VLOOKUP(M14,"N/A",4,FALSE),IF(AND(J14="Alumínio",F14="Trifásico"),VLOOKUP(M14,"N/A",4,FALSE)))))</f>
        <v>21</v>
      </c>
      <c r="BT14" s="609">
        <f>IF(AND(J14="Cobre",F14="Monofásico"),VLOOKUP(M14,'Iz''s'!$AF$15:$AK$29,2,FALSE),IF(AND(J14="Cobre",F14="Trifásico"),VLOOKUP(M14,'Iz''s'!$AF$15:$AK$29,3,FALSE),IF(AND(J14="Alumínio",F14="Monofásico"),"N/A",IF(AND(J14="Alumínio",F14="Trifásico"),"N/A"))))</f>
        <v>22</v>
      </c>
      <c r="BU14" s="609">
        <f>IF(AND(J14="Cobre",F14="Monofásico"),VLOOKUP(M14,'Iz''s'!$AF$15:$AK$29,2,FALSE),IF(AND(J14="Cobre",F14="Trifásico"),VLOOKUP(M14,'Iz''s'!$AF$15:$AK$29,3,FALSE),IF(AND(J14="Alumínio",F14="Monofásico"),"N/A",IF(AND(J14="Alumínio",F14="Trifásico"),"N/A"))))</f>
        <v>22</v>
      </c>
      <c r="BV14" s="610">
        <f>IF(AND(J14="Cobre",F14="Monofásico"),"N/A",IF(AND(J14="Cobre",F14="Trifásico"),VLOOKUP(M14,'Iz''s'!$AF$15:$AK$29,6,FALSE),IF(AND(J14="Alumínio",F14="Monofásico"),"N/A",IF(AND(J14="Alumínio",F14="Trifásico"),"N/A"))))</f>
        <v>32</v>
      </c>
      <c r="BW14" s="611">
        <v>12</v>
      </c>
      <c r="BX14" s="583"/>
      <c r="BY14" s="612">
        <f>VLOOKUP(M14,Consulta!$W$6:$AB$23,4,FALSE)</f>
        <v>16</v>
      </c>
      <c r="BZ14" s="612">
        <f>VLOOKUP(M14,Consulta!$W$6:$AB$23,6,FALSE)</f>
        <v>20</v>
      </c>
      <c r="CA14" s="612">
        <f>VLOOKUP(M14,Consulta!$AK$6:$AP$23,4,FALSE)</f>
        <v>20</v>
      </c>
      <c r="CB14" s="612">
        <f>VLOOKUP(M14,Consulta!$AK$6:$AP$23,6,FALSE)</f>
        <v>20</v>
      </c>
      <c r="CC14" s="585" t="e">
        <f>VLOOKUP(M14,Consulta!$AD$6:$AI$19,4,FALSE)</f>
        <v>#N/A</v>
      </c>
      <c r="CD14" s="585" t="e">
        <f>VLOOKUP(M14,Consulta!$AD$6:$AI$19,6,FALSE)</f>
        <v>#N/A</v>
      </c>
      <c r="CE14" s="585" t="e">
        <f>VLOOKUP(M14,Consulta!$AR$6:$AW$19,4,FALSE)</f>
        <v>#N/A</v>
      </c>
      <c r="CF14" s="586" t="e">
        <f>VLOOKUP(M14,Consulta!$AR$6:$AW$19,6,FALSE)</f>
        <v>#N/A</v>
      </c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 s="1"/>
      <c r="DV14" s="1"/>
      <c r="DW14" s="1"/>
    </row>
    <row r="15" spans="1:127" s="561" customFormat="1" ht="16.5" customHeight="1" x14ac:dyDescent="0.25">
      <c r="B15" s="1117"/>
      <c r="C15" s="809" t="s">
        <v>819</v>
      </c>
      <c r="D15" s="815">
        <v>1</v>
      </c>
      <c r="E15" s="714">
        <f>22.25+5.6+6.6+5.2+0.6+1.5+3.85+2.9613+2.6094</f>
        <v>51.170700000000011</v>
      </c>
      <c r="F15" s="714" t="s">
        <v>246</v>
      </c>
      <c r="G15" s="714" t="s">
        <v>808</v>
      </c>
      <c r="H15" s="714">
        <v>0.8</v>
      </c>
      <c r="I15" s="715" t="s">
        <v>13</v>
      </c>
      <c r="J15" s="714" t="s">
        <v>242</v>
      </c>
      <c r="K15" s="714" t="s">
        <v>363</v>
      </c>
      <c r="L15" s="714">
        <v>1</v>
      </c>
      <c r="M15" s="716">
        <v>1.5</v>
      </c>
      <c r="N15" s="714" t="s">
        <v>455</v>
      </c>
      <c r="O15" s="714">
        <v>13</v>
      </c>
      <c r="P15" s="555">
        <f t="shared" si="4"/>
        <v>18.5</v>
      </c>
      <c r="Q15" s="714">
        <v>3</v>
      </c>
      <c r="R15" s="714">
        <v>0.73</v>
      </c>
      <c r="S15" s="555">
        <f>IF(F15="Monofásico",(((D15*10^3)/H15)/230),(((D15*10^3)/H15)/(SQRT(3)*400)))</f>
        <v>1.8042195912175805</v>
      </c>
      <c r="T15" s="717">
        <f>P15*R15</f>
        <v>13.504999999999999</v>
      </c>
      <c r="U15" s="714" t="s">
        <v>499</v>
      </c>
      <c r="V15" s="555">
        <v>6</v>
      </c>
      <c r="W15" s="714">
        <f>IF(U15="C.C.Fusíveis",VLOOKUP(V15,Consulta!$L$5:$N$31,3,FALSE),VLOOKUP(V15,Consulta!$P$5:$R$34,3,FALSE))</f>
        <v>8.1</v>
      </c>
      <c r="X15" s="720">
        <f t="shared" si="10"/>
        <v>27</v>
      </c>
      <c r="Y15" s="810">
        <f t="shared" si="29"/>
        <v>0.13359641549186083</v>
      </c>
      <c r="Z15" s="721" t="str">
        <f t="shared" si="11"/>
        <v>Sim</v>
      </c>
      <c r="AA15" s="811">
        <f t="shared" si="23"/>
        <v>9.7156389575354218E-2</v>
      </c>
      <c r="AB15" s="811">
        <f>(IF(J15="Cobre",(1.25*0.0225),(1.25*0.036)))*((E15/M15)/L15)</f>
        <v>0.959450625</v>
      </c>
      <c r="AC15" s="811">
        <f t="shared" si="6"/>
        <v>0</v>
      </c>
      <c r="AD15" s="718">
        <f t="shared" si="32"/>
        <v>2.9650225469328664</v>
      </c>
      <c r="AE15" s="718">
        <f t="shared" si="17"/>
        <v>1.3848476915447618</v>
      </c>
      <c r="AF15" s="718">
        <f t="shared" si="18"/>
        <v>4.349870238477628</v>
      </c>
      <c r="AG15" s="719">
        <f t="shared" si="14"/>
        <v>6.0210769197598345E-3</v>
      </c>
      <c r="AH15" s="812">
        <f t="shared" si="14"/>
        <v>1.8912479297728817E-2</v>
      </c>
      <c r="AI15" s="718">
        <f t="shared" si="7"/>
        <v>0.21856764576625884</v>
      </c>
      <c r="AJ15" s="714">
        <v>3</v>
      </c>
      <c r="AK15" s="718">
        <v>0.1</v>
      </c>
      <c r="AL15" s="720">
        <f t="shared" si="24"/>
        <v>115</v>
      </c>
      <c r="AM15" s="718">
        <f t="shared" si="25"/>
        <v>0.60101876821064026</v>
      </c>
      <c r="AN15" s="721">
        <f t="shared" si="26"/>
        <v>1</v>
      </c>
      <c r="AO15" s="813" t="s">
        <v>563</v>
      </c>
      <c r="AP15" s="721" t="s">
        <v>523</v>
      </c>
      <c r="AQ15" s="721" t="str">
        <f t="shared" si="27"/>
        <v>5G</v>
      </c>
      <c r="AR15" s="721">
        <f t="shared" si="28"/>
        <v>1.5</v>
      </c>
      <c r="AS15" s="907" t="str">
        <f t="shared" si="8"/>
        <v/>
      </c>
      <c r="AT15" s="907" t="str">
        <f>IF(OR(AQ15="3G",AQ15="5G"),"",VLOOKUP(AR15,Consulta!$T$5:$U$25,2,FALSE))</f>
        <v/>
      </c>
      <c r="AU15" s="908" t="s">
        <v>565</v>
      </c>
      <c r="AV15" s="721" t="s">
        <v>23</v>
      </c>
      <c r="AW15" s="721" t="s">
        <v>564</v>
      </c>
      <c r="AX15" s="721">
        <f t="shared" si="30"/>
        <v>20</v>
      </c>
      <c r="AY15" s="814" t="s">
        <v>24</v>
      </c>
      <c r="AZ15" s="564"/>
      <c r="BA15" s="584">
        <f>IF(AND(J15="Cobre",F15="Monofásico"),VLOOKUP(M15,'Iz''s'!$B$8:$E$23,2,FALSE),IF(AND(J15="Cobre",F15="Trifásico"),VLOOKUP(M15,'Iz''s'!$L$8:$O$23,2,FALSE),IF(AND(J15="Alumínio",F15="Monofásico"),VLOOKUP(M15,'Iz''s'!$B$25:$E$39,2,FALSE),IF(AND(J15="Alumínio",F15="Trifásico"),VLOOKUP(M15,'Iz''s'!$L$25:$O$39,2,FALSE)))))</f>
        <v>13.5</v>
      </c>
      <c r="BB15" s="531">
        <f>IF(AND(J15="Cobre",F15="Monofásico"),VLOOKUP(M15,'Iz''s'!$CD$9:$CH$24,2,FALSE),IF(AND(J15="Cobre",F15="Trifásico"),VLOOKUP(M15,'Iz''s'!$CD$9:$CH$24,4,FALSE),IF(AND(J15="Alumínio",F15="Monofásico"),VLOOKUP(M15,'Iz''s'!$CD$26:$CH$40,2,FALSE),IF(AND(J15="Alumínio",F15="Trifásico"),VLOOKUP(M15,'Iz''s'!$CD$26:$CH$40,4,FALSE)))))</f>
        <v>13</v>
      </c>
      <c r="BC15" s="531">
        <f>IF(AND(J15="Cobre",F15="Monofásico"),VLOOKUP(M15,'Iz''s'!$B$8:$E$23,3,FALSE),IF(AND(J15="Cobre",F15="Trifásico"),VLOOKUP(M15,'Iz''s'!$L$8:$O$23,3,FALSE),IF(AND(J15="Alumínio",F15="Monofásico"),VLOOKUP(M15,'Iz''s'!$B$25:$E$39,3,FALSE),IF(AND(J15="Alumínio",F15="Trifásico"),VLOOKUP(M15,'Iz''s'!$L$25:$O$39,3,FALSE)))))</f>
        <v>15.5</v>
      </c>
      <c r="BD15" s="531">
        <f>IF(AND(J15="Cobre",F15="Monofásico"),VLOOKUP(M15,'Iz''s'!$CD$9:$CH$24,3,FALSE),IF(AND(J15="Cobre",F15="Trifásico"),VLOOKUP(M15,'Iz''s'!$CD$9:$CH$24,5,FALSE),IF(AND(J15="Alumínio",F15="Monofásico"),VLOOKUP(M15,'Iz''s'!$CD$26:$CH$40,3,FALSE),IF(AND(J15="Alumínio",F15="Trifásico"),VLOOKUP(M15,'Iz''s'!$CD$26:$CH$40,5,FALSE)))))</f>
        <v>15</v>
      </c>
      <c r="BE15" s="531">
        <f>IF(AND(J15="Cobre",F15="Monofásico"),VLOOKUP(M15,'Iz''s'!$B$8:$E$23,4,FALSE),IF(AND(J15="Cobre",F15="Trifásico"),VLOOKUP(M15,'Iz''s'!$L$8:$O$23,4,FALSE),IF(AND(J15="Alumínio",F15="Monofásico"),VLOOKUP(M15,'Iz''s'!$B$25:$E$39,4,FALSE),IF(AND(J15="Alumínio",F15="Trifásico"),VLOOKUP(M15,'Iz''s'!$L$25:$O$39,4,FALSE)))))</f>
        <v>17.5</v>
      </c>
      <c r="BF15" s="531">
        <f>IF(AND(J15="Cobre",F15="Monofásico"),VLOOKUP(M15,'Iz''s'!$CP$9:$CT$24,3,FALSE),IF(AND(J15="Cobre",F15="Trifásico"),VLOOKUP(M15,'Iz''s'!$CP$9:$CT$24,2,FALSE),IF(AND(J15="Alumínio",F15="Monofásico"),VLOOKUP(M15,'Iz''s'!$CP$26:$CT$37,3,FALSE),IF(AND(J15="Alumínio",F15="Trifásico"),VLOOKUP(M15,'Iz''s'!$CP$26:$CT$37,2,FALSE)))))</f>
        <v>26</v>
      </c>
      <c r="BG15" s="531">
        <f>IF(AND(J15="Cobre",F15="Monofásico"),VLOOKUP(M15,'Iz''s'!$AT$10:$BA$28,2,FALSE),IF(AND(J15="Cobre",F15="Trifásico"),VLOOKUP(M15,'Iz''s'!$AT$10:$BA$28,3,FALSE),IF(AND(J15="Alumínio",F15="Monofásico"),VLOOKUP(M15,'Iz''s'!$BC$10:$BJ$27,2,FALSE),IF(AND(J15="Alumínio",F15="Trifásico"),VLOOKUP(M15,'Iz''s'!$BC$10:$BJ$27,3,FALSE)))))</f>
        <v>18.5</v>
      </c>
      <c r="BH15" s="609" t="str">
        <f>IF(AND(J15="Cobre",F15="Monofásico"),VLOOKUP(M15,'Iz''s'!$AT$10:$BA$28,4,FALSE),IF(AND(J15="Cobre",F15="Trifásico"),VLOOKUP(M15,'Iz''s'!$AT$10:$BA$28,5,FALSE),IF(AND(J15="Alumínio",F15="Monofásico"),VLOOKUP(M15,'Iz''s'!$BC$10:$BJ$27,4,FALSE),IF(AND(J15="Alumínio",F15="Trifásico"),VLOOKUP(M15,'Iz''s'!$BC$10:$BJ$27,5,FALSE)))))</f>
        <v xml:space="preserve"> --- </v>
      </c>
      <c r="BI15" s="609" t="str">
        <f>IF(AND(J15="Cobre",F15="Monofásico"),"N/A",IF(AND(J15="Cobre",F15="Trifásico"),VLOOKUP(M15,'Iz''s'!$AT$10:$BA$28,8,FALSE),IF(AND(J15="Alumínio",F15="Monofásico"),"N/A",IF(AND(J15="Alumínio",F15="Trifásico"),VLOOKUP(M15,'Iz''s'!$BC$10:$BJ$27,8,FALSE)))))</f>
        <v xml:space="preserve"> --- </v>
      </c>
      <c r="BJ15" s="531">
        <f>IF(AND(J15="Cobre",F15="Monofásico"),VLOOKUP(M15,'Iz''s'!$G$8:$J$23,2,FALSE),IF(AND(J15="Cobre",F15="Trifásico"),VLOOKUP(M15,'Iz''s'!$Q$8:$T$23,2,FALSE),IF(AND(J15="Alumínio",F15="Monofásico"),VLOOKUP(M15,'Iz''s'!$G$25:$J$39,2,FALSE),IF(AND(J15="Alumínio",F15="Trifásico"),VLOOKUP(M15,'Iz''s'!$Q$25:$T$39,2,FALSE)))))</f>
        <v>17</v>
      </c>
      <c r="BK15" s="609">
        <f>IF(AND(J15="Cobre",F15="Monofásico"),VLOOKUP(M15,'Iz''s'!$CJ$9:$CN$24,2,FALSE),IF(AND(J15="Cobre",F15="Trifásico"),VLOOKUP(M15,'Iz''s'!$CJ$9:$CN$24,4,FALSE),IF(AND(J15="Alumínio",F15="Monofásico"),VLOOKUP(M15,'Iz''s'!$CJ$26:$CN$40,2,FALSE),IF(AND(J15="Alumínio",F15="Trifásico"),VLOOKUP(M15,'Iz''s'!$CJ$26:$CN$40,4,FALSE)))))</f>
        <v>16.5</v>
      </c>
      <c r="BL15" s="609">
        <f>IF(AND(J15="Cobre",F15="Monofásico"),VLOOKUP(M15,'Iz''s'!$G$8:$J$23,3,FALSE),IF(AND(J15="Cobre",F15="Trifásico"),VLOOKUP(M15,'Iz''s'!$Q$8:$T$23,3,FALSE),IF(AND(J15="Alumínio",F15="Monofásico"),VLOOKUP(M15,'Iz''s'!$G$25:$J$39,3,FALSE),IF(AND(J15="Alumínio",F15="Trifásico"),VLOOKUP(M15,'Iz''s'!$Q$25:$T$39,3,FALSE)))))</f>
        <v>20</v>
      </c>
      <c r="BM15" s="609">
        <f>IF(AND(J15="Cobre",F15="Monofásico"),VLOOKUP(M15,'Iz''s'!$CJ$9:$CN$24,3,FALSE),IF(AND(J15="Cobre",F15="Trifásico"),VLOOKUP(M15,'Iz''s'!$CJ$9:$CN$24,5,FALSE),IF(AND(J15="Alumínio",F15="Monofásico"),VLOOKUP(M15,'Iz''s'!$CJ$26:$CN$40,3,FALSE),IF(AND(J15="Alumínio",F15="Trifásico"),VLOOKUP(M15,'Iz''s'!$CJ$26:$CN$40,5,FALSE)))))</f>
        <v>19.5</v>
      </c>
      <c r="BN15" s="609">
        <f>IF(AND(J15="Cobre",F15="Monofásico"),VLOOKUP(M15,'Iz''s'!$G$8:$J$23,4,FALSE),IF(AND(J15="Cobre",F15="Trifásico"),VLOOKUP(M15,'Iz''s'!$Q$8:$T$23,4,FALSE),IF(AND(J15="Alumínio",F15="Monofásico"),VLOOKUP(M15,'Iz''s'!$G$25:$J$39,4,FALSE),IF(AND(J15="Alumínio",F15="Trifásico"),VLOOKUP(M15,'Iz''s'!$Q$25:$T$39,4,FALSE)))))</f>
        <v>22</v>
      </c>
      <c r="BO15" s="609">
        <f>IF(AND(J15="Cobre",F15="Monofásico"),VLOOKUP(M15,'Iz''s'!$CP$9:$CT$24,5,FALSE),IF(AND(J15="Cobre",F15="Trifásico"),VLOOKUP(M15,'Iz''s'!$CP$9:$CT$24,4,FALSE),IF(AND(J15="Alumínio",F15="Monofásico"),VLOOKUP(M15,'Iz''s'!$CP$26:$CT$37,5,FALSE),IF(AND(J15="Alumínio",F15="Trifásico"),VLOOKUP(M15,'Iz''s'!$CP$26:$CT$37,4,FALSE)))))</f>
        <v>31</v>
      </c>
      <c r="BP15" s="609">
        <f>IF(AND(J15="Cobre",F15="Monofásico"),VLOOKUP(M15,'Iz''s'!$BL$10:$BS$28,2,FALSE),IF(AND(J15="Cobre",F15="Trifásico"),VLOOKUP(M15,'Iz''s'!$BL$10:$BS$28,3,FALSE),IF(AND(J15="Alumínio",F15="Monofásico"),VLOOKUP(M15,'Iz''s'!$BU$10:$CB$27,2,FALSE),IF(AND(J15="Alumínio",F15="Trifásico"),VLOOKUP(M15,'Iz''s'!$BU$10:$CB$27,3,FALSE)))))</f>
        <v>23</v>
      </c>
      <c r="BQ15" s="531" t="str">
        <f>IF(AND(J15="Cobre",F15="Monofásico"),VLOOKUP(M15,'Iz''s'!$BL$10:$BS$28,4,FALSE),IF(AND(J15="Cobre",F15="Trifásico"),VLOOKUP(M15,'Iz''s'!$BL$10:$BS$28,5,FALSE),IF(AND(J15="Alumínio",F15="Monofásico"),VLOOKUP(M15,'Iz''s'!$BU$10:$CB$27,4,FALSE),IF(AND(J15="Alumínio",F15="Trifásico"),VLOOKUP(M15,'Iz''s'!$BU$10:$CB$27,5,FALSE)))))</f>
        <v xml:space="preserve"> --- </v>
      </c>
      <c r="BR15" s="609" t="str">
        <f>IF(AND(J15="Cobre",F15="Monofásico"),"N/A",IF(AND(J15="Cobre",F15="Trifásico"),VLOOKUP(M15,'Iz''s'!$BL$10:$BS$28,8,FALSE),IF(AND(J15="Alumínio",F15="Monofásico"),"N/A",IF(AND(J15="Alumínio",F15="Trifásico"),VLOOKUP(M15,'Iz''s'!$BU$10:$CB$27,8,FALSE)))))</f>
        <v xml:space="preserve"> --- </v>
      </c>
      <c r="BS15" s="609">
        <f>IF(AND(J15="Cobre",F15="Monofásico"),VLOOKUP(M15,'Iz''s'!$V$14:$Y$28,2,FALSE),IF(AND(J15="Cobre",F15="Trifásico"),VLOOKUP(M15,'Iz''s'!$V$14:$Y$28,3,FALSE),IF(AND(J15="Alumínio",F15="Monofásico"),VLOOKUP(M15,"N/A",4,FALSE),IF(AND(J15="Alumínio",F15="Trifásico"),VLOOKUP(M15,"N/A",4,FALSE)))))</f>
        <v>21</v>
      </c>
      <c r="BT15" s="609">
        <f>IF(AND(J15="Cobre",F15="Monofásico"),VLOOKUP(M15,'Iz''s'!$AF$15:$AK$29,2,FALSE),IF(AND(J15="Cobre",F15="Trifásico"),VLOOKUP(M15,'Iz''s'!$AF$15:$AK$29,3,FALSE),IF(AND(J15="Alumínio",F15="Monofásico"),"N/A",IF(AND(J15="Alumínio",F15="Trifásico"),"N/A"))))</f>
        <v>22</v>
      </c>
      <c r="BU15" s="609">
        <f>IF(AND(J15="Cobre",F15="Monofásico"),VLOOKUP(M15,'Iz''s'!$AF$15:$AK$29,2,FALSE),IF(AND(J15="Cobre",F15="Trifásico"),VLOOKUP(M15,'Iz''s'!$AF$15:$AK$29,3,FALSE),IF(AND(J15="Alumínio",F15="Monofásico"),"N/A",IF(AND(J15="Alumínio",F15="Trifásico"),"N/A"))))</f>
        <v>22</v>
      </c>
      <c r="BV15" s="610">
        <f>IF(AND(J15="Cobre",F15="Monofásico"),"N/A",IF(AND(J15="Cobre",F15="Trifásico"),VLOOKUP(M15,'Iz''s'!$AF$15:$AK$29,6,FALSE),IF(AND(J15="Alumínio",F15="Monofásico"),"N/A",IF(AND(J15="Alumínio",F15="Trifásico"),"N/A"))))</f>
        <v>32</v>
      </c>
      <c r="BW15" s="611">
        <v>13</v>
      </c>
      <c r="BX15" s="583"/>
      <c r="BY15" s="612">
        <f>VLOOKUP(M15,Consulta!$W$6:$AB$23,4,FALSE)</f>
        <v>16</v>
      </c>
      <c r="BZ15" s="612">
        <f>VLOOKUP(M15,Consulta!$W$6:$AB$23,6,FALSE)</f>
        <v>20</v>
      </c>
      <c r="CA15" s="612">
        <f>VLOOKUP(M15,Consulta!$AK$6:$AP$23,4,FALSE)</f>
        <v>20</v>
      </c>
      <c r="CB15" s="612">
        <f>VLOOKUP(M15,Consulta!$AK$6:$AP$23,6,FALSE)</f>
        <v>20</v>
      </c>
      <c r="CC15" s="585" t="e">
        <f>VLOOKUP(M15,Consulta!$AD$6:$AI$19,4,FALSE)</f>
        <v>#N/A</v>
      </c>
      <c r="CD15" s="585" t="e">
        <f>VLOOKUP(M15,Consulta!$AD$6:$AI$19,6,FALSE)</f>
        <v>#N/A</v>
      </c>
      <c r="CE15" s="585" t="e">
        <f>VLOOKUP(M15,Consulta!$AR$6:$AW$19,4,FALSE)</f>
        <v>#N/A</v>
      </c>
      <c r="CF15" s="586" t="e">
        <f>VLOOKUP(M15,Consulta!$AR$6:$AW$19,6,FALSE)</f>
        <v>#N/A</v>
      </c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 s="1"/>
      <c r="DV15" s="1"/>
      <c r="DW15" s="1"/>
    </row>
    <row r="16" spans="1:127" s="561" customFormat="1" ht="16.5" customHeight="1" x14ac:dyDescent="0.25">
      <c r="B16" s="1117"/>
      <c r="C16" s="809" t="s">
        <v>820</v>
      </c>
      <c r="D16" s="815">
        <v>1</v>
      </c>
      <c r="E16" s="714">
        <f>22.25+5.6+6.6+5.2+0.6+1.5+3.85+4.5+4.1498+1.84897+6.8588</f>
        <v>62.957570000000011</v>
      </c>
      <c r="F16" s="714" t="s">
        <v>246</v>
      </c>
      <c r="G16" s="714" t="s">
        <v>808</v>
      </c>
      <c r="H16" s="714">
        <v>0.8</v>
      </c>
      <c r="I16" s="715" t="s">
        <v>13</v>
      </c>
      <c r="J16" s="714" t="s">
        <v>242</v>
      </c>
      <c r="K16" s="714" t="s">
        <v>363</v>
      </c>
      <c r="L16" s="714">
        <v>1</v>
      </c>
      <c r="M16" s="716">
        <v>1.5</v>
      </c>
      <c r="N16" s="714" t="s">
        <v>455</v>
      </c>
      <c r="O16" s="714">
        <v>13</v>
      </c>
      <c r="P16" s="555">
        <f t="shared" si="4"/>
        <v>18.5</v>
      </c>
      <c r="Q16" s="714">
        <v>3</v>
      </c>
      <c r="R16" s="714">
        <v>0.73</v>
      </c>
      <c r="S16" s="555">
        <f>IF(F16="Monofásico",(((D16*10^3)/H16)/230),(((D16*10^3)/H16)/(SQRT(3)*400)))</f>
        <v>1.8042195912175805</v>
      </c>
      <c r="T16" s="717">
        <f>P16*R16</f>
        <v>13.504999999999999</v>
      </c>
      <c r="U16" s="714" t="s">
        <v>499</v>
      </c>
      <c r="V16" s="555">
        <v>6</v>
      </c>
      <c r="W16" s="714">
        <f>IF(U16="C.C.Fusíveis",VLOOKUP(V16,Consulta!$L$5:$N$31,3,FALSE),VLOOKUP(V16,Consulta!$P$5:$R$34,3,FALSE))</f>
        <v>8.1</v>
      </c>
      <c r="X16" s="720">
        <f t="shared" si="10"/>
        <v>27</v>
      </c>
      <c r="Y16" s="810">
        <f t="shared" si="29"/>
        <v>0.13359641549186083</v>
      </c>
      <c r="Z16" s="721" t="str">
        <f t="shared" si="11"/>
        <v>Sim</v>
      </c>
      <c r="AA16" s="811">
        <f t="shared" si="23"/>
        <v>9.7156389575354218E-2</v>
      </c>
      <c r="AB16" s="811">
        <f t="shared" si="12"/>
        <v>1.1804544375000001</v>
      </c>
      <c r="AC16" s="811">
        <f t="shared" si="6"/>
        <v>0</v>
      </c>
      <c r="AD16" s="718">
        <f t="shared" si="32"/>
        <v>2.9650225469328664</v>
      </c>
      <c r="AE16" s="718">
        <f t="shared" si="17"/>
        <v>1.7038392181417834</v>
      </c>
      <c r="AF16" s="718">
        <f t="shared" si="18"/>
        <v>4.6688617650746496</v>
      </c>
      <c r="AG16" s="719">
        <f t="shared" si="14"/>
        <v>7.4079966006164498E-3</v>
      </c>
      <c r="AH16" s="812">
        <f t="shared" si="14"/>
        <v>2.0299398978585431E-2</v>
      </c>
      <c r="AI16" s="718">
        <f t="shared" si="7"/>
        <v>0.18075935392979364</v>
      </c>
      <c r="AJ16" s="714">
        <v>3</v>
      </c>
      <c r="AK16" s="718">
        <v>0.1</v>
      </c>
      <c r="AL16" s="720">
        <f t="shared" si="24"/>
        <v>115</v>
      </c>
      <c r="AM16" s="718">
        <f t="shared" si="25"/>
        <v>0.49705327547709194</v>
      </c>
      <c r="AN16" s="721">
        <f t="shared" si="26"/>
        <v>1</v>
      </c>
      <c r="AO16" s="813" t="s">
        <v>563</v>
      </c>
      <c r="AP16" s="721" t="s">
        <v>523</v>
      </c>
      <c r="AQ16" s="721" t="str">
        <f t="shared" si="27"/>
        <v>5G</v>
      </c>
      <c r="AR16" s="721">
        <f t="shared" si="28"/>
        <v>1.5</v>
      </c>
      <c r="AS16" s="907" t="str">
        <f t="shared" si="8"/>
        <v/>
      </c>
      <c r="AT16" s="907" t="str">
        <f>IF(OR(AQ16="3G",AQ16="5G"),"",VLOOKUP(AR16,Consulta!$T$5:$U$25,2,FALSE))</f>
        <v/>
      </c>
      <c r="AU16" s="908" t="s">
        <v>565</v>
      </c>
      <c r="AV16" s="721" t="s">
        <v>23</v>
      </c>
      <c r="AW16" s="721" t="s">
        <v>564</v>
      </c>
      <c r="AX16" s="721">
        <f t="shared" si="30"/>
        <v>20</v>
      </c>
      <c r="AY16" s="814" t="s">
        <v>24</v>
      </c>
      <c r="AZ16" s="564"/>
      <c r="BA16" s="584">
        <f>IF(AND(J16="Cobre",F16="Monofásico"),VLOOKUP(M16,'Iz''s'!$B$8:$E$23,2,FALSE),IF(AND(J16="Cobre",F16="Trifásico"),VLOOKUP(M16,'Iz''s'!$L$8:$O$23,2,FALSE),IF(AND(J16="Alumínio",F16="Monofásico"),VLOOKUP(M16,'Iz''s'!$B$25:$E$39,2,FALSE),IF(AND(J16="Alumínio",F16="Trifásico"),VLOOKUP(M16,'Iz''s'!$L$25:$O$39,2,FALSE)))))</f>
        <v>13.5</v>
      </c>
      <c r="BB16" s="531">
        <f>IF(AND(J16="Cobre",F16="Monofásico"),VLOOKUP(M16,'Iz''s'!$CD$9:$CH$24,2,FALSE),IF(AND(J16="Cobre",F16="Trifásico"),VLOOKUP(M16,'Iz''s'!$CD$9:$CH$24,4,FALSE),IF(AND(J16="Alumínio",F16="Monofásico"),VLOOKUP(M16,'Iz''s'!$CD$26:$CH$40,2,FALSE),IF(AND(J16="Alumínio",F16="Trifásico"),VLOOKUP(M16,'Iz''s'!$CD$26:$CH$40,4,FALSE)))))</f>
        <v>13</v>
      </c>
      <c r="BC16" s="531">
        <f>IF(AND(J16="Cobre",F16="Monofásico"),VLOOKUP(M16,'Iz''s'!$B$8:$E$23,3,FALSE),IF(AND(J16="Cobre",F16="Trifásico"),VLOOKUP(M16,'Iz''s'!$L$8:$O$23,3,FALSE),IF(AND(J16="Alumínio",F16="Monofásico"),VLOOKUP(M16,'Iz''s'!$B$25:$E$39,3,FALSE),IF(AND(J16="Alumínio",F16="Trifásico"),VLOOKUP(M16,'Iz''s'!$L$25:$O$39,3,FALSE)))))</f>
        <v>15.5</v>
      </c>
      <c r="BD16" s="531">
        <f>IF(AND(J16="Cobre",F16="Monofásico"),VLOOKUP(M16,'Iz''s'!$CD$9:$CH$24,3,FALSE),IF(AND(J16="Cobre",F16="Trifásico"),VLOOKUP(M16,'Iz''s'!$CD$9:$CH$24,5,FALSE),IF(AND(J16="Alumínio",F16="Monofásico"),VLOOKUP(M16,'Iz''s'!$CD$26:$CH$40,3,FALSE),IF(AND(J16="Alumínio",F16="Trifásico"),VLOOKUP(M16,'Iz''s'!$CD$26:$CH$40,5,FALSE)))))</f>
        <v>15</v>
      </c>
      <c r="BE16" s="531">
        <f>IF(AND(J16="Cobre",F16="Monofásico"),VLOOKUP(M16,'Iz''s'!$B$8:$E$23,4,FALSE),IF(AND(J16="Cobre",F16="Trifásico"),VLOOKUP(M16,'Iz''s'!$L$8:$O$23,4,FALSE),IF(AND(J16="Alumínio",F16="Monofásico"),VLOOKUP(M16,'Iz''s'!$B$25:$E$39,4,FALSE),IF(AND(J16="Alumínio",F16="Trifásico"),VLOOKUP(M16,'Iz''s'!$L$25:$O$39,4,FALSE)))))</f>
        <v>17.5</v>
      </c>
      <c r="BF16" s="531">
        <f>IF(AND(J16="Cobre",F16="Monofásico"),VLOOKUP(M16,'Iz''s'!$CP$9:$CT$24,3,FALSE),IF(AND(J16="Cobre",F16="Trifásico"),VLOOKUP(M16,'Iz''s'!$CP$9:$CT$24,2,FALSE),IF(AND(J16="Alumínio",F16="Monofásico"),VLOOKUP(M16,'Iz''s'!$CP$26:$CT$37,3,FALSE),IF(AND(J16="Alumínio",F16="Trifásico"),VLOOKUP(M16,'Iz''s'!$CP$26:$CT$37,2,FALSE)))))</f>
        <v>26</v>
      </c>
      <c r="BG16" s="531">
        <f>IF(AND(J16="Cobre",F16="Monofásico"),VLOOKUP(M16,'Iz''s'!$AT$10:$BA$28,2,FALSE),IF(AND(J16="Cobre",F16="Trifásico"),VLOOKUP(M16,'Iz''s'!$AT$10:$BA$28,3,FALSE),IF(AND(J16="Alumínio",F16="Monofásico"),VLOOKUP(M16,'Iz''s'!$BC$10:$BJ$27,2,FALSE),IF(AND(J16="Alumínio",F16="Trifásico"),VLOOKUP(M16,'Iz''s'!$BC$10:$BJ$27,3,FALSE)))))</f>
        <v>18.5</v>
      </c>
      <c r="BH16" s="609" t="str">
        <f>IF(AND(J16="Cobre",F16="Monofásico"),VLOOKUP(M16,'Iz''s'!$AT$10:$BA$28,4,FALSE),IF(AND(J16="Cobre",F16="Trifásico"),VLOOKUP(M16,'Iz''s'!$AT$10:$BA$28,5,FALSE),IF(AND(J16="Alumínio",F16="Monofásico"),VLOOKUP(M16,'Iz''s'!$BC$10:$BJ$27,4,FALSE),IF(AND(J16="Alumínio",F16="Trifásico"),VLOOKUP(M16,'Iz''s'!$BC$10:$BJ$27,5,FALSE)))))</f>
        <v xml:space="preserve"> --- </v>
      </c>
      <c r="BI16" s="609" t="str">
        <f>IF(AND(J16="Cobre",F16="Monofásico"),"N/A",IF(AND(J16="Cobre",F16="Trifásico"),VLOOKUP(M16,'Iz''s'!$AT$10:$BA$28,8,FALSE),IF(AND(J16="Alumínio",F16="Monofásico"),"N/A",IF(AND(J16="Alumínio",F16="Trifásico"),VLOOKUP(M16,'Iz''s'!$BC$10:$BJ$27,8,FALSE)))))</f>
        <v xml:space="preserve"> --- </v>
      </c>
      <c r="BJ16" s="531">
        <f>IF(AND(J16="Cobre",F16="Monofásico"),VLOOKUP(M16,'Iz''s'!$G$8:$J$23,2,FALSE),IF(AND(J16="Cobre",F16="Trifásico"),VLOOKUP(M16,'Iz''s'!$Q$8:$T$23,2,FALSE),IF(AND(J16="Alumínio",F16="Monofásico"),VLOOKUP(M16,'Iz''s'!$G$25:$J$39,2,FALSE),IF(AND(J16="Alumínio",F16="Trifásico"),VLOOKUP(M16,'Iz''s'!$Q$25:$T$39,2,FALSE)))))</f>
        <v>17</v>
      </c>
      <c r="BK16" s="609">
        <f>IF(AND(J16="Cobre",F16="Monofásico"),VLOOKUP(M16,'Iz''s'!$CJ$9:$CN$24,2,FALSE),IF(AND(J16="Cobre",F16="Trifásico"),VLOOKUP(M16,'Iz''s'!$CJ$9:$CN$24,4,FALSE),IF(AND(J16="Alumínio",F16="Monofásico"),VLOOKUP(M16,'Iz''s'!$CJ$26:$CN$40,2,FALSE),IF(AND(J16="Alumínio",F16="Trifásico"),VLOOKUP(M16,'Iz''s'!$CJ$26:$CN$40,4,FALSE)))))</f>
        <v>16.5</v>
      </c>
      <c r="BL16" s="609">
        <f>IF(AND(J16="Cobre",F16="Monofásico"),VLOOKUP(M16,'Iz''s'!$G$8:$J$23,3,FALSE),IF(AND(J16="Cobre",F16="Trifásico"),VLOOKUP(M16,'Iz''s'!$Q$8:$T$23,3,FALSE),IF(AND(J16="Alumínio",F16="Monofásico"),VLOOKUP(M16,'Iz''s'!$G$25:$J$39,3,FALSE),IF(AND(J16="Alumínio",F16="Trifásico"),VLOOKUP(M16,'Iz''s'!$Q$25:$T$39,3,FALSE)))))</f>
        <v>20</v>
      </c>
      <c r="BM16" s="609">
        <f>IF(AND(J16="Cobre",F16="Monofásico"),VLOOKUP(M16,'Iz''s'!$CJ$9:$CN$24,3,FALSE),IF(AND(J16="Cobre",F16="Trifásico"),VLOOKUP(M16,'Iz''s'!$CJ$9:$CN$24,5,FALSE),IF(AND(J16="Alumínio",F16="Monofásico"),VLOOKUP(M16,'Iz''s'!$CJ$26:$CN$40,3,FALSE),IF(AND(J16="Alumínio",F16="Trifásico"),VLOOKUP(M16,'Iz''s'!$CJ$26:$CN$40,5,FALSE)))))</f>
        <v>19.5</v>
      </c>
      <c r="BN16" s="609">
        <f>IF(AND(J16="Cobre",F16="Monofásico"),VLOOKUP(M16,'Iz''s'!$G$8:$J$23,4,FALSE),IF(AND(J16="Cobre",F16="Trifásico"),VLOOKUP(M16,'Iz''s'!$Q$8:$T$23,4,FALSE),IF(AND(J16="Alumínio",F16="Monofásico"),VLOOKUP(M16,'Iz''s'!$G$25:$J$39,4,FALSE),IF(AND(J16="Alumínio",F16="Trifásico"),VLOOKUP(M16,'Iz''s'!$Q$25:$T$39,4,FALSE)))))</f>
        <v>22</v>
      </c>
      <c r="BO16" s="609">
        <f>IF(AND(J16="Cobre",F16="Monofásico"),VLOOKUP(M16,'Iz''s'!$CP$9:$CT$24,5,FALSE),IF(AND(J16="Cobre",F16="Trifásico"),VLOOKUP(M16,'Iz''s'!$CP$9:$CT$24,4,FALSE),IF(AND(J16="Alumínio",F16="Monofásico"),VLOOKUP(M16,'Iz''s'!$CP$26:$CT$37,5,FALSE),IF(AND(J16="Alumínio",F16="Trifásico"),VLOOKUP(M16,'Iz''s'!$CP$26:$CT$37,4,FALSE)))))</f>
        <v>31</v>
      </c>
      <c r="BP16" s="609">
        <f>IF(AND(J16="Cobre",F16="Monofásico"),VLOOKUP(M16,'Iz''s'!$BL$10:$BS$28,2,FALSE),IF(AND(J16="Cobre",F16="Trifásico"),VLOOKUP(M16,'Iz''s'!$BL$10:$BS$28,3,FALSE),IF(AND(J16="Alumínio",F16="Monofásico"),VLOOKUP(M16,'Iz''s'!$BU$10:$CB$27,2,FALSE),IF(AND(J16="Alumínio",F16="Trifásico"),VLOOKUP(M16,'Iz''s'!$BU$10:$CB$27,3,FALSE)))))</f>
        <v>23</v>
      </c>
      <c r="BQ16" s="531" t="str">
        <f>IF(AND(J16="Cobre",F16="Monofásico"),VLOOKUP(M16,'Iz''s'!$BL$10:$BS$28,4,FALSE),IF(AND(J16="Cobre",F16="Trifásico"),VLOOKUP(M16,'Iz''s'!$BL$10:$BS$28,5,FALSE),IF(AND(J16="Alumínio",F16="Monofásico"),VLOOKUP(M16,'Iz''s'!$BU$10:$CB$27,4,FALSE),IF(AND(J16="Alumínio",F16="Trifásico"),VLOOKUP(M16,'Iz''s'!$BU$10:$CB$27,5,FALSE)))))</f>
        <v xml:space="preserve"> --- </v>
      </c>
      <c r="BR16" s="609" t="str">
        <f>IF(AND(J16="Cobre",F16="Monofásico"),"N/A",IF(AND(J16="Cobre",F16="Trifásico"),VLOOKUP(M16,'Iz''s'!$BL$10:$BS$28,8,FALSE),IF(AND(J16="Alumínio",F16="Monofásico"),"N/A",IF(AND(J16="Alumínio",F16="Trifásico"),VLOOKUP(M16,'Iz''s'!$BU$10:$CB$27,8,FALSE)))))</f>
        <v xml:space="preserve"> --- </v>
      </c>
      <c r="BS16" s="609">
        <f>IF(AND(J16="Cobre",F16="Monofásico"),VLOOKUP(M16,'Iz''s'!$V$14:$Y$28,2,FALSE),IF(AND(J16="Cobre",F16="Trifásico"),VLOOKUP(M16,'Iz''s'!$V$14:$Y$28,3,FALSE),IF(AND(J16="Alumínio",F16="Monofásico"),VLOOKUP(M16,"N/A",4,FALSE),IF(AND(J16="Alumínio",F16="Trifásico"),VLOOKUP(M16,"N/A",4,FALSE)))))</f>
        <v>21</v>
      </c>
      <c r="BT16" s="609">
        <f>IF(AND(J16="Cobre",F16="Monofásico"),VLOOKUP(M16,'Iz''s'!$AF$15:$AK$29,2,FALSE),IF(AND(J16="Cobre",F16="Trifásico"),VLOOKUP(M16,'Iz''s'!$AF$15:$AK$29,3,FALSE),IF(AND(J16="Alumínio",F16="Monofásico"),"N/A",IF(AND(J16="Alumínio",F16="Trifásico"),"N/A"))))</f>
        <v>22</v>
      </c>
      <c r="BU16" s="609">
        <f>IF(AND(J16="Cobre",F16="Monofásico"),VLOOKUP(M16,'Iz''s'!$AF$15:$AK$29,2,FALSE),IF(AND(J16="Cobre",F16="Trifásico"),VLOOKUP(M16,'Iz''s'!$AF$15:$AK$29,3,FALSE),IF(AND(J16="Alumínio",F16="Monofásico"),"N/A",IF(AND(J16="Alumínio",F16="Trifásico"),"N/A"))))</f>
        <v>22</v>
      </c>
      <c r="BV16" s="610">
        <f>IF(AND(J16="Cobre",F16="Monofásico"),"N/A",IF(AND(J16="Cobre",F16="Trifásico"),VLOOKUP(M16,'Iz''s'!$AF$15:$AK$29,6,FALSE),IF(AND(J16="Alumínio",F16="Monofásico"),"N/A",IF(AND(J16="Alumínio",F16="Trifásico"),"N/A"))))</f>
        <v>32</v>
      </c>
      <c r="BW16" s="611">
        <v>14</v>
      </c>
      <c r="BX16" s="583"/>
      <c r="BY16" s="612">
        <f>VLOOKUP(M16,Consulta!$W$6:$AB$23,4,FALSE)</f>
        <v>16</v>
      </c>
      <c r="BZ16" s="612">
        <f>VLOOKUP(M16,Consulta!$W$6:$AB$23,6,FALSE)</f>
        <v>20</v>
      </c>
      <c r="CA16" s="612">
        <f>VLOOKUP(M16,Consulta!$AK$6:$AP$23,4,FALSE)</f>
        <v>20</v>
      </c>
      <c r="CB16" s="612">
        <f>VLOOKUP(M16,Consulta!$AK$6:$AP$23,6,FALSE)</f>
        <v>20</v>
      </c>
      <c r="CC16" s="585" t="e">
        <f>VLOOKUP(M16,Consulta!$AD$6:$AI$19,4,FALSE)</f>
        <v>#N/A</v>
      </c>
      <c r="CD16" s="585" t="e">
        <f>VLOOKUP(M16,Consulta!$AD$6:$AI$19,6,FALSE)</f>
        <v>#N/A</v>
      </c>
      <c r="CE16" s="585" t="e">
        <f>VLOOKUP(M16,Consulta!$AR$6:$AW$19,4,FALSE)</f>
        <v>#N/A</v>
      </c>
      <c r="CF16" s="586" t="e">
        <f>VLOOKUP(M16,Consulta!$AR$6:$AW$19,6,FALSE)</f>
        <v>#N/A</v>
      </c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 s="1"/>
      <c r="DV16" s="1"/>
      <c r="DW16" s="1"/>
    </row>
    <row r="17" spans="2:127" s="561" customFormat="1" ht="16.5" customHeight="1" x14ac:dyDescent="0.25">
      <c r="B17" s="1117"/>
      <c r="C17" s="809" t="s">
        <v>821</v>
      </c>
      <c r="D17" s="815">
        <v>1</v>
      </c>
      <c r="E17" s="714">
        <f>22.25+5.6+6.6+5.2+0.6+1.5+3.85+4.5+4.1498+5.4+0.832+6.943</f>
        <v>67.424800000000005</v>
      </c>
      <c r="F17" s="714" t="s">
        <v>246</v>
      </c>
      <c r="G17" s="714" t="s">
        <v>808</v>
      </c>
      <c r="H17" s="714">
        <v>0.8</v>
      </c>
      <c r="I17" s="715" t="s">
        <v>13</v>
      </c>
      <c r="J17" s="714" t="s">
        <v>242</v>
      </c>
      <c r="K17" s="714" t="s">
        <v>363</v>
      </c>
      <c r="L17" s="714">
        <v>1</v>
      </c>
      <c r="M17" s="716">
        <v>1.5</v>
      </c>
      <c r="N17" s="714" t="s">
        <v>455</v>
      </c>
      <c r="O17" s="714">
        <v>13</v>
      </c>
      <c r="P17" s="555">
        <f t="shared" si="4"/>
        <v>18.5</v>
      </c>
      <c r="Q17" s="714">
        <v>3</v>
      </c>
      <c r="R17" s="714">
        <v>0.73</v>
      </c>
      <c r="S17" s="555">
        <f>IF(F17="Monofásico",(((D17*10^3)/H17)/230),(((D17*10^3)/H17)/(SQRT(3)*400)))</f>
        <v>1.8042195912175805</v>
      </c>
      <c r="T17" s="717">
        <f t="shared" si="31"/>
        <v>13.504999999999999</v>
      </c>
      <c r="U17" s="714" t="s">
        <v>499</v>
      </c>
      <c r="V17" s="555">
        <v>6</v>
      </c>
      <c r="W17" s="714">
        <f>IF(U17="C.C.Fusíveis",VLOOKUP(V17,Consulta!$L$5:$N$31,3,FALSE),VLOOKUP(V17,Consulta!$P$5:$R$34,3,FALSE))</f>
        <v>8.1</v>
      </c>
      <c r="X17" s="720">
        <f t="shared" si="10"/>
        <v>27</v>
      </c>
      <c r="Y17" s="810">
        <f t="shared" si="29"/>
        <v>0.13359641549186083</v>
      </c>
      <c r="Z17" s="721" t="str">
        <f t="shared" si="11"/>
        <v>Sim</v>
      </c>
      <c r="AA17" s="811">
        <f t="shared" si="23"/>
        <v>9.7156389575354218E-2</v>
      </c>
      <c r="AB17" s="811">
        <f t="shared" si="12"/>
        <v>1.2642150000000001</v>
      </c>
      <c r="AC17" s="811">
        <f t="shared" si="6"/>
        <v>0</v>
      </c>
      <c r="AD17" s="718">
        <f t="shared" si="32"/>
        <v>2.9650225469328664</v>
      </c>
      <c r="AE17" s="718">
        <f t="shared" si="17"/>
        <v>1.8247371764089071</v>
      </c>
      <c r="AF17" s="718">
        <f t="shared" si="18"/>
        <v>4.7897597233417732</v>
      </c>
      <c r="AG17" s="719">
        <f t="shared" si="14"/>
        <v>7.9336398974300306E-3</v>
      </c>
      <c r="AH17" s="812">
        <f t="shared" si="14"/>
        <v>2.0825042275399015E-2</v>
      </c>
      <c r="AI17" s="718">
        <f t="shared" si="7"/>
        <v>0.16963784419465897</v>
      </c>
      <c r="AJ17" s="714">
        <v>3</v>
      </c>
      <c r="AK17" s="718">
        <v>0.1</v>
      </c>
      <c r="AL17" s="720">
        <f t="shared" si="24"/>
        <v>115</v>
      </c>
      <c r="AM17" s="718">
        <f t="shared" si="25"/>
        <v>0.46647127392686449</v>
      </c>
      <c r="AN17" s="721">
        <f t="shared" si="26"/>
        <v>1</v>
      </c>
      <c r="AO17" s="813" t="s">
        <v>563</v>
      </c>
      <c r="AP17" s="721" t="s">
        <v>523</v>
      </c>
      <c r="AQ17" s="721" t="str">
        <f t="shared" si="27"/>
        <v>5G</v>
      </c>
      <c r="AR17" s="721">
        <f t="shared" si="28"/>
        <v>1.5</v>
      </c>
      <c r="AS17" s="907" t="str">
        <f t="shared" si="8"/>
        <v/>
      </c>
      <c r="AT17" s="907" t="str">
        <f>IF(OR(AQ17="3G",AQ17="5G"),"",VLOOKUP(AR17,Consulta!$T$5:$U$25,2,FALSE))</f>
        <v/>
      </c>
      <c r="AU17" s="908" t="s">
        <v>565</v>
      </c>
      <c r="AV17" s="721" t="s">
        <v>23</v>
      </c>
      <c r="AW17" s="721" t="s">
        <v>564</v>
      </c>
      <c r="AX17" s="721">
        <f t="shared" si="30"/>
        <v>20</v>
      </c>
      <c r="AY17" s="814" t="s">
        <v>24</v>
      </c>
      <c r="AZ17" s="564"/>
      <c r="BA17" s="584">
        <f>IF(AND(J17="Cobre",F17="Monofásico"),VLOOKUP(M17,'Iz''s'!$B$8:$E$23,2,FALSE),IF(AND(J17="Cobre",F17="Trifásico"),VLOOKUP(M17,'Iz''s'!$L$8:$O$23,2,FALSE),IF(AND(J17="Alumínio",F17="Monofásico"),VLOOKUP(M17,'Iz''s'!$B$25:$E$39,2,FALSE),IF(AND(J17="Alumínio",F17="Trifásico"),VLOOKUP(M17,'Iz''s'!$L$25:$O$39,2,FALSE)))))</f>
        <v>13.5</v>
      </c>
      <c r="BB17" s="531">
        <f>IF(AND(J17="Cobre",F17="Monofásico"),VLOOKUP(M17,'Iz''s'!$CD$9:$CH$24,2,FALSE),IF(AND(J17="Cobre",F17="Trifásico"),VLOOKUP(M17,'Iz''s'!$CD$9:$CH$24,4,FALSE),IF(AND(J17="Alumínio",F17="Monofásico"),VLOOKUP(M17,'Iz''s'!$CD$26:$CH$40,2,FALSE),IF(AND(J17="Alumínio",F17="Trifásico"),VLOOKUP(M17,'Iz''s'!$CD$26:$CH$40,4,FALSE)))))</f>
        <v>13</v>
      </c>
      <c r="BC17" s="531">
        <f>IF(AND(J17="Cobre",F17="Monofásico"),VLOOKUP(M17,'Iz''s'!$B$8:$E$23,3,FALSE),IF(AND(J17="Cobre",F17="Trifásico"),VLOOKUP(M17,'Iz''s'!$L$8:$O$23,3,FALSE),IF(AND(J17="Alumínio",F17="Monofásico"),VLOOKUP(M17,'Iz''s'!$B$25:$E$39,3,FALSE),IF(AND(J17="Alumínio",F17="Trifásico"),VLOOKUP(M17,'Iz''s'!$L$25:$O$39,3,FALSE)))))</f>
        <v>15.5</v>
      </c>
      <c r="BD17" s="531">
        <f>IF(AND(J17="Cobre",F17="Monofásico"),VLOOKUP(M17,'Iz''s'!$CD$9:$CH$24,3,FALSE),IF(AND(J17="Cobre",F17="Trifásico"),VLOOKUP(M17,'Iz''s'!$CD$9:$CH$24,5,FALSE),IF(AND(J17="Alumínio",F17="Monofásico"),VLOOKUP(M17,'Iz''s'!$CD$26:$CH$40,3,FALSE),IF(AND(J17="Alumínio",F17="Trifásico"),VLOOKUP(M17,'Iz''s'!$CD$26:$CH$40,5,FALSE)))))</f>
        <v>15</v>
      </c>
      <c r="BE17" s="531">
        <f>IF(AND(J17="Cobre",F17="Monofásico"),VLOOKUP(M17,'Iz''s'!$B$8:$E$23,4,FALSE),IF(AND(J17="Cobre",F17="Trifásico"),VLOOKUP(M17,'Iz''s'!$L$8:$O$23,4,FALSE),IF(AND(J17="Alumínio",F17="Monofásico"),VLOOKUP(M17,'Iz''s'!$B$25:$E$39,4,FALSE),IF(AND(J17="Alumínio",F17="Trifásico"),VLOOKUP(M17,'Iz''s'!$L$25:$O$39,4,FALSE)))))</f>
        <v>17.5</v>
      </c>
      <c r="BF17" s="531">
        <f>IF(AND(J17="Cobre",F17="Monofásico"),VLOOKUP(M17,'Iz''s'!$CP$9:$CT$24,3,FALSE),IF(AND(J17="Cobre",F17="Trifásico"),VLOOKUP(M17,'Iz''s'!$CP$9:$CT$24,2,FALSE),IF(AND(J17="Alumínio",F17="Monofásico"),VLOOKUP(M17,'Iz''s'!$CP$26:$CT$37,3,FALSE),IF(AND(J17="Alumínio",F17="Trifásico"),VLOOKUP(M17,'Iz''s'!$CP$26:$CT$37,2,FALSE)))))</f>
        <v>26</v>
      </c>
      <c r="BG17" s="531">
        <f>IF(AND(J17="Cobre",F17="Monofásico"),VLOOKUP(M17,'Iz''s'!$AT$10:$BA$28,2,FALSE),IF(AND(J17="Cobre",F17="Trifásico"),VLOOKUP(M17,'Iz''s'!$AT$10:$BA$28,3,FALSE),IF(AND(J17="Alumínio",F17="Monofásico"),VLOOKUP(M17,'Iz''s'!$BC$10:$BJ$27,2,FALSE),IF(AND(J17="Alumínio",F17="Trifásico"),VLOOKUP(M17,'Iz''s'!$BC$10:$BJ$27,3,FALSE)))))</f>
        <v>18.5</v>
      </c>
      <c r="BH17" s="609" t="str">
        <f>IF(AND(J17="Cobre",F17="Monofásico"),VLOOKUP(M17,'Iz''s'!$AT$10:$BA$28,4,FALSE),IF(AND(J17="Cobre",F17="Trifásico"),VLOOKUP(M17,'Iz''s'!$AT$10:$BA$28,5,FALSE),IF(AND(J17="Alumínio",F17="Monofásico"),VLOOKUP(M17,'Iz''s'!$BC$10:$BJ$27,4,FALSE),IF(AND(J17="Alumínio",F17="Trifásico"),VLOOKUP(M17,'Iz''s'!$BC$10:$BJ$27,5,FALSE)))))</f>
        <v xml:space="preserve"> --- </v>
      </c>
      <c r="BI17" s="609" t="str">
        <f>IF(AND(J17="Cobre",F17="Monofásico"),"N/A",IF(AND(J17="Cobre",F17="Trifásico"),VLOOKUP(M17,'Iz''s'!$AT$10:$BA$28,8,FALSE),IF(AND(J17="Alumínio",F17="Monofásico"),"N/A",IF(AND(J17="Alumínio",F17="Trifásico"),VLOOKUP(M17,'Iz''s'!$BC$10:$BJ$27,8,FALSE)))))</f>
        <v xml:space="preserve"> --- </v>
      </c>
      <c r="BJ17" s="531">
        <f>IF(AND(J17="Cobre",F17="Monofásico"),VLOOKUP(M17,'Iz''s'!$G$8:$J$23,2,FALSE),IF(AND(J17="Cobre",F17="Trifásico"),VLOOKUP(M17,'Iz''s'!$Q$8:$T$23,2,FALSE),IF(AND(J17="Alumínio",F17="Monofásico"),VLOOKUP(M17,'Iz''s'!$G$25:$J$39,2,FALSE),IF(AND(J17="Alumínio",F17="Trifásico"),VLOOKUP(M17,'Iz''s'!$Q$25:$T$39,2,FALSE)))))</f>
        <v>17</v>
      </c>
      <c r="BK17" s="609">
        <f>IF(AND(J17="Cobre",F17="Monofásico"),VLOOKUP(M17,'Iz''s'!$CJ$9:$CN$24,2,FALSE),IF(AND(J17="Cobre",F17="Trifásico"),VLOOKUP(M17,'Iz''s'!$CJ$9:$CN$24,4,FALSE),IF(AND(J17="Alumínio",F17="Monofásico"),VLOOKUP(M17,'Iz''s'!$CJ$26:$CN$40,2,FALSE),IF(AND(J17="Alumínio",F17="Trifásico"),VLOOKUP(M17,'Iz''s'!$CJ$26:$CN$40,4,FALSE)))))</f>
        <v>16.5</v>
      </c>
      <c r="BL17" s="609">
        <f>IF(AND(J17="Cobre",F17="Monofásico"),VLOOKUP(M17,'Iz''s'!$G$8:$J$23,3,FALSE),IF(AND(J17="Cobre",F17="Trifásico"),VLOOKUP(M17,'Iz''s'!$Q$8:$T$23,3,FALSE),IF(AND(J17="Alumínio",F17="Monofásico"),VLOOKUP(M17,'Iz''s'!$G$25:$J$39,3,FALSE),IF(AND(J17="Alumínio",F17="Trifásico"),VLOOKUP(M17,'Iz''s'!$Q$25:$T$39,3,FALSE)))))</f>
        <v>20</v>
      </c>
      <c r="BM17" s="609">
        <f>IF(AND(J17="Cobre",F17="Monofásico"),VLOOKUP(M17,'Iz''s'!$CJ$9:$CN$24,3,FALSE),IF(AND(J17="Cobre",F17="Trifásico"),VLOOKUP(M17,'Iz''s'!$CJ$9:$CN$24,5,FALSE),IF(AND(J17="Alumínio",F17="Monofásico"),VLOOKUP(M17,'Iz''s'!$CJ$26:$CN$40,3,FALSE),IF(AND(J17="Alumínio",F17="Trifásico"),VLOOKUP(M17,'Iz''s'!$CJ$26:$CN$40,5,FALSE)))))</f>
        <v>19.5</v>
      </c>
      <c r="BN17" s="609">
        <f>IF(AND(J17="Cobre",F17="Monofásico"),VLOOKUP(M17,'Iz''s'!$G$8:$J$23,4,FALSE),IF(AND(J17="Cobre",F17="Trifásico"),VLOOKUP(M17,'Iz''s'!$Q$8:$T$23,4,FALSE),IF(AND(J17="Alumínio",F17="Monofásico"),VLOOKUP(M17,'Iz''s'!$G$25:$J$39,4,FALSE),IF(AND(J17="Alumínio",F17="Trifásico"),VLOOKUP(M17,'Iz''s'!$Q$25:$T$39,4,FALSE)))))</f>
        <v>22</v>
      </c>
      <c r="BO17" s="609">
        <f>IF(AND(J17="Cobre",F17="Monofásico"),VLOOKUP(M17,'Iz''s'!$CP$9:$CT$24,5,FALSE),IF(AND(J17="Cobre",F17="Trifásico"),VLOOKUP(M17,'Iz''s'!$CP$9:$CT$24,4,FALSE),IF(AND(J17="Alumínio",F17="Monofásico"),VLOOKUP(M17,'Iz''s'!$CP$26:$CT$37,5,FALSE),IF(AND(J17="Alumínio",F17="Trifásico"),VLOOKUP(M17,'Iz''s'!$CP$26:$CT$37,4,FALSE)))))</f>
        <v>31</v>
      </c>
      <c r="BP17" s="609">
        <f>IF(AND(J17="Cobre",F17="Monofásico"),VLOOKUP(M17,'Iz''s'!$BL$10:$BS$28,2,FALSE),IF(AND(J17="Cobre",F17="Trifásico"),VLOOKUP(M17,'Iz''s'!$BL$10:$BS$28,3,FALSE),IF(AND(J17="Alumínio",F17="Monofásico"),VLOOKUP(M17,'Iz''s'!$BU$10:$CB$27,2,FALSE),IF(AND(J17="Alumínio",F17="Trifásico"),VLOOKUP(M17,'Iz''s'!$BU$10:$CB$27,3,FALSE)))))</f>
        <v>23</v>
      </c>
      <c r="BQ17" s="531" t="str">
        <f>IF(AND(J17="Cobre",F17="Monofásico"),VLOOKUP(M17,'Iz''s'!$BL$10:$BS$28,4,FALSE),IF(AND(J17="Cobre",F17="Trifásico"),VLOOKUP(M17,'Iz''s'!$BL$10:$BS$28,5,FALSE),IF(AND(J17="Alumínio",F17="Monofásico"),VLOOKUP(M17,'Iz''s'!$BU$10:$CB$27,4,FALSE),IF(AND(J17="Alumínio",F17="Trifásico"),VLOOKUP(M17,'Iz''s'!$BU$10:$CB$27,5,FALSE)))))</f>
        <v xml:space="preserve"> --- </v>
      </c>
      <c r="BR17" s="609" t="str">
        <f>IF(AND(J17="Cobre",F17="Monofásico"),"N/A",IF(AND(J17="Cobre",F17="Trifásico"),VLOOKUP(M17,'Iz''s'!$BL$10:$BS$28,8,FALSE),IF(AND(J17="Alumínio",F17="Monofásico"),"N/A",IF(AND(J17="Alumínio",F17="Trifásico"),VLOOKUP(M17,'Iz''s'!$BU$10:$CB$27,8,FALSE)))))</f>
        <v xml:space="preserve"> --- </v>
      </c>
      <c r="BS17" s="609">
        <f>IF(AND(J17="Cobre",F17="Monofásico"),VLOOKUP(M17,'Iz''s'!$V$14:$Y$28,2,FALSE),IF(AND(J17="Cobre",F17="Trifásico"),VLOOKUP(M17,'Iz''s'!$V$14:$Y$28,3,FALSE),IF(AND(J17="Alumínio",F17="Monofásico"),VLOOKUP(M17,"N/A",4,FALSE),IF(AND(J17="Alumínio",F17="Trifásico"),VLOOKUP(M17,"N/A",4,FALSE)))))</f>
        <v>21</v>
      </c>
      <c r="BT17" s="609">
        <f>IF(AND(J17="Cobre",F17="Monofásico"),VLOOKUP(M17,'Iz''s'!$AF$15:$AK$29,2,FALSE),IF(AND(J17="Cobre",F17="Trifásico"),VLOOKUP(M17,'Iz''s'!$AF$15:$AK$29,3,FALSE),IF(AND(J17="Alumínio",F17="Monofásico"),"N/A",IF(AND(J17="Alumínio",F17="Trifásico"),"N/A"))))</f>
        <v>22</v>
      </c>
      <c r="BU17" s="609">
        <f>IF(AND(J17="Cobre",F17="Monofásico"),VLOOKUP(M17,'Iz''s'!$AF$15:$AK$29,2,FALSE),IF(AND(J17="Cobre",F17="Trifásico"),VLOOKUP(M17,'Iz''s'!$AF$15:$AK$29,3,FALSE),IF(AND(J17="Alumínio",F17="Monofásico"),"N/A",IF(AND(J17="Alumínio",F17="Trifásico"),"N/A"))))</f>
        <v>22</v>
      </c>
      <c r="BV17" s="610">
        <f>IF(AND(J17="Cobre",F17="Monofásico"),"N/A",IF(AND(J17="Cobre",F17="Trifásico"),VLOOKUP(M17,'Iz''s'!$AF$15:$AK$29,6,FALSE),IF(AND(J17="Alumínio",F17="Monofásico"),"N/A",IF(AND(J17="Alumínio",F17="Trifásico"),"N/A"))))</f>
        <v>32</v>
      </c>
      <c r="BW17" s="611">
        <v>15</v>
      </c>
      <c r="BX17" s="583"/>
      <c r="BY17" s="612">
        <f>VLOOKUP(M17,Consulta!$W$6:$AB$23,4,FALSE)</f>
        <v>16</v>
      </c>
      <c r="BZ17" s="612">
        <f>VLOOKUP(M17,Consulta!$W$6:$AB$23,6,FALSE)</f>
        <v>20</v>
      </c>
      <c r="CA17" s="612">
        <f>VLOOKUP(M17,Consulta!$AK$6:$AP$23,4,FALSE)</f>
        <v>20</v>
      </c>
      <c r="CB17" s="612">
        <f>VLOOKUP(M17,Consulta!$AK$6:$AP$23,6,FALSE)</f>
        <v>20</v>
      </c>
      <c r="CC17" s="585" t="e">
        <f>VLOOKUP(M17,Consulta!$AD$6:$AI$19,4,FALSE)</f>
        <v>#N/A</v>
      </c>
      <c r="CD17" s="585" t="e">
        <f>VLOOKUP(M17,Consulta!$AD$6:$AI$19,6,FALSE)</f>
        <v>#N/A</v>
      </c>
      <c r="CE17" s="585" t="e">
        <f>VLOOKUP(M17,Consulta!$AR$6:$AW$19,4,FALSE)</f>
        <v>#N/A</v>
      </c>
      <c r="CF17" s="586" t="e">
        <f>VLOOKUP(M17,Consulta!$AR$6:$AW$19,6,FALSE)</f>
        <v>#N/A</v>
      </c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 s="1"/>
      <c r="DV17" s="1"/>
      <c r="DW17" s="1"/>
    </row>
    <row r="18" spans="2:127" s="561" customFormat="1" ht="16.5" customHeight="1" x14ac:dyDescent="0.25">
      <c r="B18" s="1117"/>
      <c r="C18" s="809" t="s">
        <v>824</v>
      </c>
      <c r="D18" s="815">
        <v>1</v>
      </c>
      <c r="E18" s="714">
        <f>22.25+5.6+6.6+5.2+0.6+1.5+3.85+4.5+4.1498+5.4+4.9157+6.943</f>
        <v>71.508499999999998</v>
      </c>
      <c r="F18" s="714" t="s">
        <v>246</v>
      </c>
      <c r="G18" s="714" t="s">
        <v>808</v>
      </c>
      <c r="H18" s="714">
        <v>0.8</v>
      </c>
      <c r="I18" s="715" t="s">
        <v>13</v>
      </c>
      <c r="J18" s="714" t="s">
        <v>242</v>
      </c>
      <c r="K18" s="714" t="s">
        <v>363</v>
      </c>
      <c r="L18" s="714">
        <v>1</v>
      </c>
      <c r="M18" s="716">
        <v>1.5</v>
      </c>
      <c r="N18" s="714" t="s">
        <v>455</v>
      </c>
      <c r="O18" s="714">
        <v>13</v>
      </c>
      <c r="P18" s="555">
        <f t="shared" si="4"/>
        <v>18.5</v>
      </c>
      <c r="Q18" s="714">
        <v>3</v>
      </c>
      <c r="R18" s="714">
        <v>0.73</v>
      </c>
      <c r="S18" s="555">
        <f t="shared" si="21"/>
        <v>1.8042195912175805</v>
      </c>
      <c r="T18" s="717">
        <f t="shared" si="31"/>
        <v>13.504999999999999</v>
      </c>
      <c r="U18" s="714" t="s">
        <v>499</v>
      </c>
      <c r="V18" s="555">
        <v>6</v>
      </c>
      <c r="W18" s="714">
        <f>IF(U18="C.C.Fusíveis",VLOOKUP(V18,Consulta!$L$5:$N$31,3,FALSE),VLOOKUP(V18,Consulta!$P$5:$R$34,3,FALSE))</f>
        <v>8.1</v>
      </c>
      <c r="X18" s="720">
        <f t="shared" si="10"/>
        <v>27</v>
      </c>
      <c r="Y18" s="810">
        <f t="shared" si="29"/>
        <v>0.13359641549186083</v>
      </c>
      <c r="Z18" s="721" t="str">
        <f t="shared" si="11"/>
        <v>Sim</v>
      </c>
      <c r="AA18" s="811">
        <f t="shared" si="23"/>
        <v>9.7156389575354218E-2</v>
      </c>
      <c r="AB18" s="811">
        <f t="shared" si="12"/>
        <v>1.3407843749999999</v>
      </c>
      <c r="AC18" s="811">
        <f t="shared" si="6"/>
        <v>0</v>
      </c>
      <c r="AD18" s="718">
        <f t="shared" si="32"/>
        <v>2.9650225469328664</v>
      </c>
      <c r="AE18" s="718">
        <f t="shared" si="17"/>
        <v>1.9352555495787354</v>
      </c>
      <c r="AF18" s="718">
        <f t="shared" si="18"/>
        <v>4.9002780965116015</v>
      </c>
      <c r="AG18" s="719">
        <f t="shared" si="14"/>
        <v>8.4141545633858051E-3</v>
      </c>
      <c r="AH18" s="812">
        <f t="shared" si="14"/>
        <v>2.1305556941354789E-2</v>
      </c>
      <c r="AI18" s="718">
        <f t="shared" si="7"/>
        <v>0.16060474350906276</v>
      </c>
      <c r="AJ18" s="714">
        <v>3</v>
      </c>
      <c r="AK18" s="718">
        <v>0.1</v>
      </c>
      <c r="AL18" s="720">
        <f t="shared" si="24"/>
        <v>115</v>
      </c>
      <c r="AM18" s="718">
        <f t="shared" si="25"/>
        <v>0.44163199349198407</v>
      </c>
      <c r="AN18" s="721">
        <f t="shared" si="26"/>
        <v>1</v>
      </c>
      <c r="AO18" s="813" t="s">
        <v>563</v>
      </c>
      <c r="AP18" s="721" t="s">
        <v>523</v>
      </c>
      <c r="AQ18" s="721" t="str">
        <f t="shared" si="27"/>
        <v>5G</v>
      </c>
      <c r="AR18" s="721">
        <f t="shared" si="28"/>
        <v>1.5</v>
      </c>
      <c r="AS18" s="907" t="str">
        <f t="shared" si="8"/>
        <v/>
      </c>
      <c r="AT18" s="907" t="str">
        <f>IF(OR(AQ18="3G",AQ18="5G"),"",VLOOKUP(AR18,Consulta!$T$5:$U$25,2,FALSE))</f>
        <v/>
      </c>
      <c r="AU18" s="908" t="s">
        <v>565</v>
      </c>
      <c r="AV18" s="721" t="s">
        <v>23</v>
      </c>
      <c r="AW18" s="721" t="s">
        <v>564</v>
      </c>
      <c r="AX18" s="721">
        <f t="shared" si="30"/>
        <v>20</v>
      </c>
      <c r="AY18" s="814" t="s">
        <v>24</v>
      </c>
      <c r="AZ18" s="564"/>
      <c r="BA18" s="584">
        <f>IF(AND(J18="Cobre",F18="Monofásico"),VLOOKUP(M18,'Iz''s'!$B$8:$E$23,2,FALSE),IF(AND(J18="Cobre",F18="Trifásico"),VLOOKUP(M18,'Iz''s'!$L$8:$O$23,2,FALSE),IF(AND(J18="Alumínio",F18="Monofásico"),VLOOKUP(M18,'Iz''s'!$B$25:$E$39,2,FALSE),IF(AND(J18="Alumínio",F18="Trifásico"),VLOOKUP(M18,'Iz''s'!$L$25:$O$39,2,FALSE)))))</f>
        <v>13.5</v>
      </c>
      <c r="BB18" s="531">
        <f>IF(AND(J18="Cobre",F18="Monofásico"),VLOOKUP(M18,'Iz''s'!$CD$9:$CH$24,2,FALSE),IF(AND(J18="Cobre",F18="Trifásico"),VLOOKUP(M18,'Iz''s'!$CD$9:$CH$24,4,FALSE),IF(AND(J18="Alumínio",F18="Monofásico"),VLOOKUP(M18,'Iz''s'!$CD$26:$CH$40,2,FALSE),IF(AND(J18="Alumínio",F18="Trifásico"),VLOOKUP(M18,'Iz''s'!$CD$26:$CH$40,4,FALSE)))))</f>
        <v>13</v>
      </c>
      <c r="BC18" s="531">
        <f>IF(AND(J18="Cobre",F18="Monofásico"),VLOOKUP(M18,'Iz''s'!$B$8:$E$23,3,FALSE),IF(AND(J18="Cobre",F18="Trifásico"),VLOOKUP(M18,'Iz''s'!$L$8:$O$23,3,FALSE),IF(AND(J18="Alumínio",F18="Monofásico"),VLOOKUP(M18,'Iz''s'!$B$25:$E$39,3,FALSE),IF(AND(J18="Alumínio",F18="Trifásico"),VLOOKUP(M18,'Iz''s'!$L$25:$O$39,3,FALSE)))))</f>
        <v>15.5</v>
      </c>
      <c r="BD18" s="531">
        <f>IF(AND(J18="Cobre",F18="Monofásico"),VLOOKUP(M18,'Iz''s'!$CD$9:$CH$24,3,FALSE),IF(AND(J18="Cobre",F18="Trifásico"),VLOOKUP(M18,'Iz''s'!$CD$9:$CH$24,5,FALSE),IF(AND(J18="Alumínio",F18="Monofásico"),VLOOKUP(M18,'Iz''s'!$CD$26:$CH$40,3,FALSE),IF(AND(J18="Alumínio",F18="Trifásico"),VLOOKUP(M18,'Iz''s'!$CD$26:$CH$40,5,FALSE)))))</f>
        <v>15</v>
      </c>
      <c r="BE18" s="531">
        <f>IF(AND(J18="Cobre",F18="Monofásico"),VLOOKUP(M18,'Iz''s'!$B$8:$E$23,4,FALSE),IF(AND(J18="Cobre",F18="Trifásico"),VLOOKUP(M18,'Iz''s'!$L$8:$O$23,4,FALSE),IF(AND(J18="Alumínio",F18="Monofásico"),VLOOKUP(M18,'Iz''s'!$B$25:$E$39,4,FALSE),IF(AND(J18="Alumínio",F18="Trifásico"),VLOOKUP(M18,'Iz''s'!$L$25:$O$39,4,FALSE)))))</f>
        <v>17.5</v>
      </c>
      <c r="BF18" s="531">
        <f>IF(AND(J18="Cobre",F18="Monofásico"),VLOOKUP(M18,'Iz''s'!$CP$9:$CT$24,3,FALSE),IF(AND(J18="Cobre",F18="Trifásico"),VLOOKUP(M18,'Iz''s'!$CP$9:$CT$24,2,FALSE),IF(AND(J18="Alumínio",F18="Monofásico"),VLOOKUP(M18,'Iz''s'!$CP$26:$CT$37,3,FALSE),IF(AND(J18="Alumínio",F18="Trifásico"),VLOOKUP(M18,'Iz''s'!$CP$26:$CT$37,2,FALSE)))))</f>
        <v>26</v>
      </c>
      <c r="BG18" s="531">
        <f>IF(AND(J18="Cobre",F18="Monofásico"),VLOOKUP(M18,'Iz''s'!$AT$10:$BA$28,2,FALSE),IF(AND(J18="Cobre",F18="Trifásico"),VLOOKUP(M18,'Iz''s'!$AT$10:$BA$28,3,FALSE),IF(AND(J18="Alumínio",F18="Monofásico"),VLOOKUP(M18,'Iz''s'!$BC$10:$BJ$27,2,FALSE),IF(AND(J18="Alumínio",F18="Trifásico"),VLOOKUP(M18,'Iz''s'!$BC$10:$BJ$27,3,FALSE)))))</f>
        <v>18.5</v>
      </c>
      <c r="BH18" s="609" t="str">
        <f>IF(AND(J18="Cobre",F18="Monofásico"),VLOOKUP(M18,'Iz''s'!$AT$10:$BA$28,4,FALSE),IF(AND(J18="Cobre",F18="Trifásico"),VLOOKUP(M18,'Iz''s'!$AT$10:$BA$28,5,FALSE),IF(AND(J18="Alumínio",F18="Monofásico"),VLOOKUP(M18,'Iz''s'!$BC$10:$BJ$27,4,FALSE),IF(AND(J18="Alumínio",F18="Trifásico"),VLOOKUP(M18,'Iz''s'!$BC$10:$BJ$27,5,FALSE)))))</f>
        <v xml:space="preserve"> --- </v>
      </c>
      <c r="BI18" s="609" t="str">
        <f>IF(AND(J18="Cobre",F18="Monofásico"),"N/A",IF(AND(J18="Cobre",F18="Trifásico"),VLOOKUP(M18,'Iz''s'!$AT$10:$BA$28,8,FALSE),IF(AND(J18="Alumínio",F18="Monofásico"),"N/A",IF(AND(J18="Alumínio",F18="Trifásico"),VLOOKUP(M18,'Iz''s'!$BC$10:$BJ$27,8,FALSE)))))</f>
        <v xml:space="preserve"> --- </v>
      </c>
      <c r="BJ18" s="531">
        <f>IF(AND(J18="Cobre",F18="Monofásico"),VLOOKUP(M18,'Iz''s'!$G$8:$J$23,2,FALSE),IF(AND(J18="Cobre",F18="Trifásico"),VLOOKUP(M18,'Iz''s'!$Q$8:$T$23,2,FALSE),IF(AND(J18="Alumínio",F18="Monofásico"),VLOOKUP(M18,'Iz''s'!$G$25:$J$39,2,FALSE),IF(AND(J18="Alumínio",F18="Trifásico"),VLOOKUP(M18,'Iz''s'!$Q$25:$T$39,2,FALSE)))))</f>
        <v>17</v>
      </c>
      <c r="BK18" s="609">
        <f>IF(AND(J18="Cobre",F18="Monofásico"),VLOOKUP(M18,'Iz''s'!$CJ$9:$CN$24,2,FALSE),IF(AND(J18="Cobre",F18="Trifásico"),VLOOKUP(M18,'Iz''s'!$CJ$9:$CN$24,4,FALSE),IF(AND(J18="Alumínio",F18="Monofásico"),VLOOKUP(M18,'Iz''s'!$CJ$26:$CN$40,2,FALSE),IF(AND(J18="Alumínio",F18="Trifásico"),VLOOKUP(M18,'Iz''s'!$CJ$26:$CN$40,4,FALSE)))))</f>
        <v>16.5</v>
      </c>
      <c r="BL18" s="609">
        <f>IF(AND(J18="Cobre",F18="Monofásico"),VLOOKUP(M18,'Iz''s'!$G$8:$J$23,3,FALSE),IF(AND(J18="Cobre",F18="Trifásico"),VLOOKUP(M18,'Iz''s'!$Q$8:$T$23,3,FALSE),IF(AND(J18="Alumínio",F18="Monofásico"),VLOOKUP(M18,'Iz''s'!$G$25:$J$39,3,FALSE),IF(AND(J18="Alumínio",F18="Trifásico"),VLOOKUP(M18,'Iz''s'!$Q$25:$T$39,3,FALSE)))))</f>
        <v>20</v>
      </c>
      <c r="BM18" s="609">
        <f>IF(AND(J18="Cobre",F18="Monofásico"),VLOOKUP(M18,'Iz''s'!$CJ$9:$CN$24,3,FALSE),IF(AND(J18="Cobre",F18="Trifásico"),VLOOKUP(M18,'Iz''s'!$CJ$9:$CN$24,5,FALSE),IF(AND(J18="Alumínio",F18="Monofásico"),VLOOKUP(M18,'Iz''s'!$CJ$26:$CN$40,3,FALSE),IF(AND(J18="Alumínio",F18="Trifásico"),VLOOKUP(M18,'Iz''s'!$CJ$26:$CN$40,5,FALSE)))))</f>
        <v>19.5</v>
      </c>
      <c r="BN18" s="609">
        <f>IF(AND(J18="Cobre",F18="Monofásico"),VLOOKUP(M18,'Iz''s'!$G$8:$J$23,4,FALSE),IF(AND(J18="Cobre",F18="Trifásico"),VLOOKUP(M18,'Iz''s'!$Q$8:$T$23,4,FALSE),IF(AND(J18="Alumínio",F18="Monofásico"),VLOOKUP(M18,'Iz''s'!$G$25:$J$39,4,FALSE),IF(AND(J18="Alumínio",F18="Trifásico"),VLOOKUP(M18,'Iz''s'!$Q$25:$T$39,4,FALSE)))))</f>
        <v>22</v>
      </c>
      <c r="BO18" s="609">
        <f>IF(AND(J18="Cobre",F18="Monofásico"),VLOOKUP(M18,'Iz''s'!$CP$9:$CT$24,5,FALSE),IF(AND(J18="Cobre",F18="Trifásico"),VLOOKUP(M18,'Iz''s'!$CP$9:$CT$24,4,FALSE),IF(AND(J18="Alumínio",F18="Monofásico"),VLOOKUP(M18,'Iz''s'!$CP$26:$CT$37,5,FALSE),IF(AND(J18="Alumínio",F18="Trifásico"),VLOOKUP(M18,'Iz''s'!$CP$26:$CT$37,4,FALSE)))))</f>
        <v>31</v>
      </c>
      <c r="BP18" s="609">
        <f>IF(AND(J18="Cobre",F18="Monofásico"),VLOOKUP(M18,'Iz''s'!$BL$10:$BS$28,2,FALSE),IF(AND(J18="Cobre",F18="Trifásico"),VLOOKUP(M18,'Iz''s'!$BL$10:$BS$28,3,FALSE),IF(AND(J18="Alumínio",F18="Monofásico"),VLOOKUP(M18,'Iz''s'!$BU$10:$CB$27,2,FALSE),IF(AND(J18="Alumínio",F18="Trifásico"),VLOOKUP(M18,'Iz''s'!$BU$10:$CB$27,3,FALSE)))))</f>
        <v>23</v>
      </c>
      <c r="BQ18" s="531" t="str">
        <f>IF(AND(J18="Cobre",F18="Monofásico"),VLOOKUP(M18,'Iz''s'!$BL$10:$BS$28,4,FALSE),IF(AND(J18="Cobre",F18="Trifásico"),VLOOKUP(M18,'Iz''s'!$BL$10:$BS$28,5,FALSE),IF(AND(J18="Alumínio",F18="Monofásico"),VLOOKUP(M18,'Iz''s'!$BU$10:$CB$27,4,FALSE),IF(AND(J18="Alumínio",F18="Trifásico"),VLOOKUP(M18,'Iz''s'!$BU$10:$CB$27,5,FALSE)))))</f>
        <v xml:space="preserve"> --- </v>
      </c>
      <c r="BR18" s="609" t="str">
        <f>IF(AND(J18="Cobre",F18="Monofásico"),"N/A",IF(AND(J18="Cobre",F18="Trifásico"),VLOOKUP(M18,'Iz''s'!$BL$10:$BS$28,8,FALSE),IF(AND(J18="Alumínio",F18="Monofásico"),"N/A",IF(AND(J18="Alumínio",F18="Trifásico"),VLOOKUP(M18,'Iz''s'!$BU$10:$CB$27,8,FALSE)))))</f>
        <v xml:space="preserve"> --- </v>
      </c>
      <c r="BS18" s="609">
        <f>IF(AND(J18="Cobre",F18="Monofásico"),VLOOKUP(M18,'Iz''s'!$V$14:$Y$28,2,FALSE),IF(AND(J18="Cobre",F18="Trifásico"),VLOOKUP(M18,'Iz''s'!$V$14:$Y$28,3,FALSE),IF(AND(J18="Alumínio",F18="Monofásico"),VLOOKUP(M18,"N/A",4,FALSE),IF(AND(J18="Alumínio",F18="Trifásico"),VLOOKUP(M18,"N/A",4,FALSE)))))</f>
        <v>21</v>
      </c>
      <c r="BT18" s="609">
        <f>IF(AND(J18="Cobre",F18="Monofásico"),VLOOKUP(M18,'Iz''s'!$AF$15:$AK$29,2,FALSE),IF(AND(J18="Cobre",F18="Trifásico"),VLOOKUP(M18,'Iz''s'!$AF$15:$AK$29,3,FALSE),IF(AND(J18="Alumínio",F18="Monofásico"),"N/A",IF(AND(J18="Alumínio",F18="Trifásico"),"N/A"))))</f>
        <v>22</v>
      </c>
      <c r="BU18" s="609">
        <f>IF(AND(J18="Cobre",F18="Monofásico"),VLOOKUP(M18,'Iz''s'!$AF$15:$AK$29,2,FALSE),IF(AND(J18="Cobre",F18="Trifásico"),VLOOKUP(M18,'Iz''s'!$AF$15:$AK$29,3,FALSE),IF(AND(J18="Alumínio",F18="Monofásico"),"N/A",IF(AND(J18="Alumínio",F18="Trifásico"),"N/A"))))</f>
        <v>22</v>
      </c>
      <c r="BV18" s="610">
        <f>IF(AND(J18="Cobre",F18="Monofásico"),"N/A",IF(AND(J18="Cobre",F18="Trifásico"),VLOOKUP(M18,'Iz''s'!$AF$15:$AK$29,6,FALSE),IF(AND(J18="Alumínio",F18="Monofásico"),"N/A",IF(AND(J18="Alumínio",F18="Trifásico"),"N/A"))))</f>
        <v>32</v>
      </c>
      <c r="BW18" s="611">
        <v>16</v>
      </c>
      <c r="BX18" s="583"/>
      <c r="BY18" s="612">
        <f>VLOOKUP(M18,Consulta!$W$6:$AB$23,4,FALSE)</f>
        <v>16</v>
      </c>
      <c r="BZ18" s="612">
        <f>VLOOKUP(M18,Consulta!$W$6:$AB$23,6,FALSE)</f>
        <v>20</v>
      </c>
      <c r="CA18" s="612">
        <f>VLOOKUP(M18,Consulta!$AK$6:$AP$23,4,FALSE)</f>
        <v>20</v>
      </c>
      <c r="CB18" s="612">
        <f>VLOOKUP(M18,Consulta!$AK$6:$AP$23,6,FALSE)</f>
        <v>20</v>
      </c>
      <c r="CC18" s="585" t="e">
        <f>VLOOKUP(M18,Consulta!$AD$6:$AI$19,4,FALSE)</f>
        <v>#N/A</v>
      </c>
      <c r="CD18" s="585" t="e">
        <f>VLOOKUP(M18,Consulta!$AD$6:$AI$19,6,FALSE)</f>
        <v>#N/A</v>
      </c>
      <c r="CE18" s="585" t="e">
        <f>VLOOKUP(M18,Consulta!$AR$6:$AW$19,4,FALSE)</f>
        <v>#N/A</v>
      </c>
      <c r="CF18" s="586" t="e">
        <f>VLOOKUP(M18,Consulta!$AR$6:$AW$19,6,FALSE)</f>
        <v>#N/A</v>
      </c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 s="1"/>
      <c r="DV18" s="1"/>
      <c r="DW18" s="1"/>
    </row>
    <row r="19" spans="2:127" s="561" customFormat="1" ht="16.5" customHeight="1" x14ac:dyDescent="0.25">
      <c r="B19" s="1117"/>
      <c r="C19" s="816" t="s">
        <v>822</v>
      </c>
      <c r="D19" s="726">
        <v>0.75</v>
      </c>
      <c r="E19" s="722">
        <f>22.25+4.6+4</f>
        <v>30.85</v>
      </c>
      <c r="F19" s="722" t="s">
        <v>246</v>
      </c>
      <c r="G19" s="722" t="s">
        <v>808</v>
      </c>
      <c r="H19" s="722">
        <v>0.8</v>
      </c>
      <c r="I19" s="723" t="s">
        <v>13</v>
      </c>
      <c r="J19" s="722" t="s">
        <v>242</v>
      </c>
      <c r="K19" s="722" t="s">
        <v>363</v>
      </c>
      <c r="L19" s="722">
        <v>1</v>
      </c>
      <c r="M19" s="724">
        <v>1.5</v>
      </c>
      <c r="N19" s="722" t="s">
        <v>455</v>
      </c>
      <c r="O19" s="722">
        <v>13</v>
      </c>
      <c r="P19" s="555">
        <f t="shared" si="4"/>
        <v>18.5</v>
      </c>
      <c r="Q19" s="722">
        <v>3</v>
      </c>
      <c r="R19" s="722">
        <v>0.73</v>
      </c>
      <c r="S19" s="555">
        <f t="shared" si="21"/>
        <v>1.3531646934131853</v>
      </c>
      <c r="T19" s="725">
        <f t="shared" si="31"/>
        <v>13.504999999999999</v>
      </c>
      <c r="U19" s="722" t="s">
        <v>499</v>
      </c>
      <c r="V19" s="555">
        <v>6</v>
      </c>
      <c r="W19" s="722">
        <f>IF(U19="C.C.Fusíveis",VLOOKUP(V19,Consulta!$L$5:$N$31,3,FALSE),VLOOKUP(V19,Consulta!$P$5:$R$34,3,FALSE))</f>
        <v>8.1</v>
      </c>
      <c r="X19" s="736">
        <f t="shared" si="10"/>
        <v>27</v>
      </c>
      <c r="Y19" s="817">
        <f t="shared" si="22"/>
        <v>0.10019731161889563</v>
      </c>
      <c r="Z19" s="737" t="str">
        <f t="shared" si="11"/>
        <v>Sim</v>
      </c>
      <c r="AA19" s="770">
        <f t="shared" si="23"/>
        <v>9.7156389575354218E-2</v>
      </c>
      <c r="AB19" s="770">
        <f t="shared" si="12"/>
        <v>0.57843749999999994</v>
      </c>
      <c r="AC19" s="770">
        <f t="shared" si="6"/>
        <v>0</v>
      </c>
      <c r="AD19" s="726">
        <f t="shared" si="32"/>
        <v>2.9650225469328664</v>
      </c>
      <c r="AE19" s="726">
        <f t="shared" si="17"/>
        <v>0.62617696187695149</v>
      </c>
      <c r="AF19" s="726">
        <f>AD19+AE19</f>
        <v>3.5911995088098179</v>
      </c>
      <c r="AG19" s="727">
        <f t="shared" si="14"/>
        <v>2.7225085298997892E-3</v>
      </c>
      <c r="AH19" s="771">
        <f>AF19/230</f>
        <v>1.5613910907868773E-2</v>
      </c>
      <c r="AI19" s="726">
        <f t="shared" si="7"/>
        <v>0.3418327359665852</v>
      </c>
      <c r="AJ19" s="722">
        <v>3</v>
      </c>
      <c r="AK19" s="726">
        <v>0.1</v>
      </c>
      <c r="AL19" s="736">
        <f t="shared" si="24"/>
        <v>115</v>
      </c>
      <c r="AM19" s="726">
        <f t="shared" si="25"/>
        <v>0.93997393431423337</v>
      </c>
      <c r="AN19" s="737">
        <f t="shared" si="26"/>
        <v>1</v>
      </c>
      <c r="AO19" s="818" t="s">
        <v>563</v>
      </c>
      <c r="AP19" s="737" t="s">
        <v>523</v>
      </c>
      <c r="AQ19" s="737" t="str">
        <f t="shared" si="27"/>
        <v>5G</v>
      </c>
      <c r="AR19" s="737">
        <f t="shared" si="28"/>
        <v>1.5</v>
      </c>
      <c r="AS19" s="889" t="str">
        <f t="shared" si="8"/>
        <v/>
      </c>
      <c r="AT19" s="889" t="str">
        <f>IF(OR(AQ19="3G",AQ19="5G"),"",VLOOKUP(AR19,Consulta!$T$5:$U$25,2,FALSE))</f>
        <v/>
      </c>
      <c r="AU19" s="890" t="s">
        <v>565</v>
      </c>
      <c r="AV19" s="737" t="s">
        <v>23</v>
      </c>
      <c r="AW19" s="737" t="s">
        <v>564</v>
      </c>
      <c r="AX19" s="737">
        <f t="shared" si="30"/>
        <v>20</v>
      </c>
      <c r="AY19" s="738" t="s">
        <v>24</v>
      </c>
      <c r="AZ19" s="564"/>
      <c r="BA19" s="584">
        <f>IF(AND(J19="Cobre",F19="Monofásico"),VLOOKUP(M19,'Iz''s'!$B$8:$E$23,2,FALSE),IF(AND(J19="Cobre",F19="Trifásico"),VLOOKUP(M19,'Iz''s'!$L$8:$O$23,2,FALSE),IF(AND(J19="Alumínio",F19="Monofásico"),VLOOKUP(M19,'Iz''s'!$B$25:$E$39,2,FALSE),IF(AND(J19="Alumínio",F19="Trifásico"),VLOOKUP(M19,'Iz''s'!$L$25:$O$39,2,FALSE)))))</f>
        <v>13.5</v>
      </c>
      <c r="BB19" s="531">
        <f>IF(AND(J19="Cobre",F19="Monofásico"),VLOOKUP(M19,'Iz''s'!$CD$9:$CH$24,2,FALSE),IF(AND(J19="Cobre",F19="Trifásico"),VLOOKUP(M19,'Iz''s'!$CD$9:$CH$24,4,FALSE),IF(AND(J19="Alumínio",F19="Monofásico"),VLOOKUP(M19,'Iz''s'!$CD$26:$CH$40,2,FALSE),IF(AND(J19="Alumínio",F19="Trifásico"),VLOOKUP(M19,'Iz''s'!$CD$26:$CH$40,4,FALSE)))))</f>
        <v>13</v>
      </c>
      <c r="BC19" s="531">
        <f>IF(AND(J19="Cobre",F19="Monofásico"),VLOOKUP(M19,'Iz''s'!$B$8:$E$23,3,FALSE),IF(AND(J19="Cobre",F19="Trifásico"),VLOOKUP(M19,'Iz''s'!$L$8:$O$23,3,FALSE),IF(AND(J19="Alumínio",F19="Monofásico"),VLOOKUP(M19,'Iz''s'!$B$25:$E$39,3,FALSE),IF(AND(J19="Alumínio",F19="Trifásico"),VLOOKUP(M19,'Iz''s'!$L$25:$O$39,3,FALSE)))))</f>
        <v>15.5</v>
      </c>
      <c r="BD19" s="531">
        <f>IF(AND(J19="Cobre",F19="Monofásico"),VLOOKUP(M19,'Iz''s'!$CD$9:$CH$24,3,FALSE),IF(AND(J19="Cobre",F19="Trifásico"),VLOOKUP(M19,'Iz''s'!$CD$9:$CH$24,5,FALSE),IF(AND(J19="Alumínio",F19="Monofásico"),VLOOKUP(M19,'Iz''s'!$CD$26:$CH$40,3,FALSE),IF(AND(J19="Alumínio",F19="Trifásico"),VLOOKUP(M19,'Iz''s'!$CD$26:$CH$40,5,FALSE)))))</f>
        <v>15</v>
      </c>
      <c r="BE19" s="531">
        <f>IF(AND(J19="Cobre",F19="Monofásico"),VLOOKUP(M19,'Iz''s'!$B$8:$E$23,4,FALSE),IF(AND(J19="Cobre",F19="Trifásico"),VLOOKUP(M19,'Iz''s'!$L$8:$O$23,4,FALSE),IF(AND(J19="Alumínio",F19="Monofásico"),VLOOKUP(M19,'Iz''s'!$B$25:$E$39,4,FALSE),IF(AND(J19="Alumínio",F19="Trifásico"),VLOOKUP(M19,'Iz''s'!$L$25:$O$39,4,FALSE)))))</f>
        <v>17.5</v>
      </c>
      <c r="BF19" s="531">
        <f>IF(AND(J19="Cobre",F19="Monofásico"),VLOOKUP(M19,'Iz''s'!$CP$9:$CT$24,3,FALSE),IF(AND(J19="Cobre",F19="Trifásico"),VLOOKUP(M19,'Iz''s'!$CP$9:$CT$24,2,FALSE),IF(AND(J19="Alumínio",F19="Monofásico"),VLOOKUP(M19,'Iz''s'!$CP$26:$CT$37,3,FALSE),IF(AND(J19="Alumínio",F19="Trifásico"),VLOOKUP(M19,'Iz''s'!$CP$26:$CT$37,2,FALSE)))))</f>
        <v>26</v>
      </c>
      <c r="BG19" s="531">
        <f>IF(AND(J19="Cobre",F19="Monofásico"),VLOOKUP(M19,'Iz''s'!$AT$10:$BA$28,2,FALSE),IF(AND(J19="Cobre",F19="Trifásico"),VLOOKUP(M19,'Iz''s'!$AT$10:$BA$28,3,FALSE),IF(AND(J19="Alumínio",F19="Monofásico"),VLOOKUP(M19,'Iz''s'!$BC$10:$BJ$27,2,FALSE),IF(AND(J19="Alumínio",F19="Trifásico"),VLOOKUP(M19,'Iz''s'!$BC$10:$BJ$27,3,FALSE)))))</f>
        <v>18.5</v>
      </c>
      <c r="BH19" s="609" t="str">
        <f>IF(AND(J19="Cobre",F19="Monofásico"),VLOOKUP(M19,'Iz''s'!$AT$10:$BA$28,4,FALSE),IF(AND(J19="Cobre",F19="Trifásico"),VLOOKUP(M19,'Iz''s'!$AT$10:$BA$28,5,FALSE),IF(AND(J19="Alumínio",F19="Monofásico"),VLOOKUP(M19,'Iz''s'!$BC$10:$BJ$27,4,FALSE),IF(AND(J19="Alumínio",F19="Trifásico"),VLOOKUP(M19,'Iz''s'!$BC$10:$BJ$27,5,FALSE)))))</f>
        <v xml:space="preserve"> --- </v>
      </c>
      <c r="BI19" s="609" t="str">
        <f>IF(AND(J19="Cobre",F19="Monofásico"),"N/A",IF(AND(J19="Cobre",F19="Trifásico"),VLOOKUP(M19,'Iz''s'!$AT$10:$BA$28,8,FALSE),IF(AND(J19="Alumínio",F19="Monofásico"),"N/A",IF(AND(J19="Alumínio",F19="Trifásico"),VLOOKUP(M19,'Iz''s'!$BC$10:$BJ$27,8,FALSE)))))</f>
        <v xml:space="preserve"> --- </v>
      </c>
      <c r="BJ19" s="531">
        <f>IF(AND(J19="Cobre",F19="Monofásico"),VLOOKUP(M19,'Iz''s'!$G$8:$J$23,2,FALSE),IF(AND(J19="Cobre",F19="Trifásico"),VLOOKUP(M19,'Iz''s'!$Q$8:$T$23,2,FALSE),IF(AND(J19="Alumínio",F19="Monofásico"),VLOOKUP(M19,'Iz''s'!$G$25:$J$39,2,FALSE),IF(AND(J19="Alumínio",F19="Trifásico"),VLOOKUP(M19,'Iz''s'!$Q$25:$T$39,2,FALSE)))))</f>
        <v>17</v>
      </c>
      <c r="BK19" s="609">
        <f>IF(AND(J19="Cobre",F19="Monofásico"),VLOOKUP(M19,'Iz''s'!$CJ$9:$CN$24,2,FALSE),IF(AND(J19="Cobre",F19="Trifásico"),VLOOKUP(M19,'Iz''s'!$CJ$9:$CN$24,4,FALSE),IF(AND(J19="Alumínio",F19="Monofásico"),VLOOKUP(M19,'Iz''s'!$CJ$26:$CN$40,2,FALSE),IF(AND(J19="Alumínio",F19="Trifásico"),VLOOKUP(M19,'Iz''s'!$CJ$26:$CN$40,4,FALSE)))))</f>
        <v>16.5</v>
      </c>
      <c r="BL19" s="609">
        <f>IF(AND(J19="Cobre",F19="Monofásico"),VLOOKUP(M19,'Iz''s'!$G$8:$J$23,3,FALSE),IF(AND(J19="Cobre",F19="Trifásico"),VLOOKUP(M19,'Iz''s'!$Q$8:$T$23,3,FALSE),IF(AND(J19="Alumínio",F19="Monofásico"),VLOOKUP(M19,'Iz''s'!$G$25:$J$39,3,FALSE),IF(AND(J19="Alumínio",F19="Trifásico"),VLOOKUP(M19,'Iz''s'!$Q$25:$T$39,3,FALSE)))))</f>
        <v>20</v>
      </c>
      <c r="BM19" s="609">
        <f>IF(AND(J19="Cobre",F19="Monofásico"),VLOOKUP(M19,'Iz''s'!$CJ$9:$CN$24,3,FALSE),IF(AND(J19="Cobre",F19="Trifásico"),VLOOKUP(M19,'Iz''s'!$CJ$9:$CN$24,5,FALSE),IF(AND(J19="Alumínio",F19="Monofásico"),VLOOKUP(M19,'Iz''s'!$CJ$26:$CN$40,3,FALSE),IF(AND(J19="Alumínio",F19="Trifásico"),VLOOKUP(M19,'Iz''s'!$CJ$26:$CN$40,5,FALSE)))))</f>
        <v>19.5</v>
      </c>
      <c r="BN19" s="609">
        <f>IF(AND(J19="Cobre",F19="Monofásico"),VLOOKUP(M19,'Iz''s'!$G$8:$J$23,4,FALSE),IF(AND(J19="Cobre",F19="Trifásico"),VLOOKUP(M19,'Iz''s'!$Q$8:$T$23,4,FALSE),IF(AND(J19="Alumínio",F19="Monofásico"),VLOOKUP(M19,'Iz''s'!$G$25:$J$39,4,FALSE),IF(AND(J19="Alumínio",F19="Trifásico"),VLOOKUP(M19,'Iz''s'!$Q$25:$T$39,4,FALSE)))))</f>
        <v>22</v>
      </c>
      <c r="BO19" s="609">
        <f>IF(AND(J19="Cobre",F19="Monofásico"),VLOOKUP(M19,'Iz''s'!$CP$9:$CT$24,5,FALSE),IF(AND(J19="Cobre",F19="Trifásico"),VLOOKUP(M19,'Iz''s'!$CP$9:$CT$24,4,FALSE),IF(AND(J19="Alumínio",F19="Monofásico"),VLOOKUP(M19,'Iz''s'!$CP$26:$CT$37,5,FALSE),IF(AND(J19="Alumínio",F19="Trifásico"),VLOOKUP(M19,'Iz''s'!$CP$26:$CT$37,4,FALSE)))))</f>
        <v>31</v>
      </c>
      <c r="BP19" s="609">
        <f>IF(AND(J19="Cobre",F19="Monofásico"),VLOOKUP(M19,'Iz''s'!$BL$10:$BS$28,2,FALSE),IF(AND(J19="Cobre",F19="Trifásico"),VLOOKUP(M19,'Iz''s'!$BL$10:$BS$28,3,FALSE),IF(AND(J19="Alumínio",F19="Monofásico"),VLOOKUP(M19,'Iz''s'!$BU$10:$CB$27,2,FALSE),IF(AND(J19="Alumínio",F19="Trifásico"),VLOOKUP(M19,'Iz''s'!$BU$10:$CB$27,3,FALSE)))))</f>
        <v>23</v>
      </c>
      <c r="BQ19" s="531" t="str">
        <f>IF(AND(J19="Cobre",F19="Monofásico"),VLOOKUP(M19,'Iz''s'!$BL$10:$BS$28,4,FALSE),IF(AND(J19="Cobre",F19="Trifásico"),VLOOKUP(M19,'Iz''s'!$BL$10:$BS$28,5,FALSE),IF(AND(J19="Alumínio",F19="Monofásico"),VLOOKUP(M19,'Iz''s'!$BU$10:$CB$27,4,FALSE),IF(AND(J19="Alumínio",F19="Trifásico"),VLOOKUP(M19,'Iz''s'!$BU$10:$CB$27,5,FALSE)))))</f>
        <v xml:space="preserve"> --- </v>
      </c>
      <c r="BR19" s="609" t="str">
        <f>IF(AND(J19="Cobre",F19="Monofásico"),"N/A",IF(AND(J19="Cobre",F19="Trifásico"),VLOOKUP(M19,'Iz''s'!$BL$10:$BS$28,8,FALSE),IF(AND(J19="Alumínio",F19="Monofásico"),"N/A",IF(AND(J19="Alumínio",F19="Trifásico"),VLOOKUP(M19,'Iz''s'!$BU$10:$CB$27,8,FALSE)))))</f>
        <v xml:space="preserve"> --- </v>
      </c>
      <c r="BS19" s="609">
        <f>IF(AND(J19="Cobre",F19="Monofásico"),VLOOKUP(M19,'Iz''s'!$V$14:$Y$28,2,FALSE),IF(AND(J19="Cobre",F19="Trifásico"),VLOOKUP(M19,'Iz''s'!$V$14:$Y$28,3,FALSE),IF(AND(J19="Alumínio",F19="Monofásico"),VLOOKUP(M19,"N/A",4,FALSE),IF(AND(J19="Alumínio",F19="Trifásico"),VLOOKUP(M19,"N/A",4,FALSE)))))</f>
        <v>21</v>
      </c>
      <c r="BT19" s="609">
        <f>IF(AND(J19="Cobre",F19="Monofásico"),VLOOKUP(M19,'Iz''s'!$AF$15:$AK$29,2,FALSE),IF(AND(J19="Cobre",F19="Trifásico"),VLOOKUP(M19,'Iz''s'!$AF$15:$AK$29,3,FALSE),IF(AND(J19="Alumínio",F19="Monofásico"),"N/A",IF(AND(J19="Alumínio",F19="Trifásico"),"N/A"))))</f>
        <v>22</v>
      </c>
      <c r="BU19" s="609">
        <f>IF(AND(J19="Cobre",F19="Monofásico"),VLOOKUP(M19,'Iz''s'!$AF$15:$AK$29,2,FALSE),IF(AND(J19="Cobre",F19="Trifásico"),VLOOKUP(M19,'Iz''s'!$AF$15:$AK$29,3,FALSE),IF(AND(J19="Alumínio",F19="Monofásico"),"N/A",IF(AND(J19="Alumínio",F19="Trifásico"),"N/A"))))</f>
        <v>22</v>
      </c>
      <c r="BV19" s="610">
        <f>IF(AND(J19="Cobre",F19="Monofásico"),"N/A",IF(AND(J19="Cobre",F19="Trifásico"),VLOOKUP(M19,'Iz''s'!$AF$15:$AK$29,6,FALSE),IF(AND(J19="Alumínio",F19="Monofásico"),"N/A",IF(AND(J19="Alumínio",F19="Trifásico"),"N/A"))))</f>
        <v>32</v>
      </c>
      <c r="BW19" s="611">
        <v>17</v>
      </c>
      <c r="BX19" s="583"/>
      <c r="BY19" s="612">
        <f>VLOOKUP(M19,Consulta!$W$6:$AB$23,4,FALSE)</f>
        <v>16</v>
      </c>
      <c r="BZ19" s="612">
        <f>VLOOKUP(M19,Consulta!$W$6:$AB$23,6,FALSE)</f>
        <v>20</v>
      </c>
      <c r="CA19" s="612">
        <f>VLOOKUP(M19,Consulta!$AK$6:$AP$23,4,FALSE)</f>
        <v>20</v>
      </c>
      <c r="CB19" s="612">
        <f>VLOOKUP(M19,Consulta!$AK$6:$AP$23,6,FALSE)</f>
        <v>20</v>
      </c>
      <c r="CC19" s="585" t="e">
        <f>VLOOKUP(M19,Consulta!$AD$6:$AI$19,4,FALSE)</f>
        <v>#N/A</v>
      </c>
      <c r="CD19" s="585" t="e">
        <f>VLOOKUP(M19,Consulta!$AD$6:$AI$19,6,FALSE)</f>
        <v>#N/A</v>
      </c>
      <c r="CE19" s="585" t="e">
        <f>VLOOKUP(M19,Consulta!$AR$6:$AW$19,4,FALSE)</f>
        <v>#N/A</v>
      </c>
      <c r="CF19" s="586" t="e">
        <f>VLOOKUP(M19,Consulta!$AR$6:$AW$19,6,FALSE)</f>
        <v>#N/A</v>
      </c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 s="1"/>
      <c r="DV19" s="1"/>
      <c r="DW19" s="1"/>
    </row>
    <row r="20" spans="2:127" s="676" customFormat="1" ht="16.5" customHeight="1" thickBot="1" x14ac:dyDescent="0.3">
      <c r="B20" s="1117"/>
      <c r="C20" s="823" t="s">
        <v>823</v>
      </c>
      <c r="D20" s="732">
        <v>0.75</v>
      </c>
      <c r="E20" s="728">
        <f>22.25+3.4+5.2+4+4.7+3.85+1.3+0.8+5.2+6.8+5+0.5</f>
        <v>62.999999999999993</v>
      </c>
      <c r="F20" s="728" t="s">
        <v>246</v>
      </c>
      <c r="G20" s="728" t="s">
        <v>808</v>
      </c>
      <c r="H20" s="728">
        <v>0.8</v>
      </c>
      <c r="I20" s="729" t="s">
        <v>13</v>
      </c>
      <c r="J20" s="728" t="s">
        <v>242</v>
      </c>
      <c r="K20" s="728" t="s">
        <v>363</v>
      </c>
      <c r="L20" s="728">
        <v>1</v>
      </c>
      <c r="M20" s="730">
        <v>1.5</v>
      </c>
      <c r="N20" s="728" t="s">
        <v>455</v>
      </c>
      <c r="O20" s="728">
        <v>13</v>
      </c>
      <c r="P20" s="573">
        <f t="shared" si="4"/>
        <v>18.5</v>
      </c>
      <c r="Q20" s="728">
        <v>3</v>
      </c>
      <c r="R20" s="728">
        <v>0.73</v>
      </c>
      <c r="S20" s="573">
        <f t="shared" si="21"/>
        <v>1.3531646934131853</v>
      </c>
      <c r="T20" s="731">
        <f t="shared" si="31"/>
        <v>13.504999999999999</v>
      </c>
      <c r="U20" s="728" t="s">
        <v>499</v>
      </c>
      <c r="V20" s="573">
        <v>6</v>
      </c>
      <c r="W20" s="728">
        <f>IF(U20="C.C.Fusíveis",VLOOKUP(V20,Consulta!$L$5:$N$31,3,FALSE),VLOOKUP(V20,Consulta!$P$5:$R$34,3,FALSE))</f>
        <v>8.1</v>
      </c>
      <c r="X20" s="739">
        <f t="shared" si="10"/>
        <v>27</v>
      </c>
      <c r="Y20" s="825">
        <f>S20/T20</f>
        <v>0.10019731161889563</v>
      </c>
      <c r="Z20" s="734" t="str">
        <f t="shared" si="11"/>
        <v>Sim</v>
      </c>
      <c r="AA20" s="773">
        <f t="shared" si="23"/>
        <v>9.7156389575354218E-2</v>
      </c>
      <c r="AB20" s="773">
        <f t="shared" si="12"/>
        <v>1.1812499999999997</v>
      </c>
      <c r="AC20" s="773">
        <f t="shared" si="6"/>
        <v>0</v>
      </c>
      <c r="AD20" s="732">
        <f t="shared" si="32"/>
        <v>2.9650225469328664</v>
      </c>
      <c r="AE20" s="732">
        <f t="shared" si="17"/>
        <v>1.27874063527546</v>
      </c>
      <c r="AF20" s="732">
        <f t="shared" si="18"/>
        <v>4.2437631822083262</v>
      </c>
      <c r="AG20" s="733">
        <f t="shared" si="14"/>
        <v>5.5597418925020002E-3</v>
      </c>
      <c r="AH20" s="826">
        <f t="shared" si="14"/>
        <v>1.8451144270470982E-2</v>
      </c>
      <c r="AI20" s="732">
        <f t="shared" si="7"/>
        <v>0.18064686594108884</v>
      </c>
      <c r="AJ20" s="728">
        <v>3</v>
      </c>
      <c r="AK20" s="732">
        <v>0.1</v>
      </c>
      <c r="AL20" s="739">
        <f t="shared" si="24"/>
        <v>115</v>
      </c>
      <c r="AM20" s="732">
        <f t="shared" si="25"/>
        <v>0.4967439552564672</v>
      </c>
      <c r="AN20" s="734">
        <f t="shared" si="26"/>
        <v>1</v>
      </c>
      <c r="AO20" s="863" t="s">
        <v>563</v>
      </c>
      <c r="AP20" s="734" t="s">
        <v>523</v>
      </c>
      <c r="AQ20" s="734" t="str">
        <f t="shared" si="27"/>
        <v>5G</v>
      </c>
      <c r="AR20" s="734">
        <f t="shared" si="28"/>
        <v>1.5</v>
      </c>
      <c r="AS20" s="891" t="str">
        <f t="shared" si="8"/>
        <v/>
      </c>
      <c r="AT20" s="891" t="str">
        <f>IF(OR(AQ20="3G",AQ20="5G"),"",VLOOKUP(AR20,Consulta!$T$5:$U$25,2,FALSE))</f>
        <v/>
      </c>
      <c r="AU20" s="892" t="s">
        <v>565</v>
      </c>
      <c r="AV20" s="734" t="s">
        <v>23</v>
      </c>
      <c r="AW20" s="734" t="s">
        <v>564</v>
      </c>
      <c r="AX20" s="734">
        <f t="shared" si="30"/>
        <v>20</v>
      </c>
      <c r="AY20" s="735" t="s">
        <v>24</v>
      </c>
      <c r="AZ20" s="662"/>
      <c r="BA20" s="671">
        <f>IF(AND(J20="Cobre",F20="Monofásico"),VLOOKUP(M20,'Iz''s'!$B$8:$E$23,2,FALSE),IF(AND(J20="Cobre",F20="Trifásico"),VLOOKUP(M20,'Iz''s'!$L$8:$O$23,2,FALSE),IF(AND(J20="Alumínio",F20="Monofásico"),VLOOKUP(M20,'Iz''s'!$B$25:$E$39,2,FALSE),IF(AND(J20="Alumínio",F20="Trifásico"),VLOOKUP(M20,'Iz''s'!$L$25:$O$39,2,FALSE)))))</f>
        <v>13.5</v>
      </c>
      <c r="BB20" s="672">
        <f>IF(AND(J20="Cobre",F20="Monofásico"),VLOOKUP(M20,'Iz''s'!$CD$9:$CH$24,2,FALSE),IF(AND(J20="Cobre",F20="Trifásico"),VLOOKUP(M20,'Iz''s'!$CD$9:$CH$24,4,FALSE),IF(AND(J20="Alumínio",F20="Monofásico"),VLOOKUP(M20,'Iz''s'!$CD$26:$CH$40,2,FALSE),IF(AND(J20="Alumínio",F20="Trifásico"),VLOOKUP(M20,'Iz''s'!$CD$26:$CH$40,4,FALSE)))))</f>
        <v>13</v>
      </c>
      <c r="BC20" s="672">
        <f>IF(AND(J20="Cobre",F20="Monofásico"),VLOOKUP(M20,'Iz''s'!$B$8:$E$23,3,FALSE),IF(AND(J20="Cobre",F20="Trifásico"),VLOOKUP(M20,'Iz''s'!$L$8:$O$23,3,FALSE),IF(AND(J20="Alumínio",F20="Monofásico"),VLOOKUP(M20,'Iz''s'!$B$25:$E$39,3,FALSE),IF(AND(J20="Alumínio",F20="Trifásico"),VLOOKUP(M20,'Iz''s'!$L$25:$O$39,3,FALSE)))))</f>
        <v>15.5</v>
      </c>
      <c r="BD20" s="672">
        <f>IF(AND(J20="Cobre",F20="Monofásico"),VLOOKUP(M20,'Iz''s'!$CD$9:$CH$24,3,FALSE),IF(AND(J20="Cobre",F20="Trifásico"),VLOOKUP(M20,'Iz''s'!$CD$9:$CH$24,5,FALSE),IF(AND(J20="Alumínio",F20="Monofásico"),VLOOKUP(M20,'Iz''s'!$CD$26:$CH$40,3,FALSE),IF(AND(J20="Alumínio",F20="Trifásico"),VLOOKUP(M20,'Iz''s'!$CD$26:$CH$40,5,FALSE)))))</f>
        <v>15</v>
      </c>
      <c r="BE20" s="672">
        <f>IF(AND(J20="Cobre",F20="Monofásico"),VLOOKUP(M20,'Iz''s'!$B$8:$E$23,4,FALSE),IF(AND(J20="Cobre",F20="Trifásico"),VLOOKUP(M20,'Iz''s'!$L$8:$O$23,4,FALSE),IF(AND(J20="Alumínio",F20="Monofásico"),VLOOKUP(M20,'Iz''s'!$B$25:$E$39,4,FALSE),IF(AND(J20="Alumínio",F20="Trifásico"),VLOOKUP(M20,'Iz''s'!$L$25:$O$39,4,FALSE)))))</f>
        <v>17.5</v>
      </c>
      <c r="BF20" s="672">
        <f>IF(AND(J20="Cobre",F20="Monofásico"),VLOOKUP(M20,'Iz''s'!$CP$9:$CT$24,3,FALSE),IF(AND(J20="Cobre",F20="Trifásico"),VLOOKUP(M20,'Iz''s'!$CP$9:$CT$24,2,FALSE),IF(AND(J20="Alumínio",F20="Monofásico"),VLOOKUP(M20,'Iz''s'!$CP$26:$CT$37,3,FALSE),IF(AND(J20="Alumínio",F20="Trifásico"),VLOOKUP(M20,'Iz''s'!$CP$26:$CT$37,2,FALSE)))))</f>
        <v>26</v>
      </c>
      <c r="BG20" s="672">
        <f>IF(AND(J20="Cobre",F20="Monofásico"),VLOOKUP(M20,'Iz''s'!$AT$10:$BA$28,2,FALSE),IF(AND(J20="Cobre",F20="Trifásico"),VLOOKUP(M20,'Iz''s'!$AT$10:$BA$28,3,FALSE),IF(AND(J20="Alumínio",F20="Monofásico"),VLOOKUP(M20,'Iz''s'!$BC$10:$BJ$27,2,FALSE),IF(AND(J20="Alumínio",F20="Trifásico"),VLOOKUP(M20,'Iz''s'!$BC$10:$BJ$27,3,FALSE)))))</f>
        <v>18.5</v>
      </c>
      <c r="BH20" s="664" t="str">
        <f>IF(AND(J20="Cobre",F20="Monofásico"),VLOOKUP(M20,'Iz''s'!$AT$10:$BA$28,4,FALSE),IF(AND(J20="Cobre",F20="Trifásico"),VLOOKUP(M20,'Iz''s'!$AT$10:$BA$28,5,FALSE),IF(AND(J20="Alumínio",F20="Monofásico"),VLOOKUP(M20,'Iz''s'!$BC$10:$BJ$27,4,FALSE),IF(AND(J20="Alumínio",F20="Trifásico"),VLOOKUP(M20,'Iz''s'!$BC$10:$BJ$27,5,FALSE)))))</f>
        <v xml:space="preserve"> --- </v>
      </c>
      <c r="BI20" s="664" t="str">
        <f>IF(AND(J20="Cobre",F20="Monofásico"),"N/A",IF(AND(J20="Cobre",F20="Trifásico"),VLOOKUP(M20,'Iz''s'!$AT$10:$BA$28,8,FALSE),IF(AND(J20="Alumínio",F20="Monofásico"),"N/A",IF(AND(J20="Alumínio",F20="Trifásico"),VLOOKUP(M20,'Iz''s'!$BC$10:$BJ$27,8,FALSE)))))</f>
        <v xml:space="preserve"> --- </v>
      </c>
      <c r="BJ20" s="672">
        <f>IF(AND(J20="Cobre",F20="Monofásico"),VLOOKUP(M20,'Iz''s'!$G$8:$J$23,2,FALSE),IF(AND(J20="Cobre",F20="Trifásico"),VLOOKUP(M20,'Iz''s'!$Q$8:$T$23,2,FALSE),IF(AND(J20="Alumínio",F20="Monofásico"),VLOOKUP(M20,'Iz''s'!$G$25:$J$39,2,FALSE),IF(AND(J20="Alumínio",F20="Trifásico"),VLOOKUP(M20,'Iz''s'!$Q$25:$T$39,2,FALSE)))))</f>
        <v>17</v>
      </c>
      <c r="BK20" s="664">
        <f>IF(AND(J20="Cobre",F20="Monofásico"),VLOOKUP(M20,'Iz''s'!$CJ$9:$CN$24,2,FALSE),IF(AND(J20="Cobre",F20="Trifásico"),VLOOKUP(M20,'Iz''s'!$CJ$9:$CN$24,4,FALSE),IF(AND(J20="Alumínio",F20="Monofásico"),VLOOKUP(M20,'Iz''s'!$CJ$26:$CN$40,2,FALSE),IF(AND(J20="Alumínio",F20="Trifásico"),VLOOKUP(M20,'Iz''s'!$CJ$26:$CN$40,4,FALSE)))))</f>
        <v>16.5</v>
      </c>
      <c r="BL20" s="664">
        <f>IF(AND(J20="Cobre",F20="Monofásico"),VLOOKUP(M20,'Iz''s'!$G$8:$J$23,3,FALSE),IF(AND(J20="Cobre",F20="Trifásico"),VLOOKUP(M20,'Iz''s'!$Q$8:$T$23,3,FALSE),IF(AND(J20="Alumínio",F20="Monofásico"),VLOOKUP(M20,'Iz''s'!$G$25:$J$39,3,FALSE),IF(AND(J20="Alumínio",F20="Trifásico"),VLOOKUP(M20,'Iz''s'!$Q$25:$T$39,3,FALSE)))))</f>
        <v>20</v>
      </c>
      <c r="BM20" s="664">
        <f>IF(AND(J20="Cobre",F20="Monofásico"),VLOOKUP(M20,'Iz''s'!$CJ$9:$CN$24,3,FALSE),IF(AND(J20="Cobre",F20="Trifásico"),VLOOKUP(M20,'Iz''s'!$CJ$9:$CN$24,5,FALSE),IF(AND(J20="Alumínio",F20="Monofásico"),VLOOKUP(M20,'Iz''s'!$CJ$26:$CN$40,3,FALSE),IF(AND(J20="Alumínio",F20="Trifásico"),VLOOKUP(M20,'Iz''s'!$CJ$26:$CN$40,5,FALSE)))))</f>
        <v>19.5</v>
      </c>
      <c r="BN20" s="664">
        <f>IF(AND(J20="Cobre",F20="Monofásico"),VLOOKUP(M20,'Iz''s'!$G$8:$J$23,4,FALSE),IF(AND(J20="Cobre",F20="Trifásico"),VLOOKUP(M20,'Iz''s'!$Q$8:$T$23,4,FALSE),IF(AND(J20="Alumínio",F20="Monofásico"),VLOOKUP(M20,'Iz''s'!$G$25:$J$39,4,FALSE),IF(AND(J20="Alumínio",F20="Trifásico"),VLOOKUP(M20,'Iz''s'!$Q$25:$T$39,4,FALSE)))))</f>
        <v>22</v>
      </c>
      <c r="BO20" s="664">
        <f>IF(AND(J20="Cobre",F20="Monofásico"),VLOOKUP(M20,'Iz''s'!$CP$9:$CT$24,5,FALSE),IF(AND(J20="Cobre",F20="Trifásico"),VLOOKUP(M20,'Iz''s'!$CP$9:$CT$24,4,FALSE),IF(AND(J20="Alumínio",F20="Monofásico"),VLOOKUP(M20,'Iz''s'!$CP$26:$CT$37,5,FALSE),IF(AND(J20="Alumínio",F20="Trifásico"),VLOOKUP(M20,'Iz''s'!$CP$26:$CT$37,4,FALSE)))))</f>
        <v>31</v>
      </c>
      <c r="BP20" s="664">
        <f>IF(AND(J20="Cobre",F20="Monofásico"),VLOOKUP(M20,'Iz''s'!$BL$10:$BS$28,2,FALSE),IF(AND(J20="Cobre",F20="Trifásico"),VLOOKUP(M20,'Iz''s'!$BL$10:$BS$28,3,FALSE),IF(AND(J20="Alumínio",F20="Monofásico"),VLOOKUP(M20,'Iz''s'!$BU$10:$CB$27,2,FALSE),IF(AND(J20="Alumínio",F20="Trifásico"),VLOOKUP(M20,'Iz''s'!$BU$10:$CB$27,3,FALSE)))))</f>
        <v>23</v>
      </c>
      <c r="BQ20" s="672" t="str">
        <f>IF(AND(J20="Cobre",F20="Monofásico"),VLOOKUP(M20,'Iz''s'!$BL$10:$BS$28,4,FALSE),IF(AND(J20="Cobre",F20="Trifásico"),VLOOKUP(M20,'Iz''s'!$BL$10:$BS$28,5,FALSE),IF(AND(J20="Alumínio",F20="Monofásico"),VLOOKUP(M20,'Iz''s'!$BU$10:$CB$27,4,FALSE),IF(AND(J20="Alumínio",F20="Trifásico"),VLOOKUP(M20,'Iz''s'!$BU$10:$CB$27,5,FALSE)))))</f>
        <v xml:space="preserve"> --- </v>
      </c>
      <c r="BR20" s="664" t="str">
        <f>IF(AND(J20="Cobre",F20="Monofásico"),"N/A",IF(AND(J20="Cobre",F20="Trifásico"),VLOOKUP(M20,'Iz''s'!$BL$10:$BS$28,8,FALSE),IF(AND(J20="Alumínio",F20="Monofásico"),"N/A",IF(AND(J20="Alumínio",F20="Trifásico"),VLOOKUP(M20,'Iz''s'!$BU$10:$CB$27,8,FALSE)))))</f>
        <v xml:space="preserve"> --- </v>
      </c>
      <c r="BS20" s="664">
        <f>IF(AND(J20="Cobre",F20="Monofásico"),VLOOKUP(M20,'Iz''s'!$V$14:$Y$28,2,FALSE),IF(AND(J20="Cobre",F20="Trifásico"),VLOOKUP(M20,'Iz''s'!$V$14:$Y$28,3,FALSE),IF(AND(J20="Alumínio",F20="Monofásico"),VLOOKUP(M20,"N/A",4,FALSE),IF(AND(J20="Alumínio",F20="Trifásico"),VLOOKUP(M20,"N/A",4,FALSE)))))</f>
        <v>21</v>
      </c>
      <c r="BT20" s="664">
        <f>IF(AND(J20="Cobre",F20="Monofásico"),VLOOKUP(M20,'Iz''s'!$AF$15:$AK$29,2,FALSE),IF(AND(J20="Cobre",F20="Trifásico"),VLOOKUP(M20,'Iz''s'!$AF$15:$AK$29,3,FALSE),IF(AND(J20="Alumínio",F20="Monofásico"),"N/A",IF(AND(J20="Alumínio",F20="Trifásico"),"N/A"))))</f>
        <v>22</v>
      </c>
      <c r="BU20" s="664">
        <f>IF(AND(J20="Cobre",F20="Monofásico"),VLOOKUP(M20,'Iz''s'!$AF$15:$AK$29,2,FALSE),IF(AND(J20="Cobre",F20="Trifásico"),VLOOKUP(M20,'Iz''s'!$AF$15:$AK$29,3,FALSE),IF(AND(J20="Alumínio",F20="Monofásico"),"N/A",IF(AND(J20="Alumínio",F20="Trifásico"),"N/A"))))</f>
        <v>22</v>
      </c>
      <c r="BV20" s="665">
        <f>IF(AND(J20="Cobre",F20="Monofásico"),"N/A",IF(AND(J20="Cobre",F20="Trifásico"),VLOOKUP(M20,'Iz''s'!$AF$15:$AK$29,6,FALSE),IF(AND(J20="Alumínio",F20="Monofásico"),"N/A",IF(AND(J20="Alumínio",F20="Trifásico"),"N/A"))))</f>
        <v>32</v>
      </c>
      <c r="BW20" s="666">
        <v>18</v>
      </c>
      <c r="BX20" s="667"/>
      <c r="BY20" s="668">
        <f>VLOOKUP(M20,Consulta!$W$6:$AB$23,4,FALSE)</f>
        <v>16</v>
      </c>
      <c r="BZ20" s="668">
        <f>VLOOKUP(M20,Consulta!$W$6:$AB$23,6,FALSE)</f>
        <v>20</v>
      </c>
      <c r="CA20" s="668">
        <f>VLOOKUP(M20,Consulta!$AK$6:$AP$23,4,FALSE)</f>
        <v>20</v>
      </c>
      <c r="CB20" s="668">
        <f>VLOOKUP(M20,Consulta!$AK$6:$AP$23,6,FALSE)</f>
        <v>20</v>
      </c>
      <c r="CC20" s="673" t="e">
        <f>VLOOKUP(M20,Consulta!$AD$6:$AI$19,4,FALSE)</f>
        <v>#N/A</v>
      </c>
      <c r="CD20" s="673" t="e">
        <f>VLOOKUP(M20,Consulta!$AD$6:$AI$19,6,FALSE)</f>
        <v>#N/A</v>
      </c>
      <c r="CE20" s="673" t="e">
        <f>VLOOKUP(M20,Consulta!$AR$6:$AW$19,4,FALSE)</f>
        <v>#N/A</v>
      </c>
      <c r="CF20" s="674" t="e">
        <f>VLOOKUP(M20,Consulta!$AR$6:$AW$19,6,FALSE)</f>
        <v>#N/A</v>
      </c>
      <c r="CG20" s="670"/>
      <c r="CH20" s="670"/>
      <c r="CI20" s="670"/>
      <c r="CJ20" s="670"/>
      <c r="CK20" s="670"/>
      <c r="CL20" s="670"/>
      <c r="CM20" s="670"/>
      <c r="CN20" s="670"/>
      <c r="CO20" s="670"/>
      <c r="CP20" s="670"/>
      <c r="CQ20" s="670"/>
      <c r="CR20" s="670"/>
      <c r="CS20" s="670"/>
      <c r="CT20" s="670"/>
      <c r="CU20" s="670"/>
      <c r="CV20" s="670"/>
      <c r="CW20" s="670"/>
      <c r="CX20" s="670"/>
      <c r="CY20" s="670"/>
      <c r="CZ20" s="670"/>
      <c r="DA20" s="670"/>
      <c r="DB20" s="670"/>
      <c r="DC20" s="670"/>
      <c r="DD20" s="670"/>
      <c r="DE20" s="670"/>
      <c r="DF20" s="670"/>
      <c r="DG20" s="670"/>
      <c r="DH20" s="670"/>
      <c r="DI20" s="670"/>
      <c r="DJ20" s="670"/>
      <c r="DK20" s="670"/>
      <c r="DL20" s="670"/>
      <c r="DM20" s="670"/>
      <c r="DN20" s="670"/>
      <c r="DO20" s="670"/>
      <c r="DP20" s="670"/>
      <c r="DQ20" s="670"/>
      <c r="DR20" s="670"/>
      <c r="DS20" s="670"/>
      <c r="DT20" s="670"/>
      <c r="DU20" s="675"/>
      <c r="DV20" s="675"/>
      <c r="DW20" s="675"/>
    </row>
    <row r="21" spans="2:127" ht="16.5" customHeight="1" x14ac:dyDescent="0.2">
      <c r="B21" s="1114" t="s">
        <v>810</v>
      </c>
      <c r="C21" s="865" t="s">
        <v>806</v>
      </c>
      <c r="D21" s="691">
        <f>3.6</f>
        <v>3.6</v>
      </c>
      <c r="E21" s="691">
        <f>19.6856+5.4+6.5+7.85+3.8+3.8+3.8+2.93</f>
        <v>53.765599999999992</v>
      </c>
      <c r="F21" s="691" t="s">
        <v>244</v>
      </c>
      <c r="G21" s="691" t="s">
        <v>808</v>
      </c>
      <c r="H21" s="691">
        <v>1</v>
      </c>
      <c r="I21" s="692" t="s">
        <v>13</v>
      </c>
      <c r="J21" s="691" t="s">
        <v>242</v>
      </c>
      <c r="K21" s="691" t="s">
        <v>363</v>
      </c>
      <c r="L21" s="691">
        <v>1</v>
      </c>
      <c r="M21" s="693">
        <v>6</v>
      </c>
      <c r="N21" s="691" t="s">
        <v>455</v>
      </c>
      <c r="O21" s="691">
        <v>4</v>
      </c>
      <c r="P21" s="616">
        <f t="shared" si="4"/>
        <v>51</v>
      </c>
      <c r="Q21" s="691">
        <v>1</v>
      </c>
      <c r="R21" s="691">
        <v>1</v>
      </c>
      <c r="S21" s="616">
        <f>IF(F21="Monofásico",(((D21*10^3)/H21)/230),(((D21*10^3)/H21)/(SQRT(3)*400)))</f>
        <v>15.652173913043478</v>
      </c>
      <c r="T21" s="694">
        <f>P21*R21</f>
        <v>51</v>
      </c>
      <c r="U21" s="691" t="s">
        <v>499</v>
      </c>
      <c r="V21" s="616">
        <v>16</v>
      </c>
      <c r="W21" s="691">
        <f>IF(U21="C.C.Fusíveis",VLOOKUP(V21,Consulta!$L$5:$N$31,3,FALSE),VLOOKUP(V21,Consulta!$P$5:$R$34,3,FALSE))</f>
        <v>21.6</v>
      </c>
      <c r="X21" s="695">
        <f t="shared" si="10"/>
        <v>74</v>
      </c>
      <c r="Y21" s="749">
        <f>S21/T21</f>
        <v>0.30690537084398978</v>
      </c>
      <c r="Z21" s="750" t="str">
        <f t="shared" si="11"/>
        <v>Sim</v>
      </c>
      <c r="AA21" s="751">
        <f t="shared" ref="AA21:AA34" si="33">$AA$6+SQRT($AB$6^2+$AC$6^2)</f>
        <v>7.7627140213909152E-2</v>
      </c>
      <c r="AB21" s="751">
        <f>(IF(J21="Cobre",(1.25*0.0225),(1.25*0.036)))*((E21/M21)/L21)</f>
        <v>0.2520262499999999</v>
      </c>
      <c r="AC21" s="751">
        <f t="shared" si="6"/>
        <v>0</v>
      </c>
      <c r="AD21" s="752">
        <f>$AF$6</f>
        <v>2.4122515281164385</v>
      </c>
      <c r="AE21" s="752">
        <f>IF(F21="Trifásico",S21*(AB21*H21+AC21*SIN(ACOS(H21))),2*S21*(AB21*H21+AC21*SIN(ACOS(H21))))</f>
        <v>7.889517391304345</v>
      </c>
      <c r="AF21" s="752">
        <f t="shared" si="18"/>
        <v>10.301768919420784</v>
      </c>
      <c r="AG21" s="753">
        <f t="shared" ref="AG21:AH85" si="34">AE21/230</f>
        <v>3.4302249527410199E-2</v>
      </c>
      <c r="AH21" s="754">
        <f t="shared" si="34"/>
        <v>4.4790299649655585E-2</v>
      </c>
      <c r="AI21" s="752">
        <f t="shared" si="7"/>
        <v>0.69770251672750927</v>
      </c>
      <c r="AJ21" s="691">
        <v>3</v>
      </c>
      <c r="AK21" s="752">
        <v>0.1</v>
      </c>
      <c r="AL21" s="695">
        <f>IF(G21="Multicondutor",(IF(AND(J21="Cobre",K21="PVC"),115,IF(AND(J21="Cobre",K21="XLPE"),143,IF(AND(J21="Alumínio",K21="PVC"),76,IF(AND(J21="Alumínio",K21="XLPE"),94))))),(IF(AND(J21="Cobre",K21="PVC"),143,IF(AND(J21="Cobre",K21="XLPE"),176,IF(AND(J21="Alumínio",K21="PVC"),95,IF(AND(J21="Alumínio",K21="XLPE"),116))))))</f>
        <v>115</v>
      </c>
      <c r="AM21" s="752">
        <f>((AI21*1000)*SQRT(AK21))/AL21</f>
        <v>1.9185470279049197</v>
      </c>
      <c r="AN21" s="750">
        <f>L21</f>
        <v>1</v>
      </c>
      <c r="AO21" s="755" t="s">
        <v>563</v>
      </c>
      <c r="AP21" s="750" t="s">
        <v>523</v>
      </c>
      <c r="AQ21" s="750" t="str">
        <f>IF(F21="Monofásico","3G",IF(AND(F21="Trifásico",M21&lt;25),"5G","3×"))</f>
        <v>3G</v>
      </c>
      <c r="AR21" s="750">
        <f>M21</f>
        <v>6</v>
      </c>
      <c r="AS21" s="901" t="str">
        <f t="shared" si="8"/>
        <v/>
      </c>
      <c r="AT21" s="901" t="str">
        <f>IF(OR(AQ21="3G",AQ21="5G"),"",VLOOKUP(AR21,Consulta!$T$5:$U$25,2,FALSE))</f>
        <v/>
      </c>
      <c r="AU21" s="902" t="s">
        <v>565</v>
      </c>
      <c r="AV21" s="750" t="s">
        <v>23</v>
      </c>
      <c r="AW21" s="750" t="s">
        <v>564</v>
      </c>
      <c r="AX21" s="750">
        <f t="shared" si="30"/>
        <v>20</v>
      </c>
      <c r="AY21" s="866" t="s">
        <v>24</v>
      </c>
      <c r="AZ21" s="564"/>
      <c r="BA21" s="654">
        <f>IF(AND(J21="Cobre",F21="Monofásico"),VLOOKUP(M21,'Iz''s'!$B$8:$E$23,2,FALSE),IF(AND(J21="Cobre",F21="Trifásico"),VLOOKUP(M21,'Iz''s'!$L$8:$O$23,2,FALSE),IF(AND(J21="Alumínio",F21="Monofásico"),VLOOKUP(M21,'Iz''s'!$B$25:$E$39,2,FALSE),IF(AND(J21="Alumínio",F21="Trifásico"),VLOOKUP(M21,'Iz''s'!$L$25:$O$39,2,FALSE)))))</f>
        <v>34</v>
      </c>
      <c r="BB21" s="655">
        <f>IF(AND(J21="Cobre",F21="Monofásico"),VLOOKUP(M21,'Iz''s'!$CD$9:$CH$24,2,FALSE),IF(AND(J21="Cobre",F21="Trifásico"),VLOOKUP(M21,'Iz''s'!$CD$9:$CH$24,4,FALSE),IF(AND(J21="Alumínio",F21="Monofásico"),VLOOKUP(M21,'Iz''s'!$CD$26:$CH$40,2,FALSE),IF(AND(J21="Alumínio",F21="Trifásico"),VLOOKUP(M21,'Iz''s'!$CD$26:$CH$40,4,FALSE)))))</f>
        <v>32</v>
      </c>
      <c r="BC21" s="655">
        <f>IF(AND(J21="Cobre",F21="Monofásico"),VLOOKUP(M21,'Iz''s'!$B$8:$E$23,3,FALSE),IF(AND(J21="Cobre",F21="Trifásico"),VLOOKUP(M21,'Iz''s'!$L$8:$O$23,3,FALSE),IF(AND(J21="Alumínio",F21="Monofásico"),VLOOKUP(M21,'Iz''s'!$B$25:$E$39,3,FALSE),IF(AND(J21="Alumínio",F21="Trifásico"),VLOOKUP(M21,'Iz''s'!$L$25:$O$39,3,FALSE)))))</f>
        <v>41</v>
      </c>
      <c r="BD21" s="655">
        <f>IF(AND(J21="Cobre",F21="Monofásico"),VLOOKUP(M21,'Iz''s'!$CD$9:$CH$24,3,FALSE),IF(AND(J21="Cobre",F21="Trifásico"),VLOOKUP(M21,'Iz''s'!$CD$9:$CH$24,5,FALSE),IF(AND(J21="Alumínio",F21="Monofásico"),VLOOKUP(M21,'Iz''s'!$CD$26:$CH$40,3,FALSE),IF(AND(J21="Alumínio",F21="Trifásico"),VLOOKUP(M21,'Iz''s'!$CD$26:$CH$40,5,FALSE)))))</f>
        <v>38</v>
      </c>
      <c r="BE21" s="655">
        <f>IF(AND(J21="Cobre",F21="Monofásico"),VLOOKUP(M21,'Iz''s'!$B$8:$E$23,4,FALSE),IF(AND(J21="Cobre",F21="Trifásico"),VLOOKUP(M21,'Iz''s'!$L$8:$O$23,4,FALSE),IF(AND(J21="Alumínio",F21="Monofásico"),VLOOKUP(M21,'Iz''s'!$B$25:$E$39,4,FALSE),IF(AND(J21="Alumínio",F21="Trifásico"),VLOOKUP(M21,'Iz''s'!$L$25:$O$39,4,FALSE)))))</f>
        <v>46</v>
      </c>
      <c r="BF21" s="655">
        <f>IF(AND(J21="Cobre",F21="Monofásico"),VLOOKUP(M21,'Iz''s'!$CP$9:$CT$24,3,FALSE),IF(AND(J21="Cobre",F21="Trifásico"),VLOOKUP(M21,'Iz''s'!$CP$9:$CT$24,2,FALSE),IF(AND(J21="Alumínio",F21="Monofásico"),VLOOKUP(M21,'Iz''s'!$CP$26:$CT$37,3,FALSE),IF(AND(J21="Alumínio",F21="Trifásico"),VLOOKUP(M21,'Iz''s'!$CP$26:$CT$37,2,FALSE)))))</f>
        <v>67</v>
      </c>
      <c r="BG21" s="656">
        <f>IF(AND(J21="Cobre",F21="Monofásico"),VLOOKUP(M21,'Iz''s'!$AT$10:$BA$28,2,FALSE),IF(AND(J21="Cobre",F21="Trifásico"),VLOOKUP(M21,'Iz''s'!$AT$10:$BA$28,3,FALSE),IF(AND(J21="Alumínio",F21="Monofásico"),VLOOKUP(M21,'Iz''s'!$BC$10:$BJ$27,2,FALSE),IF(AND(J21="Alumínio",F21="Trifásico"),VLOOKUP(M21,'Iz''s'!$BC$10:$BJ$27,3,FALSE)))))</f>
        <v>51</v>
      </c>
      <c r="BH21" s="656" t="str">
        <f>IF(AND(J21="Cobre",F21="Monofásico"),VLOOKUP(M21,'Iz''s'!$AT$10:$BA$28,4,FALSE),IF(AND(J21="Cobre",F21="Trifásico"),VLOOKUP(M21,'Iz''s'!$AT$10:$BA$28,5,FALSE),IF(AND(J21="Alumínio",F21="Monofásico"),VLOOKUP(M21,'Iz''s'!$BC$10:$BJ$27,4,FALSE),IF(AND(J21="Alumínio",F21="Trifásico"),VLOOKUP(M21,'Iz''s'!$BC$10:$BJ$27,5,FALSE)))))</f>
        <v xml:space="preserve"> --- </v>
      </c>
      <c r="BI21" s="656" t="str">
        <f>IF(AND(J21="Cobre",F21="Monofásico"),"N/A",IF(AND(J21="Cobre",F21="Trifásico"),VLOOKUP(M21,'Iz''s'!$AT$10:$BA$28,8,FALSE),IF(AND(J21="Alumínio",F21="Monofásico"),"N/A",IF(AND(J21="Alumínio",F21="Trifásico"),VLOOKUP(M21,'Iz''s'!$BC$10:$BJ$27,8,FALSE)))))</f>
        <v>N/A</v>
      </c>
      <c r="BJ21" s="655">
        <f>IF(AND(J21="Cobre",F21="Monofásico"),VLOOKUP(M21,'Iz''s'!$G$8:$J$23,2,FALSE),IF(AND(J21="Cobre",F21="Trifásico"),VLOOKUP(M21,'Iz''s'!$Q$8:$T$23,2,FALSE),IF(AND(J21="Alumínio",F21="Monofásico"),VLOOKUP(M21,'Iz''s'!$G$25:$J$39,2,FALSE),IF(AND(J21="Alumínio",F21="Trifásico"),VLOOKUP(M21,'Iz''s'!$Q$25:$T$39,2,FALSE)))))</f>
        <v>45</v>
      </c>
      <c r="BK21" s="656">
        <f>IF(AND(J21="Cobre",F21="Monofásico"),VLOOKUP(M21,'Iz''s'!$CJ$9:$CN$24,2,FALSE),IF(AND(J21="Cobre",F21="Trifásico"),VLOOKUP(M21,'Iz''s'!$CJ$9:$CN$24,4,FALSE),IF(AND(J21="Alumínio",F21="Monofásico"),VLOOKUP(M21,'Iz''s'!$CJ$26:$CN$40,2,FALSE),IF(AND(J21="Alumínio",F21="Trifásico"),VLOOKUP(M21,'Iz''s'!$CJ$26:$CN$40,4,FALSE)))))</f>
        <v>42</v>
      </c>
      <c r="BL21" s="656">
        <f>IF(AND(J21="Cobre",F21="Monofásico"),VLOOKUP(M21,'Iz''s'!$G$8:$J$23,3,FALSE),IF(AND(J21="Cobre",F21="Trifásico"),VLOOKUP(M21,'Iz''s'!$Q$8:$T$23,3,FALSE),IF(AND(J21="Alumínio",F21="Monofásico"),VLOOKUP(M21,'Iz''s'!$G$25:$J$39,3,FALSE),IF(AND(J21="Alumínio",F21="Trifásico"),VLOOKUP(M21,'Iz''s'!$Q$25:$T$39,3,FALSE)))))</f>
        <v>54</v>
      </c>
      <c r="BM21" s="656">
        <f>IF(AND(J21="Cobre",F21="Monofásico"),VLOOKUP(M21,'Iz''s'!$CJ$9:$CN$24,3,FALSE),IF(AND(J21="Cobre",F21="Trifásico"),VLOOKUP(M21,'Iz''s'!$CJ$9:$CN$24,5,FALSE),IF(AND(J21="Alumínio",F21="Monofásico"),VLOOKUP(M21,'Iz''s'!$CJ$26:$CN$40,3,FALSE),IF(AND(J21="Alumínio",F21="Trifásico"),VLOOKUP(M21,'Iz''s'!$CJ$26:$CN$40,5,FALSE)))))</f>
        <v>51</v>
      </c>
      <c r="BN21" s="656">
        <f>IF(AND(J21="Cobre",F21="Monofásico"),VLOOKUP(M21,'Iz''s'!$G$8:$J$23,4,FALSE),IF(AND(J21="Cobre",F21="Trifásico"),VLOOKUP(M21,'Iz''s'!$Q$8:$T$23,4,FALSE),IF(AND(J21="Alumínio",F21="Monofásico"),VLOOKUP(M21,'Iz''s'!$G$25:$J$39,4,FALSE),IF(AND(J21="Alumínio",F21="Trifásico"),VLOOKUP(M21,'Iz''s'!$Q$25:$T$39,4,FALSE)))))</f>
        <v>58</v>
      </c>
      <c r="BO21" s="656">
        <f>IF(AND(J21="Cobre",F21="Monofásico"),VLOOKUP(M21,'Iz''s'!$CP$9:$CT$24,5,FALSE),IF(AND(J21="Cobre",F21="Trifásico"),VLOOKUP(M21,'Iz''s'!$CP$9:$CT$24,4,FALSE),IF(AND(J21="Alumínio",F21="Monofásico"),VLOOKUP(M21,'Iz''s'!$CP$26:$CT$37,5,FALSE),IF(AND(J21="Alumínio",F21="Trifásico"),VLOOKUP(M21,'Iz''s'!$CP$26:$CT$37,4,FALSE)))))</f>
        <v>80</v>
      </c>
      <c r="BP21" s="656">
        <f>IF(AND(J21="Cobre",F21="Monofásico"),VLOOKUP(M21,'Iz''s'!$BL$10:$BS$28,2,FALSE),IF(AND(J21="Cobre",F21="Trifásico"),VLOOKUP(M21,'Iz''s'!$BL$10:$BS$28,3,FALSE),IF(AND(J21="Alumínio",F21="Monofásico"),VLOOKUP(M21,'Iz''s'!$BU$10:$CB$27,2,FALSE),IF(AND(J21="Alumínio",F21="Trifásico"),VLOOKUP(M21,'Iz''s'!$BU$10:$CB$27,3,FALSE)))))</f>
        <v>63</v>
      </c>
      <c r="BQ21" s="656" t="str">
        <f>IF(AND(J21="Cobre",F21="Monofásico"),VLOOKUP(M21,'Iz''s'!$BL$10:$BS$28,4,FALSE),IF(AND(J21="Cobre",F21="Trifásico"),VLOOKUP(M21,'Iz''s'!$BL$10:$BS$28,5,FALSE),IF(AND(J21="Alumínio",F21="Monofásico"),VLOOKUP(M21,'Iz''s'!$BU$10:$CB$27,4,FALSE),IF(AND(J21="Alumínio",F21="Trifásico"),VLOOKUP(M21,'Iz''s'!$BU$10:$CB$27,5,FALSE)))))</f>
        <v xml:space="preserve"> --- </v>
      </c>
      <c r="BR21" s="656" t="str">
        <f>IF(AND(J21="Cobre",F21="Monofásico"),"N/A",IF(AND(J21="Cobre",F21="Trifásico"),VLOOKUP(M21,'Iz''s'!$BL$10:$BS$28,8,FALSE),IF(AND(J21="Alumínio",F21="Monofásico"),"N/A",IF(AND(J21="Alumínio",F21="Trifásico"),VLOOKUP(M21,'Iz''s'!$BU$10:$CB$27,8,FALSE)))))</f>
        <v>N/A</v>
      </c>
      <c r="BS21" s="656">
        <f>IF(AND(J21="Cobre",F21="Monofásico"),VLOOKUP(M21,'Iz''s'!$V$14:$Y$28,2,FALSE),IF(AND(J21="Cobre",F21="Trifásico"),VLOOKUP(M21,'Iz''s'!$V$14:$Y$28,3,FALSE),IF(AND(J21="Alumínio",F21="Monofásico"),VLOOKUP(M21,"N/A",4,FALSE),IF(AND(J21="Alumínio",F21="Trifásico"),VLOOKUP(M21,"N/A",4,FALSE)))))</f>
        <v>57</v>
      </c>
      <c r="BT21" s="656">
        <f>IF(AND(J21="Cobre",F21="Monofásico"),VLOOKUP(M21,'Iz''s'!$AF$15:$AK$29,2,FALSE),IF(AND(J21="Cobre",F21="Trifásico"),VLOOKUP(M21,'Iz''s'!$AF$15:$AK$29,3,FALSE),IF(AND(J21="Alumínio",F21="Monofásico"),"N/A",IF(AND(J21="Alumínio",F21="Trifásico"),"N/A"))))</f>
        <v>60</v>
      </c>
      <c r="BU21" s="656">
        <f>IF(AND(J21="Cobre",F21="Monofásico"),VLOOKUP(M21,'Iz''s'!$AF$15:$AK$29,2,FALSE),IF(AND(J21="Cobre",F21="Trifásico"),VLOOKUP(M21,'Iz''s'!$AF$15:$AK$29,3,FALSE),IF(AND(J21="Alumínio",F21="Monofásico"),"N/A",IF(AND(J21="Alumínio",F21="Trifásico"),"N/A"))))</f>
        <v>60</v>
      </c>
      <c r="BV21" s="657" t="str">
        <f>IF(AND(J21="Cobre",F21="Monofásico"),"N/A",IF(AND(J21="Cobre",F21="Trifásico"),VLOOKUP(M21,'Iz''s'!$AF$15:$AK$29,6,FALSE),IF(AND(J21="Alumínio",F21="Monofásico"),"N/A",IF(AND(J21="Alumínio",F21="Trifásico"),"N/A"))))</f>
        <v>N/A</v>
      </c>
      <c r="BW21" s="658">
        <v>19</v>
      </c>
      <c r="BX21" s="583"/>
      <c r="BY21" s="659">
        <f>VLOOKUP(M21,Consulta!$W$6:$AB$23,4,FALSE)</f>
        <v>20</v>
      </c>
      <c r="BZ21" s="659">
        <f>VLOOKUP(M21,Consulta!$W$6:$AB$23,6,FALSE)</f>
        <v>25</v>
      </c>
      <c r="CA21" s="659">
        <f>VLOOKUP(M21,Consulta!$AK$6:$AP$23,4,FALSE)</f>
        <v>25</v>
      </c>
      <c r="CB21" s="659">
        <f>VLOOKUP(M21,Consulta!$AK$6:$AP$23,6,FALSE)</f>
        <v>32</v>
      </c>
      <c r="CC21" s="660" t="e">
        <f>VLOOKUP(M21,Consulta!$AD$6:$AI$19,4,FALSE)</f>
        <v>#N/A</v>
      </c>
      <c r="CD21" s="660" t="e">
        <f>VLOOKUP(M21,Consulta!$AD$6:$AI$19,6,FALSE)</f>
        <v>#N/A</v>
      </c>
      <c r="CE21" s="660" t="e">
        <f>VLOOKUP(M21,Consulta!$AR$6:$AW$19,4,FALSE)</f>
        <v>#N/A</v>
      </c>
      <c r="CF21" s="661" t="e">
        <f>VLOOKUP(M21,Consulta!$AR$6:$AW$19,6,FALSE)</f>
        <v>#N/A</v>
      </c>
    </row>
    <row r="22" spans="2:127" ht="16.5" customHeight="1" x14ac:dyDescent="0.2">
      <c r="B22" s="1117"/>
      <c r="C22" s="819" t="s">
        <v>793</v>
      </c>
      <c r="D22" s="684">
        <f t="shared" ref="D22:D24" si="35">3.6</f>
        <v>3.6</v>
      </c>
      <c r="E22" s="684">
        <f>29.6+ 0.4856</f>
        <v>30.085600000000003</v>
      </c>
      <c r="F22" s="684" t="s">
        <v>244</v>
      </c>
      <c r="G22" s="684" t="s">
        <v>808</v>
      </c>
      <c r="H22" s="684">
        <v>1</v>
      </c>
      <c r="I22" s="760" t="s">
        <v>13</v>
      </c>
      <c r="J22" s="684" t="s">
        <v>242</v>
      </c>
      <c r="K22" s="684" t="s">
        <v>363</v>
      </c>
      <c r="L22" s="684">
        <v>1</v>
      </c>
      <c r="M22" s="685">
        <v>4</v>
      </c>
      <c r="N22" s="684" t="s">
        <v>455</v>
      </c>
      <c r="O22" s="684">
        <v>4</v>
      </c>
      <c r="P22" s="555">
        <f t="shared" si="4"/>
        <v>40</v>
      </c>
      <c r="Q22" s="684">
        <v>1</v>
      </c>
      <c r="R22" s="684">
        <v>0.85</v>
      </c>
      <c r="S22" s="555">
        <f t="shared" ref="S22:S23" si="36">IF(F22="Monofásico",(((D22*10^3)/H22)/230),(((D22*10^3)/H22)/(SQRT(3)*400)))</f>
        <v>15.652173913043478</v>
      </c>
      <c r="T22" s="696">
        <f>P22*R22</f>
        <v>34</v>
      </c>
      <c r="U22" s="684" t="s">
        <v>499</v>
      </c>
      <c r="V22" s="555">
        <v>16</v>
      </c>
      <c r="W22" s="684">
        <f>IF(U22="C.C.Fusíveis",VLOOKUP(V22,Consulta!$L$5:$N$31,3,FALSE),VLOOKUP(V22,Consulta!$P$5:$R$34,3,FALSE))</f>
        <v>21.6</v>
      </c>
      <c r="X22" s="698">
        <f t="shared" si="10"/>
        <v>58</v>
      </c>
      <c r="Y22" s="761">
        <f>S22/T22</f>
        <v>0.46035805626598464</v>
      </c>
      <c r="Z22" s="689" t="str">
        <f t="shared" si="11"/>
        <v>Sim</v>
      </c>
      <c r="AA22" s="762">
        <f t="shared" si="33"/>
        <v>7.7627140213909152E-2</v>
      </c>
      <c r="AB22" s="762">
        <f t="shared" si="12"/>
        <v>0.211539375</v>
      </c>
      <c r="AC22" s="762">
        <f t="shared" si="6"/>
        <v>0</v>
      </c>
      <c r="AD22" s="686">
        <f t="shared" ref="AD22:AD34" si="37">$AF$6</f>
        <v>2.4122515281164385</v>
      </c>
      <c r="AE22" s="686">
        <f t="shared" si="17"/>
        <v>6.6221021739130439</v>
      </c>
      <c r="AF22" s="686">
        <f t="shared" si="18"/>
        <v>9.0343537020294828</v>
      </c>
      <c r="AG22" s="687">
        <f t="shared" si="34"/>
        <v>2.8791748582230627E-2</v>
      </c>
      <c r="AH22" s="763">
        <f t="shared" si="34"/>
        <v>3.927979870447601E-2</v>
      </c>
      <c r="AI22" s="686">
        <f t="shared" si="7"/>
        <v>0.79538946558130685</v>
      </c>
      <c r="AJ22" s="684">
        <v>3</v>
      </c>
      <c r="AK22" s="686">
        <v>0.1</v>
      </c>
      <c r="AL22" s="698">
        <f t="shared" ref="AL22:AL23" si="38">IF(G22="Multicondutor",(IF(AND(J22="Cobre",K22="PVC"),115,IF(AND(J22="Cobre",K22="XLPE"),143,IF(AND(J22="Alumínio",K22="PVC"),76,IF(AND(J22="Alumínio",K22="XLPE"),94))))),(IF(AND(J22="Cobre",K22="PVC"),143,IF(AND(J22="Cobre",K22="XLPE"),176,IF(AND(J22="Alumínio",K22="PVC"),95,IF(AND(J22="Alumínio",K22="XLPE"),116))))))</f>
        <v>115</v>
      </c>
      <c r="AM22" s="686">
        <f t="shared" ref="AM22:AM23" si="39">((AI22*1000)*SQRT(AK22))/AL22</f>
        <v>2.1871672505574198</v>
      </c>
      <c r="AN22" s="689">
        <f t="shared" ref="AN22:AN26" si="40">L22</f>
        <v>1</v>
      </c>
      <c r="AO22" s="688" t="s">
        <v>563</v>
      </c>
      <c r="AP22" s="689" t="s">
        <v>523</v>
      </c>
      <c r="AQ22" s="689" t="str">
        <f t="shared" ref="AQ22:AQ26" si="41">IF(F22="Monofásico","3G",IF(AND(F22="Trifásico",M22&lt;25),"5G","3×"))</f>
        <v>3G</v>
      </c>
      <c r="AR22" s="689">
        <f t="shared" ref="AR22:AR23" si="42">M22</f>
        <v>4</v>
      </c>
      <c r="AS22" s="897" t="str">
        <f t="shared" si="8"/>
        <v/>
      </c>
      <c r="AT22" s="897" t="str">
        <f>IF(OR(AQ22="3G",AQ22="5G"),"",VLOOKUP(AR22,Consulta!$T$5:$U$25,2,FALSE))</f>
        <v/>
      </c>
      <c r="AU22" s="898" t="s">
        <v>565</v>
      </c>
      <c r="AV22" s="689" t="s">
        <v>23</v>
      </c>
      <c r="AW22" s="689" t="s">
        <v>564</v>
      </c>
      <c r="AX22" s="689">
        <f t="shared" si="30"/>
        <v>25</v>
      </c>
      <c r="AY22" s="690" t="s">
        <v>24</v>
      </c>
      <c r="AZ22" s="564"/>
      <c r="BA22" s="584">
        <f>IF(AND(J22="Cobre",F22="Monofásico"),VLOOKUP(M22,'Iz''s'!$B$8:$E$23,2,FALSE),IF(AND(J22="Cobre",F22="Trifásico"),VLOOKUP(M22,'Iz''s'!$L$8:$O$23,2,FALSE),IF(AND(J22="Alumínio",F22="Monofásico"),VLOOKUP(M22,'Iz''s'!$B$25:$E$39,2,FALSE),IF(AND(J22="Alumínio",F22="Trifásico"),VLOOKUP(M22,'Iz''s'!$L$25:$O$39,2,FALSE)))))</f>
        <v>26</v>
      </c>
      <c r="BB22" s="531">
        <f>IF(AND(J22="Cobre",F22="Monofásico"),VLOOKUP(M22,'Iz''s'!$CD$9:$CH$24,2,FALSE),IF(AND(J22="Cobre",F22="Trifásico"),VLOOKUP(M22,'Iz''s'!$CD$9:$CH$24,4,FALSE),IF(AND(J22="Alumínio",F22="Monofásico"),VLOOKUP(M22,'Iz''s'!$CD$26:$CH$40,2,FALSE),IF(AND(J22="Alumínio",F22="Trifásico"),VLOOKUP(M22,'Iz''s'!$CD$26:$CH$40,4,FALSE)))))</f>
        <v>25</v>
      </c>
      <c r="BC22" s="531">
        <f>IF(AND(J22="Cobre",F22="Monofásico"),VLOOKUP(M22,'Iz''s'!$B$8:$E$23,3,FALSE),IF(AND(J22="Cobre",F22="Trifásico"),VLOOKUP(M22,'Iz''s'!$L$8:$O$23,3,FALSE),IF(AND(J22="Alumínio",F22="Monofásico"),VLOOKUP(M22,'Iz''s'!$B$25:$E$39,3,FALSE),IF(AND(J22="Alumínio",F22="Trifásico"),VLOOKUP(M22,'Iz''s'!$L$25:$O$39,3,FALSE)))))</f>
        <v>32</v>
      </c>
      <c r="BD22" s="531">
        <f>IF(AND(J22="Cobre",F22="Monofásico"),VLOOKUP(M22,'Iz''s'!$CD$9:$CH$24,3,FALSE),IF(AND(J22="Cobre",F22="Trifásico"),VLOOKUP(M22,'Iz''s'!$CD$9:$CH$24,5,FALSE),IF(AND(J22="Alumínio",F22="Monofásico"),VLOOKUP(M22,'Iz''s'!$CD$26:$CH$40,3,FALSE),IF(AND(J22="Alumínio",F22="Trifásico"),VLOOKUP(M22,'Iz''s'!$CD$26:$CH$40,5,FALSE)))))</f>
        <v>30</v>
      </c>
      <c r="BE22" s="531">
        <f>IF(AND(J22="Cobre",F22="Monofásico"),VLOOKUP(M22,'Iz''s'!$B$8:$E$23,4,FALSE),IF(AND(J22="Cobre",F22="Trifásico"),VLOOKUP(M22,'Iz''s'!$L$8:$O$23,4,FALSE),IF(AND(J22="Alumínio",F22="Monofásico"),VLOOKUP(M22,'Iz''s'!$B$25:$E$39,4,FALSE),IF(AND(J22="Alumínio",F22="Trifásico"),VLOOKUP(M22,'Iz''s'!$L$25:$O$39,4,FALSE)))))</f>
        <v>36</v>
      </c>
      <c r="BF22" s="531">
        <f>IF(AND(J22="Cobre",F22="Monofásico"),VLOOKUP(M22,'Iz''s'!$CP$9:$CT$24,3,FALSE),IF(AND(J22="Cobre",F22="Trifásico"),VLOOKUP(M22,'Iz''s'!$CP$9:$CT$24,2,FALSE),IF(AND(J22="Alumínio",F22="Monofásico"),VLOOKUP(M22,'Iz''s'!$CP$26:$CT$37,3,FALSE),IF(AND(J22="Alumínio",F22="Trifásico"),VLOOKUP(M22,'Iz''s'!$CP$26:$CT$37,2,FALSE)))))</f>
        <v>54</v>
      </c>
      <c r="BG22" s="609">
        <f>IF(AND(J22="Cobre",F22="Monofásico"),VLOOKUP(M22,'Iz''s'!$AT$10:$BA$28,2,FALSE),IF(AND(J22="Cobre",F22="Trifásico"),VLOOKUP(M22,'Iz''s'!$AT$10:$BA$28,3,FALSE),IF(AND(J22="Alumínio",F22="Monofásico"),VLOOKUP(M22,'Iz''s'!$BC$10:$BJ$27,2,FALSE),IF(AND(J22="Alumínio",F22="Trifásico"),VLOOKUP(M22,'Iz''s'!$BC$10:$BJ$27,3,FALSE)))))</f>
        <v>40</v>
      </c>
      <c r="BH22" s="609" t="str">
        <f>IF(AND(J22="Cobre",F22="Monofásico"),VLOOKUP(M22,'Iz''s'!$AT$10:$BA$28,4,FALSE),IF(AND(J22="Cobre",F22="Trifásico"),VLOOKUP(M22,'Iz''s'!$AT$10:$BA$28,5,FALSE),IF(AND(J22="Alumínio",F22="Monofásico"),VLOOKUP(M22,'Iz''s'!$BC$10:$BJ$27,4,FALSE),IF(AND(J22="Alumínio",F22="Trifásico"),VLOOKUP(M22,'Iz''s'!$BC$10:$BJ$27,5,FALSE)))))</f>
        <v xml:space="preserve"> --- </v>
      </c>
      <c r="BI22" s="609" t="str">
        <f>IF(AND(J22="Cobre",F22="Monofásico"),"N/A",IF(AND(J22="Cobre",F22="Trifásico"),VLOOKUP(M22,'Iz''s'!$AT$10:$BA$28,8,FALSE),IF(AND(J22="Alumínio",F22="Monofásico"),"N/A",IF(AND(J22="Alumínio",F22="Trifásico"),VLOOKUP(M22,'Iz''s'!$BC$10:$BJ$27,8,FALSE)))))</f>
        <v>N/A</v>
      </c>
      <c r="BJ22" s="531">
        <f>IF(AND(J22="Cobre",F22="Monofásico"),VLOOKUP(M22,'Iz''s'!$G$8:$J$23,2,FALSE),IF(AND(J22="Cobre",F22="Trifásico"),VLOOKUP(M22,'Iz''s'!$Q$8:$T$23,2,FALSE),IF(AND(J22="Alumínio",F22="Monofásico"),VLOOKUP(M22,'Iz''s'!$G$25:$J$39,2,FALSE),IF(AND(J22="Alumínio",F22="Trifásico"),VLOOKUP(M22,'Iz''s'!$Q$25:$T$39,2,FALSE)))))</f>
        <v>35</v>
      </c>
      <c r="BK22" s="609">
        <f>IF(AND(J22="Cobre",F22="Monofásico"),VLOOKUP(M22,'Iz''s'!$CJ$9:$CN$24,2,FALSE),IF(AND(J22="Cobre",F22="Trifásico"),VLOOKUP(M22,'Iz''s'!$CJ$9:$CN$24,4,FALSE),IF(AND(J22="Alumínio",F22="Monofásico"),VLOOKUP(M22,'Iz''s'!$CJ$26:$CN$40,2,FALSE),IF(AND(J22="Alumínio",F22="Trifásico"),VLOOKUP(M22,'Iz''s'!$CJ$26:$CN$40,4,FALSE)))))</f>
        <v>33</v>
      </c>
      <c r="BL22" s="609">
        <f>IF(AND(J22="Cobre",F22="Monofásico"),VLOOKUP(M22,'Iz''s'!$G$8:$J$23,3,FALSE),IF(AND(J22="Cobre",F22="Trifásico"),VLOOKUP(M22,'Iz''s'!$Q$8:$T$23,3,FALSE),IF(AND(J22="Alumínio",F22="Monofásico"),VLOOKUP(M22,'Iz''s'!$G$25:$J$39,3,FALSE),IF(AND(J22="Alumínio",F22="Trifásico"),VLOOKUP(M22,'Iz''s'!$Q$25:$T$39,3,FALSE)))))</f>
        <v>42</v>
      </c>
      <c r="BM22" s="609">
        <f>IF(AND(J22="Cobre",F22="Monofásico"),VLOOKUP(M22,'Iz''s'!$CJ$9:$CN$24,3,FALSE),IF(AND(J22="Cobre",F22="Trifásico"),VLOOKUP(M22,'Iz''s'!$CJ$9:$CN$24,5,FALSE),IF(AND(J22="Alumínio",F22="Monofásico"),VLOOKUP(M22,'Iz''s'!$CJ$26:$CN$40,3,FALSE),IF(AND(J22="Alumínio",F22="Trifásico"),VLOOKUP(M22,'Iz''s'!$CJ$26:$CN$40,5,FALSE)))))</f>
        <v>40</v>
      </c>
      <c r="BN22" s="609">
        <f>IF(AND(J22="Cobre",F22="Monofásico"),VLOOKUP(M22,'Iz''s'!$G$8:$J$23,4,FALSE),IF(AND(J22="Cobre",F22="Trifásico"),VLOOKUP(M22,'Iz''s'!$Q$8:$T$23,4,FALSE),IF(AND(J22="Alumínio",F22="Monofásico"),VLOOKUP(M22,'Iz''s'!$G$25:$J$39,4,FALSE),IF(AND(J22="Alumínio",F22="Trifásico"),VLOOKUP(M22,'Iz''s'!$Q$25:$T$39,4,FALSE)))))</f>
        <v>45</v>
      </c>
      <c r="BO22" s="609">
        <f>IF(AND(J22="Cobre",F22="Monofásico"),VLOOKUP(M22,'Iz''s'!$CP$9:$CT$24,5,FALSE),IF(AND(J22="Cobre",F22="Trifásico"),VLOOKUP(M22,'Iz''s'!$CP$9:$CT$24,4,FALSE),IF(AND(J22="Alumínio",F22="Monofásico"),VLOOKUP(M22,'Iz''s'!$CP$26:$CT$37,5,FALSE),IF(AND(J22="Alumínio",F22="Trifásico"),VLOOKUP(M22,'Iz''s'!$CP$26:$CT$37,4,FALSE)))))</f>
        <v>63</v>
      </c>
      <c r="BP22" s="609">
        <f>IF(AND(J22="Cobre",F22="Monofásico"),VLOOKUP(M22,'Iz''s'!$BL$10:$BS$28,2,FALSE),IF(AND(J22="Cobre",F22="Trifásico"),VLOOKUP(M22,'Iz''s'!$BL$10:$BS$28,3,FALSE),IF(AND(J22="Alumínio",F22="Monofásico"),VLOOKUP(M22,'Iz''s'!$BU$10:$CB$27,2,FALSE),IF(AND(J22="Alumínio",F22="Trifásico"),VLOOKUP(M22,'Iz''s'!$BU$10:$CB$27,3,FALSE)))))</f>
        <v>49</v>
      </c>
      <c r="BQ22" s="609" t="str">
        <f>IF(AND(J22="Cobre",F22="Monofásico"),VLOOKUP(M22,'Iz''s'!$BL$10:$BS$28,4,FALSE),IF(AND(J22="Cobre",F22="Trifásico"),VLOOKUP(M22,'Iz''s'!$BL$10:$BS$28,5,FALSE),IF(AND(J22="Alumínio",F22="Monofásico"),VLOOKUP(M22,'Iz''s'!$BU$10:$CB$27,4,FALSE),IF(AND(J22="Alumínio",F22="Trifásico"),VLOOKUP(M22,'Iz''s'!$BU$10:$CB$27,5,FALSE)))))</f>
        <v xml:space="preserve"> --- </v>
      </c>
      <c r="BR22" s="609" t="str">
        <f>IF(AND(J22="Cobre",F22="Monofásico"),"N/A",IF(AND(J22="Cobre",F22="Trifásico"),VLOOKUP(M22,'Iz''s'!$BL$10:$BS$28,8,FALSE),IF(AND(J22="Alumínio",F22="Monofásico"),"N/A",IF(AND(J22="Alumínio",F22="Trifásico"),VLOOKUP(M22,'Iz''s'!$BU$10:$CB$27,8,FALSE)))))</f>
        <v>N/A</v>
      </c>
      <c r="BS22" s="609">
        <f>IF(AND(J22="Cobre",F22="Monofásico"),VLOOKUP(M22,'Iz''s'!$V$14:$Y$28,2,FALSE),IF(AND(J22="Cobre",F22="Trifásico"),VLOOKUP(M22,'Iz''s'!$V$14:$Y$28,3,FALSE),IF(AND(J22="Alumínio",F22="Monofásico"),VLOOKUP(M22,"N/A",4,FALSE),IF(AND(J22="Alumínio",F22="Trifásico"),VLOOKUP(M22,"N/A",4,FALSE)))))</f>
        <v>45</v>
      </c>
      <c r="BT22" s="609">
        <f>IF(AND(J22="Cobre",F22="Monofásico"),VLOOKUP(M22,'Iz''s'!$AF$15:$AK$29,2,FALSE),IF(AND(J22="Cobre",F22="Trifásico"),VLOOKUP(M22,'Iz''s'!$AF$15:$AK$29,3,FALSE),IF(AND(J22="Alumínio",F22="Monofásico"),"N/A",IF(AND(J22="Alumínio",F22="Trifásico"),"N/A"))))</f>
        <v>47</v>
      </c>
      <c r="BU22" s="609">
        <f>IF(AND(J22="Cobre",F22="Monofásico"),VLOOKUP(M22,'Iz''s'!$AF$15:$AK$29,2,FALSE),IF(AND(J22="Cobre",F22="Trifásico"),VLOOKUP(M22,'Iz''s'!$AF$15:$AK$29,3,FALSE),IF(AND(J22="Alumínio",F22="Monofásico"),"N/A",IF(AND(J22="Alumínio",F22="Trifásico"),"N/A"))))</f>
        <v>47</v>
      </c>
      <c r="BV22" s="610" t="str">
        <f>IF(AND(J22="Cobre",F22="Monofásico"),"N/A",IF(AND(J22="Cobre",F22="Trifásico"),VLOOKUP(M22,'Iz''s'!$AF$15:$AK$29,6,FALSE),IF(AND(J22="Alumínio",F22="Monofásico"),"N/A",IF(AND(J22="Alumínio",F22="Trifásico"),"N/A"))))</f>
        <v>N/A</v>
      </c>
      <c r="BW22" s="611">
        <v>20</v>
      </c>
      <c r="BX22" s="583"/>
      <c r="BY22" s="612">
        <f>VLOOKUP(M22,Consulta!$W$6:$AB$23,4,FALSE)</f>
        <v>20</v>
      </c>
      <c r="BZ22" s="612">
        <f>VLOOKUP(M22,Consulta!$W$6:$AB$23,6,FALSE)</f>
        <v>25</v>
      </c>
      <c r="CA22" s="612">
        <f>VLOOKUP(M22,Consulta!$AK$6:$AP$23,4,FALSE)</f>
        <v>25</v>
      </c>
      <c r="CB22" s="612">
        <f>VLOOKUP(M22,Consulta!$AK$6:$AP$23,6,FALSE)</f>
        <v>25</v>
      </c>
      <c r="CC22" s="585" t="e">
        <f>VLOOKUP(M22,Consulta!$AD$6:$AI$19,4,FALSE)</f>
        <v>#N/A</v>
      </c>
      <c r="CD22" s="585" t="e">
        <f>VLOOKUP(M22,Consulta!$AD$6:$AI$19,6,FALSE)</f>
        <v>#N/A</v>
      </c>
      <c r="CE22" s="585" t="e">
        <f>VLOOKUP(M22,Consulta!$AR$6:$AW$19,4,FALSE)</f>
        <v>#N/A</v>
      </c>
      <c r="CF22" s="586" t="e">
        <f>VLOOKUP(M22,Consulta!$AR$6:$AW$19,6,FALSE)</f>
        <v>#N/A</v>
      </c>
    </row>
    <row r="23" spans="2:127" ht="16.5" customHeight="1" x14ac:dyDescent="0.2">
      <c r="B23" s="1117"/>
      <c r="C23" s="819" t="s">
        <v>872</v>
      </c>
      <c r="D23" s="684">
        <f>16</f>
        <v>16</v>
      </c>
      <c r="E23" s="684">
        <f>29.6+0.4856+0.6</f>
        <v>30.685600000000004</v>
      </c>
      <c r="F23" s="684" t="s">
        <v>246</v>
      </c>
      <c r="G23" s="684" t="s">
        <v>808</v>
      </c>
      <c r="H23" s="684">
        <v>1</v>
      </c>
      <c r="I23" s="760" t="s">
        <v>13</v>
      </c>
      <c r="J23" s="684" t="s">
        <v>242</v>
      </c>
      <c r="K23" s="684" t="s">
        <v>363</v>
      </c>
      <c r="L23" s="684">
        <v>1</v>
      </c>
      <c r="M23" s="685">
        <v>4</v>
      </c>
      <c r="N23" s="684" t="s">
        <v>455</v>
      </c>
      <c r="O23" s="684">
        <v>4</v>
      </c>
      <c r="P23" s="555">
        <f t="shared" si="4"/>
        <v>34</v>
      </c>
      <c r="Q23" s="684">
        <v>3</v>
      </c>
      <c r="R23" s="684">
        <v>0.85</v>
      </c>
      <c r="S23" s="555">
        <f t="shared" si="36"/>
        <v>23.094010767585033</v>
      </c>
      <c r="T23" s="696">
        <f t="shared" ref="T23" si="43">P23*R23</f>
        <v>28.9</v>
      </c>
      <c r="U23" s="684" t="s">
        <v>499</v>
      </c>
      <c r="V23" s="555">
        <v>25</v>
      </c>
      <c r="W23" s="684">
        <f>IF(U23="C.C.Fusíveis",VLOOKUP(V23,Consulta!$L$5:$N$31,3,FALSE),VLOOKUP(V23,Consulta!$P$5:$R$34,3,FALSE))</f>
        <v>33.799999999999997</v>
      </c>
      <c r="X23" s="698">
        <f t="shared" si="10"/>
        <v>50</v>
      </c>
      <c r="Y23" s="761">
        <f t="shared" ref="Y23:Y26" si="44">S23/T23</f>
        <v>0.79910071860155829</v>
      </c>
      <c r="Z23" s="689" t="str">
        <f t="shared" si="11"/>
        <v>Sim</v>
      </c>
      <c r="AA23" s="762">
        <f t="shared" si="33"/>
        <v>7.7627140213909152E-2</v>
      </c>
      <c r="AB23" s="762">
        <f>(IF(J23="Cobre",(1.25*0.0225),(1.25*0.036)))*((E23/M23)/L23)</f>
        <v>0.21575812500000002</v>
      </c>
      <c r="AC23" s="762">
        <f t="shared" si="6"/>
        <v>0</v>
      </c>
      <c r="AD23" s="686">
        <f>$AF$6</f>
        <v>2.4122515281164385</v>
      </c>
      <c r="AE23" s="686">
        <f t="shared" si="17"/>
        <v>4.9827204619439582</v>
      </c>
      <c r="AF23" s="686">
        <f t="shared" si="18"/>
        <v>7.3949719900603963</v>
      </c>
      <c r="AG23" s="687">
        <f>AE23/230</f>
        <v>2.1664002008451991E-2</v>
      </c>
      <c r="AH23" s="763">
        <f t="shared" si="34"/>
        <v>3.2152052130697377E-2</v>
      </c>
      <c r="AI23" s="686">
        <f t="shared" si="7"/>
        <v>0.7871564630468757</v>
      </c>
      <c r="AJ23" s="684">
        <v>3</v>
      </c>
      <c r="AK23" s="686">
        <v>0.1</v>
      </c>
      <c r="AL23" s="698">
        <f t="shared" si="38"/>
        <v>115</v>
      </c>
      <c r="AM23" s="686">
        <f t="shared" si="39"/>
        <v>2.1645280853480795</v>
      </c>
      <c r="AN23" s="689">
        <f t="shared" si="40"/>
        <v>1</v>
      </c>
      <c r="AO23" s="688" t="s">
        <v>563</v>
      </c>
      <c r="AP23" s="689" t="s">
        <v>523</v>
      </c>
      <c r="AQ23" s="689" t="str">
        <f t="shared" si="41"/>
        <v>5G</v>
      </c>
      <c r="AR23" s="689">
        <f t="shared" si="42"/>
        <v>4</v>
      </c>
      <c r="AS23" s="897" t="str">
        <f t="shared" si="8"/>
        <v/>
      </c>
      <c r="AT23" s="897" t="str">
        <f>IF(OR(AQ23="3G",AQ23="5G"),"",VLOOKUP(AR23,Consulta!$T$5:$U$25,2,FALSE))</f>
        <v/>
      </c>
      <c r="AU23" s="898" t="s">
        <v>565</v>
      </c>
      <c r="AV23" s="689" t="s">
        <v>23</v>
      </c>
      <c r="AW23" s="689" t="s">
        <v>564</v>
      </c>
      <c r="AX23" s="689">
        <f t="shared" si="30"/>
        <v>25</v>
      </c>
      <c r="AY23" s="690" t="s">
        <v>24</v>
      </c>
      <c r="AZ23" s="564"/>
      <c r="BA23" s="584">
        <f>IF(AND(J23="Cobre",F23="Monofásico"),VLOOKUP(M23,'Iz''s'!$B$8:$E$23,2,FALSE),IF(AND(J23="Cobre",F23="Trifásico"),VLOOKUP(M23,'Iz''s'!$L$8:$O$23,2,FALSE),IF(AND(J23="Alumínio",F23="Monofásico"),VLOOKUP(M23,'Iz''s'!$B$25:$E$39,2,FALSE),IF(AND(J23="Alumínio",F23="Trifásico"),VLOOKUP(M23,'Iz''s'!$L$25:$O$39,2,FALSE)))))</f>
        <v>24</v>
      </c>
      <c r="BB23" s="531">
        <f>IF(AND(J23="Cobre",F23="Monofásico"),VLOOKUP(M23,'Iz''s'!$CD$9:$CH$24,2,FALSE),IF(AND(J23="Cobre",F23="Trifásico"),VLOOKUP(M23,'Iz''s'!$CD$9:$CH$24,4,FALSE),IF(AND(J23="Alumínio",F23="Monofásico"),VLOOKUP(M23,'Iz''s'!$CD$26:$CH$40,2,FALSE),IF(AND(J23="Alumínio",F23="Trifásico"),VLOOKUP(M23,'Iz''s'!$CD$26:$CH$40,4,FALSE)))))</f>
        <v>23</v>
      </c>
      <c r="BC23" s="531">
        <f>IF(AND(J23="Cobre",F23="Monofásico"),VLOOKUP(M23,'Iz''s'!$B$8:$E$23,3,FALSE),IF(AND(J23="Cobre",F23="Trifásico"),VLOOKUP(M23,'Iz''s'!$L$8:$O$23,3,FALSE),IF(AND(J23="Alumínio",F23="Monofásico"),VLOOKUP(M23,'Iz''s'!$B$25:$E$39,3,FALSE),IF(AND(J23="Alumínio",F23="Trifásico"),VLOOKUP(M23,'Iz''s'!$L$25:$O$39,3,FALSE)))))</f>
        <v>28</v>
      </c>
      <c r="BD23" s="531">
        <f>IF(AND(J23="Cobre",F23="Monofásico"),VLOOKUP(M23,'Iz''s'!$CD$9:$CH$24,3,FALSE),IF(AND(J23="Cobre",F23="Trifásico"),VLOOKUP(M23,'Iz''s'!$CD$9:$CH$24,5,FALSE),IF(AND(J23="Alumínio",F23="Monofásico"),VLOOKUP(M23,'Iz''s'!$CD$26:$CH$40,3,FALSE),IF(AND(J23="Alumínio",F23="Trifásico"),VLOOKUP(M23,'Iz''s'!$CD$26:$CH$40,5,FALSE)))))</f>
        <v>27</v>
      </c>
      <c r="BE23" s="531">
        <f>IF(AND(J23="Cobre",F23="Monofásico"),VLOOKUP(M23,'Iz''s'!$B$8:$E$23,4,FALSE),IF(AND(J23="Cobre",F23="Trifásico"),VLOOKUP(M23,'Iz''s'!$L$8:$O$23,4,FALSE),IF(AND(J23="Alumínio",F23="Monofásico"),VLOOKUP(M23,'Iz''s'!$B$25:$E$39,4,FALSE),IF(AND(J23="Alumínio",F23="Trifásico"),VLOOKUP(M23,'Iz''s'!$L$25:$O$39,4,FALSE)))))</f>
        <v>32</v>
      </c>
      <c r="BF23" s="531">
        <f>IF(AND(J23="Cobre",F23="Monofásico"),VLOOKUP(M23,'Iz''s'!$CP$9:$CT$24,3,FALSE),IF(AND(J23="Cobre",F23="Trifásico"),VLOOKUP(M23,'Iz''s'!$CP$9:$CT$24,2,FALSE),IF(AND(J23="Alumínio",F23="Monofásico"),VLOOKUP(M23,'Iz''s'!$CP$26:$CT$37,3,FALSE),IF(AND(J23="Alumínio",F23="Trifásico"),VLOOKUP(M23,'Iz''s'!$CP$26:$CT$37,2,FALSE)))))</f>
        <v>44</v>
      </c>
      <c r="BG23" s="609">
        <f>IF(AND(J23="Cobre",F23="Monofásico"),VLOOKUP(M23,'Iz''s'!$AT$10:$BA$28,2,FALSE),IF(AND(J23="Cobre",F23="Trifásico"),VLOOKUP(M23,'Iz''s'!$AT$10:$BA$28,3,FALSE),IF(AND(J23="Alumínio",F23="Monofásico"),VLOOKUP(M23,'Iz''s'!$BC$10:$BJ$27,2,FALSE),IF(AND(J23="Alumínio",F23="Trifásico"),VLOOKUP(M23,'Iz''s'!$BC$10:$BJ$27,3,FALSE)))))</f>
        <v>34</v>
      </c>
      <c r="BH23" s="609" t="str">
        <f>IF(AND(J23="Cobre",F23="Monofásico"),VLOOKUP(M23,'Iz''s'!$AT$10:$BA$28,4,FALSE),IF(AND(J23="Cobre",F23="Trifásico"),VLOOKUP(M23,'Iz''s'!$AT$10:$BA$28,5,FALSE),IF(AND(J23="Alumínio",F23="Monofásico"),VLOOKUP(M23,'Iz''s'!$BC$10:$BJ$27,4,FALSE),IF(AND(J23="Alumínio",F23="Trifásico"),VLOOKUP(M23,'Iz''s'!$BC$10:$BJ$27,5,FALSE)))))</f>
        <v xml:space="preserve"> --- </v>
      </c>
      <c r="BI23" s="609" t="str">
        <f>IF(AND(J23="Cobre",F23="Monofásico"),"N/A",IF(AND(J23="Cobre",F23="Trifásico"),VLOOKUP(M23,'Iz''s'!$AT$10:$BA$28,8,FALSE),IF(AND(J23="Alumínio",F23="Monofásico"),"N/A",IF(AND(J23="Alumínio",F23="Trifásico"),VLOOKUP(M23,'Iz''s'!$BC$10:$BJ$27,8,FALSE)))))</f>
        <v xml:space="preserve"> --- </v>
      </c>
      <c r="BJ23" s="531">
        <f>IF(AND(J23="Cobre",F23="Monofásico"),VLOOKUP(M23,'Iz''s'!$G$8:$J$23,2,FALSE),IF(AND(J23="Cobre",F23="Trifásico"),VLOOKUP(M23,'Iz''s'!$Q$8:$T$23,2,FALSE),IF(AND(J23="Alumínio",F23="Monofásico"),VLOOKUP(M23,'Iz''s'!$G$25:$J$39,2,FALSE),IF(AND(J23="Alumínio",F23="Trifásico"),VLOOKUP(M23,'Iz''s'!$Q$25:$T$39,2,FALSE)))))</f>
        <v>31</v>
      </c>
      <c r="BK23" s="609">
        <f>IF(AND(J23="Cobre",F23="Monofásico"),VLOOKUP(M23,'Iz''s'!$CJ$9:$CN$24,2,FALSE),IF(AND(J23="Cobre",F23="Trifásico"),VLOOKUP(M23,'Iz''s'!$CJ$9:$CN$24,4,FALSE),IF(AND(J23="Alumínio",F23="Monofásico"),VLOOKUP(M23,'Iz''s'!$CJ$26:$CN$40,2,FALSE),IF(AND(J23="Alumínio",F23="Trifásico"),VLOOKUP(M23,'Iz''s'!$CJ$26:$CN$40,4,FALSE)))))</f>
        <v>30</v>
      </c>
      <c r="BL23" s="609">
        <f>IF(AND(J23="Cobre",F23="Monofásico"),VLOOKUP(M23,'Iz''s'!$G$8:$J$23,3,FALSE),IF(AND(J23="Cobre",F23="Trifásico"),VLOOKUP(M23,'Iz''s'!$Q$8:$T$23,3,FALSE),IF(AND(J23="Alumínio",F23="Monofásico"),VLOOKUP(M23,'Iz''s'!$G$25:$J$39,3,FALSE),IF(AND(J23="Alumínio",F23="Trifásico"),VLOOKUP(M23,'Iz''s'!$Q$25:$T$39,3,FALSE)))))</f>
        <v>37</v>
      </c>
      <c r="BM23" s="609">
        <f>IF(AND(J23="Cobre",F23="Monofásico"),VLOOKUP(M23,'Iz''s'!$CJ$9:$CN$24,3,FALSE),IF(AND(J23="Cobre",F23="Trifásico"),VLOOKUP(M23,'Iz''s'!$CJ$9:$CN$24,5,FALSE),IF(AND(J23="Alumínio",F23="Monofásico"),VLOOKUP(M23,'Iz''s'!$CJ$26:$CN$40,3,FALSE),IF(AND(J23="Alumínio",F23="Trifásico"),VLOOKUP(M23,'Iz''s'!$CJ$26:$CN$40,5,FALSE)))))</f>
        <v>35</v>
      </c>
      <c r="BN23" s="609">
        <f>IF(AND(J23="Cobre",F23="Monofásico"),VLOOKUP(M23,'Iz''s'!$G$8:$J$23,4,FALSE),IF(AND(J23="Cobre",F23="Trifásico"),VLOOKUP(M23,'Iz''s'!$Q$8:$T$23,4,FALSE),IF(AND(J23="Alumínio",F23="Monofásico"),VLOOKUP(M23,'Iz''s'!$G$25:$J$39,4,FALSE),IF(AND(J23="Alumínio",F23="Trifásico"),VLOOKUP(M23,'Iz''s'!$Q$25:$T$39,4,FALSE)))))</f>
        <v>40</v>
      </c>
      <c r="BO23" s="609">
        <f>IF(AND(J23="Cobre",F23="Monofásico"),VLOOKUP(M23,'Iz''s'!$CP$9:$CT$24,5,FALSE),IF(AND(J23="Cobre",F23="Trifásico"),VLOOKUP(M23,'Iz''s'!$CP$9:$CT$24,4,FALSE),IF(AND(J23="Alumínio",F23="Monofásico"),VLOOKUP(M23,'Iz''s'!$CP$26:$CT$37,5,FALSE),IF(AND(J23="Alumínio",F23="Trifásico"),VLOOKUP(M23,'Iz''s'!$CP$26:$CT$37,4,FALSE)))))</f>
        <v>53</v>
      </c>
      <c r="BP23" s="609">
        <f>IF(AND(J23="Cobre",F23="Monofásico"),VLOOKUP(M23,'Iz''s'!$BL$10:$BS$28,2,FALSE),IF(AND(J23="Cobre",F23="Trifásico"),VLOOKUP(M23,'Iz''s'!$BL$10:$BS$28,3,FALSE),IF(AND(J23="Alumínio",F23="Monofásico"),VLOOKUP(M23,'Iz''s'!$BU$10:$CB$27,2,FALSE),IF(AND(J23="Alumínio",F23="Trifásico"),VLOOKUP(M23,'Iz''s'!$BU$10:$CB$27,3,FALSE)))))</f>
        <v>42</v>
      </c>
      <c r="BQ23" s="609" t="str">
        <f>IF(AND(J23="Cobre",F23="Monofásico"),VLOOKUP(M23,'Iz''s'!$BL$10:$BS$28,4,FALSE),IF(AND(J23="Cobre",F23="Trifásico"),VLOOKUP(M23,'Iz''s'!$BL$10:$BS$28,5,FALSE),IF(AND(J23="Alumínio",F23="Monofásico"),VLOOKUP(M23,'Iz''s'!$BU$10:$CB$27,4,FALSE),IF(AND(J23="Alumínio",F23="Trifásico"),VLOOKUP(M23,'Iz''s'!$BU$10:$CB$27,5,FALSE)))))</f>
        <v xml:space="preserve"> --- </v>
      </c>
      <c r="BR23" s="609" t="str">
        <f>IF(AND(J23="Cobre",F23="Monofásico"),"N/A",IF(AND(J23="Cobre",F23="Trifásico"),VLOOKUP(M23,'Iz''s'!$BL$10:$BS$28,8,FALSE),IF(AND(J23="Alumínio",F23="Monofásico"),"N/A",IF(AND(J23="Alumínio",F23="Trifásico"),VLOOKUP(M23,'Iz''s'!$BU$10:$CB$27,8,FALSE)))))</f>
        <v xml:space="preserve"> --- </v>
      </c>
      <c r="BS23" s="609">
        <f>IF(AND(J23="Cobre",F23="Monofásico"),VLOOKUP(M23,'Iz''s'!$V$14:$Y$28,2,FALSE),IF(AND(J23="Cobre",F23="Trifásico"),VLOOKUP(M23,'Iz''s'!$V$14:$Y$28,3,FALSE),IF(AND(J23="Alumínio",F23="Monofásico"),VLOOKUP(M23,"N/A",4,FALSE),IF(AND(J23="Alumínio",F23="Trifásico"),VLOOKUP(M23,"N/A",4,FALSE)))))</f>
        <v>37</v>
      </c>
      <c r="BT23" s="609">
        <f>IF(AND(J23="Cobre",F23="Monofásico"),VLOOKUP(M23,'Iz''s'!$AF$15:$AK$29,2,FALSE),IF(AND(J23="Cobre",F23="Trifásico"),VLOOKUP(M23,'Iz''s'!$AF$15:$AK$29,3,FALSE),IF(AND(J23="Alumínio",F23="Monofásico"),"N/A",IF(AND(J23="Alumínio",F23="Trifásico"),"N/A"))))</f>
        <v>40</v>
      </c>
      <c r="BU23" s="609">
        <f>IF(AND(J23="Cobre",F23="Monofásico"),VLOOKUP(M23,'Iz''s'!$AF$15:$AK$29,2,FALSE),IF(AND(J23="Cobre",F23="Trifásico"),VLOOKUP(M23,'Iz''s'!$AF$15:$AK$29,3,FALSE),IF(AND(J23="Alumínio",F23="Monofásico"),"N/A",IF(AND(J23="Alumínio",F23="Trifásico"),"N/A"))))</f>
        <v>40</v>
      </c>
      <c r="BV23" s="610">
        <f>IF(AND(J23="Cobre",F23="Monofásico"),"N/A",IF(AND(J23="Cobre",F23="Trifásico"),VLOOKUP(M23,'Iz''s'!$AF$15:$AK$29,6,FALSE),IF(AND(J23="Alumínio",F23="Monofásico"),"N/A",IF(AND(J23="Alumínio",F23="Trifásico"),"N/A"))))</f>
        <v>56</v>
      </c>
      <c r="BW23" s="611">
        <v>21</v>
      </c>
      <c r="BX23" s="583"/>
      <c r="BY23" s="612">
        <f>VLOOKUP(M23,Consulta!$W$6:$AB$23,4,FALSE)</f>
        <v>20</v>
      </c>
      <c r="BZ23" s="612">
        <f>VLOOKUP(M23,Consulta!$W$6:$AB$23,6,FALSE)</f>
        <v>25</v>
      </c>
      <c r="CA23" s="612">
        <f>VLOOKUP(M23,Consulta!$AK$6:$AP$23,4,FALSE)</f>
        <v>25</v>
      </c>
      <c r="CB23" s="612">
        <f>VLOOKUP(M23,Consulta!$AK$6:$AP$23,6,FALSE)</f>
        <v>25</v>
      </c>
      <c r="CC23" s="585" t="e">
        <f>VLOOKUP(M23,Consulta!$AD$6:$AI$19,4,FALSE)</f>
        <v>#N/A</v>
      </c>
      <c r="CD23" s="585" t="e">
        <f>VLOOKUP(M23,Consulta!$AD$6:$AI$19,6,FALSE)</f>
        <v>#N/A</v>
      </c>
      <c r="CE23" s="585" t="e">
        <f>VLOOKUP(M23,Consulta!$AR$6:$AW$19,4,FALSE)</f>
        <v>#N/A</v>
      </c>
      <c r="CF23" s="586" t="e">
        <f>VLOOKUP(M23,Consulta!$AR$6:$AW$19,6,FALSE)</f>
        <v>#N/A</v>
      </c>
    </row>
    <row r="24" spans="2:127" ht="16.5" customHeight="1" x14ac:dyDescent="0.2">
      <c r="B24" s="1118"/>
      <c r="C24" s="819" t="s">
        <v>791</v>
      </c>
      <c r="D24" s="684">
        <f t="shared" si="35"/>
        <v>3.6</v>
      </c>
      <c r="E24" s="684">
        <f>8.9144+5.65+7.575</f>
        <v>22.139400000000002</v>
      </c>
      <c r="F24" s="684" t="s">
        <v>244</v>
      </c>
      <c r="G24" s="684" t="s">
        <v>808</v>
      </c>
      <c r="H24" s="684">
        <v>1</v>
      </c>
      <c r="I24" s="760" t="s">
        <v>13</v>
      </c>
      <c r="J24" s="684" t="s">
        <v>242</v>
      </c>
      <c r="K24" s="684" t="s">
        <v>363</v>
      </c>
      <c r="L24" s="684">
        <v>1</v>
      </c>
      <c r="M24" s="685">
        <v>2.5</v>
      </c>
      <c r="N24" s="684" t="s">
        <v>455</v>
      </c>
      <c r="O24" s="684">
        <v>4</v>
      </c>
      <c r="P24" s="555">
        <f t="shared" si="4"/>
        <v>30</v>
      </c>
      <c r="Q24" s="684">
        <v>1</v>
      </c>
      <c r="R24" s="684">
        <v>1</v>
      </c>
      <c r="S24" s="555">
        <f>IF(F24="Monofásico",(((D24*10^3)/H24)/230),(((D24*10^3)/H24)/(SQRT(3)*400)))</f>
        <v>15.652173913043478</v>
      </c>
      <c r="T24" s="696">
        <f>P24*R24</f>
        <v>30</v>
      </c>
      <c r="U24" s="684" t="s">
        <v>499</v>
      </c>
      <c r="V24" s="555">
        <v>16</v>
      </c>
      <c r="W24" s="684">
        <f>IF(U24="C.C.Fusíveis",VLOOKUP(V24,Consulta!$L$5:$N$31,3,FALSE),VLOOKUP(V24,Consulta!$P$5:$R$34,3,FALSE))</f>
        <v>21.6</v>
      </c>
      <c r="X24" s="698">
        <f t="shared" si="10"/>
        <v>44</v>
      </c>
      <c r="Y24" s="761">
        <f>S24/T24</f>
        <v>0.52173913043478259</v>
      </c>
      <c r="Z24" s="689" t="str">
        <f>IF(AND(S24&lt;=V24,V24&lt;=P24,W24&lt;=X24),"Sim","Não")</f>
        <v>Sim</v>
      </c>
      <c r="AA24" s="762">
        <f t="shared" si="33"/>
        <v>7.7627140213909152E-2</v>
      </c>
      <c r="AB24" s="762">
        <f t="shared" si="12"/>
        <v>0.24906824999999999</v>
      </c>
      <c r="AC24" s="762">
        <f t="shared" si="6"/>
        <v>0</v>
      </c>
      <c r="AD24" s="686">
        <f t="shared" si="37"/>
        <v>2.4122515281164385</v>
      </c>
      <c r="AE24" s="686">
        <f t="shared" si="17"/>
        <v>7.796919130434782</v>
      </c>
      <c r="AF24" s="686">
        <f t="shared" si="18"/>
        <v>10.209170658551221</v>
      </c>
      <c r="AG24" s="687">
        <f t="shared" si="34"/>
        <v>3.3899648393194703E-2</v>
      </c>
      <c r="AH24" s="763">
        <f t="shared" si="34"/>
        <v>4.438769851544009E-2</v>
      </c>
      <c r="AI24" s="686">
        <f t="shared" si="7"/>
        <v>0.70401972874304641</v>
      </c>
      <c r="AJ24" s="684">
        <v>3</v>
      </c>
      <c r="AK24" s="686">
        <v>0.1</v>
      </c>
      <c r="AL24" s="698">
        <f>IF(G24="Multicondutor",(IF(AND(J24="Cobre",K24="PVC"),115,IF(AND(J24="Cobre",K24="XLPE"),143,IF(AND(J24="Alumínio",K24="PVC"),76,IF(AND(J24="Alumínio",K24="XLPE"),94))))),(IF(AND(J24="Cobre",K24="PVC"),143,IF(AND(J24="Cobre",K24="XLPE"),176,IF(AND(J24="Alumínio",K24="PVC"),95,IF(AND(J24="Alumínio",K24="XLPE"),116))))))</f>
        <v>115</v>
      </c>
      <c r="AM24" s="686">
        <f>((AI24*1000)*SQRT(AK24))/AL24</f>
        <v>1.9359181395842939</v>
      </c>
      <c r="AN24" s="689">
        <f>L24</f>
        <v>1</v>
      </c>
      <c r="AO24" s="688" t="s">
        <v>563</v>
      </c>
      <c r="AP24" s="689" t="s">
        <v>523</v>
      </c>
      <c r="AQ24" s="689" t="str">
        <f>IF(F24="Monofásico","3G",IF(AND(F24="Trifásico",M24&lt;25),"5G","3×"))</f>
        <v>3G</v>
      </c>
      <c r="AR24" s="689">
        <f>M24</f>
        <v>2.5</v>
      </c>
      <c r="AS24" s="897" t="str">
        <f t="shared" si="8"/>
        <v/>
      </c>
      <c r="AT24" s="897" t="str">
        <f>IF(OR(AQ24="3G",AQ24="5G"),"",VLOOKUP(AR24,Consulta!$T$5:$U$25,2,FALSE))</f>
        <v/>
      </c>
      <c r="AU24" s="898" t="s">
        <v>565</v>
      </c>
      <c r="AV24" s="689" t="s">
        <v>23</v>
      </c>
      <c r="AW24" s="689" t="s">
        <v>564</v>
      </c>
      <c r="AX24" s="689">
        <f t="shared" si="30"/>
        <v>25</v>
      </c>
      <c r="AY24" s="690" t="s">
        <v>24</v>
      </c>
      <c r="AZ24" s="564"/>
      <c r="BA24" s="584">
        <f>IF(AND(J24="Cobre",F24="Monofásico"),VLOOKUP(M24,'Iz''s'!$B$8:$E$23,2,FALSE),IF(AND(J24="Cobre",F24="Trifásico"),VLOOKUP(M24,'Iz''s'!$L$8:$O$23,2,FALSE),IF(AND(J24="Alumínio",F24="Monofásico"),VLOOKUP(M24,'Iz''s'!$B$25:$E$39,2,FALSE),IF(AND(J24="Alumínio",F24="Trifásico"),VLOOKUP(M24,'Iz''s'!$L$25:$O$39,2,FALSE)))))</f>
        <v>19.5</v>
      </c>
      <c r="BB24" s="531">
        <f>IF(AND(J24="Cobre",F24="Monofásico"),VLOOKUP(M24,'Iz''s'!$CD$9:$CH$24,2,FALSE),IF(AND(J24="Cobre",F24="Trifásico"),VLOOKUP(M24,'Iz''s'!$CD$9:$CH$24,4,FALSE),IF(AND(J24="Alumínio",F24="Monofásico"),VLOOKUP(M24,'Iz''s'!$CD$26:$CH$40,2,FALSE),IF(AND(J24="Alumínio",F24="Trifásico"),VLOOKUP(M24,'Iz''s'!$CD$26:$CH$40,4,FALSE)))))</f>
        <v>18.5</v>
      </c>
      <c r="BC24" s="531">
        <f>IF(AND(J24="Cobre",F24="Monofásico"),VLOOKUP(M24,'Iz''s'!$B$8:$E$23,3,FALSE),IF(AND(J24="Cobre",F24="Trifásico"),VLOOKUP(M24,'Iz''s'!$L$8:$O$23,3,FALSE),IF(AND(J24="Alumínio",F24="Monofásico"),VLOOKUP(M24,'Iz''s'!$B$25:$E$39,3,FALSE),IF(AND(J24="Alumínio",F24="Trifásico"),VLOOKUP(M24,'Iz''s'!$L$25:$O$39,3,FALSE)))))</f>
        <v>24</v>
      </c>
      <c r="BD24" s="531">
        <f>IF(AND(J24="Cobre",F24="Monofásico"),VLOOKUP(M24,'Iz''s'!$CD$9:$CH$24,3,FALSE),IF(AND(J24="Cobre",F24="Trifásico"),VLOOKUP(M24,'Iz''s'!$CD$9:$CH$24,5,FALSE),IF(AND(J24="Alumínio",F24="Monofásico"),VLOOKUP(M24,'Iz''s'!$CD$26:$CH$40,3,FALSE),IF(AND(J24="Alumínio",F24="Trifásico"),VLOOKUP(M24,'Iz''s'!$CD$26:$CH$40,5,FALSE)))))</f>
        <v>23</v>
      </c>
      <c r="BE24" s="531">
        <f>IF(AND(J24="Cobre",F24="Monofásico"),VLOOKUP(M24,'Iz''s'!$B$8:$E$23,4,FALSE),IF(AND(J24="Cobre",F24="Trifásico"),VLOOKUP(M24,'Iz''s'!$L$8:$O$23,4,FALSE),IF(AND(J24="Alumínio",F24="Monofásico"),VLOOKUP(M24,'Iz''s'!$B$25:$E$39,4,FALSE),IF(AND(J24="Alumínio",F24="Trifásico"),VLOOKUP(M24,'Iz''s'!$L$25:$O$39,4,FALSE)))))</f>
        <v>27</v>
      </c>
      <c r="BF24" s="531">
        <f>IF(AND(J24="Cobre",F24="Monofásico"),VLOOKUP(M24,'Iz''s'!$CP$9:$CT$24,3,FALSE),IF(AND(J24="Cobre",F24="Trifásico"),VLOOKUP(M24,'Iz''s'!$CP$9:$CT$24,2,FALSE),IF(AND(J24="Alumínio",F24="Monofásico"),VLOOKUP(M24,'Iz''s'!$CP$26:$CT$37,3,FALSE),IF(AND(J24="Alumínio",F24="Trifásico"),VLOOKUP(M24,'Iz''s'!$CP$26:$CT$37,2,FALSE)))))</f>
        <v>42</v>
      </c>
      <c r="BG24" s="609">
        <f>IF(AND(J24="Cobre",F24="Monofásico"),VLOOKUP(M24,'Iz''s'!$AT$10:$BA$28,2,FALSE),IF(AND(J24="Cobre",F24="Trifásico"),VLOOKUP(M24,'Iz''s'!$AT$10:$BA$28,3,FALSE),IF(AND(J24="Alumínio",F24="Monofásico"),VLOOKUP(M24,'Iz''s'!$BC$10:$BJ$27,2,FALSE),IF(AND(J24="Alumínio",F24="Trifásico"),VLOOKUP(M24,'Iz''s'!$BC$10:$BJ$27,3,FALSE)))))</f>
        <v>30</v>
      </c>
      <c r="BH24" s="609" t="str">
        <f>IF(AND(J24="Cobre",F24="Monofásico"),VLOOKUP(M24,'Iz''s'!$AT$10:$BA$28,4,FALSE),IF(AND(J24="Cobre",F24="Trifásico"),VLOOKUP(M24,'Iz''s'!$AT$10:$BA$28,5,FALSE),IF(AND(J24="Alumínio",F24="Monofásico"),VLOOKUP(M24,'Iz''s'!$BC$10:$BJ$27,4,FALSE),IF(AND(J24="Alumínio",F24="Trifásico"),VLOOKUP(M24,'Iz''s'!$BC$10:$BJ$27,5,FALSE)))))</f>
        <v xml:space="preserve"> --- </v>
      </c>
      <c r="BI24" s="609" t="str">
        <f>IF(AND(J24="Cobre",F24="Monofásico"),"N/A",IF(AND(J24="Cobre",F24="Trifásico"),VLOOKUP(M24,'Iz''s'!$AT$10:$BA$28,8,FALSE),IF(AND(J24="Alumínio",F24="Monofásico"),"N/A",IF(AND(J24="Alumínio",F24="Trifásico"),VLOOKUP(M24,'Iz''s'!$BC$10:$BJ$27,8,FALSE)))))</f>
        <v>N/A</v>
      </c>
      <c r="BJ24" s="531">
        <f>IF(AND(J24="Cobre",F24="Monofásico"),VLOOKUP(M24,'Iz''s'!$G$8:$J$23,2,FALSE),IF(AND(J24="Cobre",F24="Trifásico"),VLOOKUP(M24,'Iz''s'!$Q$8:$T$23,2,FALSE),IF(AND(J24="Alumínio",F24="Monofásico"),VLOOKUP(M24,'Iz''s'!$G$25:$J$39,2,FALSE),IF(AND(J24="Alumínio",F24="Trifásico"),VLOOKUP(M24,'Iz''s'!$Q$25:$T$39,2,FALSE)))))</f>
        <v>26</v>
      </c>
      <c r="BK24" s="609">
        <f>IF(AND(J24="Cobre",F24="Monofásico"),VLOOKUP(M24,'Iz''s'!$CJ$9:$CN$24,2,FALSE),IF(AND(J24="Cobre",F24="Trifásico"),VLOOKUP(M24,'Iz''s'!$CJ$9:$CN$24,4,FALSE),IF(AND(J24="Alumínio",F24="Monofásico"),VLOOKUP(M24,'Iz''s'!$CJ$26:$CN$40,2,FALSE),IF(AND(J24="Alumínio",F24="Trifásico"),VLOOKUP(M24,'Iz''s'!$CJ$26:$CN$40,4,FALSE)))))</f>
        <v>25</v>
      </c>
      <c r="BL24" s="609">
        <f>IF(AND(J24="Cobre",F24="Monofásico"),VLOOKUP(M24,'Iz''s'!$G$8:$J$23,3,FALSE),IF(AND(J24="Cobre",F24="Trifásico"),VLOOKUP(M24,'Iz''s'!$Q$8:$T$23,3,FALSE),IF(AND(J24="Alumínio",F24="Monofásico"),VLOOKUP(M24,'Iz''s'!$G$25:$J$39,3,FALSE),IF(AND(J24="Alumínio",F24="Trifásico"),VLOOKUP(M24,'Iz''s'!$Q$25:$T$39,3,FALSE)))))</f>
        <v>31</v>
      </c>
      <c r="BM24" s="609">
        <f>IF(AND(J24="Cobre",F24="Monofásico"),VLOOKUP(M24,'Iz''s'!$CJ$9:$CN$24,3,FALSE),IF(AND(J24="Cobre",F24="Trifásico"),VLOOKUP(M24,'Iz''s'!$CJ$9:$CN$24,5,FALSE),IF(AND(J24="Alumínio",F24="Monofásico"),VLOOKUP(M24,'Iz''s'!$CJ$26:$CN$40,3,FALSE),IF(AND(J24="Alumínio",F24="Trifásico"),VLOOKUP(M24,'Iz''s'!$CJ$26:$CN$40,5,FALSE)))))</f>
        <v>30</v>
      </c>
      <c r="BN24" s="609">
        <f>IF(AND(J24="Cobre",F24="Monofásico"),VLOOKUP(M24,'Iz''s'!$G$8:$J$23,4,FALSE),IF(AND(J24="Cobre",F24="Trifásico"),VLOOKUP(M24,'Iz''s'!$Q$8:$T$23,4,FALSE),IF(AND(J24="Alumínio",F24="Monofásico"),VLOOKUP(M24,'Iz''s'!$G$25:$J$39,4,FALSE),IF(AND(J24="Alumínio",F24="Trifásico"),VLOOKUP(M24,'Iz''s'!$Q$25:$T$39,4,FALSE)))))</f>
        <v>33</v>
      </c>
      <c r="BO24" s="609">
        <f>IF(AND(J24="Cobre",F24="Monofásico"),VLOOKUP(M24,'Iz''s'!$CP$9:$CT$24,5,FALSE),IF(AND(J24="Cobre",F24="Trifásico"),VLOOKUP(M24,'Iz''s'!$CP$9:$CT$24,4,FALSE),IF(AND(J24="Alumínio",F24="Monofásico"),VLOOKUP(M24,'Iz''s'!$CP$26:$CT$37,5,FALSE),IF(AND(J24="Alumínio",F24="Trifásico"),VLOOKUP(M24,'Iz''s'!$CP$26:$CT$37,4,FALSE)))))</f>
        <v>48</v>
      </c>
      <c r="BP24" s="609">
        <f>IF(AND(J24="Cobre",F24="Monofásico"),VLOOKUP(M24,'Iz''s'!$BL$10:$BS$28,2,FALSE),IF(AND(J24="Cobre",F24="Trifásico"),VLOOKUP(M24,'Iz''s'!$BL$10:$BS$28,3,FALSE),IF(AND(J24="Alumínio",F24="Monofásico"),VLOOKUP(M24,'Iz''s'!$BU$10:$CB$27,2,FALSE),IF(AND(J24="Alumínio",F24="Trifásico"),VLOOKUP(M24,'Iz''s'!$BU$10:$CB$27,3,FALSE)))))</f>
        <v>36</v>
      </c>
      <c r="BQ24" s="609" t="str">
        <f>IF(AND(J24="Cobre",F24="Monofásico"),VLOOKUP(M24,'Iz''s'!$BL$10:$BS$28,4,FALSE),IF(AND(J24="Cobre",F24="Trifásico"),VLOOKUP(M24,'Iz''s'!$BL$10:$BS$28,5,FALSE),IF(AND(J24="Alumínio",F24="Monofásico"),VLOOKUP(M24,'Iz''s'!$BU$10:$CB$27,4,FALSE),IF(AND(J24="Alumínio",F24="Trifásico"),VLOOKUP(M24,'Iz''s'!$BU$10:$CB$27,5,FALSE)))))</f>
        <v xml:space="preserve"> --- </v>
      </c>
      <c r="BR24" s="609" t="str">
        <f>IF(AND(J24="Cobre",F24="Monofásico"),"N/A",IF(AND(J24="Cobre",F24="Trifásico"),VLOOKUP(M24,'Iz''s'!$BL$10:$BS$28,8,FALSE),IF(AND(J24="Alumínio",F24="Monofásico"),"N/A",IF(AND(J24="Alumínio",F24="Trifásico"),VLOOKUP(M24,'Iz''s'!$BU$10:$CB$27,8,FALSE)))))</f>
        <v>N/A</v>
      </c>
      <c r="BS24" s="609">
        <f>IF(AND(J24="Cobre",F24="Monofásico"),VLOOKUP(M24,'Iz''s'!$V$14:$Y$28,2,FALSE),IF(AND(J24="Cobre",F24="Trifásico"),VLOOKUP(M24,'Iz''s'!$V$14:$Y$28,3,FALSE),IF(AND(J24="Alumínio",F24="Monofásico"),VLOOKUP(M24,"N/A",4,FALSE),IF(AND(J24="Alumínio",F24="Trifásico"),VLOOKUP(M24,"N/A",4,FALSE)))))</f>
        <v>34</v>
      </c>
      <c r="BT24" s="609">
        <f>IF(AND(J24="Cobre",F24="Monofásico"),VLOOKUP(M24,'Iz''s'!$AF$15:$AK$29,2,FALSE),IF(AND(J24="Cobre",F24="Trifásico"),VLOOKUP(M24,'Iz''s'!$AF$15:$AK$29,3,FALSE),IF(AND(J24="Alumínio",F24="Monofásico"),"N/A",IF(AND(J24="Alumínio",F24="Trifásico"),"N/A"))))</f>
        <v>36</v>
      </c>
      <c r="BU24" s="609">
        <f>IF(AND(J24="Cobre",F24="Monofásico"),VLOOKUP(M24,'Iz''s'!$AF$15:$AK$29,2,FALSE),IF(AND(J24="Cobre",F24="Trifásico"),VLOOKUP(M24,'Iz''s'!$AF$15:$AK$29,3,FALSE),IF(AND(J24="Alumínio",F24="Monofásico"),"N/A",IF(AND(J24="Alumínio",F24="Trifásico"),"N/A"))))</f>
        <v>36</v>
      </c>
      <c r="BV24" s="610" t="str">
        <f>IF(AND(J24="Cobre",F24="Monofásico"),"N/A",IF(AND(J24="Cobre",F24="Trifásico"),VLOOKUP(M24,'Iz''s'!$AF$15:$AK$29,6,FALSE),IF(AND(J24="Alumínio",F24="Monofásico"),"N/A",IF(AND(J24="Alumínio",F24="Trifásico"),"N/A"))))</f>
        <v>N/A</v>
      </c>
      <c r="BW24" s="611">
        <v>22</v>
      </c>
      <c r="BX24" s="583"/>
      <c r="BY24" s="612">
        <f>VLOOKUP(M24,Consulta!$W$6:$AB$23,4,FALSE)</f>
        <v>16</v>
      </c>
      <c r="BZ24" s="612">
        <f>VLOOKUP(M24,Consulta!$W$6:$AB$23,6,FALSE)</f>
        <v>20</v>
      </c>
      <c r="CA24" s="612">
        <f>VLOOKUP(M24,Consulta!$AK$6:$AP$23,4,FALSE)</f>
        <v>20</v>
      </c>
      <c r="CB24" s="612">
        <f>VLOOKUP(M24,Consulta!$AK$6:$AP$23,6,FALSE)</f>
        <v>25</v>
      </c>
      <c r="CC24" s="585" t="e">
        <f>VLOOKUP(M24,Consulta!$AD$6:$AI$19,4,FALSE)</f>
        <v>#N/A</v>
      </c>
      <c r="CD24" s="585" t="e">
        <f>VLOOKUP(M24,Consulta!$AD$6:$AI$19,6,FALSE)</f>
        <v>#N/A</v>
      </c>
      <c r="CE24" s="585" t="e">
        <f>VLOOKUP(M24,Consulta!$AR$6:$AW$19,4,FALSE)</f>
        <v>#N/A</v>
      </c>
      <c r="CF24" s="586" t="e">
        <f>VLOOKUP(M24,Consulta!$AR$6:$AW$19,6,FALSE)</f>
        <v>#N/A</v>
      </c>
    </row>
    <row r="25" spans="2:127" ht="16.5" customHeight="1" x14ac:dyDescent="0.2">
      <c r="B25" s="1118"/>
      <c r="C25" s="820" t="s">
        <v>798</v>
      </c>
      <c r="D25" s="701">
        <f>6*230/1000</f>
        <v>1.38</v>
      </c>
      <c r="E25" s="701">
        <f>27.525+8.29+5.75+8.9144</f>
        <v>50.479399999999998</v>
      </c>
      <c r="F25" s="701" t="s">
        <v>244</v>
      </c>
      <c r="G25" s="701" t="s">
        <v>808</v>
      </c>
      <c r="H25" s="701">
        <v>1</v>
      </c>
      <c r="I25" s="765" t="s">
        <v>13</v>
      </c>
      <c r="J25" s="701" t="s">
        <v>242</v>
      </c>
      <c r="K25" s="701" t="s">
        <v>363</v>
      </c>
      <c r="L25" s="701">
        <v>1</v>
      </c>
      <c r="M25" s="702">
        <v>2.5</v>
      </c>
      <c r="N25" s="701" t="s">
        <v>455</v>
      </c>
      <c r="O25" s="701">
        <v>4</v>
      </c>
      <c r="P25" s="555">
        <f t="shared" si="4"/>
        <v>30</v>
      </c>
      <c r="Q25" s="701">
        <v>1</v>
      </c>
      <c r="R25" s="701">
        <v>0.77</v>
      </c>
      <c r="S25" s="555">
        <f t="shared" ref="S25:S33" si="45">IF(F25="Monofásico",(((D25*10^3)/H25)/230),(((D25*10^3)/H25)/(SQRT(3)*400)))</f>
        <v>6</v>
      </c>
      <c r="T25" s="712">
        <f t="shared" ref="T25:T34" si="46">P25*R25</f>
        <v>23.1</v>
      </c>
      <c r="U25" s="701" t="s">
        <v>499</v>
      </c>
      <c r="V25" s="555">
        <v>10</v>
      </c>
      <c r="W25" s="701">
        <f>IF(U25="C.C.Fusíveis",VLOOKUP(V25,Consulta!$L$5:$N$31,3,FALSE),VLOOKUP(V25,Consulta!$P$5:$R$34,3,FALSE))</f>
        <v>13.5</v>
      </c>
      <c r="X25" s="713">
        <f t="shared" si="10"/>
        <v>44</v>
      </c>
      <c r="Y25" s="766">
        <f t="shared" si="44"/>
        <v>0.25974025974025972</v>
      </c>
      <c r="Z25" s="706" t="str">
        <f t="shared" si="11"/>
        <v>Sim</v>
      </c>
      <c r="AA25" s="767">
        <f t="shared" si="33"/>
        <v>7.7627140213909152E-2</v>
      </c>
      <c r="AB25" s="767">
        <f>(IF(J25="Cobre",(1.25*0.0225),(1.25*0.036)))*((E25/M25)/L25)</f>
        <v>0.56789324999999991</v>
      </c>
      <c r="AC25" s="767">
        <f>(IF(M25&lt;10,0,(0.00008)))*(E25)</f>
        <v>0</v>
      </c>
      <c r="AD25" s="703">
        <f t="shared" si="37"/>
        <v>2.4122515281164385</v>
      </c>
      <c r="AE25" s="703">
        <f t="shared" si="17"/>
        <v>6.8147189999999984</v>
      </c>
      <c r="AF25" s="703">
        <f t="shared" si="18"/>
        <v>9.2269705281164374</v>
      </c>
      <c r="AG25" s="704">
        <f t="shared" si="34"/>
        <v>2.9629213043478254E-2</v>
      </c>
      <c r="AH25" s="768">
        <f t="shared" si="34"/>
        <v>4.0117263165723643E-2</v>
      </c>
      <c r="AI25" s="703">
        <f t="shared" si="7"/>
        <v>0.35630168076299473</v>
      </c>
      <c r="AJ25" s="701">
        <v>3</v>
      </c>
      <c r="AK25" s="703">
        <v>0.1</v>
      </c>
      <c r="AL25" s="713">
        <f t="shared" ref="AL25:AL34" si="47">IF(G25="Multicondutor",(IF(AND(J25="Cobre",K25="PVC"),115,IF(AND(J25="Cobre",K25="XLPE"),143,IF(AND(J25="Alumínio",K25="PVC"),76,IF(AND(J25="Alumínio",K25="XLPE"),94))))),(IF(AND(J25="Cobre",K25="PVC"),143,IF(AND(J25="Cobre",K25="XLPE"),176,IF(AND(J25="Alumínio",K25="PVC"),95,IF(AND(J25="Alumínio",K25="XLPE"),116))))))</f>
        <v>115</v>
      </c>
      <c r="AM25" s="703">
        <f t="shared" ref="AM25:AM34" si="48">((AI25*1000)*SQRT(AK25))/AL25</f>
        <v>0.97976073509327299</v>
      </c>
      <c r="AN25" s="706">
        <f t="shared" si="40"/>
        <v>1</v>
      </c>
      <c r="AO25" s="705" t="s">
        <v>563</v>
      </c>
      <c r="AP25" s="706" t="s">
        <v>523</v>
      </c>
      <c r="AQ25" s="706" t="str">
        <f t="shared" si="41"/>
        <v>3G</v>
      </c>
      <c r="AR25" s="706">
        <f t="shared" ref="AR25:AR34" si="49">M25</f>
        <v>2.5</v>
      </c>
      <c r="AS25" s="893" t="str">
        <f t="shared" si="8"/>
        <v/>
      </c>
      <c r="AT25" s="893" t="str">
        <f>IF(OR(AQ25="3G",AQ25="5G"),"",VLOOKUP(AR25,Consulta!$T$5:$U$25,2,FALSE))</f>
        <v/>
      </c>
      <c r="AU25" s="894" t="s">
        <v>565</v>
      </c>
      <c r="AV25" s="706" t="s">
        <v>23</v>
      </c>
      <c r="AW25" s="706" t="s">
        <v>564</v>
      </c>
      <c r="AX25" s="706">
        <f t="shared" si="30"/>
        <v>20</v>
      </c>
      <c r="AY25" s="707" t="s">
        <v>24</v>
      </c>
      <c r="AZ25" s="564"/>
      <c r="BA25" s="584">
        <f>IF(AND(J25="Cobre",F25="Monofásico"),VLOOKUP(M25,'Iz''s'!$B$8:$E$23,2,FALSE),IF(AND(J25="Cobre",F25="Trifásico"),VLOOKUP(M25,'Iz''s'!$L$8:$O$23,2,FALSE),IF(AND(J25="Alumínio",F25="Monofásico"),VLOOKUP(M25,'Iz''s'!$B$25:$E$39,2,FALSE),IF(AND(J25="Alumínio",F25="Trifásico"),VLOOKUP(M25,'Iz''s'!$L$25:$O$39,2,FALSE)))))</f>
        <v>19.5</v>
      </c>
      <c r="BB25" s="531">
        <f>IF(AND(J25="Cobre",F25="Monofásico"),VLOOKUP(M25,'Iz''s'!$CD$9:$CH$24,2,FALSE),IF(AND(J25="Cobre",F25="Trifásico"),VLOOKUP(M25,'Iz''s'!$CD$9:$CH$24,4,FALSE),IF(AND(J25="Alumínio",F25="Monofásico"),VLOOKUP(M25,'Iz''s'!$CD$26:$CH$40,2,FALSE),IF(AND(J25="Alumínio",F25="Trifásico"),VLOOKUP(M25,'Iz''s'!$CD$26:$CH$40,4,FALSE)))))</f>
        <v>18.5</v>
      </c>
      <c r="BC25" s="531">
        <f>IF(AND(J25="Cobre",F25="Monofásico"),VLOOKUP(M25,'Iz''s'!$B$8:$E$23,3,FALSE),IF(AND(J25="Cobre",F25="Trifásico"),VLOOKUP(M25,'Iz''s'!$L$8:$O$23,3,FALSE),IF(AND(J25="Alumínio",F25="Monofásico"),VLOOKUP(M25,'Iz''s'!$B$25:$E$39,3,FALSE),IF(AND(J25="Alumínio",F25="Trifásico"),VLOOKUP(M25,'Iz''s'!$L$25:$O$39,3,FALSE)))))</f>
        <v>24</v>
      </c>
      <c r="BD25" s="531">
        <f>IF(AND(J25="Cobre",F25="Monofásico"),VLOOKUP(M25,'Iz''s'!$CD$9:$CH$24,3,FALSE),IF(AND(J25="Cobre",F25="Trifásico"),VLOOKUP(M25,'Iz''s'!$CD$9:$CH$24,5,FALSE),IF(AND(J25="Alumínio",F25="Monofásico"),VLOOKUP(M25,'Iz''s'!$CD$26:$CH$40,3,FALSE),IF(AND(J25="Alumínio",F25="Trifásico"),VLOOKUP(M25,'Iz''s'!$CD$26:$CH$40,5,FALSE)))))</f>
        <v>23</v>
      </c>
      <c r="BE25" s="531">
        <f>IF(AND(J25="Cobre",F25="Monofásico"),VLOOKUP(M25,'Iz''s'!$B$8:$E$23,4,FALSE),IF(AND(J25="Cobre",F25="Trifásico"),VLOOKUP(M25,'Iz''s'!$L$8:$O$23,4,FALSE),IF(AND(J25="Alumínio",F25="Monofásico"),VLOOKUP(M25,'Iz''s'!$B$25:$E$39,4,FALSE),IF(AND(J25="Alumínio",F25="Trifásico"),VLOOKUP(M25,'Iz''s'!$L$25:$O$39,4,FALSE)))))</f>
        <v>27</v>
      </c>
      <c r="BF25" s="531">
        <f>IF(AND(J25="Cobre",F25="Monofásico"),VLOOKUP(M25,'Iz''s'!$CP$9:$CT$24,3,FALSE),IF(AND(J25="Cobre",F25="Trifásico"),VLOOKUP(M25,'Iz''s'!$CP$9:$CT$24,2,FALSE),IF(AND(J25="Alumínio",F25="Monofásico"),VLOOKUP(M25,'Iz''s'!$CP$26:$CT$37,3,FALSE),IF(AND(J25="Alumínio",F25="Trifásico"),VLOOKUP(M25,'Iz''s'!$CP$26:$CT$37,2,FALSE)))))</f>
        <v>42</v>
      </c>
      <c r="BG25" s="609">
        <f>IF(AND(J25="Cobre",F25="Monofásico"),VLOOKUP(M25,'Iz''s'!$AT$10:$BA$28,2,FALSE),IF(AND(J25="Cobre",F25="Trifásico"),VLOOKUP(M25,'Iz''s'!$AT$10:$BA$28,3,FALSE),IF(AND(J25="Alumínio",F25="Monofásico"),VLOOKUP(M25,'Iz''s'!$BC$10:$BJ$27,2,FALSE),IF(AND(J25="Alumínio",F25="Trifásico"),VLOOKUP(M25,'Iz''s'!$BC$10:$BJ$27,3,FALSE)))))</f>
        <v>30</v>
      </c>
      <c r="BH25" s="609" t="str">
        <f>IF(AND(J25="Cobre",F25="Monofásico"),VLOOKUP(M25,'Iz''s'!$AT$10:$BA$28,4,FALSE),IF(AND(J25="Cobre",F25="Trifásico"),VLOOKUP(M25,'Iz''s'!$AT$10:$BA$28,5,FALSE),IF(AND(J25="Alumínio",F25="Monofásico"),VLOOKUP(M25,'Iz''s'!$BC$10:$BJ$27,4,FALSE),IF(AND(J25="Alumínio",F25="Trifásico"),VLOOKUP(M25,'Iz''s'!$BC$10:$BJ$27,5,FALSE)))))</f>
        <v xml:space="preserve"> --- </v>
      </c>
      <c r="BI25" s="609" t="str">
        <f>IF(AND(J25="Cobre",F25="Monofásico"),"N/A",IF(AND(J25="Cobre",F25="Trifásico"),VLOOKUP(M25,'Iz''s'!$AT$10:$BA$28,8,FALSE),IF(AND(J25="Alumínio",F25="Monofásico"),"N/A",IF(AND(J25="Alumínio",F25="Trifásico"),VLOOKUP(M25,'Iz''s'!$BC$10:$BJ$27,8,FALSE)))))</f>
        <v>N/A</v>
      </c>
      <c r="BJ25" s="531">
        <f>IF(AND(J25="Cobre",F25="Monofásico"),VLOOKUP(M25,'Iz''s'!$G$8:$J$23,2,FALSE),IF(AND(J25="Cobre",F25="Trifásico"),VLOOKUP(M25,'Iz''s'!$Q$8:$T$23,2,FALSE),IF(AND(J25="Alumínio",F25="Monofásico"),VLOOKUP(M25,'Iz''s'!$G$25:$J$39,2,FALSE),IF(AND(J25="Alumínio",F25="Trifásico"),VLOOKUP(M25,'Iz''s'!$Q$25:$T$39,2,FALSE)))))</f>
        <v>26</v>
      </c>
      <c r="BK25" s="609">
        <f>IF(AND(J25="Cobre",F25="Monofásico"),VLOOKUP(M25,'Iz''s'!$CJ$9:$CN$24,2,FALSE),IF(AND(J25="Cobre",F25="Trifásico"),VLOOKUP(M25,'Iz''s'!$CJ$9:$CN$24,4,FALSE),IF(AND(J25="Alumínio",F25="Monofásico"),VLOOKUP(M25,'Iz''s'!$CJ$26:$CN$40,2,FALSE),IF(AND(J25="Alumínio",F25="Trifásico"),VLOOKUP(M25,'Iz''s'!$CJ$26:$CN$40,4,FALSE)))))</f>
        <v>25</v>
      </c>
      <c r="BL25" s="609">
        <f>IF(AND(J25="Cobre",F25="Monofásico"),VLOOKUP(M25,'Iz''s'!$G$8:$J$23,3,FALSE),IF(AND(J25="Cobre",F25="Trifásico"),VLOOKUP(M25,'Iz''s'!$Q$8:$T$23,3,FALSE),IF(AND(J25="Alumínio",F25="Monofásico"),VLOOKUP(M25,'Iz''s'!$G$25:$J$39,3,FALSE),IF(AND(J25="Alumínio",F25="Trifásico"),VLOOKUP(M25,'Iz''s'!$Q$25:$T$39,3,FALSE)))))</f>
        <v>31</v>
      </c>
      <c r="BM25" s="609">
        <f>IF(AND(J25="Cobre",F25="Monofásico"),VLOOKUP(M25,'Iz''s'!$CJ$9:$CN$24,3,FALSE),IF(AND(J25="Cobre",F25="Trifásico"),VLOOKUP(M25,'Iz''s'!$CJ$9:$CN$24,5,FALSE),IF(AND(J25="Alumínio",F25="Monofásico"),VLOOKUP(M25,'Iz''s'!$CJ$26:$CN$40,3,FALSE),IF(AND(J25="Alumínio",F25="Trifásico"),VLOOKUP(M25,'Iz''s'!$CJ$26:$CN$40,5,FALSE)))))</f>
        <v>30</v>
      </c>
      <c r="BN25" s="609">
        <f>IF(AND(J25="Cobre",F25="Monofásico"),VLOOKUP(M25,'Iz''s'!$G$8:$J$23,4,FALSE),IF(AND(J25="Cobre",F25="Trifásico"),VLOOKUP(M25,'Iz''s'!$Q$8:$T$23,4,FALSE),IF(AND(J25="Alumínio",F25="Monofásico"),VLOOKUP(M25,'Iz''s'!$G$25:$J$39,4,FALSE),IF(AND(J25="Alumínio",F25="Trifásico"),VLOOKUP(M25,'Iz''s'!$Q$25:$T$39,4,FALSE)))))</f>
        <v>33</v>
      </c>
      <c r="BO25" s="609">
        <f>IF(AND(J25="Cobre",F25="Monofásico"),VLOOKUP(M25,'Iz''s'!$CP$9:$CT$24,5,FALSE),IF(AND(J25="Cobre",F25="Trifásico"),VLOOKUP(M25,'Iz''s'!$CP$9:$CT$24,4,FALSE),IF(AND(J25="Alumínio",F25="Monofásico"),VLOOKUP(M25,'Iz''s'!$CP$26:$CT$37,5,FALSE),IF(AND(J25="Alumínio",F25="Trifásico"),VLOOKUP(M25,'Iz''s'!$CP$26:$CT$37,4,FALSE)))))</f>
        <v>48</v>
      </c>
      <c r="BP25" s="609">
        <f>IF(AND(J25="Cobre",F25="Monofásico"),VLOOKUP(M25,'Iz''s'!$BL$10:$BS$28,2,FALSE),IF(AND(J25="Cobre",F25="Trifásico"),VLOOKUP(M25,'Iz''s'!$BL$10:$BS$28,3,FALSE),IF(AND(J25="Alumínio",F25="Monofásico"),VLOOKUP(M25,'Iz''s'!$BU$10:$CB$27,2,FALSE),IF(AND(J25="Alumínio",F25="Trifásico"),VLOOKUP(M25,'Iz''s'!$BU$10:$CB$27,3,FALSE)))))</f>
        <v>36</v>
      </c>
      <c r="BQ25" s="609" t="str">
        <f>IF(AND(J25="Cobre",F25="Monofásico"),VLOOKUP(M25,'Iz''s'!$BL$10:$BS$28,4,FALSE),IF(AND(J25="Cobre",F25="Trifásico"),VLOOKUP(M25,'Iz''s'!$BL$10:$BS$28,5,FALSE),IF(AND(J25="Alumínio",F25="Monofásico"),VLOOKUP(M25,'Iz''s'!$BU$10:$CB$27,4,FALSE),IF(AND(J25="Alumínio",F25="Trifásico"),VLOOKUP(M25,'Iz''s'!$BU$10:$CB$27,5,FALSE)))))</f>
        <v xml:space="preserve"> --- </v>
      </c>
      <c r="BR25" s="609" t="str">
        <f>IF(AND(J25="Cobre",F25="Monofásico"),"N/A",IF(AND(J25="Cobre",F25="Trifásico"),VLOOKUP(M25,'Iz''s'!$BL$10:$BS$28,8,FALSE),IF(AND(J25="Alumínio",F25="Monofásico"),"N/A",IF(AND(J25="Alumínio",F25="Trifásico"),VLOOKUP(M25,'Iz''s'!$BU$10:$CB$27,8,FALSE)))))</f>
        <v>N/A</v>
      </c>
      <c r="BS25" s="609">
        <f>IF(AND(J25="Cobre",F25="Monofásico"),VLOOKUP(M25,'Iz''s'!$V$14:$Y$28,2,FALSE),IF(AND(J25="Cobre",F25="Trifásico"),VLOOKUP(M25,'Iz''s'!$V$14:$Y$28,3,FALSE),IF(AND(J25="Alumínio",F25="Monofásico"),VLOOKUP(M25,"N/A",4,FALSE),IF(AND(J25="Alumínio",F25="Trifásico"),VLOOKUP(M25,"N/A",4,FALSE)))))</f>
        <v>34</v>
      </c>
      <c r="BT25" s="609">
        <f>IF(AND(J25="Cobre",F25="Monofásico"),VLOOKUP(M25,'Iz''s'!$AF$15:$AK$29,2,FALSE),IF(AND(J25="Cobre",F25="Trifásico"),VLOOKUP(M25,'Iz''s'!$AF$15:$AK$29,3,FALSE),IF(AND(J25="Alumínio",F25="Monofásico"),"N/A",IF(AND(J25="Alumínio",F25="Trifásico"),"N/A"))))</f>
        <v>36</v>
      </c>
      <c r="BU25" s="609">
        <f>IF(AND(J25="Cobre",F25="Monofásico"),VLOOKUP(M25,'Iz''s'!$AF$15:$AK$29,2,FALSE),IF(AND(J25="Cobre",F25="Trifásico"),VLOOKUP(M25,'Iz''s'!$AF$15:$AK$29,3,FALSE),IF(AND(J25="Alumínio",F25="Monofásico"),"N/A",IF(AND(J25="Alumínio",F25="Trifásico"),"N/A"))))</f>
        <v>36</v>
      </c>
      <c r="BV25" s="610" t="str">
        <f>IF(AND(J25="Cobre",F25="Monofásico"),"N/A",IF(AND(J25="Cobre",F25="Trifásico"),VLOOKUP(M25,'Iz''s'!$AF$15:$AK$29,6,FALSE),IF(AND(J25="Alumínio",F25="Monofásico"),"N/A",IF(AND(J25="Alumínio",F25="Trifásico"),"N/A"))))</f>
        <v>N/A</v>
      </c>
      <c r="BW25" s="611">
        <v>23</v>
      </c>
      <c r="BX25" s="583"/>
      <c r="BY25" s="612">
        <f>VLOOKUP(M25,Consulta!$W$6:$AB$23,4,FALSE)</f>
        <v>16</v>
      </c>
      <c r="BZ25" s="612">
        <f>VLOOKUP(M25,Consulta!$W$6:$AB$23,6,FALSE)</f>
        <v>20</v>
      </c>
      <c r="CA25" s="612">
        <f>VLOOKUP(M25,Consulta!$AK$6:$AP$23,4,FALSE)</f>
        <v>20</v>
      </c>
      <c r="CB25" s="612">
        <f>VLOOKUP(M25,Consulta!$AK$6:$AP$23,6,FALSE)</f>
        <v>25</v>
      </c>
      <c r="CC25" s="585" t="e">
        <f>VLOOKUP(M25,Consulta!$AD$6:$AI$19,4,FALSE)</f>
        <v>#N/A</v>
      </c>
      <c r="CD25" s="585" t="e">
        <f>VLOOKUP(M25,Consulta!$AD$6:$AI$19,6,FALSE)</f>
        <v>#N/A</v>
      </c>
      <c r="CE25" s="585" t="e">
        <f>VLOOKUP(M25,Consulta!$AR$6:$AW$19,4,FALSE)</f>
        <v>#N/A</v>
      </c>
      <c r="CF25" s="586" t="e">
        <f>VLOOKUP(M25,Consulta!$AR$6:$AW$19,6,FALSE)</f>
        <v>#N/A</v>
      </c>
    </row>
    <row r="26" spans="2:127" ht="16.5" customHeight="1" x14ac:dyDescent="0.2">
      <c r="B26" s="1118"/>
      <c r="C26" s="820" t="s">
        <v>799</v>
      </c>
      <c r="D26" s="701">
        <f t="shared" ref="D26:D27" si="50">6*230/1000</f>
        <v>1.38</v>
      </c>
      <c r="E26" s="701">
        <f>27.525+4.37+5.75+8.9144</f>
        <v>46.559399999999997</v>
      </c>
      <c r="F26" s="701" t="s">
        <v>244</v>
      </c>
      <c r="G26" s="701" t="s">
        <v>808</v>
      </c>
      <c r="H26" s="701">
        <v>1</v>
      </c>
      <c r="I26" s="765" t="s">
        <v>13</v>
      </c>
      <c r="J26" s="701" t="s">
        <v>242</v>
      </c>
      <c r="K26" s="701" t="s">
        <v>363</v>
      </c>
      <c r="L26" s="701">
        <v>1</v>
      </c>
      <c r="M26" s="702">
        <v>2.5</v>
      </c>
      <c r="N26" s="701" t="s">
        <v>455</v>
      </c>
      <c r="O26" s="701">
        <v>4</v>
      </c>
      <c r="P26" s="555">
        <f t="shared" si="4"/>
        <v>30</v>
      </c>
      <c r="Q26" s="701">
        <v>1</v>
      </c>
      <c r="R26" s="701">
        <v>0.77</v>
      </c>
      <c r="S26" s="555">
        <f t="shared" si="45"/>
        <v>6</v>
      </c>
      <c r="T26" s="712">
        <f t="shared" si="46"/>
        <v>23.1</v>
      </c>
      <c r="U26" s="701" t="s">
        <v>499</v>
      </c>
      <c r="V26" s="555">
        <v>10</v>
      </c>
      <c r="W26" s="701">
        <f>IF(U26="C.C.Fusíveis",VLOOKUP(V26,Consulta!$L$5:$N$31,3,FALSE),VLOOKUP(V26,Consulta!$P$5:$R$34,3,FALSE))</f>
        <v>13.5</v>
      </c>
      <c r="X26" s="713">
        <f t="shared" si="10"/>
        <v>44</v>
      </c>
      <c r="Y26" s="766">
        <f t="shared" si="44"/>
        <v>0.25974025974025972</v>
      </c>
      <c r="Z26" s="706" t="str">
        <f t="shared" si="11"/>
        <v>Sim</v>
      </c>
      <c r="AA26" s="767">
        <f t="shared" si="33"/>
        <v>7.7627140213909152E-2</v>
      </c>
      <c r="AB26" s="767">
        <f t="shared" si="12"/>
        <v>0.52379324999999988</v>
      </c>
      <c r="AC26" s="767">
        <f t="shared" si="6"/>
        <v>0</v>
      </c>
      <c r="AD26" s="703">
        <f t="shared" si="37"/>
        <v>2.4122515281164385</v>
      </c>
      <c r="AE26" s="703">
        <f t="shared" si="17"/>
        <v>6.285518999999999</v>
      </c>
      <c r="AF26" s="703">
        <f t="shared" si="18"/>
        <v>8.6977705281164379</v>
      </c>
      <c r="AG26" s="704">
        <f t="shared" si="34"/>
        <v>2.7328343478260866E-2</v>
      </c>
      <c r="AH26" s="768">
        <f t="shared" si="34"/>
        <v>3.7816393600506253E-2</v>
      </c>
      <c r="AI26" s="703">
        <f t="shared" si="7"/>
        <v>0.38242800500693902</v>
      </c>
      <c r="AJ26" s="701">
        <v>3</v>
      </c>
      <c r="AK26" s="703">
        <v>0.1</v>
      </c>
      <c r="AL26" s="713">
        <f t="shared" si="47"/>
        <v>115</v>
      </c>
      <c r="AM26" s="703">
        <f t="shared" si="48"/>
        <v>1.0516030755271344</v>
      </c>
      <c r="AN26" s="706">
        <f t="shared" si="40"/>
        <v>1</v>
      </c>
      <c r="AO26" s="705" t="s">
        <v>563</v>
      </c>
      <c r="AP26" s="706" t="s">
        <v>523</v>
      </c>
      <c r="AQ26" s="706" t="str">
        <f t="shared" si="41"/>
        <v>3G</v>
      </c>
      <c r="AR26" s="706">
        <f t="shared" si="49"/>
        <v>2.5</v>
      </c>
      <c r="AS26" s="893" t="str">
        <f t="shared" si="8"/>
        <v/>
      </c>
      <c r="AT26" s="893" t="str">
        <f>IF(OR(AQ26="3G",AQ26="5G"),"",VLOOKUP(AR26,Consulta!$T$5:$U$25,2,FALSE))</f>
        <v/>
      </c>
      <c r="AU26" s="894" t="s">
        <v>565</v>
      </c>
      <c r="AV26" s="706" t="s">
        <v>23</v>
      </c>
      <c r="AW26" s="706" t="s">
        <v>564</v>
      </c>
      <c r="AX26" s="706">
        <f t="shared" si="30"/>
        <v>20</v>
      </c>
      <c r="AY26" s="707" t="s">
        <v>24</v>
      </c>
      <c r="AZ26" s="564"/>
      <c r="BA26" s="584">
        <f>IF(AND(J26="Cobre",F26="Monofásico"),VLOOKUP(M26,'Iz''s'!$B$8:$E$23,2,FALSE),IF(AND(J26="Cobre",F26="Trifásico"),VLOOKUP(M26,'Iz''s'!$L$8:$O$23,2,FALSE),IF(AND(J26="Alumínio",F26="Monofásico"),VLOOKUP(M26,'Iz''s'!$B$25:$E$39,2,FALSE),IF(AND(J26="Alumínio",F26="Trifásico"),VLOOKUP(M26,'Iz''s'!$L$25:$O$39,2,FALSE)))))</f>
        <v>19.5</v>
      </c>
      <c r="BB26" s="531">
        <f>IF(AND(J26="Cobre",F26="Monofásico"),VLOOKUP(M26,'Iz''s'!$CD$9:$CH$24,2,FALSE),IF(AND(J26="Cobre",F26="Trifásico"),VLOOKUP(M26,'Iz''s'!$CD$9:$CH$24,4,FALSE),IF(AND(J26="Alumínio",F26="Monofásico"),VLOOKUP(M26,'Iz''s'!$CD$26:$CH$40,2,FALSE),IF(AND(J26="Alumínio",F26="Trifásico"),VLOOKUP(M26,'Iz''s'!$CD$26:$CH$40,4,FALSE)))))</f>
        <v>18.5</v>
      </c>
      <c r="BC26" s="531">
        <f>IF(AND(J26="Cobre",F26="Monofásico"),VLOOKUP(M26,'Iz''s'!$B$8:$E$23,3,FALSE),IF(AND(J26="Cobre",F26="Trifásico"),VLOOKUP(M26,'Iz''s'!$L$8:$O$23,3,FALSE),IF(AND(J26="Alumínio",F26="Monofásico"),VLOOKUP(M26,'Iz''s'!$B$25:$E$39,3,FALSE),IF(AND(J26="Alumínio",F26="Trifásico"),VLOOKUP(M26,'Iz''s'!$L$25:$O$39,3,FALSE)))))</f>
        <v>24</v>
      </c>
      <c r="BD26" s="531">
        <f>IF(AND(J26="Cobre",F26="Monofásico"),VLOOKUP(M26,'Iz''s'!$CD$9:$CH$24,3,FALSE),IF(AND(J26="Cobre",F26="Trifásico"),VLOOKUP(M26,'Iz''s'!$CD$9:$CH$24,5,FALSE),IF(AND(J26="Alumínio",F26="Monofásico"),VLOOKUP(M26,'Iz''s'!$CD$26:$CH$40,3,FALSE),IF(AND(J26="Alumínio",F26="Trifásico"),VLOOKUP(M26,'Iz''s'!$CD$26:$CH$40,5,FALSE)))))</f>
        <v>23</v>
      </c>
      <c r="BE26" s="531">
        <f>IF(AND(J26="Cobre",F26="Monofásico"),VLOOKUP(M26,'Iz''s'!$B$8:$E$23,4,FALSE),IF(AND(J26="Cobre",F26="Trifásico"),VLOOKUP(M26,'Iz''s'!$L$8:$O$23,4,FALSE),IF(AND(J26="Alumínio",F26="Monofásico"),VLOOKUP(M26,'Iz''s'!$B$25:$E$39,4,FALSE),IF(AND(J26="Alumínio",F26="Trifásico"),VLOOKUP(M26,'Iz''s'!$L$25:$O$39,4,FALSE)))))</f>
        <v>27</v>
      </c>
      <c r="BF26" s="531">
        <f>IF(AND(J26="Cobre",F26="Monofásico"),VLOOKUP(M26,'Iz''s'!$CP$9:$CT$24,3,FALSE),IF(AND(J26="Cobre",F26="Trifásico"),VLOOKUP(M26,'Iz''s'!$CP$9:$CT$24,2,FALSE),IF(AND(J26="Alumínio",F26="Monofásico"),VLOOKUP(M26,'Iz''s'!$CP$26:$CT$37,3,FALSE),IF(AND(J26="Alumínio",F26="Trifásico"),VLOOKUP(M26,'Iz''s'!$CP$26:$CT$37,2,FALSE)))))</f>
        <v>42</v>
      </c>
      <c r="BG26" s="609">
        <f>IF(AND(J26="Cobre",F26="Monofásico"),VLOOKUP(M26,'Iz''s'!$AT$10:$BA$28,2,FALSE),IF(AND(J26="Cobre",F26="Trifásico"),VLOOKUP(M26,'Iz''s'!$AT$10:$BA$28,3,FALSE),IF(AND(J26="Alumínio",F26="Monofásico"),VLOOKUP(M26,'Iz''s'!$BC$10:$BJ$27,2,FALSE),IF(AND(J26="Alumínio",F26="Trifásico"),VLOOKUP(M26,'Iz''s'!$BC$10:$BJ$27,3,FALSE)))))</f>
        <v>30</v>
      </c>
      <c r="BH26" s="609" t="str">
        <f>IF(AND(J26="Cobre",F26="Monofásico"),VLOOKUP(M26,'Iz''s'!$AT$10:$BA$28,4,FALSE),IF(AND(J26="Cobre",F26="Trifásico"),VLOOKUP(M26,'Iz''s'!$AT$10:$BA$28,5,FALSE),IF(AND(J26="Alumínio",F26="Monofásico"),VLOOKUP(M26,'Iz''s'!$BC$10:$BJ$27,4,FALSE),IF(AND(J26="Alumínio",F26="Trifásico"),VLOOKUP(M26,'Iz''s'!$BC$10:$BJ$27,5,FALSE)))))</f>
        <v xml:space="preserve"> --- </v>
      </c>
      <c r="BI26" s="609" t="str">
        <f>IF(AND(J26="Cobre",F26="Monofásico"),"N/A",IF(AND(J26="Cobre",F26="Trifásico"),VLOOKUP(M26,'Iz''s'!$AT$10:$BA$28,8,FALSE),IF(AND(J26="Alumínio",F26="Monofásico"),"N/A",IF(AND(J26="Alumínio",F26="Trifásico"),VLOOKUP(M26,'Iz''s'!$BC$10:$BJ$27,8,FALSE)))))</f>
        <v>N/A</v>
      </c>
      <c r="BJ26" s="531">
        <f>IF(AND(J26="Cobre",F26="Monofásico"),VLOOKUP(M26,'Iz''s'!$G$8:$J$23,2,FALSE),IF(AND(J26="Cobre",F26="Trifásico"),VLOOKUP(M26,'Iz''s'!$Q$8:$T$23,2,FALSE),IF(AND(J26="Alumínio",F26="Monofásico"),VLOOKUP(M26,'Iz''s'!$G$25:$J$39,2,FALSE),IF(AND(J26="Alumínio",F26="Trifásico"),VLOOKUP(M26,'Iz''s'!$Q$25:$T$39,2,FALSE)))))</f>
        <v>26</v>
      </c>
      <c r="BK26" s="609">
        <f>IF(AND(J26="Cobre",F26="Monofásico"),VLOOKUP(M26,'Iz''s'!$CJ$9:$CN$24,2,FALSE),IF(AND(J26="Cobre",F26="Trifásico"),VLOOKUP(M26,'Iz''s'!$CJ$9:$CN$24,4,FALSE),IF(AND(J26="Alumínio",F26="Monofásico"),VLOOKUP(M26,'Iz''s'!$CJ$26:$CN$40,2,FALSE),IF(AND(J26="Alumínio",F26="Trifásico"),VLOOKUP(M26,'Iz''s'!$CJ$26:$CN$40,4,FALSE)))))</f>
        <v>25</v>
      </c>
      <c r="BL26" s="609">
        <f>IF(AND(J26="Cobre",F26="Monofásico"),VLOOKUP(M26,'Iz''s'!$G$8:$J$23,3,FALSE),IF(AND(J26="Cobre",F26="Trifásico"),VLOOKUP(M26,'Iz''s'!$Q$8:$T$23,3,FALSE),IF(AND(J26="Alumínio",F26="Monofásico"),VLOOKUP(M26,'Iz''s'!$G$25:$J$39,3,FALSE),IF(AND(J26="Alumínio",F26="Trifásico"),VLOOKUP(M26,'Iz''s'!$Q$25:$T$39,3,FALSE)))))</f>
        <v>31</v>
      </c>
      <c r="BM26" s="609">
        <f>IF(AND(J26="Cobre",F26="Monofásico"),VLOOKUP(M26,'Iz''s'!$CJ$9:$CN$24,3,FALSE),IF(AND(J26="Cobre",F26="Trifásico"),VLOOKUP(M26,'Iz''s'!$CJ$9:$CN$24,5,FALSE),IF(AND(J26="Alumínio",F26="Monofásico"),VLOOKUP(M26,'Iz''s'!$CJ$26:$CN$40,3,FALSE),IF(AND(J26="Alumínio",F26="Trifásico"),VLOOKUP(M26,'Iz''s'!$CJ$26:$CN$40,5,FALSE)))))</f>
        <v>30</v>
      </c>
      <c r="BN26" s="609">
        <f>IF(AND(J26="Cobre",F26="Monofásico"),VLOOKUP(M26,'Iz''s'!$G$8:$J$23,4,FALSE),IF(AND(J26="Cobre",F26="Trifásico"),VLOOKUP(M26,'Iz''s'!$Q$8:$T$23,4,FALSE),IF(AND(J26="Alumínio",F26="Monofásico"),VLOOKUP(M26,'Iz''s'!$G$25:$J$39,4,FALSE),IF(AND(J26="Alumínio",F26="Trifásico"),VLOOKUP(M26,'Iz''s'!$Q$25:$T$39,4,FALSE)))))</f>
        <v>33</v>
      </c>
      <c r="BO26" s="609">
        <f>IF(AND(J26="Cobre",F26="Monofásico"),VLOOKUP(M26,'Iz''s'!$CP$9:$CT$24,5,FALSE),IF(AND(J26="Cobre",F26="Trifásico"),VLOOKUP(M26,'Iz''s'!$CP$9:$CT$24,4,FALSE),IF(AND(J26="Alumínio",F26="Monofásico"),VLOOKUP(M26,'Iz''s'!$CP$26:$CT$37,5,FALSE),IF(AND(J26="Alumínio",F26="Trifásico"),VLOOKUP(M26,'Iz''s'!$CP$26:$CT$37,4,FALSE)))))</f>
        <v>48</v>
      </c>
      <c r="BP26" s="609">
        <f>IF(AND(J26="Cobre",F26="Monofásico"),VLOOKUP(M26,'Iz''s'!$BL$10:$BS$28,2,FALSE),IF(AND(J26="Cobre",F26="Trifásico"),VLOOKUP(M26,'Iz''s'!$BL$10:$BS$28,3,FALSE),IF(AND(J26="Alumínio",F26="Monofásico"),VLOOKUP(M26,'Iz''s'!$BU$10:$CB$27,2,FALSE),IF(AND(J26="Alumínio",F26="Trifásico"),VLOOKUP(M26,'Iz''s'!$BU$10:$CB$27,3,FALSE)))))</f>
        <v>36</v>
      </c>
      <c r="BQ26" s="609" t="str">
        <f>IF(AND(J26="Cobre",F26="Monofásico"),VLOOKUP(M26,'Iz''s'!$BL$10:$BS$28,4,FALSE),IF(AND(J26="Cobre",F26="Trifásico"),VLOOKUP(M26,'Iz''s'!$BL$10:$BS$28,5,FALSE),IF(AND(J26="Alumínio",F26="Monofásico"),VLOOKUP(M26,'Iz''s'!$BU$10:$CB$27,4,FALSE),IF(AND(J26="Alumínio",F26="Trifásico"),VLOOKUP(M26,'Iz''s'!$BU$10:$CB$27,5,FALSE)))))</f>
        <v xml:space="preserve"> --- </v>
      </c>
      <c r="BR26" s="609" t="str">
        <f>IF(AND(J26="Cobre",F26="Monofásico"),"N/A",IF(AND(J26="Cobre",F26="Trifásico"),VLOOKUP(M26,'Iz''s'!$BL$10:$BS$28,8,FALSE),IF(AND(J26="Alumínio",F26="Monofásico"),"N/A",IF(AND(J26="Alumínio",F26="Trifásico"),VLOOKUP(M26,'Iz''s'!$BU$10:$CB$27,8,FALSE)))))</f>
        <v>N/A</v>
      </c>
      <c r="BS26" s="609">
        <f>IF(AND(J26="Cobre",F26="Monofásico"),VLOOKUP(M26,'Iz''s'!$V$14:$Y$28,2,FALSE),IF(AND(J26="Cobre",F26="Trifásico"),VLOOKUP(M26,'Iz''s'!$V$14:$Y$28,3,FALSE),IF(AND(J26="Alumínio",F26="Monofásico"),VLOOKUP(M26,"N/A",4,FALSE),IF(AND(J26="Alumínio",F26="Trifásico"),VLOOKUP(M26,"N/A",4,FALSE)))))</f>
        <v>34</v>
      </c>
      <c r="BT26" s="609">
        <f>IF(AND(J26="Cobre",F26="Monofásico"),VLOOKUP(M26,'Iz''s'!$AF$15:$AK$29,2,FALSE),IF(AND(J26="Cobre",F26="Trifásico"),VLOOKUP(M26,'Iz''s'!$AF$15:$AK$29,3,FALSE),IF(AND(J26="Alumínio",F26="Monofásico"),"N/A",IF(AND(J26="Alumínio",F26="Trifásico"),"N/A"))))</f>
        <v>36</v>
      </c>
      <c r="BU26" s="609">
        <f>IF(AND(J26="Cobre",F26="Monofásico"),VLOOKUP(M26,'Iz''s'!$AF$15:$AK$29,2,FALSE),IF(AND(J26="Cobre",F26="Trifásico"),VLOOKUP(M26,'Iz''s'!$AF$15:$AK$29,3,FALSE),IF(AND(J26="Alumínio",F26="Monofásico"),"N/A",IF(AND(J26="Alumínio",F26="Trifásico"),"N/A"))))</f>
        <v>36</v>
      </c>
      <c r="BV26" s="610" t="str">
        <f>IF(AND(J26="Cobre",F26="Monofásico"),"N/A",IF(AND(J26="Cobre",F26="Trifásico"),VLOOKUP(M26,'Iz''s'!$AF$15:$AK$29,6,FALSE),IF(AND(J26="Alumínio",F26="Monofásico"),"N/A",IF(AND(J26="Alumínio",F26="Trifásico"),"N/A"))))</f>
        <v>N/A</v>
      </c>
      <c r="BW26" s="611">
        <v>24</v>
      </c>
      <c r="BX26" s="583"/>
      <c r="BY26" s="612">
        <f>VLOOKUP(M26,Consulta!$W$6:$AB$23,4,FALSE)</f>
        <v>16</v>
      </c>
      <c r="BZ26" s="612">
        <f>VLOOKUP(M26,Consulta!$W$6:$AB$23,6,FALSE)</f>
        <v>20</v>
      </c>
      <c r="CA26" s="612">
        <f>VLOOKUP(M26,Consulta!$AK$6:$AP$23,4,FALSE)</f>
        <v>20</v>
      </c>
      <c r="CB26" s="612">
        <f>VLOOKUP(M26,Consulta!$AK$6:$AP$23,6,FALSE)</f>
        <v>25</v>
      </c>
      <c r="CC26" s="585" t="e">
        <f>VLOOKUP(M26,Consulta!$AD$6:$AI$19,4,FALSE)</f>
        <v>#N/A</v>
      </c>
      <c r="CD26" s="585" t="e">
        <f>VLOOKUP(M26,Consulta!$AD$6:$AI$19,6,FALSE)</f>
        <v>#N/A</v>
      </c>
      <c r="CE26" s="585" t="e">
        <f>VLOOKUP(M26,Consulta!$AR$6:$AW$19,4,FALSE)</f>
        <v>#N/A</v>
      </c>
      <c r="CF26" s="586" t="e">
        <f>VLOOKUP(M26,Consulta!$AR$6:$AW$19,6,FALSE)</f>
        <v>#N/A</v>
      </c>
    </row>
    <row r="27" spans="2:127" ht="16.5" customHeight="1" x14ac:dyDescent="0.2">
      <c r="B27" s="1118"/>
      <c r="C27" s="820" t="s">
        <v>800</v>
      </c>
      <c r="D27" s="701">
        <f t="shared" si="50"/>
        <v>1.38</v>
      </c>
      <c r="E27" s="701">
        <f>27.525+0.45+5.75+8.9144</f>
        <v>42.639399999999995</v>
      </c>
      <c r="F27" s="701" t="s">
        <v>244</v>
      </c>
      <c r="G27" s="701" t="s">
        <v>808</v>
      </c>
      <c r="H27" s="701">
        <v>1</v>
      </c>
      <c r="I27" s="765" t="s">
        <v>13</v>
      </c>
      <c r="J27" s="701" t="s">
        <v>242</v>
      </c>
      <c r="K27" s="701" t="s">
        <v>363</v>
      </c>
      <c r="L27" s="701">
        <v>1</v>
      </c>
      <c r="M27" s="702">
        <v>1.5</v>
      </c>
      <c r="N27" s="701" t="s">
        <v>455</v>
      </c>
      <c r="O27" s="701">
        <v>4</v>
      </c>
      <c r="P27" s="555">
        <f t="shared" si="4"/>
        <v>22</v>
      </c>
      <c r="Q27" s="701">
        <v>1</v>
      </c>
      <c r="R27" s="701">
        <v>0.77</v>
      </c>
      <c r="S27" s="555">
        <f t="shared" si="45"/>
        <v>6</v>
      </c>
      <c r="T27" s="712">
        <f t="shared" si="46"/>
        <v>16.940000000000001</v>
      </c>
      <c r="U27" s="701" t="s">
        <v>499</v>
      </c>
      <c r="V27" s="555">
        <v>10</v>
      </c>
      <c r="W27" s="701">
        <f>IF(U27="C.C.Fusíveis",VLOOKUP(V27,Consulta!$L$5:$N$31,3,FALSE),VLOOKUP(V27,Consulta!$P$5:$R$34,3,FALSE))</f>
        <v>13.5</v>
      </c>
      <c r="X27" s="713">
        <f t="shared" si="10"/>
        <v>32</v>
      </c>
      <c r="Y27" s="766">
        <f t="shared" ref="Y27:Y58" si="51">S27/T27</f>
        <v>0.35419126328217232</v>
      </c>
      <c r="Z27" s="706" t="str">
        <f t="shared" si="11"/>
        <v>Sim</v>
      </c>
      <c r="AA27" s="767">
        <f t="shared" si="33"/>
        <v>7.7627140213909152E-2</v>
      </c>
      <c r="AB27" s="767">
        <f t="shared" si="12"/>
        <v>0.79948874999999986</v>
      </c>
      <c r="AC27" s="767">
        <f t="shared" si="6"/>
        <v>0</v>
      </c>
      <c r="AD27" s="703">
        <f t="shared" si="37"/>
        <v>2.4122515281164385</v>
      </c>
      <c r="AE27" s="703">
        <f t="shared" si="17"/>
        <v>9.5938649999999974</v>
      </c>
      <c r="AF27" s="703">
        <f t="shared" si="18"/>
        <v>12.006116528116436</v>
      </c>
      <c r="AG27" s="704">
        <f t="shared" si="34"/>
        <v>4.1712456521739119E-2</v>
      </c>
      <c r="AH27" s="768">
        <f t="shared" si="34"/>
        <v>5.2200506643984505E-2</v>
      </c>
      <c r="AI27" s="703">
        <f t="shared" si="7"/>
        <v>0.26222304551329945</v>
      </c>
      <c r="AJ27" s="701">
        <v>3</v>
      </c>
      <c r="AK27" s="703">
        <v>0.1</v>
      </c>
      <c r="AL27" s="713">
        <f t="shared" si="47"/>
        <v>115</v>
      </c>
      <c r="AM27" s="703">
        <f t="shared" si="48"/>
        <v>0.7210626772243679</v>
      </c>
      <c r="AN27" s="706">
        <f t="shared" ref="AN27:AN59" si="52">L27</f>
        <v>1</v>
      </c>
      <c r="AO27" s="705" t="s">
        <v>563</v>
      </c>
      <c r="AP27" s="706" t="s">
        <v>523</v>
      </c>
      <c r="AQ27" s="706" t="str">
        <f t="shared" ref="AQ27:AQ59" si="53">IF(F27="Monofásico","3G",IF(AND(F27="Trifásico",M27&lt;25),"5G","3×"))</f>
        <v>3G</v>
      </c>
      <c r="AR27" s="706">
        <f t="shared" si="49"/>
        <v>1.5</v>
      </c>
      <c r="AS27" s="893" t="str">
        <f t="shared" si="8"/>
        <v/>
      </c>
      <c r="AT27" s="893" t="str">
        <f>IF(OR(AQ27="3G",AQ27="5G"),"",VLOOKUP(AR27,Consulta!$T$5:$U$25,2,FALSE))</f>
        <v/>
      </c>
      <c r="AU27" s="894" t="s">
        <v>565</v>
      </c>
      <c r="AV27" s="706" t="s">
        <v>23</v>
      </c>
      <c r="AW27" s="706" t="s">
        <v>564</v>
      </c>
      <c r="AX27" s="706">
        <f t="shared" si="30"/>
        <v>20</v>
      </c>
      <c r="AY27" s="707" t="s">
        <v>24</v>
      </c>
      <c r="AZ27" s="564"/>
      <c r="BA27" s="584">
        <f>IF(AND(J27="Cobre",F27="Monofásico"),VLOOKUP(M27,'Iz''s'!$B$8:$E$23,2,FALSE),IF(AND(J27="Cobre",F27="Trifásico"),VLOOKUP(M27,'Iz''s'!$L$8:$O$23,2,FALSE),IF(AND(J27="Alumínio",F27="Monofásico"),VLOOKUP(M27,'Iz''s'!$B$25:$E$39,2,FALSE),IF(AND(J27="Alumínio",F27="Trifásico"),VLOOKUP(M27,'Iz''s'!$L$25:$O$39,2,FALSE)))))</f>
        <v>14.5</v>
      </c>
      <c r="BB27" s="531">
        <f>IF(AND(J27="Cobre",F27="Monofásico"),VLOOKUP(M27,'Iz''s'!$CD$9:$CH$24,2,FALSE),IF(AND(J27="Cobre",F27="Trifásico"),VLOOKUP(M27,'Iz''s'!$CD$9:$CH$24,4,FALSE),IF(AND(J27="Alumínio",F27="Monofásico"),VLOOKUP(M27,'Iz''s'!$CD$26:$CH$40,2,FALSE),IF(AND(J27="Alumínio",F27="Trifásico"),VLOOKUP(M27,'Iz''s'!$CD$26:$CH$40,4,FALSE)))))</f>
        <v>14</v>
      </c>
      <c r="BC27" s="531">
        <f>IF(AND(J27="Cobre",F27="Monofásico"),VLOOKUP(M27,'Iz''s'!$B$8:$E$23,3,FALSE),IF(AND(J27="Cobre",F27="Trifásico"),VLOOKUP(M27,'Iz''s'!$L$8:$O$23,3,FALSE),IF(AND(J27="Alumínio",F27="Monofásico"),VLOOKUP(M27,'Iz''s'!$B$25:$E$39,3,FALSE),IF(AND(J27="Alumínio",F27="Trifásico"),VLOOKUP(M27,'Iz''s'!$L$25:$O$39,3,FALSE)))))</f>
        <v>17.5</v>
      </c>
      <c r="BD27" s="531">
        <f>IF(AND(J27="Cobre",F27="Monofásico"),VLOOKUP(M27,'Iz''s'!$CD$9:$CH$24,3,FALSE),IF(AND(J27="Cobre",F27="Trifásico"),VLOOKUP(M27,'Iz''s'!$CD$9:$CH$24,5,FALSE),IF(AND(J27="Alumínio",F27="Monofásico"),VLOOKUP(M27,'Iz''s'!$CD$26:$CH$40,3,FALSE),IF(AND(J27="Alumínio",F27="Trifásico"),VLOOKUP(M27,'Iz''s'!$CD$26:$CH$40,5,FALSE)))))</f>
        <v>16.5</v>
      </c>
      <c r="BE27" s="531">
        <f>IF(AND(J27="Cobre",F27="Monofásico"),VLOOKUP(M27,'Iz''s'!$B$8:$E$23,4,FALSE),IF(AND(J27="Cobre",F27="Trifásico"),VLOOKUP(M27,'Iz''s'!$L$8:$O$23,4,FALSE),IF(AND(J27="Alumínio",F27="Monofásico"),VLOOKUP(M27,'Iz''s'!$B$25:$E$39,4,FALSE),IF(AND(J27="Alumínio",F27="Trifásico"),VLOOKUP(M27,'Iz''s'!$L$25:$O$39,4,FALSE)))))</f>
        <v>19.5</v>
      </c>
      <c r="BF27" s="531">
        <f>IF(AND(J27="Cobre",F27="Monofásico"),VLOOKUP(M27,'Iz''s'!$CP$9:$CT$24,3,FALSE),IF(AND(J27="Cobre",F27="Trifásico"),VLOOKUP(M27,'Iz''s'!$CP$9:$CT$24,2,FALSE),IF(AND(J27="Alumínio",F27="Monofásico"),VLOOKUP(M27,'Iz''s'!$CP$26:$CT$37,3,FALSE),IF(AND(J27="Alumínio",F27="Trifásico"),VLOOKUP(M27,'Iz''s'!$CP$26:$CT$37,2,FALSE)))))</f>
        <v>32</v>
      </c>
      <c r="BG27" s="609">
        <f>IF(AND(J27="Cobre",F27="Monofásico"),VLOOKUP(M27,'Iz''s'!$AT$10:$BA$28,2,FALSE),IF(AND(J27="Cobre",F27="Trifásico"),VLOOKUP(M27,'Iz''s'!$AT$10:$BA$28,3,FALSE),IF(AND(J27="Alumínio",F27="Monofásico"),VLOOKUP(M27,'Iz''s'!$BC$10:$BJ$27,2,FALSE),IF(AND(J27="Alumínio",F27="Trifásico"),VLOOKUP(M27,'Iz''s'!$BC$10:$BJ$27,3,FALSE)))))</f>
        <v>22</v>
      </c>
      <c r="BH27" s="609" t="str">
        <f>IF(AND(J27="Cobre",F27="Monofásico"),VLOOKUP(M27,'Iz''s'!$AT$10:$BA$28,4,FALSE),IF(AND(J27="Cobre",F27="Trifásico"),VLOOKUP(M27,'Iz''s'!$AT$10:$BA$28,5,FALSE),IF(AND(J27="Alumínio",F27="Monofásico"),VLOOKUP(M27,'Iz''s'!$BC$10:$BJ$27,4,FALSE),IF(AND(J27="Alumínio",F27="Trifásico"),VLOOKUP(M27,'Iz''s'!$BC$10:$BJ$27,5,FALSE)))))</f>
        <v xml:space="preserve"> --- </v>
      </c>
      <c r="BI27" s="609" t="str">
        <f>IF(AND(J27="Cobre",F27="Monofásico"),"N/A",IF(AND(J27="Cobre",F27="Trifásico"),VLOOKUP(M27,'Iz''s'!$AT$10:$BA$28,8,FALSE),IF(AND(J27="Alumínio",F27="Monofásico"),"N/A",IF(AND(J27="Alumínio",F27="Trifásico"),VLOOKUP(M27,'Iz''s'!$BC$10:$BJ$27,8,FALSE)))))</f>
        <v>N/A</v>
      </c>
      <c r="BJ27" s="531">
        <f>IF(AND(J27="Cobre",F27="Monofásico"),VLOOKUP(M27,'Iz''s'!$G$8:$J$23,2,FALSE),IF(AND(J27="Cobre",F27="Trifásico"),VLOOKUP(M27,'Iz''s'!$Q$8:$T$23,2,FALSE),IF(AND(J27="Alumínio",F27="Monofásico"),VLOOKUP(M27,'Iz''s'!$G$25:$J$39,2,FALSE),IF(AND(J27="Alumínio",F27="Trifásico"),VLOOKUP(M27,'Iz''s'!$Q$25:$T$39,2,FALSE)))))</f>
        <v>19</v>
      </c>
      <c r="BK27" s="609">
        <f>IF(AND(J27="Cobre",F27="Monofásico"),VLOOKUP(M27,'Iz''s'!$CJ$9:$CN$24,2,FALSE),IF(AND(J27="Cobre",F27="Trifásico"),VLOOKUP(M27,'Iz''s'!$CJ$9:$CN$24,4,FALSE),IF(AND(J27="Alumínio",F27="Monofásico"),VLOOKUP(M27,'Iz''s'!$CJ$26:$CN$40,2,FALSE),IF(AND(J27="Alumínio",F27="Trifásico"),VLOOKUP(M27,'Iz''s'!$CJ$26:$CN$40,4,FALSE)))))</f>
        <v>18.5</v>
      </c>
      <c r="BL27" s="609">
        <f>IF(AND(J27="Cobre",F27="Monofásico"),VLOOKUP(M27,'Iz''s'!$G$8:$J$23,3,FALSE),IF(AND(J27="Cobre",F27="Trifásico"),VLOOKUP(M27,'Iz''s'!$Q$8:$T$23,3,FALSE),IF(AND(J27="Alumínio",F27="Monofásico"),VLOOKUP(M27,'Iz''s'!$G$25:$J$39,3,FALSE),IF(AND(J27="Alumínio",F27="Trifásico"),VLOOKUP(M27,'Iz''s'!$Q$25:$T$39,3,FALSE)))))</f>
        <v>23</v>
      </c>
      <c r="BM27" s="609">
        <f>IF(AND(J27="Cobre",F27="Monofásico"),VLOOKUP(M27,'Iz''s'!$CJ$9:$CN$24,3,FALSE),IF(AND(J27="Cobre",F27="Trifásico"),VLOOKUP(M27,'Iz''s'!$CJ$9:$CN$24,5,FALSE),IF(AND(J27="Alumínio",F27="Monofásico"),VLOOKUP(M27,'Iz''s'!$CJ$26:$CN$40,3,FALSE),IF(AND(J27="Alumínio",F27="Trifásico"),VLOOKUP(M27,'Iz''s'!$CJ$26:$CN$40,5,FALSE)))))</f>
        <v>22</v>
      </c>
      <c r="BN27" s="609">
        <f>IF(AND(J27="Cobre",F27="Monofásico"),VLOOKUP(M27,'Iz''s'!$G$8:$J$23,4,FALSE),IF(AND(J27="Cobre",F27="Trifásico"),VLOOKUP(M27,'Iz''s'!$Q$8:$T$23,4,FALSE),IF(AND(J27="Alumínio",F27="Monofásico"),VLOOKUP(M27,'Iz''s'!$G$25:$J$39,4,FALSE),IF(AND(J27="Alumínio",F27="Trifásico"),VLOOKUP(M27,'Iz''s'!$Q$25:$T$39,4,FALSE)))))</f>
        <v>24</v>
      </c>
      <c r="BO27" s="609">
        <f>IF(AND(J27="Cobre",F27="Monofásico"),VLOOKUP(M27,'Iz''s'!$CP$9:$CT$24,5,FALSE),IF(AND(J27="Cobre",F27="Trifásico"),VLOOKUP(M27,'Iz''s'!$CP$9:$CT$24,4,FALSE),IF(AND(J27="Alumínio",F27="Monofásico"),VLOOKUP(M27,'Iz''s'!$CP$26:$CT$37,5,FALSE),IF(AND(J27="Alumínio",F27="Trifásico"),VLOOKUP(M27,'Iz''s'!$CP$26:$CT$37,4,FALSE)))))</f>
        <v>37</v>
      </c>
      <c r="BP27" s="609">
        <f>IF(AND(J27="Cobre",F27="Monofásico"),VLOOKUP(M27,'Iz''s'!$BL$10:$BS$28,2,FALSE),IF(AND(J27="Cobre",F27="Trifásico"),VLOOKUP(M27,'Iz''s'!$BL$10:$BS$28,3,FALSE),IF(AND(J27="Alumínio",F27="Monofásico"),VLOOKUP(M27,'Iz''s'!$BU$10:$CB$27,2,FALSE),IF(AND(J27="Alumínio",F27="Trifásico"),VLOOKUP(M27,'Iz''s'!$BU$10:$CB$27,3,FALSE)))))</f>
        <v>26</v>
      </c>
      <c r="BQ27" s="609" t="str">
        <f>IF(AND(J27="Cobre",F27="Monofásico"),VLOOKUP(M27,'Iz''s'!$BL$10:$BS$28,4,FALSE),IF(AND(J27="Cobre",F27="Trifásico"),VLOOKUP(M27,'Iz''s'!$BL$10:$BS$28,5,FALSE),IF(AND(J27="Alumínio",F27="Monofásico"),VLOOKUP(M27,'Iz''s'!$BU$10:$CB$27,4,FALSE),IF(AND(J27="Alumínio",F27="Trifásico"),VLOOKUP(M27,'Iz''s'!$BU$10:$CB$27,5,FALSE)))))</f>
        <v xml:space="preserve"> --- </v>
      </c>
      <c r="BR27" s="609" t="str">
        <f>IF(AND(J27="Cobre",F27="Monofásico"),"N/A",IF(AND(J27="Cobre",F27="Trifásico"),VLOOKUP(M27,'Iz''s'!$BL$10:$BS$28,8,FALSE),IF(AND(J27="Alumínio",F27="Monofásico"),"N/A",IF(AND(J27="Alumínio",F27="Trifásico"),VLOOKUP(M27,'Iz''s'!$BU$10:$CB$27,8,FALSE)))))</f>
        <v>N/A</v>
      </c>
      <c r="BS27" s="609">
        <f>IF(AND(J27="Cobre",F27="Monofásico"),VLOOKUP(M27,'Iz''s'!$V$14:$Y$28,2,FALSE),IF(AND(J27="Cobre",F27="Trifásico"),VLOOKUP(M27,'Iz''s'!$V$14:$Y$28,3,FALSE),IF(AND(J27="Alumínio",F27="Monofásico"),VLOOKUP(M27,"N/A",4,FALSE),IF(AND(J27="Alumínio",F27="Trifásico"),VLOOKUP(M27,"N/A",4,FALSE)))))</f>
        <v>25</v>
      </c>
      <c r="BT27" s="609">
        <f>IF(AND(J27="Cobre",F27="Monofásico"),VLOOKUP(M27,'Iz''s'!$AF$15:$AK$29,2,FALSE),IF(AND(J27="Cobre",F27="Trifásico"),VLOOKUP(M27,'Iz''s'!$AF$15:$AK$29,3,FALSE),IF(AND(J27="Alumínio",F27="Monofásico"),"N/A",IF(AND(J27="Alumínio",F27="Trifásico"),"N/A"))))</f>
        <v>26</v>
      </c>
      <c r="BU27" s="609">
        <f>IF(AND(J27="Cobre",F27="Monofásico"),VLOOKUP(M27,'Iz''s'!$AF$15:$AK$29,2,FALSE),IF(AND(J27="Cobre",F27="Trifásico"),VLOOKUP(M27,'Iz''s'!$AF$15:$AK$29,3,FALSE),IF(AND(J27="Alumínio",F27="Monofásico"),"N/A",IF(AND(J27="Alumínio",F27="Trifásico"),"N/A"))))</f>
        <v>26</v>
      </c>
      <c r="BV27" s="610" t="str">
        <f>IF(AND(J27="Cobre",F27="Monofásico"),"N/A",IF(AND(J27="Cobre",F27="Trifásico"),VLOOKUP(M27,'Iz''s'!$AF$15:$AK$29,6,FALSE),IF(AND(J27="Alumínio",F27="Monofásico"),"N/A",IF(AND(J27="Alumínio",F27="Trifásico"),"N/A"))))</f>
        <v>N/A</v>
      </c>
      <c r="BW27" s="611">
        <v>25</v>
      </c>
      <c r="BX27" s="583"/>
      <c r="BY27" s="612">
        <f>VLOOKUP(M27,Consulta!$W$6:$AB$23,4,FALSE)</f>
        <v>16</v>
      </c>
      <c r="BZ27" s="612">
        <f>VLOOKUP(M27,Consulta!$W$6:$AB$23,6,FALSE)</f>
        <v>20</v>
      </c>
      <c r="CA27" s="612">
        <f>VLOOKUP(M27,Consulta!$AK$6:$AP$23,4,FALSE)</f>
        <v>20</v>
      </c>
      <c r="CB27" s="612">
        <f>VLOOKUP(M27,Consulta!$AK$6:$AP$23,6,FALSE)</f>
        <v>20</v>
      </c>
      <c r="CC27" s="585" t="e">
        <f>VLOOKUP(M27,Consulta!$AD$6:$AI$19,4,FALSE)</f>
        <v>#N/A</v>
      </c>
      <c r="CD27" s="585" t="e">
        <f>VLOOKUP(M27,Consulta!$AD$6:$AI$19,6,FALSE)</f>
        <v>#N/A</v>
      </c>
      <c r="CE27" s="585" t="e">
        <f>VLOOKUP(M27,Consulta!$AR$6:$AW$19,4,FALSE)</f>
        <v>#N/A</v>
      </c>
      <c r="CF27" s="586" t="e">
        <f>VLOOKUP(M27,Consulta!$AR$6:$AW$19,6,FALSE)</f>
        <v>#N/A</v>
      </c>
    </row>
    <row r="28" spans="2:127" ht="16.5" customHeight="1" x14ac:dyDescent="0.2">
      <c r="B28" s="1118"/>
      <c r="C28" s="820" t="s">
        <v>831</v>
      </c>
      <c r="D28" s="701">
        <f>7*230/1000</f>
        <v>1.61</v>
      </c>
      <c r="E28" s="701">
        <f>32.9758+5.1444</f>
        <v>38.120199999999997</v>
      </c>
      <c r="F28" s="701" t="s">
        <v>244</v>
      </c>
      <c r="G28" s="701" t="s">
        <v>808</v>
      </c>
      <c r="H28" s="701">
        <v>1</v>
      </c>
      <c r="I28" s="765" t="s">
        <v>13</v>
      </c>
      <c r="J28" s="701" t="s">
        <v>242</v>
      </c>
      <c r="K28" s="701" t="s">
        <v>363</v>
      </c>
      <c r="L28" s="701">
        <v>1</v>
      </c>
      <c r="M28" s="702">
        <v>2.5</v>
      </c>
      <c r="N28" s="701" t="s">
        <v>455</v>
      </c>
      <c r="O28" s="701">
        <v>4</v>
      </c>
      <c r="P28" s="555">
        <f t="shared" si="4"/>
        <v>30</v>
      </c>
      <c r="Q28" s="701">
        <v>1</v>
      </c>
      <c r="R28" s="701">
        <v>0.77</v>
      </c>
      <c r="S28" s="555">
        <f t="shared" si="45"/>
        <v>7</v>
      </c>
      <c r="T28" s="712">
        <f t="shared" si="46"/>
        <v>23.1</v>
      </c>
      <c r="U28" s="701" t="s">
        <v>499</v>
      </c>
      <c r="V28" s="555">
        <v>10</v>
      </c>
      <c r="W28" s="701">
        <f>IF(U28="C.C.Fusíveis",VLOOKUP(V28,Consulta!$L$5:$N$31,3,FALSE),VLOOKUP(V28,Consulta!$P$5:$R$34,3,FALSE))</f>
        <v>13.5</v>
      </c>
      <c r="X28" s="713">
        <f t="shared" si="10"/>
        <v>44</v>
      </c>
      <c r="Y28" s="766">
        <f t="shared" si="51"/>
        <v>0.30303030303030304</v>
      </c>
      <c r="Z28" s="706" t="str">
        <f t="shared" si="11"/>
        <v>Sim</v>
      </c>
      <c r="AA28" s="767">
        <f t="shared" si="33"/>
        <v>7.7627140213909152E-2</v>
      </c>
      <c r="AB28" s="767">
        <f t="shared" si="12"/>
        <v>0.42885224999999988</v>
      </c>
      <c r="AC28" s="767">
        <f t="shared" si="6"/>
        <v>0</v>
      </c>
      <c r="AD28" s="703">
        <f t="shared" si="37"/>
        <v>2.4122515281164385</v>
      </c>
      <c r="AE28" s="703">
        <f t="shared" si="17"/>
        <v>6.0039314999999984</v>
      </c>
      <c r="AF28" s="703">
        <f t="shared" si="18"/>
        <v>8.4161830281164374</v>
      </c>
      <c r="AG28" s="704">
        <f t="shared" si="34"/>
        <v>2.6104049999999993E-2</v>
      </c>
      <c r="AH28" s="768">
        <f t="shared" si="34"/>
        <v>3.6592100122245383E-2</v>
      </c>
      <c r="AI28" s="703">
        <f t="shared" si="7"/>
        <v>0.45411522056773257</v>
      </c>
      <c r="AJ28" s="701">
        <v>3</v>
      </c>
      <c r="AK28" s="703">
        <v>0.1</v>
      </c>
      <c r="AL28" s="713">
        <f t="shared" si="47"/>
        <v>115</v>
      </c>
      <c r="AM28" s="703">
        <f t="shared" si="48"/>
        <v>1.248729058385893</v>
      </c>
      <c r="AN28" s="706">
        <f t="shared" si="52"/>
        <v>1</v>
      </c>
      <c r="AO28" s="705" t="s">
        <v>563</v>
      </c>
      <c r="AP28" s="706" t="s">
        <v>523</v>
      </c>
      <c r="AQ28" s="706" t="str">
        <f t="shared" si="53"/>
        <v>3G</v>
      </c>
      <c r="AR28" s="706">
        <f t="shared" si="49"/>
        <v>2.5</v>
      </c>
      <c r="AS28" s="893" t="str">
        <f t="shared" si="8"/>
        <v/>
      </c>
      <c r="AT28" s="893" t="str">
        <f>IF(OR(AQ28="3G",AQ28="5G"),"",VLOOKUP(AR28,Consulta!$T$5:$U$25,2,FALSE))</f>
        <v/>
      </c>
      <c r="AU28" s="894" t="s">
        <v>565</v>
      </c>
      <c r="AV28" s="706" t="s">
        <v>23</v>
      </c>
      <c r="AW28" s="706" t="s">
        <v>564</v>
      </c>
      <c r="AX28" s="706">
        <f t="shared" si="30"/>
        <v>20</v>
      </c>
      <c r="AY28" s="707" t="s">
        <v>24</v>
      </c>
      <c r="AZ28" s="564"/>
      <c r="BA28" s="584">
        <f>IF(AND(J28="Cobre",F28="Monofásico"),VLOOKUP(M28,'Iz''s'!$B$8:$E$23,2,FALSE),IF(AND(J28="Cobre",F28="Trifásico"),VLOOKUP(M28,'Iz''s'!$L$8:$O$23,2,FALSE),IF(AND(J28="Alumínio",F28="Monofásico"),VLOOKUP(M28,'Iz''s'!$B$25:$E$39,2,FALSE),IF(AND(J28="Alumínio",F28="Trifásico"),VLOOKUP(M28,'Iz''s'!$L$25:$O$39,2,FALSE)))))</f>
        <v>19.5</v>
      </c>
      <c r="BB28" s="531">
        <f>IF(AND(J28="Cobre",F28="Monofásico"),VLOOKUP(M28,'Iz''s'!$CD$9:$CH$24,2,FALSE),IF(AND(J28="Cobre",F28="Trifásico"),VLOOKUP(M28,'Iz''s'!$CD$9:$CH$24,4,FALSE),IF(AND(J28="Alumínio",F28="Monofásico"),VLOOKUP(M28,'Iz''s'!$CD$26:$CH$40,2,FALSE),IF(AND(J28="Alumínio",F28="Trifásico"),VLOOKUP(M28,'Iz''s'!$CD$26:$CH$40,4,FALSE)))))</f>
        <v>18.5</v>
      </c>
      <c r="BC28" s="531">
        <f>IF(AND(J28="Cobre",F28="Monofásico"),VLOOKUP(M28,'Iz''s'!$B$8:$E$23,3,FALSE),IF(AND(J28="Cobre",F28="Trifásico"),VLOOKUP(M28,'Iz''s'!$L$8:$O$23,3,FALSE),IF(AND(J28="Alumínio",F28="Monofásico"),VLOOKUP(M28,'Iz''s'!$B$25:$E$39,3,FALSE),IF(AND(J28="Alumínio",F28="Trifásico"),VLOOKUP(M28,'Iz''s'!$L$25:$O$39,3,FALSE)))))</f>
        <v>24</v>
      </c>
      <c r="BD28" s="531">
        <f>IF(AND(J28="Cobre",F28="Monofásico"),VLOOKUP(M28,'Iz''s'!$CD$9:$CH$24,3,FALSE),IF(AND(J28="Cobre",F28="Trifásico"),VLOOKUP(M28,'Iz''s'!$CD$9:$CH$24,5,FALSE),IF(AND(J28="Alumínio",F28="Monofásico"),VLOOKUP(M28,'Iz''s'!$CD$26:$CH$40,3,FALSE),IF(AND(J28="Alumínio",F28="Trifásico"),VLOOKUP(M28,'Iz''s'!$CD$26:$CH$40,5,FALSE)))))</f>
        <v>23</v>
      </c>
      <c r="BE28" s="531">
        <f>IF(AND(J28="Cobre",F28="Monofásico"),VLOOKUP(M28,'Iz''s'!$B$8:$E$23,4,FALSE),IF(AND(J28="Cobre",F28="Trifásico"),VLOOKUP(M28,'Iz''s'!$L$8:$O$23,4,FALSE),IF(AND(J28="Alumínio",F28="Monofásico"),VLOOKUP(M28,'Iz''s'!$B$25:$E$39,4,FALSE),IF(AND(J28="Alumínio",F28="Trifásico"),VLOOKUP(M28,'Iz''s'!$L$25:$O$39,4,FALSE)))))</f>
        <v>27</v>
      </c>
      <c r="BF28" s="531">
        <f>IF(AND(J28="Cobre",F28="Monofásico"),VLOOKUP(M28,'Iz''s'!$CP$9:$CT$24,3,FALSE),IF(AND(J28="Cobre",F28="Trifásico"),VLOOKUP(M28,'Iz''s'!$CP$9:$CT$24,2,FALSE),IF(AND(J28="Alumínio",F28="Monofásico"),VLOOKUP(M28,'Iz''s'!$CP$26:$CT$37,3,FALSE),IF(AND(J28="Alumínio",F28="Trifásico"),VLOOKUP(M28,'Iz''s'!$CP$26:$CT$37,2,FALSE)))))</f>
        <v>42</v>
      </c>
      <c r="BG28" s="609">
        <f>IF(AND(J28="Cobre",F28="Monofásico"),VLOOKUP(M28,'Iz''s'!$AT$10:$BA$28,2,FALSE),IF(AND(J28="Cobre",F28="Trifásico"),VLOOKUP(M28,'Iz''s'!$AT$10:$BA$28,3,FALSE),IF(AND(J28="Alumínio",F28="Monofásico"),VLOOKUP(M28,'Iz''s'!$BC$10:$BJ$27,2,FALSE),IF(AND(J28="Alumínio",F28="Trifásico"),VLOOKUP(M28,'Iz''s'!$BC$10:$BJ$27,3,FALSE)))))</f>
        <v>30</v>
      </c>
      <c r="BH28" s="609" t="str">
        <f>IF(AND(J28="Cobre",F28="Monofásico"),VLOOKUP(M28,'Iz''s'!$AT$10:$BA$28,4,FALSE),IF(AND(J28="Cobre",F28="Trifásico"),VLOOKUP(M28,'Iz''s'!$AT$10:$BA$28,5,FALSE),IF(AND(J28="Alumínio",F28="Monofásico"),VLOOKUP(M28,'Iz''s'!$BC$10:$BJ$27,4,FALSE),IF(AND(J28="Alumínio",F28="Trifásico"),VLOOKUP(M28,'Iz''s'!$BC$10:$BJ$27,5,FALSE)))))</f>
        <v xml:space="preserve"> --- </v>
      </c>
      <c r="BI28" s="609" t="str">
        <f>IF(AND(J28="Cobre",F28="Monofásico"),"N/A",IF(AND(J28="Cobre",F28="Trifásico"),VLOOKUP(M28,'Iz''s'!$AT$10:$BA$28,8,FALSE),IF(AND(J28="Alumínio",F28="Monofásico"),"N/A",IF(AND(J28="Alumínio",F28="Trifásico"),VLOOKUP(M28,'Iz''s'!$BC$10:$BJ$27,8,FALSE)))))</f>
        <v>N/A</v>
      </c>
      <c r="BJ28" s="531">
        <f>IF(AND(J28="Cobre",F28="Monofásico"),VLOOKUP(M28,'Iz''s'!$G$8:$J$23,2,FALSE),IF(AND(J28="Cobre",F28="Trifásico"),VLOOKUP(M28,'Iz''s'!$Q$8:$T$23,2,FALSE),IF(AND(J28="Alumínio",F28="Monofásico"),VLOOKUP(M28,'Iz''s'!$G$25:$J$39,2,FALSE),IF(AND(J28="Alumínio",F28="Trifásico"),VLOOKUP(M28,'Iz''s'!$Q$25:$T$39,2,FALSE)))))</f>
        <v>26</v>
      </c>
      <c r="BK28" s="609">
        <f>IF(AND(J28="Cobre",F28="Monofásico"),VLOOKUP(M28,'Iz''s'!$CJ$9:$CN$24,2,FALSE),IF(AND(J28="Cobre",F28="Trifásico"),VLOOKUP(M28,'Iz''s'!$CJ$9:$CN$24,4,FALSE),IF(AND(J28="Alumínio",F28="Monofásico"),VLOOKUP(M28,'Iz''s'!$CJ$26:$CN$40,2,FALSE),IF(AND(J28="Alumínio",F28="Trifásico"),VLOOKUP(M28,'Iz''s'!$CJ$26:$CN$40,4,FALSE)))))</f>
        <v>25</v>
      </c>
      <c r="BL28" s="609">
        <f>IF(AND(J28="Cobre",F28="Monofásico"),VLOOKUP(M28,'Iz''s'!$G$8:$J$23,3,FALSE),IF(AND(J28="Cobre",F28="Trifásico"),VLOOKUP(M28,'Iz''s'!$Q$8:$T$23,3,FALSE),IF(AND(J28="Alumínio",F28="Monofásico"),VLOOKUP(M28,'Iz''s'!$G$25:$J$39,3,FALSE),IF(AND(J28="Alumínio",F28="Trifásico"),VLOOKUP(M28,'Iz''s'!$Q$25:$T$39,3,FALSE)))))</f>
        <v>31</v>
      </c>
      <c r="BM28" s="609">
        <f>IF(AND(J28="Cobre",F28="Monofásico"),VLOOKUP(M28,'Iz''s'!$CJ$9:$CN$24,3,FALSE),IF(AND(J28="Cobre",F28="Trifásico"),VLOOKUP(M28,'Iz''s'!$CJ$9:$CN$24,5,FALSE),IF(AND(J28="Alumínio",F28="Monofásico"),VLOOKUP(M28,'Iz''s'!$CJ$26:$CN$40,3,FALSE),IF(AND(J28="Alumínio",F28="Trifásico"),VLOOKUP(M28,'Iz''s'!$CJ$26:$CN$40,5,FALSE)))))</f>
        <v>30</v>
      </c>
      <c r="BN28" s="609">
        <f>IF(AND(J28="Cobre",F28="Monofásico"),VLOOKUP(M28,'Iz''s'!$G$8:$J$23,4,FALSE),IF(AND(J28="Cobre",F28="Trifásico"),VLOOKUP(M28,'Iz''s'!$Q$8:$T$23,4,FALSE),IF(AND(J28="Alumínio",F28="Monofásico"),VLOOKUP(M28,'Iz''s'!$G$25:$J$39,4,FALSE),IF(AND(J28="Alumínio",F28="Trifásico"),VLOOKUP(M28,'Iz''s'!$Q$25:$T$39,4,FALSE)))))</f>
        <v>33</v>
      </c>
      <c r="BO28" s="609">
        <f>IF(AND(J28="Cobre",F28="Monofásico"),VLOOKUP(M28,'Iz''s'!$CP$9:$CT$24,5,FALSE),IF(AND(J28="Cobre",F28="Trifásico"),VLOOKUP(M28,'Iz''s'!$CP$9:$CT$24,4,FALSE),IF(AND(J28="Alumínio",F28="Monofásico"),VLOOKUP(M28,'Iz''s'!$CP$26:$CT$37,5,FALSE),IF(AND(J28="Alumínio",F28="Trifásico"),VLOOKUP(M28,'Iz''s'!$CP$26:$CT$37,4,FALSE)))))</f>
        <v>48</v>
      </c>
      <c r="BP28" s="609">
        <f>IF(AND(J28="Cobre",F28="Monofásico"),VLOOKUP(M28,'Iz''s'!$BL$10:$BS$28,2,FALSE),IF(AND(J28="Cobre",F28="Trifásico"),VLOOKUP(M28,'Iz''s'!$BL$10:$BS$28,3,FALSE),IF(AND(J28="Alumínio",F28="Monofásico"),VLOOKUP(M28,'Iz''s'!$BU$10:$CB$27,2,FALSE),IF(AND(J28="Alumínio",F28="Trifásico"),VLOOKUP(M28,'Iz''s'!$BU$10:$CB$27,3,FALSE)))))</f>
        <v>36</v>
      </c>
      <c r="BQ28" s="609" t="str">
        <f>IF(AND(J28="Cobre",F28="Monofásico"),VLOOKUP(M28,'Iz''s'!$BL$10:$BS$28,4,FALSE),IF(AND(J28="Cobre",F28="Trifásico"),VLOOKUP(M28,'Iz''s'!$BL$10:$BS$28,5,FALSE),IF(AND(J28="Alumínio",F28="Monofásico"),VLOOKUP(M28,'Iz''s'!$BU$10:$CB$27,4,FALSE),IF(AND(J28="Alumínio",F28="Trifásico"),VLOOKUP(M28,'Iz''s'!$BU$10:$CB$27,5,FALSE)))))</f>
        <v xml:space="preserve"> --- </v>
      </c>
      <c r="BR28" s="609" t="str">
        <f>IF(AND(J28="Cobre",F28="Monofásico"),"N/A",IF(AND(J28="Cobre",F28="Trifásico"),VLOOKUP(M28,'Iz''s'!$BL$10:$BS$28,8,FALSE),IF(AND(J28="Alumínio",F28="Monofásico"),"N/A",IF(AND(J28="Alumínio",F28="Trifásico"),VLOOKUP(M28,'Iz''s'!$BU$10:$CB$27,8,FALSE)))))</f>
        <v>N/A</v>
      </c>
      <c r="BS28" s="609">
        <f>IF(AND(J28="Cobre",F28="Monofásico"),VLOOKUP(M28,'Iz''s'!$V$14:$Y$28,2,FALSE),IF(AND(J28="Cobre",F28="Trifásico"),VLOOKUP(M28,'Iz''s'!$V$14:$Y$28,3,FALSE),IF(AND(J28="Alumínio",F28="Monofásico"),VLOOKUP(M28,"N/A",4,FALSE),IF(AND(J28="Alumínio",F28="Trifásico"),VLOOKUP(M28,"N/A",4,FALSE)))))</f>
        <v>34</v>
      </c>
      <c r="BT28" s="609">
        <f>IF(AND(J28="Cobre",F28="Monofásico"),VLOOKUP(M28,'Iz''s'!$AF$15:$AK$29,2,FALSE),IF(AND(J28="Cobre",F28="Trifásico"),VLOOKUP(M28,'Iz''s'!$AF$15:$AK$29,3,FALSE),IF(AND(J28="Alumínio",F28="Monofásico"),"N/A",IF(AND(J28="Alumínio",F28="Trifásico"),"N/A"))))</f>
        <v>36</v>
      </c>
      <c r="BU28" s="609">
        <f>IF(AND(J28="Cobre",F28="Monofásico"),VLOOKUP(M28,'Iz''s'!$AF$15:$AK$29,2,FALSE),IF(AND(J28="Cobre",F28="Trifásico"),VLOOKUP(M28,'Iz''s'!$AF$15:$AK$29,3,FALSE),IF(AND(J28="Alumínio",F28="Monofásico"),"N/A",IF(AND(J28="Alumínio",F28="Trifásico"),"N/A"))))</f>
        <v>36</v>
      </c>
      <c r="BV28" s="610" t="str">
        <f>IF(AND(J28="Cobre",F28="Monofásico"),"N/A",IF(AND(J28="Cobre",F28="Trifásico"),VLOOKUP(M28,'Iz''s'!$AF$15:$AK$29,6,FALSE),IF(AND(J28="Alumínio",F28="Monofásico"),"N/A",IF(AND(J28="Alumínio",F28="Trifásico"),"N/A"))))</f>
        <v>N/A</v>
      </c>
      <c r="BW28" s="611">
        <v>26</v>
      </c>
      <c r="BX28" s="583"/>
      <c r="BY28" s="612">
        <f>VLOOKUP(M28,Consulta!$W$6:$AB$23,4,FALSE)</f>
        <v>16</v>
      </c>
      <c r="BZ28" s="612">
        <f>VLOOKUP(M28,Consulta!$W$6:$AB$23,6,FALSE)</f>
        <v>20</v>
      </c>
      <c r="CA28" s="612">
        <f>VLOOKUP(M28,Consulta!$AK$6:$AP$23,4,FALSE)</f>
        <v>20</v>
      </c>
      <c r="CB28" s="612">
        <f>VLOOKUP(M28,Consulta!$AK$6:$AP$23,6,FALSE)</f>
        <v>25</v>
      </c>
      <c r="CC28" s="585" t="e">
        <f>VLOOKUP(M28,Consulta!$AD$6:$AI$19,4,FALSE)</f>
        <v>#N/A</v>
      </c>
      <c r="CD28" s="585" t="e">
        <f>VLOOKUP(M28,Consulta!$AD$6:$AI$19,6,FALSE)</f>
        <v>#N/A</v>
      </c>
      <c r="CE28" s="585" t="e">
        <f>VLOOKUP(M28,Consulta!$AR$6:$AW$19,4,FALSE)</f>
        <v>#N/A</v>
      </c>
      <c r="CF28" s="586" t="e">
        <f>VLOOKUP(M28,Consulta!$AR$6:$AW$19,6,FALSE)</f>
        <v>#N/A</v>
      </c>
    </row>
    <row r="29" spans="2:127" ht="16.5" customHeight="1" x14ac:dyDescent="0.2">
      <c r="B29" s="1118"/>
      <c r="C29" s="820" t="s">
        <v>832</v>
      </c>
      <c r="D29" s="701">
        <f>7*230/1000</f>
        <v>1.61</v>
      </c>
      <c r="E29" s="701">
        <f>32.9758+1.1244</f>
        <v>34.100200000000001</v>
      </c>
      <c r="F29" s="701" t="s">
        <v>244</v>
      </c>
      <c r="G29" s="701" t="s">
        <v>808</v>
      </c>
      <c r="H29" s="701">
        <v>1</v>
      </c>
      <c r="I29" s="765" t="s">
        <v>13</v>
      </c>
      <c r="J29" s="701" t="s">
        <v>242</v>
      </c>
      <c r="K29" s="701" t="s">
        <v>363</v>
      </c>
      <c r="L29" s="701">
        <v>1</v>
      </c>
      <c r="M29" s="702">
        <v>1.5</v>
      </c>
      <c r="N29" s="701" t="s">
        <v>455</v>
      </c>
      <c r="O29" s="701">
        <v>4</v>
      </c>
      <c r="P29" s="555">
        <f t="shared" si="4"/>
        <v>22</v>
      </c>
      <c r="Q29" s="701">
        <v>1</v>
      </c>
      <c r="R29" s="701">
        <v>0.77</v>
      </c>
      <c r="S29" s="555">
        <f t="shared" si="45"/>
        <v>7</v>
      </c>
      <c r="T29" s="712">
        <f t="shared" si="46"/>
        <v>16.940000000000001</v>
      </c>
      <c r="U29" s="701" t="s">
        <v>499</v>
      </c>
      <c r="V29" s="555">
        <v>10</v>
      </c>
      <c r="W29" s="701">
        <f>IF(U29="C.C.Fusíveis",VLOOKUP(V29,Consulta!$L$5:$N$31,3,FALSE),VLOOKUP(V29,Consulta!$P$5:$R$34,3,FALSE))</f>
        <v>13.5</v>
      </c>
      <c r="X29" s="713">
        <f t="shared" si="10"/>
        <v>32</v>
      </c>
      <c r="Y29" s="766">
        <f t="shared" si="51"/>
        <v>0.41322314049586772</v>
      </c>
      <c r="Z29" s="706" t="str">
        <f t="shared" si="11"/>
        <v>Sim</v>
      </c>
      <c r="AA29" s="767">
        <f t="shared" si="33"/>
        <v>7.7627140213909152E-2</v>
      </c>
      <c r="AB29" s="767">
        <f t="shared" si="12"/>
        <v>0.63937875</v>
      </c>
      <c r="AC29" s="767">
        <f t="shared" si="6"/>
        <v>0</v>
      </c>
      <c r="AD29" s="703">
        <f t="shared" si="37"/>
        <v>2.4122515281164385</v>
      </c>
      <c r="AE29" s="703">
        <f t="shared" si="17"/>
        <v>8.9513025000000006</v>
      </c>
      <c r="AF29" s="703">
        <f t="shared" si="18"/>
        <v>11.36355402811644</v>
      </c>
      <c r="AG29" s="704">
        <f t="shared" si="34"/>
        <v>3.8918706521739135E-2</v>
      </c>
      <c r="AH29" s="768">
        <f t="shared" si="34"/>
        <v>4.9406756643984522E-2</v>
      </c>
      <c r="AI29" s="703">
        <f t="shared" si="7"/>
        <v>0.32077839685721771</v>
      </c>
      <c r="AJ29" s="701">
        <v>3</v>
      </c>
      <c r="AK29" s="703">
        <v>0.1</v>
      </c>
      <c r="AL29" s="713">
        <f t="shared" si="47"/>
        <v>115</v>
      </c>
      <c r="AM29" s="703">
        <f t="shared" si="48"/>
        <v>0.88207857238800547</v>
      </c>
      <c r="AN29" s="706">
        <f t="shared" si="52"/>
        <v>1</v>
      </c>
      <c r="AO29" s="705" t="s">
        <v>563</v>
      </c>
      <c r="AP29" s="706" t="s">
        <v>523</v>
      </c>
      <c r="AQ29" s="706" t="str">
        <f t="shared" si="53"/>
        <v>3G</v>
      </c>
      <c r="AR29" s="706">
        <f t="shared" si="49"/>
        <v>1.5</v>
      </c>
      <c r="AS29" s="893" t="str">
        <f t="shared" si="8"/>
        <v/>
      </c>
      <c r="AT29" s="893" t="str">
        <f>IF(OR(AQ29="3G",AQ29="5G"),"",VLOOKUP(AR29,Consulta!$T$5:$U$25,2,FALSE))</f>
        <v/>
      </c>
      <c r="AU29" s="894" t="s">
        <v>565</v>
      </c>
      <c r="AV29" s="706" t="s">
        <v>23</v>
      </c>
      <c r="AW29" s="706" t="s">
        <v>564</v>
      </c>
      <c r="AX29" s="706">
        <f t="shared" si="30"/>
        <v>20</v>
      </c>
      <c r="AY29" s="707" t="s">
        <v>24</v>
      </c>
      <c r="AZ29" s="564"/>
      <c r="BA29" s="584">
        <f>IF(AND(J29="Cobre",F29="Monofásico"),VLOOKUP(M29,'Iz''s'!$B$8:$E$23,2,FALSE),IF(AND(J29="Cobre",F29="Trifásico"),VLOOKUP(M29,'Iz''s'!$L$8:$O$23,2,FALSE),IF(AND(J29="Alumínio",F29="Monofásico"),VLOOKUP(M29,'Iz''s'!$B$25:$E$39,2,FALSE),IF(AND(J29="Alumínio",F29="Trifásico"),VLOOKUP(M29,'Iz''s'!$L$25:$O$39,2,FALSE)))))</f>
        <v>14.5</v>
      </c>
      <c r="BB29" s="531">
        <f>IF(AND(J29="Cobre",F29="Monofásico"),VLOOKUP(M29,'Iz''s'!$CD$9:$CH$24,2,FALSE),IF(AND(J29="Cobre",F29="Trifásico"),VLOOKUP(M29,'Iz''s'!$CD$9:$CH$24,4,FALSE),IF(AND(J29="Alumínio",F29="Monofásico"),VLOOKUP(M29,'Iz''s'!$CD$26:$CH$40,2,FALSE),IF(AND(J29="Alumínio",F29="Trifásico"),VLOOKUP(M29,'Iz''s'!$CD$26:$CH$40,4,FALSE)))))</f>
        <v>14</v>
      </c>
      <c r="BC29" s="531">
        <f>IF(AND(J29="Cobre",F29="Monofásico"),VLOOKUP(M29,'Iz''s'!$B$8:$E$23,3,FALSE),IF(AND(J29="Cobre",F29="Trifásico"),VLOOKUP(M29,'Iz''s'!$L$8:$O$23,3,FALSE),IF(AND(J29="Alumínio",F29="Monofásico"),VLOOKUP(M29,'Iz''s'!$B$25:$E$39,3,FALSE),IF(AND(J29="Alumínio",F29="Trifásico"),VLOOKUP(M29,'Iz''s'!$L$25:$O$39,3,FALSE)))))</f>
        <v>17.5</v>
      </c>
      <c r="BD29" s="531">
        <f>IF(AND(J29="Cobre",F29="Monofásico"),VLOOKUP(M29,'Iz''s'!$CD$9:$CH$24,3,FALSE),IF(AND(J29="Cobre",F29="Trifásico"),VLOOKUP(M29,'Iz''s'!$CD$9:$CH$24,5,FALSE),IF(AND(J29="Alumínio",F29="Monofásico"),VLOOKUP(M29,'Iz''s'!$CD$26:$CH$40,3,FALSE),IF(AND(J29="Alumínio",F29="Trifásico"),VLOOKUP(M29,'Iz''s'!$CD$26:$CH$40,5,FALSE)))))</f>
        <v>16.5</v>
      </c>
      <c r="BE29" s="531">
        <f>IF(AND(J29="Cobre",F29="Monofásico"),VLOOKUP(M29,'Iz''s'!$B$8:$E$23,4,FALSE),IF(AND(J29="Cobre",F29="Trifásico"),VLOOKUP(M29,'Iz''s'!$L$8:$O$23,4,FALSE),IF(AND(J29="Alumínio",F29="Monofásico"),VLOOKUP(M29,'Iz''s'!$B$25:$E$39,4,FALSE),IF(AND(J29="Alumínio",F29="Trifásico"),VLOOKUP(M29,'Iz''s'!$L$25:$O$39,4,FALSE)))))</f>
        <v>19.5</v>
      </c>
      <c r="BF29" s="531">
        <f>IF(AND(J29="Cobre",F29="Monofásico"),VLOOKUP(M29,'Iz''s'!$CP$9:$CT$24,3,FALSE),IF(AND(J29="Cobre",F29="Trifásico"),VLOOKUP(M29,'Iz''s'!$CP$9:$CT$24,2,FALSE),IF(AND(J29="Alumínio",F29="Monofásico"),VLOOKUP(M29,'Iz''s'!$CP$26:$CT$37,3,FALSE),IF(AND(J29="Alumínio",F29="Trifásico"),VLOOKUP(M29,'Iz''s'!$CP$26:$CT$37,2,FALSE)))))</f>
        <v>32</v>
      </c>
      <c r="BG29" s="609">
        <f>IF(AND(J29="Cobre",F29="Monofásico"),VLOOKUP(M29,'Iz''s'!$AT$10:$BA$28,2,FALSE),IF(AND(J29="Cobre",F29="Trifásico"),VLOOKUP(M29,'Iz''s'!$AT$10:$BA$28,3,FALSE),IF(AND(J29="Alumínio",F29="Monofásico"),VLOOKUP(M29,'Iz''s'!$BC$10:$BJ$27,2,FALSE),IF(AND(J29="Alumínio",F29="Trifásico"),VLOOKUP(M29,'Iz''s'!$BC$10:$BJ$27,3,FALSE)))))</f>
        <v>22</v>
      </c>
      <c r="BH29" s="609" t="str">
        <f>IF(AND(J29="Cobre",F29="Monofásico"),VLOOKUP(M29,'Iz''s'!$AT$10:$BA$28,4,FALSE),IF(AND(J29="Cobre",F29="Trifásico"),VLOOKUP(M29,'Iz''s'!$AT$10:$BA$28,5,FALSE),IF(AND(J29="Alumínio",F29="Monofásico"),VLOOKUP(M29,'Iz''s'!$BC$10:$BJ$27,4,FALSE),IF(AND(J29="Alumínio",F29="Trifásico"),VLOOKUP(M29,'Iz''s'!$BC$10:$BJ$27,5,FALSE)))))</f>
        <v xml:space="preserve"> --- </v>
      </c>
      <c r="BI29" s="609" t="str">
        <f>IF(AND(J29="Cobre",F29="Monofásico"),"N/A",IF(AND(J29="Cobre",F29="Trifásico"),VLOOKUP(M29,'Iz''s'!$AT$10:$BA$28,8,FALSE),IF(AND(J29="Alumínio",F29="Monofásico"),"N/A",IF(AND(J29="Alumínio",F29="Trifásico"),VLOOKUP(M29,'Iz''s'!$BC$10:$BJ$27,8,FALSE)))))</f>
        <v>N/A</v>
      </c>
      <c r="BJ29" s="531">
        <f>IF(AND(J29="Cobre",F29="Monofásico"),VLOOKUP(M29,'Iz''s'!$G$8:$J$23,2,FALSE),IF(AND(J29="Cobre",F29="Trifásico"),VLOOKUP(M29,'Iz''s'!$Q$8:$T$23,2,FALSE),IF(AND(J29="Alumínio",F29="Monofásico"),VLOOKUP(M29,'Iz''s'!$G$25:$J$39,2,FALSE),IF(AND(J29="Alumínio",F29="Trifásico"),VLOOKUP(M29,'Iz''s'!$Q$25:$T$39,2,FALSE)))))</f>
        <v>19</v>
      </c>
      <c r="BK29" s="609">
        <f>IF(AND(J29="Cobre",F29="Monofásico"),VLOOKUP(M29,'Iz''s'!$CJ$9:$CN$24,2,FALSE),IF(AND(J29="Cobre",F29="Trifásico"),VLOOKUP(M29,'Iz''s'!$CJ$9:$CN$24,4,FALSE),IF(AND(J29="Alumínio",F29="Monofásico"),VLOOKUP(M29,'Iz''s'!$CJ$26:$CN$40,2,FALSE),IF(AND(J29="Alumínio",F29="Trifásico"),VLOOKUP(M29,'Iz''s'!$CJ$26:$CN$40,4,FALSE)))))</f>
        <v>18.5</v>
      </c>
      <c r="BL29" s="609">
        <f>IF(AND(J29="Cobre",F29="Monofásico"),VLOOKUP(M29,'Iz''s'!$G$8:$J$23,3,FALSE),IF(AND(J29="Cobre",F29="Trifásico"),VLOOKUP(M29,'Iz''s'!$Q$8:$T$23,3,FALSE),IF(AND(J29="Alumínio",F29="Monofásico"),VLOOKUP(M29,'Iz''s'!$G$25:$J$39,3,FALSE),IF(AND(J29="Alumínio",F29="Trifásico"),VLOOKUP(M29,'Iz''s'!$Q$25:$T$39,3,FALSE)))))</f>
        <v>23</v>
      </c>
      <c r="BM29" s="609">
        <f>IF(AND(J29="Cobre",F29="Monofásico"),VLOOKUP(M29,'Iz''s'!$CJ$9:$CN$24,3,FALSE),IF(AND(J29="Cobre",F29="Trifásico"),VLOOKUP(M29,'Iz''s'!$CJ$9:$CN$24,5,FALSE),IF(AND(J29="Alumínio",F29="Monofásico"),VLOOKUP(M29,'Iz''s'!$CJ$26:$CN$40,3,FALSE),IF(AND(J29="Alumínio",F29="Trifásico"),VLOOKUP(M29,'Iz''s'!$CJ$26:$CN$40,5,FALSE)))))</f>
        <v>22</v>
      </c>
      <c r="BN29" s="609">
        <f>IF(AND(J29="Cobre",F29="Monofásico"),VLOOKUP(M29,'Iz''s'!$G$8:$J$23,4,FALSE),IF(AND(J29="Cobre",F29="Trifásico"),VLOOKUP(M29,'Iz''s'!$Q$8:$T$23,4,FALSE),IF(AND(J29="Alumínio",F29="Monofásico"),VLOOKUP(M29,'Iz''s'!$G$25:$J$39,4,FALSE),IF(AND(J29="Alumínio",F29="Trifásico"),VLOOKUP(M29,'Iz''s'!$Q$25:$T$39,4,FALSE)))))</f>
        <v>24</v>
      </c>
      <c r="BO29" s="609">
        <f>IF(AND(J29="Cobre",F29="Monofásico"),VLOOKUP(M29,'Iz''s'!$CP$9:$CT$24,5,FALSE),IF(AND(J29="Cobre",F29="Trifásico"),VLOOKUP(M29,'Iz''s'!$CP$9:$CT$24,4,FALSE),IF(AND(J29="Alumínio",F29="Monofásico"),VLOOKUP(M29,'Iz''s'!$CP$26:$CT$37,5,FALSE),IF(AND(J29="Alumínio",F29="Trifásico"),VLOOKUP(M29,'Iz''s'!$CP$26:$CT$37,4,FALSE)))))</f>
        <v>37</v>
      </c>
      <c r="BP29" s="609">
        <f>IF(AND(J29="Cobre",F29="Monofásico"),VLOOKUP(M29,'Iz''s'!$BL$10:$BS$28,2,FALSE),IF(AND(J29="Cobre",F29="Trifásico"),VLOOKUP(M29,'Iz''s'!$BL$10:$BS$28,3,FALSE),IF(AND(J29="Alumínio",F29="Monofásico"),VLOOKUP(M29,'Iz''s'!$BU$10:$CB$27,2,FALSE),IF(AND(J29="Alumínio",F29="Trifásico"),VLOOKUP(M29,'Iz''s'!$BU$10:$CB$27,3,FALSE)))))</f>
        <v>26</v>
      </c>
      <c r="BQ29" s="609" t="str">
        <f>IF(AND(J29="Cobre",F29="Monofásico"),VLOOKUP(M29,'Iz''s'!$BL$10:$BS$28,4,FALSE),IF(AND(J29="Cobre",F29="Trifásico"),VLOOKUP(M29,'Iz''s'!$BL$10:$BS$28,5,FALSE),IF(AND(J29="Alumínio",F29="Monofásico"),VLOOKUP(M29,'Iz''s'!$BU$10:$CB$27,4,FALSE),IF(AND(J29="Alumínio",F29="Trifásico"),VLOOKUP(M29,'Iz''s'!$BU$10:$CB$27,5,FALSE)))))</f>
        <v xml:space="preserve"> --- </v>
      </c>
      <c r="BR29" s="609" t="str">
        <f>IF(AND(J29="Cobre",F29="Monofásico"),"N/A",IF(AND(J29="Cobre",F29="Trifásico"),VLOOKUP(M29,'Iz''s'!$BL$10:$BS$28,8,FALSE),IF(AND(J29="Alumínio",F29="Monofásico"),"N/A",IF(AND(J29="Alumínio",F29="Trifásico"),VLOOKUP(M29,'Iz''s'!$BU$10:$CB$27,8,FALSE)))))</f>
        <v>N/A</v>
      </c>
      <c r="BS29" s="609">
        <f>IF(AND(J29="Cobre",F29="Monofásico"),VLOOKUP(M29,'Iz''s'!$V$14:$Y$28,2,FALSE),IF(AND(J29="Cobre",F29="Trifásico"),VLOOKUP(M29,'Iz''s'!$V$14:$Y$28,3,FALSE),IF(AND(J29="Alumínio",F29="Monofásico"),VLOOKUP(M29,"N/A",4,FALSE),IF(AND(J29="Alumínio",F29="Trifásico"),VLOOKUP(M29,"N/A",4,FALSE)))))</f>
        <v>25</v>
      </c>
      <c r="BT29" s="609">
        <f>IF(AND(J29="Cobre",F29="Monofásico"),VLOOKUP(M29,'Iz''s'!$AF$15:$AK$29,2,FALSE),IF(AND(J29="Cobre",F29="Trifásico"),VLOOKUP(M29,'Iz''s'!$AF$15:$AK$29,3,FALSE),IF(AND(J29="Alumínio",F29="Monofásico"),"N/A",IF(AND(J29="Alumínio",F29="Trifásico"),"N/A"))))</f>
        <v>26</v>
      </c>
      <c r="BU29" s="609">
        <f>IF(AND(J29="Cobre",F29="Monofásico"),VLOOKUP(M29,'Iz''s'!$AF$15:$AK$29,2,FALSE),IF(AND(J29="Cobre",F29="Trifásico"),VLOOKUP(M29,'Iz''s'!$AF$15:$AK$29,3,FALSE),IF(AND(J29="Alumínio",F29="Monofásico"),"N/A",IF(AND(J29="Alumínio",F29="Trifásico"),"N/A"))))</f>
        <v>26</v>
      </c>
      <c r="BV29" s="610" t="str">
        <f>IF(AND(J29="Cobre",F29="Monofásico"),"N/A",IF(AND(J29="Cobre",F29="Trifásico"),VLOOKUP(M29,'Iz''s'!$AF$15:$AK$29,6,FALSE),IF(AND(J29="Alumínio",F29="Monofásico"),"N/A",IF(AND(J29="Alumínio",F29="Trifásico"),"N/A"))))</f>
        <v>N/A</v>
      </c>
      <c r="BW29" s="611">
        <v>27</v>
      </c>
      <c r="BX29" s="583"/>
      <c r="BY29" s="612">
        <f>VLOOKUP(M29,Consulta!$W$6:$AB$23,4,FALSE)</f>
        <v>16</v>
      </c>
      <c r="BZ29" s="612">
        <f>VLOOKUP(M29,Consulta!$W$6:$AB$23,6,FALSE)</f>
        <v>20</v>
      </c>
      <c r="CA29" s="612">
        <f>VLOOKUP(M29,Consulta!$AK$6:$AP$23,4,FALSE)</f>
        <v>20</v>
      </c>
      <c r="CB29" s="612">
        <f>VLOOKUP(M29,Consulta!$AK$6:$AP$23,6,FALSE)</f>
        <v>20</v>
      </c>
      <c r="CC29" s="585" t="e">
        <f>VLOOKUP(M29,Consulta!$AD$6:$AI$19,4,FALSE)</f>
        <v>#N/A</v>
      </c>
      <c r="CD29" s="585" t="e">
        <f>VLOOKUP(M29,Consulta!$AD$6:$AI$19,6,FALSE)</f>
        <v>#N/A</v>
      </c>
      <c r="CE29" s="585" t="e">
        <f>VLOOKUP(M29,Consulta!$AR$6:$AW$19,4,FALSE)</f>
        <v>#N/A</v>
      </c>
      <c r="CF29" s="586" t="e">
        <f>VLOOKUP(M29,Consulta!$AR$6:$AW$19,6,FALSE)</f>
        <v>#N/A</v>
      </c>
    </row>
    <row r="30" spans="2:127" ht="16.5" customHeight="1" x14ac:dyDescent="0.2">
      <c r="B30" s="1118"/>
      <c r="C30" s="820" t="s">
        <v>833</v>
      </c>
      <c r="D30" s="701">
        <f>8*230/1000</f>
        <v>1.84</v>
      </c>
      <c r="E30" s="701">
        <f>32.9758+1.8956</f>
        <v>34.871400000000001</v>
      </c>
      <c r="F30" s="701" t="s">
        <v>244</v>
      </c>
      <c r="G30" s="701" t="s">
        <v>808</v>
      </c>
      <c r="H30" s="701">
        <v>1</v>
      </c>
      <c r="I30" s="765" t="s">
        <v>13</v>
      </c>
      <c r="J30" s="701" t="s">
        <v>242</v>
      </c>
      <c r="K30" s="701" t="s">
        <v>363</v>
      </c>
      <c r="L30" s="701">
        <v>1</v>
      </c>
      <c r="M30" s="702">
        <v>2.5</v>
      </c>
      <c r="N30" s="701" t="s">
        <v>455</v>
      </c>
      <c r="O30" s="701">
        <v>4</v>
      </c>
      <c r="P30" s="555">
        <f t="shared" si="4"/>
        <v>30</v>
      </c>
      <c r="Q30" s="701">
        <v>1</v>
      </c>
      <c r="R30" s="701">
        <v>0.77</v>
      </c>
      <c r="S30" s="555">
        <f t="shared" si="45"/>
        <v>8</v>
      </c>
      <c r="T30" s="712">
        <f t="shared" si="46"/>
        <v>23.1</v>
      </c>
      <c r="U30" s="701" t="s">
        <v>499</v>
      </c>
      <c r="V30" s="555">
        <v>10</v>
      </c>
      <c r="W30" s="701">
        <f>IF(U30="C.C.Fusíveis",VLOOKUP(V30,Consulta!$L$5:$N$31,3,FALSE),VLOOKUP(V30,Consulta!$P$5:$R$34,3,FALSE))</f>
        <v>13.5</v>
      </c>
      <c r="X30" s="713">
        <f t="shared" si="10"/>
        <v>44</v>
      </c>
      <c r="Y30" s="766">
        <f t="shared" si="51"/>
        <v>0.34632034632034631</v>
      </c>
      <c r="Z30" s="706" t="str">
        <f t="shared" si="11"/>
        <v>Sim</v>
      </c>
      <c r="AA30" s="767">
        <f t="shared" si="33"/>
        <v>7.7627140213909152E-2</v>
      </c>
      <c r="AB30" s="767">
        <f>(IF(J30="Cobre",(1.25*0.0225),(1.25*0.036)))*((E30/M30)/L30)</f>
        <v>0.39230324999999999</v>
      </c>
      <c r="AC30" s="767">
        <f t="shared" si="6"/>
        <v>0</v>
      </c>
      <c r="AD30" s="703">
        <f t="shared" si="37"/>
        <v>2.4122515281164385</v>
      </c>
      <c r="AE30" s="703">
        <f t="shared" si="17"/>
        <v>6.2768519999999999</v>
      </c>
      <c r="AF30" s="703">
        <f t="shared" si="18"/>
        <v>8.6891035281164388</v>
      </c>
      <c r="AG30" s="704">
        <f t="shared" si="34"/>
        <v>2.7290660869565216E-2</v>
      </c>
      <c r="AH30" s="768">
        <f t="shared" si="34"/>
        <v>3.7778710991810606E-2</v>
      </c>
      <c r="AI30" s="703">
        <f t="shared" si="7"/>
        <v>0.48943419023252693</v>
      </c>
      <c r="AJ30" s="701">
        <v>3</v>
      </c>
      <c r="AK30" s="703">
        <v>0.1</v>
      </c>
      <c r="AL30" s="713">
        <f t="shared" si="47"/>
        <v>115</v>
      </c>
      <c r="AM30" s="703">
        <f t="shared" si="48"/>
        <v>1.3458493964303657</v>
      </c>
      <c r="AN30" s="706">
        <f t="shared" si="52"/>
        <v>1</v>
      </c>
      <c r="AO30" s="705" t="s">
        <v>563</v>
      </c>
      <c r="AP30" s="706" t="s">
        <v>523</v>
      </c>
      <c r="AQ30" s="706" t="str">
        <f t="shared" si="53"/>
        <v>3G</v>
      </c>
      <c r="AR30" s="706">
        <f t="shared" si="49"/>
        <v>2.5</v>
      </c>
      <c r="AS30" s="893" t="str">
        <f t="shared" si="8"/>
        <v/>
      </c>
      <c r="AT30" s="893" t="str">
        <f>IF(OR(AQ30="3G",AQ30="5G"),"",VLOOKUP(AR30,Consulta!$T$5:$U$25,2,FALSE))</f>
        <v/>
      </c>
      <c r="AU30" s="894" t="s">
        <v>565</v>
      </c>
      <c r="AV30" s="706" t="s">
        <v>23</v>
      </c>
      <c r="AW30" s="706" t="s">
        <v>564</v>
      </c>
      <c r="AX30" s="706">
        <f t="shared" si="30"/>
        <v>20</v>
      </c>
      <c r="AY30" s="707" t="s">
        <v>24</v>
      </c>
      <c r="AZ30" s="564"/>
      <c r="BA30" s="584">
        <f>IF(AND(J30="Cobre",F30="Monofásico"),VLOOKUP(M30,'Iz''s'!$B$8:$E$23,2,FALSE),IF(AND(J30="Cobre",F30="Trifásico"),VLOOKUP(M30,'Iz''s'!$L$8:$O$23,2,FALSE),IF(AND(J30="Alumínio",F30="Monofásico"),VLOOKUP(M30,'Iz''s'!$B$25:$E$39,2,FALSE),IF(AND(J30="Alumínio",F30="Trifásico"),VLOOKUP(M30,'Iz''s'!$L$25:$O$39,2,FALSE)))))</f>
        <v>19.5</v>
      </c>
      <c r="BB30" s="531">
        <f>IF(AND(J30="Cobre",F30="Monofásico"),VLOOKUP(M30,'Iz''s'!$CD$9:$CH$24,2,FALSE),IF(AND(J30="Cobre",F30="Trifásico"),VLOOKUP(M30,'Iz''s'!$CD$9:$CH$24,4,FALSE),IF(AND(J30="Alumínio",F30="Monofásico"),VLOOKUP(M30,'Iz''s'!$CD$26:$CH$40,2,FALSE),IF(AND(J30="Alumínio",F30="Trifásico"),VLOOKUP(M30,'Iz''s'!$CD$26:$CH$40,4,FALSE)))))</f>
        <v>18.5</v>
      </c>
      <c r="BC30" s="531">
        <f>IF(AND(J30="Cobre",F30="Monofásico"),VLOOKUP(M30,'Iz''s'!$B$8:$E$23,3,FALSE),IF(AND(J30="Cobre",F30="Trifásico"),VLOOKUP(M30,'Iz''s'!$L$8:$O$23,3,FALSE),IF(AND(J30="Alumínio",F30="Monofásico"),VLOOKUP(M30,'Iz''s'!$B$25:$E$39,3,FALSE),IF(AND(J30="Alumínio",F30="Trifásico"),VLOOKUP(M30,'Iz''s'!$L$25:$O$39,3,FALSE)))))</f>
        <v>24</v>
      </c>
      <c r="BD30" s="531">
        <f>IF(AND(J30="Cobre",F30="Monofásico"),VLOOKUP(M30,'Iz''s'!$CD$9:$CH$24,3,FALSE),IF(AND(J30="Cobre",F30="Trifásico"),VLOOKUP(M30,'Iz''s'!$CD$9:$CH$24,5,FALSE),IF(AND(J30="Alumínio",F30="Monofásico"),VLOOKUP(M30,'Iz''s'!$CD$26:$CH$40,3,FALSE),IF(AND(J30="Alumínio",F30="Trifásico"),VLOOKUP(M30,'Iz''s'!$CD$26:$CH$40,5,FALSE)))))</f>
        <v>23</v>
      </c>
      <c r="BE30" s="531">
        <f>IF(AND(J30="Cobre",F30="Monofásico"),VLOOKUP(M30,'Iz''s'!$B$8:$E$23,4,FALSE),IF(AND(J30="Cobre",F30="Trifásico"),VLOOKUP(M30,'Iz''s'!$L$8:$O$23,4,FALSE),IF(AND(J30="Alumínio",F30="Monofásico"),VLOOKUP(M30,'Iz''s'!$B$25:$E$39,4,FALSE),IF(AND(J30="Alumínio",F30="Trifásico"),VLOOKUP(M30,'Iz''s'!$L$25:$O$39,4,FALSE)))))</f>
        <v>27</v>
      </c>
      <c r="BF30" s="531">
        <f>IF(AND(J30="Cobre",F30="Monofásico"),VLOOKUP(M30,'Iz''s'!$CP$9:$CT$24,3,FALSE),IF(AND(J30="Cobre",F30="Trifásico"),VLOOKUP(M30,'Iz''s'!$CP$9:$CT$24,2,FALSE),IF(AND(J30="Alumínio",F30="Monofásico"),VLOOKUP(M30,'Iz''s'!$CP$26:$CT$37,3,FALSE),IF(AND(J30="Alumínio",F30="Trifásico"),VLOOKUP(M30,'Iz''s'!$CP$26:$CT$37,2,FALSE)))))</f>
        <v>42</v>
      </c>
      <c r="BG30" s="609">
        <f>IF(AND(J30="Cobre",F30="Monofásico"),VLOOKUP(M30,'Iz''s'!$AT$10:$BA$28,2,FALSE),IF(AND(J30="Cobre",F30="Trifásico"),VLOOKUP(M30,'Iz''s'!$AT$10:$BA$28,3,FALSE),IF(AND(J30="Alumínio",F30="Monofásico"),VLOOKUP(M30,'Iz''s'!$BC$10:$BJ$27,2,FALSE),IF(AND(J30="Alumínio",F30="Trifásico"),VLOOKUP(M30,'Iz''s'!$BC$10:$BJ$27,3,FALSE)))))</f>
        <v>30</v>
      </c>
      <c r="BH30" s="609" t="str">
        <f>IF(AND(J30="Cobre",F30="Monofásico"),VLOOKUP(M30,'Iz''s'!$AT$10:$BA$28,4,FALSE),IF(AND(J30="Cobre",F30="Trifásico"),VLOOKUP(M30,'Iz''s'!$AT$10:$BA$28,5,FALSE),IF(AND(J30="Alumínio",F30="Monofásico"),VLOOKUP(M30,'Iz''s'!$BC$10:$BJ$27,4,FALSE),IF(AND(J30="Alumínio",F30="Trifásico"),VLOOKUP(M30,'Iz''s'!$BC$10:$BJ$27,5,FALSE)))))</f>
        <v xml:space="preserve"> --- </v>
      </c>
      <c r="BI30" s="609" t="str">
        <f>IF(AND(J30="Cobre",F30="Monofásico"),"N/A",IF(AND(J30="Cobre",F30="Trifásico"),VLOOKUP(M30,'Iz''s'!$AT$10:$BA$28,8,FALSE),IF(AND(J30="Alumínio",F30="Monofásico"),"N/A",IF(AND(J30="Alumínio",F30="Trifásico"),VLOOKUP(M30,'Iz''s'!$BC$10:$BJ$27,8,FALSE)))))</f>
        <v>N/A</v>
      </c>
      <c r="BJ30" s="531">
        <f>IF(AND(J30="Cobre",F30="Monofásico"),VLOOKUP(M30,'Iz''s'!$G$8:$J$23,2,FALSE),IF(AND(J30="Cobre",F30="Trifásico"),VLOOKUP(M30,'Iz''s'!$Q$8:$T$23,2,FALSE),IF(AND(J30="Alumínio",F30="Monofásico"),VLOOKUP(M30,'Iz''s'!$G$25:$J$39,2,FALSE),IF(AND(J30="Alumínio",F30="Trifásico"),VLOOKUP(M30,'Iz''s'!$Q$25:$T$39,2,FALSE)))))</f>
        <v>26</v>
      </c>
      <c r="BK30" s="609">
        <f>IF(AND(J30="Cobre",F30="Monofásico"),VLOOKUP(M30,'Iz''s'!$CJ$9:$CN$24,2,FALSE),IF(AND(J30="Cobre",F30="Trifásico"),VLOOKUP(M30,'Iz''s'!$CJ$9:$CN$24,4,FALSE),IF(AND(J30="Alumínio",F30="Monofásico"),VLOOKUP(M30,'Iz''s'!$CJ$26:$CN$40,2,FALSE),IF(AND(J30="Alumínio",F30="Trifásico"),VLOOKUP(M30,'Iz''s'!$CJ$26:$CN$40,4,FALSE)))))</f>
        <v>25</v>
      </c>
      <c r="BL30" s="609">
        <f>IF(AND(J30="Cobre",F30="Monofásico"),VLOOKUP(M30,'Iz''s'!$G$8:$J$23,3,FALSE),IF(AND(J30="Cobre",F30="Trifásico"),VLOOKUP(M30,'Iz''s'!$Q$8:$T$23,3,FALSE),IF(AND(J30="Alumínio",F30="Monofásico"),VLOOKUP(M30,'Iz''s'!$G$25:$J$39,3,FALSE),IF(AND(J30="Alumínio",F30="Trifásico"),VLOOKUP(M30,'Iz''s'!$Q$25:$T$39,3,FALSE)))))</f>
        <v>31</v>
      </c>
      <c r="BM30" s="609">
        <f>IF(AND(J30="Cobre",F30="Monofásico"),VLOOKUP(M30,'Iz''s'!$CJ$9:$CN$24,3,FALSE),IF(AND(J30="Cobre",F30="Trifásico"),VLOOKUP(M30,'Iz''s'!$CJ$9:$CN$24,5,FALSE),IF(AND(J30="Alumínio",F30="Monofásico"),VLOOKUP(M30,'Iz''s'!$CJ$26:$CN$40,3,FALSE),IF(AND(J30="Alumínio",F30="Trifásico"),VLOOKUP(M30,'Iz''s'!$CJ$26:$CN$40,5,FALSE)))))</f>
        <v>30</v>
      </c>
      <c r="BN30" s="609">
        <f>IF(AND(J30="Cobre",F30="Monofásico"),VLOOKUP(M30,'Iz''s'!$G$8:$J$23,4,FALSE),IF(AND(J30="Cobre",F30="Trifásico"),VLOOKUP(M30,'Iz''s'!$Q$8:$T$23,4,FALSE),IF(AND(J30="Alumínio",F30="Monofásico"),VLOOKUP(M30,'Iz''s'!$G$25:$J$39,4,FALSE),IF(AND(J30="Alumínio",F30="Trifásico"),VLOOKUP(M30,'Iz''s'!$Q$25:$T$39,4,FALSE)))))</f>
        <v>33</v>
      </c>
      <c r="BO30" s="609">
        <f>IF(AND(J30="Cobre",F30="Monofásico"),VLOOKUP(M30,'Iz''s'!$CP$9:$CT$24,5,FALSE),IF(AND(J30="Cobre",F30="Trifásico"),VLOOKUP(M30,'Iz''s'!$CP$9:$CT$24,4,FALSE),IF(AND(J30="Alumínio",F30="Monofásico"),VLOOKUP(M30,'Iz''s'!$CP$26:$CT$37,5,FALSE),IF(AND(J30="Alumínio",F30="Trifásico"),VLOOKUP(M30,'Iz''s'!$CP$26:$CT$37,4,FALSE)))))</f>
        <v>48</v>
      </c>
      <c r="BP30" s="609">
        <f>IF(AND(J30="Cobre",F30="Monofásico"),VLOOKUP(M30,'Iz''s'!$BL$10:$BS$28,2,FALSE),IF(AND(J30="Cobre",F30="Trifásico"),VLOOKUP(M30,'Iz''s'!$BL$10:$BS$28,3,FALSE),IF(AND(J30="Alumínio",F30="Monofásico"),VLOOKUP(M30,'Iz''s'!$BU$10:$CB$27,2,FALSE),IF(AND(J30="Alumínio",F30="Trifásico"),VLOOKUP(M30,'Iz''s'!$BU$10:$CB$27,3,FALSE)))))</f>
        <v>36</v>
      </c>
      <c r="BQ30" s="609" t="str">
        <f>IF(AND(J30="Cobre",F30="Monofásico"),VLOOKUP(M30,'Iz''s'!$BL$10:$BS$28,4,FALSE),IF(AND(J30="Cobre",F30="Trifásico"),VLOOKUP(M30,'Iz''s'!$BL$10:$BS$28,5,FALSE),IF(AND(J30="Alumínio",F30="Monofásico"),VLOOKUP(M30,'Iz''s'!$BU$10:$CB$27,4,FALSE),IF(AND(J30="Alumínio",F30="Trifásico"),VLOOKUP(M30,'Iz''s'!$BU$10:$CB$27,5,FALSE)))))</f>
        <v xml:space="preserve"> --- </v>
      </c>
      <c r="BR30" s="609" t="str">
        <f>IF(AND(J30="Cobre",F30="Monofásico"),"N/A",IF(AND(J30="Cobre",F30="Trifásico"),VLOOKUP(M30,'Iz''s'!$BL$10:$BS$28,8,FALSE),IF(AND(J30="Alumínio",F30="Monofásico"),"N/A",IF(AND(J30="Alumínio",F30="Trifásico"),VLOOKUP(M30,'Iz''s'!$BU$10:$CB$27,8,FALSE)))))</f>
        <v>N/A</v>
      </c>
      <c r="BS30" s="609">
        <f>IF(AND(J30="Cobre",F30="Monofásico"),VLOOKUP(M30,'Iz''s'!$V$14:$Y$28,2,FALSE),IF(AND(J30="Cobre",F30="Trifásico"),VLOOKUP(M30,'Iz''s'!$V$14:$Y$28,3,FALSE),IF(AND(J30="Alumínio",F30="Monofásico"),VLOOKUP(M30,"N/A",4,FALSE),IF(AND(J30="Alumínio",F30="Trifásico"),VLOOKUP(M30,"N/A",4,FALSE)))))</f>
        <v>34</v>
      </c>
      <c r="BT30" s="609">
        <f>IF(AND(J30="Cobre",F30="Monofásico"),VLOOKUP(M30,'Iz''s'!$AF$15:$AK$29,2,FALSE),IF(AND(J30="Cobre",F30="Trifásico"),VLOOKUP(M30,'Iz''s'!$AF$15:$AK$29,3,FALSE),IF(AND(J30="Alumínio",F30="Monofásico"),"N/A",IF(AND(J30="Alumínio",F30="Trifásico"),"N/A"))))</f>
        <v>36</v>
      </c>
      <c r="BU30" s="609">
        <f>IF(AND(J30="Cobre",F30="Monofásico"),VLOOKUP(M30,'Iz''s'!$AF$15:$AK$29,2,FALSE),IF(AND(J30="Cobre",F30="Trifásico"),VLOOKUP(M30,'Iz''s'!$AF$15:$AK$29,3,FALSE),IF(AND(J30="Alumínio",F30="Monofásico"),"N/A",IF(AND(J30="Alumínio",F30="Trifásico"),"N/A"))))</f>
        <v>36</v>
      </c>
      <c r="BV30" s="610" t="str">
        <f>IF(AND(J30="Cobre",F30="Monofásico"),"N/A",IF(AND(J30="Cobre",F30="Trifásico"),VLOOKUP(M30,'Iz''s'!$AF$15:$AK$29,6,FALSE),IF(AND(J30="Alumínio",F30="Monofásico"),"N/A",IF(AND(J30="Alumínio",F30="Trifásico"),"N/A"))))</f>
        <v>N/A</v>
      </c>
      <c r="BW30" s="611">
        <v>28</v>
      </c>
      <c r="BX30" s="583"/>
      <c r="BY30" s="612">
        <f>VLOOKUP(M30,Consulta!$W$6:$AB$23,4,FALSE)</f>
        <v>16</v>
      </c>
      <c r="BZ30" s="612">
        <f>VLOOKUP(M30,Consulta!$W$6:$AB$23,6,FALSE)</f>
        <v>20</v>
      </c>
      <c r="CA30" s="612">
        <f>VLOOKUP(M30,Consulta!$AK$6:$AP$23,4,FALSE)</f>
        <v>20</v>
      </c>
      <c r="CB30" s="612">
        <f>VLOOKUP(M30,Consulta!$AK$6:$AP$23,6,FALSE)</f>
        <v>25</v>
      </c>
      <c r="CC30" s="585" t="e">
        <f>VLOOKUP(M30,Consulta!$AD$6:$AI$19,4,FALSE)</f>
        <v>#N/A</v>
      </c>
      <c r="CD30" s="585" t="e">
        <f>VLOOKUP(M30,Consulta!$AD$6:$AI$19,6,FALSE)</f>
        <v>#N/A</v>
      </c>
      <c r="CE30" s="585" t="e">
        <f>VLOOKUP(M30,Consulta!$AR$6:$AW$19,4,FALSE)</f>
        <v>#N/A</v>
      </c>
      <c r="CF30" s="586" t="e">
        <f>VLOOKUP(M30,Consulta!$AR$6:$AW$19,6,FALSE)</f>
        <v>#N/A</v>
      </c>
    </row>
    <row r="31" spans="2:127" ht="16.5" customHeight="1" x14ac:dyDescent="0.2">
      <c r="B31" s="1118"/>
      <c r="C31" s="820" t="s">
        <v>834</v>
      </c>
      <c r="D31" s="701">
        <f t="shared" ref="D31:D34" si="54">8*230/1000</f>
        <v>1.84</v>
      </c>
      <c r="E31" s="701">
        <f>32.9758+5.9156</f>
        <v>38.891399999999997</v>
      </c>
      <c r="F31" s="701" t="s">
        <v>244</v>
      </c>
      <c r="G31" s="701" t="s">
        <v>808</v>
      </c>
      <c r="H31" s="701">
        <v>1</v>
      </c>
      <c r="I31" s="765" t="s">
        <v>13</v>
      </c>
      <c r="J31" s="701" t="s">
        <v>242</v>
      </c>
      <c r="K31" s="701" t="s">
        <v>363</v>
      </c>
      <c r="L31" s="701">
        <v>1</v>
      </c>
      <c r="M31" s="702">
        <v>2.5</v>
      </c>
      <c r="N31" s="701" t="s">
        <v>455</v>
      </c>
      <c r="O31" s="701">
        <v>4</v>
      </c>
      <c r="P31" s="555">
        <f t="shared" si="4"/>
        <v>30</v>
      </c>
      <c r="Q31" s="701">
        <v>1</v>
      </c>
      <c r="R31" s="701">
        <v>0.77</v>
      </c>
      <c r="S31" s="555">
        <f t="shared" si="45"/>
        <v>8</v>
      </c>
      <c r="T31" s="712">
        <f t="shared" si="46"/>
        <v>23.1</v>
      </c>
      <c r="U31" s="701" t="s">
        <v>499</v>
      </c>
      <c r="V31" s="555">
        <v>10</v>
      </c>
      <c r="W31" s="701">
        <f>IF(U31="C.C.Fusíveis",VLOOKUP(V31,Consulta!$L$5:$N$31,3,FALSE),VLOOKUP(V31,Consulta!$P$5:$R$34,3,FALSE))</f>
        <v>13.5</v>
      </c>
      <c r="X31" s="713">
        <f t="shared" si="10"/>
        <v>44</v>
      </c>
      <c r="Y31" s="766">
        <f t="shared" si="51"/>
        <v>0.34632034632034631</v>
      </c>
      <c r="Z31" s="706" t="str">
        <f t="shared" si="11"/>
        <v>Sim</v>
      </c>
      <c r="AA31" s="767">
        <f t="shared" si="33"/>
        <v>7.7627140213909152E-2</v>
      </c>
      <c r="AB31" s="767">
        <f t="shared" si="12"/>
        <v>0.43752824999999995</v>
      </c>
      <c r="AC31" s="767">
        <f t="shared" si="6"/>
        <v>0</v>
      </c>
      <c r="AD31" s="703">
        <f t="shared" si="37"/>
        <v>2.4122515281164385</v>
      </c>
      <c r="AE31" s="703">
        <f t="shared" si="17"/>
        <v>7.0004519999999992</v>
      </c>
      <c r="AF31" s="703">
        <f t="shared" si="18"/>
        <v>9.4127035281164382</v>
      </c>
      <c r="AG31" s="704">
        <f t="shared" si="34"/>
        <v>3.0436747826086952E-2</v>
      </c>
      <c r="AH31" s="768">
        <f t="shared" si="34"/>
        <v>4.0924797948332342E-2</v>
      </c>
      <c r="AI31" s="703">
        <f t="shared" si="7"/>
        <v>0.44646722982845349</v>
      </c>
      <c r="AJ31" s="701">
        <v>3</v>
      </c>
      <c r="AK31" s="703">
        <v>0.1</v>
      </c>
      <c r="AL31" s="713">
        <f t="shared" si="47"/>
        <v>115</v>
      </c>
      <c r="AM31" s="703">
        <f t="shared" si="48"/>
        <v>1.2276985625076346</v>
      </c>
      <c r="AN31" s="706">
        <f t="shared" si="52"/>
        <v>1</v>
      </c>
      <c r="AO31" s="705" t="s">
        <v>563</v>
      </c>
      <c r="AP31" s="706" t="s">
        <v>523</v>
      </c>
      <c r="AQ31" s="706" t="str">
        <f t="shared" si="53"/>
        <v>3G</v>
      </c>
      <c r="AR31" s="706">
        <f t="shared" si="49"/>
        <v>2.5</v>
      </c>
      <c r="AS31" s="893" t="str">
        <f t="shared" si="8"/>
        <v/>
      </c>
      <c r="AT31" s="893" t="str">
        <f>IF(OR(AQ31="3G",AQ31="5G"),"",VLOOKUP(AR31,Consulta!$T$5:$U$25,2,FALSE))</f>
        <v/>
      </c>
      <c r="AU31" s="894" t="s">
        <v>565</v>
      </c>
      <c r="AV31" s="706" t="s">
        <v>23</v>
      </c>
      <c r="AW31" s="706" t="s">
        <v>564</v>
      </c>
      <c r="AX31" s="706">
        <f t="shared" si="30"/>
        <v>20</v>
      </c>
      <c r="AY31" s="707" t="s">
        <v>24</v>
      </c>
      <c r="AZ31" s="564"/>
      <c r="BA31" s="584">
        <f>IF(AND(J31="Cobre",F31="Monofásico"),VLOOKUP(M31,'Iz''s'!$B$8:$E$23,2,FALSE),IF(AND(J31="Cobre",F31="Trifásico"),VLOOKUP(M31,'Iz''s'!$L$8:$O$23,2,FALSE),IF(AND(J31="Alumínio",F31="Monofásico"),VLOOKUP(M31,'Iz''s'!$B$25:$E$39,2,FALSE),IF(AND(J31="Alumínio",F31="Trifásico"),VLOOKUP(M31,'Iz''s'!$L$25:$O$39,2,FALSE)))))</f>
        <v>19.5</v>
      </c>
      <c r="BB31" s="531">
        <f>IF(AND(J31="Cobre",F31="Monofásico"),VLOOKUP(M31,'Iz''s'!$CD$9:$CH$24,2,FALSE),IF(AND(J31="Cobre",F31="Trifásico"),VLOOKUP(M31,'Iz''s'!$CD$9:$CH$24,4,FALSE),IF(AND(J31="Alumínio",F31="Monofásico"),VLOOKUP(M31,'Iz''s'!$CD$26:$CH$40,2,FALSE),IF(AND(J31="Alumínio",F31="Trifásico"),VLOOKUP(M31,'Iz''s'!$CD$26:$CH$40,4,FALSE)))))</f>
        <v>18.5</v>
      </c>
      <c r="BC31" s="531">
        <f>IF(AND(J31="Cobre",F31="Monofásico"),VLOOKUP(M31,'Iz''s'!$B$8:$E$23,3,FALSE),IF(AND(J31="Cobre",F31="Trifásico"),VLOOKUP(M31,'Iz''s'!$L$8:$O$23,3,FALSE),IF(AND(J31="Alumínio",F31="Monofásico"),VLOOKUP(M31,'Iz''s'!$B$25:$E$39,3,FALSE),IF(AND(J31="Alumínio",F31="Trifásico"),VLOOKUP(M31,'Iz''s'!$L$25:$O$39,3,FALSE)))))</f>
        <v>24</v>
      </c>
      <c r="BD31" s="531">
        <f>IF(AND(J31="Cobre",F31="Monofásico"),VLOOKUP(M31,'Iz''s'!$CD$9:$CH$24,3,FALSE),IF(AND(J31="Cobre",F31="Trifásico"),VLOOKUP(M31,'Iz''s'!$CD$9:$CH$24,5,FALSE),IF(AND(J31="Alumínio",F31="Monofásico"),VLOOKUP(M31,'Iz''s'!$CD$26:$CH$40,3,FALSE),IF(AND(J31="Alumínio",F31="Trifásico"),VLOOKUP(M31,'Iz''s'!$CD$26:$CH$40,5,FALSE)))))</f>
        <v>23</v>
      </c>
      <c r="BE31" s="531">
        <f>IF(AND(J31="Cobre",F31="Monofásico"),VLOOKUP(M31,'Iz''s'!$B$8:$E$23,4,FALSE),IF(AND(J31="Cobre",F31="Trifásico"),VLOOKUP(M31,'Iz''s'!$L$8:$O$23,4,FALSE),IF(AND(J31="Alumínio",F31="Monofásico"),VLOOKUP(M31,'Iz''s'!$B$25:$E$39,4,FALSE),IF(AND(J31="Alumínio",F31="Trifásico"),VLOOKUP(M31,'Iz''s'!$L$25:$O$39,4,FALSE)))))</f>
        <v>27</v>
      </c>
      <c r="BF31" s="531">
        <f>IF(AND(J31="Cobre",F31="Monofásico"),VLOOKUP(M31,'Iz''s'!$CP$9:$CT$24,3,FALSE),IF(AND(J31="Cobre",F31="Trifásico"),VLOOKUP(M31,'Iz''s'!$CP$9:$CT$24,2,FALSE),IF(AND(J31="Alumínio",F31="Monofásico"),VLOOKUP(M31,'Iz''s'!$CP$26:$CT$37,3,FALSE),IF(AND(J31="Alumínio",F31="Trifásico"),VLOOKUP(M31,'Iz''s'!$CP$26:$CT$37,2,FALSE)))))</f>
        <v>42</v>
      </c>
      <c r="BG31" s="609">
        <f>IF(AND(J31="Cobre",F31="Monofásico"),VLOOKUP(M31,'Iz''s'!$AT$10:$BA$28,2,FALSE),IF(AND(J31="Cobre",F31="Trifásico"),VLOOKUP(M31,'Iz''s'!$AT$10:$BA$28,3,FALSE),IF(AND(J31="Alumínio",F31="Monofásico"),VLOOKUP(M31,'Iz''s'!$BC$10:$BJ$27,2,FALSE),IF(AND(J31="Alumínio",F31="Trifásico"),VLOOKUP(M31,'Iz''s'!$BC$10:$BJ$27,3,FALSE)))))</f>
        <v>30</v>
      </c>
      <c r="BH31" s="609" t="str">
        <f>IF(AND(J31="Cobre",F31="Monofásico"),VLOOKUP(M31,'Iz''s'!$AT$10:$BA$28,4,FALSE),IF(AND(J31="Cobre",F31="Trifásico"),VLOOKUP(M31,'Iz''s'!$AT$10:$BA$28,5,FALSE),IF(AND(J31="Alumínio",F31="Monofásico"),VLOOKUP(M31,'Iz''s'!$BC$10:$BJ$27,4,FALSE),IF(AND(J31="Alumínio",F31="Trifásico"),VLOOKUP(M31,'Iz''s'!$BC$10:$BJ$27,5,FALSE)))))</f>
        <v xml:space="preserve"> --- </v>
      </c>
      <c r="BI31" s="609" t="str">
        <f>IF(AND(J31="Cobre",F31="Monofásico"),"N/A",IF(AND(J31="Cobre",F31="Trifásico"),VLOOKUP(M31,'Iz''s'!$AT$10:$BA$28,8,FALSE),IF(AND(J31="Alumínio",F31="Monofásico"),"N/A",IF(AND(J31="Alumínio",F31="Trifásico"),VLOOKUP(M31,'Iz''s'!$BC$10:$BJ$27,8,FALSE)))))</f>
        <v>N/A</v>
      </c>
      <c r="BJ31" s="531">
        <f>IF(AND(J31="Cobre",F31="Monofásico"),VLOOKUP(M31,'Iz''s'!$G$8:$J$23,2,FALSE),IF(AND(J31="Cobre",F31="Trifásico"),VLOOKUP(M31,'Iz''s'!$Q$8:$T$23,2,FALSE),IF(AND(J31="Alumínio",F31="Monofásico"),VLOOKUP(M31,'Iz''s'!$G$25:$J$39,2,FALSE),IF(AND(J31="Alumínio",F31="Trifásico"),VLOOKUP(M31,'Iz''s'!$Q$25:$T$39,2,FALSE)))))</f>
        <v>26</v>
      </c>
      <c r="BK31" s="609">
        <f>IF(AND(J31="Cobre",F31="Monofásico"),VLOOKUP(M31,'Iz''s'!$CJ$9:$CN$24,2,FALSE),IF(AND(J31="Cobre",F31="Trifásico"),VLOOKUP(M31,'Iz''s'!$CJ$9:$CN$24,4,FALSE),IF(AND(J31="Alumínio",F31="Monofásico"),VLOOKUP(M31,'Iz''s'!$CJ$26:$CN$40,2,FALSE),IF(AND(J31="Alumínio",F31="Trifásico"),VLOOKUP(M31,'Iz''s'!$CJ$26:$CN$40,4,FALSE)))))</f>
        <v>25</v>
      </c>
      <c r="BL31" s="609">
        <f>IF(AND(J31="Cobre",F31="Monofásico"),VLOOKUP(M31,'Iz''s'!$G$8:$J$23,3,FALSE),IF(AND(J31="Cobre",F31="Trifásico"),VLOOKUP(M31,'Iz''s'!$Q$8:$T$23,3,FALSE),IF(AND(J31="Alumínio",F31="Monofásico"),VLOOKUP(M31,'Iz''s'!$G$25:$J$39,3,FALSE),IF(AND(J31="Alumínio",F31="Trifásico"),VLOOKUP(M31,'Iz''s'!$Q$25:$T$39,3,FALSE)))))</f>
        <v>31</v>
      </c>
      <c r="BM31" s="609">
        <f>IF(AND(J31="Cobre",F31="Monofásico"),VLOOKUP(M31,'Iz''s'!$CJ$9:$CN$24,3,FALSE),IF(AND(J31="Cobre",F31="Trifásico"),VLOOKUP(M31,'Iz''s'!$CJ$9:$CN$24,5,FALSE),IF(AND(J31="Alumínio",F31="Monofásico"),VLOOKUP(M31,'Iz''s'!$CJ$26:$CN$40,3,FALSE),IF(AND(J31="Alumínio",F31="Trifásico"),VLOOKUP(M31,'Iz''s'!$CJ$26:$CN$40,5,FALSE)))))</f>
        <v>30</v>
      </c>
      <c r="BN31" s="609">
        <f>IF(AND(J31="Cobre",F31="Monofásico"),VLOOKUP(M31,'Iz''s'!$G$8:$J$23,4,FALSE),IF(AND(J31="Cobre",F31="Trifásico"),VLOOKUP(M31,'Iz''s'!$Q$8:$T$23,4,FALSE),IF(AND(J31="Alumínio",F31="Monofásico"),VLOOKUP(M31,'Iz''s'!$G$25:$J$39,4,FALSE),IF(AND(J31="Alumínio",F31="Trifásico"),VLOOKUP(M31,'Iz''s'!$Q$25:$T$39,4,FALSE)))))</f>
        <v>33</v>
      </c>
      <c r="BO31" s="609">
        <f>IF(AND(J31="Cobre",F31="Monofásico"),VLOOKUP(M31,'Iz''s'!$CP$9:$CT$24,5,FALSE),IF(AND(J31="Cobre",F31="Trifásico"),VLOOKUP(M31,'Iz''s'!$CP$9:$CT$24,4,FALSE),IF(AND(J31="Alumínio",F31="Monofásico"),VLOOKUP(M31,'Iz''s'!$CP$26:$CT$37,5,FALSE),IF(AND(J31="Alumínio",F31="Trifásico"),VLOOKUP(M31,'Iz''s'!$CP$26:$CT$37,4,FALSE)))))</f>
        <v>48</v>
      </c>
      <c r="BP31" s="609">
        <f>IF(AND(J31="Cobre",F31="Monofásico"),VLOOKUP(M31,'Iz''s'!$BL$10:$BS$28,2,FALSE),IF(AND(J31="Cobre",F31="Trifásico"),VLOOKUP(M31,'Iz''s'!$BL$10:$BS$28,3,FALSE),IF(AND(J31="Alumínio",F31="Monofásico"),VLOOKUP(M31,'Iz''s'!$BU$10:$CB$27,2,FALSE),IF(AND(J31="Alumínio",F31="Trifásico"),VLOOKUP(M31,'Iz''s'!$BU$10:$CB$27,3,FALSE)))))</f>
        <v>36</v>
      </c>
      <c r="BQ31" s="609" t="str">
        <f>IF(AND(J31="Cobre",F31="Monofásico"),VLOOKUP(M31,'Iz''s'!$BL$10:$BS$28,4,FALSE),IF(AND(J31="Cobre",F31="Trifásico"),VLOOKUP(M31,'Iz''s'!$BL$10:$BS$28,5,FALSE),IF(AND(J31="Alumínio",F31="Monofásico"),VLOOKUP(M31,'Iz''s'!$BU$10:$CB$27,4,FALSE),IF(AND(J31="Alumínio",F31="Trifásico"),VLOOKUP(M31,'Iz''s'!$BU$10:$CB$27,5,FALSE)))))</f>
        <v xml:space="preserve"> --- </v>
      </c>
      <c r="BR31" s="609" t="str">
        <f>IF(AND(J31="Cobre",F31="Monofásico"),"N/A",IF(AND(J31="Cobre",F31="Trifásico"),VLOOKUP(M31,'Iz''s'!$BL$10:$BS$28,8,FALSE),IF(AND(J31="Alumínio",F31="Monofásico"),"N/A",IF(AND(J31="Alumínio",F31="Trifásico"),VLOOKUP(M31,'Iz''s'!$BU$10:$CB$27,8,FALSE)))))</f>
        <v>N/A</v>
      </c>
      <c r="BS31" s="609">
        <f>IF(AND(J31="Cobre",F31="Monofásico"),VLOOKUP(M31,'Iz''s'!$V$14:$Y$28,2,FALSE),IF(AND(J31="Cobre",F31="Trifásico"),VLOOKUP(M31,'Iz''s'!$V$14:$Y$28,3,FALSE),IF(AND(J31="Alumínio",F31="Monofásico"),VLOOKUP(M31,"N/A",4,FALSE),IF(AND(J31="Alumínio",F31="Trifásico"),VLOOKUP(M31,"N/A",4,FALSE)))))</f>
        <v>34</v>
      </c>
      <c r="BT31" s="609">
        <f>IF(AND(J31="Cobre",F31="Monofásico"),VLOOKUP(M31,'Iz''s'!$AF$15:$AK$29,2,FALSE),IF(AND(J31="Cobre",F31="Trifásico"),VLOOKUP(M31,'Iz''s'!$AF$15:$AK$29,3,FALSE),IF(AND(J31="Alumínio",F31="Monofásico"),"N/A",IF(AND(J31="Alumínio",F31="Trifásico"),"N/A"))))</f>
        <v>36</v>
      </c>
      <c r="BU31" s="609">
        <f>IF(AND(J31="Cobre",F31="Monofásico"),VLOOKUP(M31,'Iz''s'!$AF$15:$AK$29,2,FALSE),IF(AND(J31="Cobre",F31="Trifásico"),VLOOKUP(M31,'Iz''s'!$AF$15:$AK$29,3,FALSE),IF(AND(J31="Alumínio",F31="Monofásico"),"N/A",IF(AND(J31="Alumínio",F31="Trifásico"),"N/A"))))</f>
        <v>36</v>
      </c>
      <c r="BV31" s="610" t="str">
        <f>IF(AND(J31="Cobre",F31="Monofásico"),"N/A",IF(AND(J31="Cobre",F31="Trifásico"),VLOOKUP(M31,'Iz''s'!$AF$15:$AK$29,6,FALSE),IF(AND(J31="Alumínio",F31="Monofásico"),"N/A",IF(AND(J31="Alumínio",F31="Trifásico"),"N/A"))))</f>
        <v>N/A</v>
      </c>
      <c r="BW31" s="611">
        <v>29</v>
      </c>
      <c r="BX31" s="583"/>
      <c r="BY31" s="612">
        <f>VLOOKUP(M31,Consulta!$W$6:$AB$23,4,FALSE)</f>
        <v>16</v>
      </c>
      <c r="BZ31" s="612">
        <f>VLOOKUP(M31,Consulta!$W$6:$AB$23,6,FALSE)</f>
        <v>20</v>
      </c>
      <c r="CA31" s="612">
        <f>VLOOKUP(M31,Consulta!$AK$6:$AP$23,4,FALSE)</f>
        <v>20</v>
      </c>
      <c r="CB31" s="612">
        <f>VLOOKUP(M31,Consulta!$AK$6:$AP$23,6,FALSE)</f>
        <v>25</v>
      </c>
      <c r="CC31" s="585" t="e">
        <f>VLOOKUP(M31,Consulta!$AD$6:$AI$19,4,FALSE)</f>
        <v>#N/A</v>
      </c>
      <c r="CD31" s="585" t="e">
        <f>VLOOKUP(M31,Consulta!$AD$6:$AI$19,6,FALSE)</f>
        <v>#N/A</v>
      </c>
      <c r="CE31" s="585" t="e">
        <f>VLOOKUP(M31,Consulta!$AR$6:$AW$19,4,FALSE)</f>
        <v>#N/A</v>
      </c>
      <c r="CF31" s="586" t="e">
        <f>VLOOKUP(M31,Consulta!$AR$6:$AW$19,6,FALSE)</f>
        <v>#N/A</v>
      </c>
    </row>
    <row r="32" spans="2:127" ht="16.5" customHeight="1" x14ac:dyDescent="0.2">
      <c r="B32" s="1118"/>
      <c r="C32" s="820" t="s">
        <v>835</v>
      </c>
      <c r="D32" s="701">
        <f t="shared" si="54"/>
        <v>1.84</v>
      </c>
      <c r="E32" s="701">
        <f>32.9758+9.9356</f>
        <v>42.9114</v>
      </c>
      <c r="F32" s="701" t="s">
        <v>244</v>
      </c>
      <c r="G32" s="701" t="s">
        <v>808</v>
      </c>
      <c r="H32" s="701">
        <v>1</v>
      </c>
      <c r="I32" s="765" t="s">
        <v>13</v>
      </c>
      <c r="J32" s="701" t="s">
        <v>242</v>
      </c>
      <c r="K32" s="701" t="s">
        <v>363</v>
      </c>
      <c r="L32" s="701">
        <v>1</v>
      </c>
      <c r="M32" s="702">
        <v>2.5</v>
      </c>
      <c r="N32" s="701" t="s">
        <v>455</v>
      </c>
      <c r="O32" s="701">
        <v>4</v>
      </c>
      <c r="P32" s="555">
        <f t="shared" si="4"/>
        <v>30</v>
      </c>
      <c r="Q32" s="701">
        <v>1</v>
      </c>
      <c r="R32" s="701">
        <v>0.77</v>
      </c>
      <c r="S32" s="555">
        <f t="shared" si="45"/>
        <v>8</v>
      </c>
      <c r="T32" s="712">
        <f t="shared" si="46"/>
        <v>23.1</v>
      </c>
      <c r="U32" s="701" t="s">
        <v>499</v>
      </c>
      <c r="V32" s="555">
        <v>10</v>
      </c>
      <c r="W32" s="701">
        <f>IF(U32="C.C.Fusíveis",VLOOKUP(V32,Consulta!$L$5:$N$31,3,FALSE),VLOOKUP(V32,Consulta!$P$5:$R$34,3,FALSE))</f>
        <v>13.5</v>
      </c>
      <c r="X32" s="713">
        <f t="shared" si="10"/>
        <v>44</v>
      </c>
      <c r="Y32" s="766">
        <f t="shared" si="51"/>
        <v>0.34632034632034631</v>
      </c>
      <c r="Z32" s="706" t="str">
        <f t="shared" si="11"/>
        <v>Sim</v>
      </c>
      <c r="AA32" s="767">
        <f t="shared" si="33"/>
        <v>7.7627140213909152E-2</v>
      </c>
      <c r="AB32" s="767">
        <f t="shared" si="12"/>
        <v>0.48275325000000002</v>
      </c>
      <c r="AC32" s="767">
        <f t="shared" si="6"/>
        <v>0</v>
      </c>
      <c r="AD32" s="703">
        <f t="shared" si="37"/>
        <v>2.4122515281164385</v>
      </c>
      <c r="AE32" s="703">
        <f t="shared" si="17"/>
        <v>7.7240520000000004</v>
      </c>
      <c r="AF32" s="703">
        <f t="shared" si="18"/>
        <v>10.136303528116439</v>
      </c>
      <c r="AG32" s="704">
        <f t="shared" si="34"/>
        <v>3.3582834782608699E-2</v>
      </c>
      <c r="AH32" s="768">
        <f t="shared" si="34"/>
        <v>4.4070884904854085E-2</v>
      </c>
      <c r="AI32" s="703">
        <f t="shared" si="7"/>
        <v>0.41043548992177276</v>
      </c>
      <c r="AJ32" s="701">
        <v>3</v>
      </c>
      <c r="AK32" s="703">
        <v>0.1</v>
      </c>
      <c r="AL32" s="713">
        <f t="shared" si="47"/>
        <v>115</v>
      </c>
      <c r="AM32" s="703">
        <f t="shared" si="48"/>
        <v>1.1286182441042485</v>
      </c>
      <c r="AN32" s="706">
        <f t="shared" si="52"/>
        <v>1</v>
      </c>
      <c r="AO32" s="705" t="s">
        <v>563</v>
      </c>
      <c r="AP32" s="706" t="s">
        <v>523</v>
      </c>
      <c r="AQ32" s="706" t="str">
        <f t="shared" si="53"/>
        <v>3G</v>
      </c>
      <c r="AR32" s="706">
        <f t="shared" si="49"/>
        <v>2.5</v>
      </c>
      <c r="AS32" s="893" t="str">
        <f t="shared" si="8"/>
        <v/>
      </c>
      <c r="AT32" s="893" t="str">
        <f>IF(OR(AQ32="3G",AQ32="5G"),"",VLOOKUP(AR32,Consulta!$T$5:$U$25,2,FALSE))</f>
        <v/>
      </c>
      <c r="AU32" s="894" t="s">
        <v>565</v>
      </c>
      <c r="AV32" s="706" t="s">
        <v>23</v>
      </c>
      <c r="AW32" s="706" t="s">
        <v>564</v>
      </c>
      <c r="AX32" s="706">
        <f t="shared" si="30"/>
        <v>20</v>
      </c>
      <c r="AY32" s="707" t="s">
        <v>24</v>
      </c>
      <c r="AZ32" s="564"/>
      <c r="BA32" s="584">
        <f>IF(AND(J32="Cobre",F32="Monofásico"),VLOOKUP(M32,'Iz''s'!$B$8:$E$23,2,FALSE),IF(AND(J32="Cobre",F32="Trifásico"),VLOOKUP(M32,'Iz''s'!$L$8:$O$23,2,FALSE),IF(AND(J32="Alumínio",F32="Monofásico"),VLOOKUP(M32,'Iz''s'!$B$25:$E$39,2,FALSE),IF(AND(J32="Alumínio",F32="Trifásico"),VLOOKUP(M32,'Iz''s'!$L$25:$O$39,2,FALSE)))))</f>
        <v>19.5</v>
      </c>
      <c r="BB32" s="531">
        <f>IF(AND(J32="Cobre",F32="Monofásico"),VLOOKUP(M32,'Iz''s'!$CD$9:$CH$24,2,FALSE),IF(AND(J32="Cobre",F32="Trifásico"),VLOOKUP(M32,'Iz''s'!$CD$9:$CH$24,4,FALSE),IF(AND(J32="Alumínio",F32="Monofásico"),VLOOKUP(M32,'Iz''s'!$CD$26:$CH$40,2,FALSE),IF(AND(J32="Alumínio",F32="Trifásico"),VLOOKUP(M32,'Iz''s'!$CD$26:$CH$40,4,FALSE)))))</f>
        <v>18.5</v>
      </c>
      <c r="BC32" s="531">
        <f>IF(AND(J32="Cobre",F32="Monofásico"),VLOOKUP(M32,'Iz''s'!$B$8:$E$23,3,FALSE),IF(AND(J32="Cobre",F32="Trifásico"),VLOOKUP(M32,'Iz''s'!$L$8:$O$23,3,FALSE),IF(AND(J32="Alumínio",F32="Monofásico"),VLOOKUP(M32,'Iz''s'!$B$25:$E$39,3,FALSE),IF(AND(J32="Alumínio",F32="Trifásico"),VLOOKUP(M32,'Iz''s'!$L$25:$O$39,3,FALSE)))))</f>
        <v>24</v>
      </c>
      <c r="BD32" s="531">
        <f>IF(AND(J32="Cobre",F32="Monofásico"),VLOOKUP(M32,'Iz''s'!$CD$9:$CH$24,3,FALSE),IF(AND(J32="Cobre",F32="Trifásico"),VLOOKUP(M32,'Iz''s'!$CD$9:$CH$24,5,FALSE),IF(AND(J32="Alumínio",F32="Monofásico"),VLOOKUP(M32,'Iz''s'!$CD$26:$CH$40,3,FALSE),IF(AND(J32="Alumínio",F32="Trifásico"),VLOOKUP(M32,'Iz''s'!$CD$26:$CH$40,5,FALSE)))))</f>
        <v>23</v>
      </c>
      <c r="BE32" s="531">
        <f>IF(AND(J32="Cobre",F32="Monofásico"),VLOOKUP(M32,'Iz''s'!$B$8:$E$23,4,FALSE),IF(AND(J32="Cobre",F32="Trifásico"),VLOOKUP(M32,'Iz''s'!$L$8:$O$23,4,FALSE),IF(AND(J32="Alumínio",F32="Monofásico"),VLOOKUP(M32,'Iz''s'!$B$25:$E$39,4,FALSE),IF(AND(J32="Alumínio",F32="Trifásico"),VLOOKUP(M32,'Iz''s'!$L$25:$O$39,4,FALSE)))))</f>
        <v>27</v>
      </c>
      <c r="BF32" s="531">
        <f>IF(AND(J32="Cobre",F32="Monofásico"),VLOOKUP(M32,'Iz''s'!$CP$9:$CT$24,3,FALSE),IF(AND(J32="Cobre",F32="Trifásico"),VLOOKUP(M32,'Iz''s'!$CP$9:$CT$24,2,FALSE),IF(AND(J32="Alumínio",F32="Monofásico"),VLOOKUP(M32,'Iz''s'!$CP$26:$CT$37,3,FALSE),IF(AND(J32="Alumínio",F32="Trifásico"),VLOOKUP(M32,'Iz''s'!$CP$26:$CT$37,2,FALSE)))))</f>
        <v>42</v>
      </c>
      <c r="BG32" s="609">
        <f>IF(AND(J32="Cobre",F32="Monofásico"),VLOOKUP(M32,'Iz''s'!$AT$10:$BA$28,2,FALSE),IF(AND(J32="Cobre",F32="Trifásico"),VLOOKUP(M32,'Iz''s'!$AT$10:$BA$28,3,FALSE),IF(AND(J32="Alumínio",F32="Monofásico"),VLOOKUP(M32,'Iz''s'!$BC$10:$BJ$27,2,FALSE),IF(AND(J32="Alumínio",F32="Trifásico"),VLOOKUP(M32,'Iz''s'!$BC$10:$BJ$27,3,FALSE)))))</f>
        <v>30</v>
      </c>
      <c r="BH32" s="609" t="str">
        <f>IF(AND(J32="Cobre",F32="Monofásico"),VLOOKUP(M32,'Iz''s'!$AT$10:$BA$28,4,FALSE),IF(AND(J32="Cobre",F32="Trifásico"),VLOOKUP(M32,'Iz''s'!$AT$10:$BA$28,5,FALSE),IF(AND(J32="Alumínio",F32="Monofásico"),VLOOKUP(M32,'Iz''s'!$BC$10:$BJ$27,4,FALSE),IF(AND(J32="Alumínio",F32="Trifásico"),VLOOKUP(M32,'Iz''s'!$BC$10:$BJ$27,5,FALSE)))))</f>
        <v xml:space="preserve"> --- </v>
      </c>
      <c r="BI32" s="609" t="str">
        <f>IF(AND(J32="Cobre",F32="Monofásico"),"N/A",IF(AND(J32="Cobre",F32="Trifásico"),VLOOKUP(M32,'Iz''s'!$AT$10:$BA$28,8,FALSE),IF(AND(J32="Alumínio",F32="Monofásico"),"N/A",IF(AND(J32="Alumínio",F32="Trifásico"),VLOOKUP(M32,'Iz''s'!$BC$10:$BJ$27,8,FALSE)))))</f>
        <v>N/A</v>
      </c>
      <c r="BJ32" s="531">
        <f>IF(AND(J32="Cobre",F32="Monofásico"),VLOOKUP(M32,'Iz''s'!$G$8:$J$23,2,FALSE),IF(AND(J32="Cobre",F32="Trifásico"),VLOOKUP(M32,'Iz''s'!$Q$8:$T$23,2,FALSE),IF(AND(J32="Alumínio",F32="Monofásico"),VLOOKUP(M32,'Iz''s'!$G$25:$J$39,2,FALSE),IF(AND(J32="Alumínio",F32="Trifásico"),VLOOKUP(M32,'Iz''s'!$Q$25:$T$39,2,FALSE)))))</f>
        <v>26</v>
      </c>
      <c r="BK32" s="609">
        <f>IF(AND(J32="Cobre",F32="Monofásico"),VLOOKUP(M32,'Iz''s'!$CJ$9:$CN$24,2,FALSE),IF(AND(J32="Cobre",F32="Trifásico"),VLOOKUP(M32,'Iz''s'!$CJ$9:$CN$24,4,FALSE),IF(AND(J32="Alumínio",F32="Monofásico"),VLOOKUP(M32,'Iz''s'!$CJ$26:$CN$40,2,FALSE),IF(AND(J32="Alumínio",F32="Trifásico"),VLOOKUP(M32,'Iz''s'!$CJ$26:$CN$40,4,FALSE)))))</f>
        <v>25</v>
      </c>
      <c r="BL32" s="609">
        <f>IF(AND(J32="Cobre",F32="Monofásico"),VLOOKUP(M32,'Iz''s'!$G$8:$J$23,3,FALSE),IF(AND(J32="Cobre",F32="Trifásico"),VLOOKUP(M32,'Iz''s'!$Q$8:$T$23,3,FALSE),IF(AND(J32="Alumínio",F32="Monofásico"),VLOOKUP(M32,'Iz''s'!$G$25:$J$39,3,FALSE),IF(AND(J32="Alumínio",F32="Trifásico"),VLOOKUP(M32,'Iz''s'!$Q$25:$T$39,3,FALSE)))))</f>
        <v>31</v>
      </c>
      <c r="BM32" s="609">
        <f>IF(AND(J32="Cobre",F32="Monofásico"),VLOOKUP(M32,'Iz''s'!$CJ$9:$CN$24,3,FALSE),IF(AND(J32="Cobre",F32="Trifásico"),VLOOKUP(M32,'Iz''s'!$CJ$9:$CN$24,5,FALSE),IF(AND(J32="Alumínio",F32="Monofásico"),VLOOKUP(M32,'Iz''s'!$CJ$26:$CN$40,3,FALSE),IF(AND(J32="Alumínio",F32="Trifásico"),VLOOKUP(M32,'Iz''s'!$CJ$26:$CN$40,5,FALSE)))))</f>
        <v>30</v>
      </c>
      <c r="BN32" s="609">
        <f>IF(AND(J32="Cobre",F32="Monofásico"),VLOOKUP(M32,'Iz''s'!$G$8:$J$23,4,FALSE),IF(AND(J32="Cobre",F32="Trifásico"),VLOOKUP(M32,'Iz''s'!$Q$8:$T$23,4,FALSE),IF(AND(J32="Alumínio",F32="Monofásico"),VLOOKUP(M32,'Iz''s'!$G$25:$J$39,4,FALSE),IF(AND(J32="Alumínio",F32="Trifásico"),VLOOKUP(M32,'Iz''s'!$Q$25:$T$39,4,FALSE)))))</f>
        <v>33</v>
      </c>
      <c r="BO32" s="609">
        <f>IF(AND(J32="Cobre",F32="Monofásico"),VLOOKUP(M32,'Iz''s'!$CP$9:$CT$24,5,FALSE),IF(AND(J32="Cobre",F32="Trifásico"),VLOOKUP(M32,'Iz''s'!$CP$9:$CT$24,4,FALSE),IF(AND(J32="Alumínio",F32="Monofásico"),VLOOKUP(M32,'Iz''s'!$CP$26:$CT$37,5,FALSE),IF(AND(J32="Alumínio",F32="Trifásico"),VLOOKUP(M32,'Iz''s'!$CP$26:$CT$37,4,FALSE)))))</f>
        <v>48</v>
      </c>
      <c r="BP32" s="609">
        <f>IF(AND(J32="Cobre",F32="Monofásico"),VLOOKUP(M32,'Iz''s'!$BL$10:$BS$28,2,FALSE),IF(AND(J32="Cobre",F32="Trifásico"),VLOOKUP(M32,'Iz''s'!$BL$10:$BS$28,3,FALSE),IF(AND(J32="Alumínio",F32="Monofásico"),VLOOKUP(M32,'Iz''s'!$BU$10:$CB$27,2,FALSE),IF(AND(J32="Alumínio",F32="Trifásico"),VLOOKUP(M32,'Iz''s'!$BU$10:$CB$27,3,FALSE)))))</f>
        <v>36</v>
      </c>
      <c r="BQ32" s="609" t="str">
        <f>IF(AND(J32="Cobre",F32="Monofásico"),VLOOKUP(M32,'Iz''s'!$BL$10:$BS$28,4,FALSE),IF(AND(J32="Cobre",F32="Trifásico"),VLOOKUP(M32,'Iz''s'!$BL$10:$BS$28,5,FALSE),IF(AND(J32="Alumínio",F32="Monofásico"),VLOOKUP(M32,'Iz''s'!$BU$10:$CB$27,4,FALSE),IF(AND(J32="Alumínio",F32="Trifásico"),VLOOKUP(M32,'Iz''s'!$BU$10:$CB$27,5,FALSE)))))</f>
        <v xml:space="preserve"> --- </v>
      </c>
      <c r="BR32" s="609" t="str">
        <f>IF(AND(J32="Cobre",F32="Monofásico"),"N/A",IF(AND(J32="Cobre",F32="Trifásico"),VLOOKUP(M32,'Iz''s'!$BL$10:$BS$28,8,FALSE),IF(AND(J32="Alumínio",F32="Monofásico"),"N/A",IF(AND(J32="Alumínio",F32="Trifásico"),VLOOKUP(M32,'Iz''s'!$BU$10:$CB$27,8,FALSE)))))</f>
        <v>N/A</v>
      </c>
      <c r="BS32" s="609">
        <f>IF(AND(J32="Cobre",F32="Monofásico"),VLOOKUP(M32,'Iz''s'!$V$14:$Y$28,2,FALSE),IF(AND(J32="Cobre",F32="Trifásico"),VLOOKUP(M32,'Iz''s'!$V$14:$Y$28,3,FALSE),IF(AND(J32="Alumínio",F32="Monofásico"),VLOOKUP(M32,"N/A",4,FALSE),IF(AND(J32="Alumínio",F32="Trifásico"),VLOOKUP(M32,"N/A",4,FALSE)))))</f>
        <v>34</v>
      </c>
      <c r="BT32" s="609">
        <f>IF(AND(J32="Cobre",F32="Monofásico"),VLOOKUP(M32,'Iz''s'!$AF$15:$AK$29,2,FALSE),IF(AND(J32="Cobre",F32="Trifásico"),VLOOKUP(M32,'Iz''s'!$AF$15:$AK$29,3,FALSE),IF(AND(J32="Alumínio",F32="Monofásico"),"N/A",IF(AND(J32="Alumínio",F32="Trifásico"),"N/A"))))</f>
        <v>36</v>
      </c>
      <c r="BU32" s="609">
        <f>IF(AND(J32="Cobre",F32="Monofásico"),VLOOKUP(M32,'Iz''s'!$AF$15:$AK$29,2,FALSE),IF(AND(J32="Cobre",F32="Trifásico"),VLOOKUP(M32,'Iz''s'!$AF$15:$AK$29,3,FALSE),IF(AND(J32="Alumínio",F32="Monofásico"),"N/A",IF(AND(J32="Alumínio",F32="Trifásico"),"N/A"))))</f>
        <v>36</v>
      </c>
      <c r="BV32" s="610" t="str">
        <f>IF(AND(J32="Cobre",F32="Monofásico"),"N/A",IF(AND(J32="Cobre",F32="Trifásico"),VLOOKUP(M32,'Iz''s'!$AF$15:$AK$29,6,FALSE),IF(AND(J32="Alumínio",F32="Monofásico"),"N/A",IF(AND(J32="Alumínio",F32="Trifásico"),"N/A"))))</f>
        <v>N/A</v>
      </c>
      <c r="BW32" s="611">
        <v>30</v>
      </c>
      <c r="BX32" s="583"/>
      <c r="BY32" s="612">
        <f>VLOOKUP(M32,Consulta!$W$6:$AB$23,4,FALSE)</f>
        <v>16</v>
      </c>
      <c r="BZ32" s="612">
        <f>VLOOKUP(M32,Consulta!$W$6:$AB$23,6,FALSE)</f>
        <v>20</v>
      </c>
      <c r="CA32" s="612">
        <f>VLOOKUP(M32,Consulta!$AK$6:$AP$23,4,FALSE)</f>
        <v>20</v>
      </c>
      <c r="CB32" s="612">
        <f>VLOOKUP(M32,Consulta!$AK$6:$AP$23,6,FALSE)</f>
        <v>25</v>
      </c>
      <c r="CC32" s="585" t="e">
        <f>VLOOKUP(M32,Consulta!$AD$6:$AI$19,4,FALSE)</f>
        <v>#N/A</v>
      </c>
      <c r="CD32" s="585" t="e">
        <f>VLOOKUP(M32,Consulta!$AD$6:$AI$19,6,FALSE)</f>
        <v>#N/A</v>
      </c>
      <c r="CE32" s="585" t="e">
        <f>VLOOKUP(M32,Consulta!$AR$6:$AW$19,4,FALSE)</f>
        <v>#N/A</v>
      </c>
      <c r="CF32" s="586" t="e">
        <f>VLOOKUP(M32,Consulta!$AR$6:$AW$19,6,FALSE)</f>
        <v>#N/A</v>
      </c>
    </row>
    <row r="33" spans="2:212" ht="16.5" customHeight="1" x14ac:dyDescent="0.2">
      <c r="B33" s="1118"/>
      <c r="C33" s="820" t="s">
        <v>836</v>
      </c>
      <c r="D33" s="701">
        <f t="shared" si="54"/>
        <v>1.84</v>
      </c>
      <c r="E33" s="701">
        <f>32.9758+13.9612</f>
        <v>46.936999999999998</v>
      </c>
      <c r="F33" s="701" t="s">
        <v>244</v>
      </c>
      <c r="G33" s="701" t="s">
        <v>808</v>
      </c>
      <c r="H33" s="701">
        <v>1</v>
      </c>
      <c r="I33" s="765" t="s">
        <v>13</v>
      </c>
      <c r="J33" s="701" t="s">
        <v>242</v>
      </c>
      <c r="K33" s="701" t="s">
        <v>363</v>
      </c>
      <c r="L33" s="701">
        <v>1</v>
      </c>
      <c r="M33" s="702">
        <v>2.5</v>
      </c>
      <c r="N33" s="701" t="s">
        <v>455</v>
      </c>
      <c r="O33" s="701">
        <v>4</v>
      </c>
      <c r="P33" s="555">
        <f t="shared" si="4"/>
        <v>30</v>
      </c>
      <c r="Q33" s="701">
        <v>1</v>
      </c>
      <c r="R33" s="701">
        <v>0.77</v>
      </c>
      <c r="S33" s="555">
        <f t="shared" si="45"/>
        <v>8</v>
      </c>
      <c r="T33" s="712">
        <f t="shared" si="46"/>
        <v>23.1</v>
      </c>
      <c r="U33" s="701" t="s">
        <v>499</v>
      </c>
      <c r="V33" s="555">
        <v>10</v>
      </c>
      <c r="W33" s="701">
        <f>IF(U33="C.C.Fusíveis",VLOOKUP(V33,Consulta!$L$5:$N$31,3,FALSE),VLOOKUP(V33,Consulta!$P$5:$R$34,3,FALSE))</f>
        <v>13.5</v>
      </c>
      <c r="X33" s="713">
        <f t="shared" si="10"/>
        <v>44</v>
      </c>
      <c r="Y33" s="766">
        <f t="shared" si="51"/>
        <v>0.34632034632034631</v>
      </c>
      <c r="Z33" s="706" t="str">
        <f t="shared" si="11"/>
        <v>Sim</v>
      </c>
      <c r="AA33" s="767">
        <f t="shared" si="33"/>
        <v>7.7627140213909152E-2</v>
      </c>
      <c r="AB33" s="767">
        <f t="shared" si="12"/>
        <v>0.52804124999999991</v>
      </c>
      <c r="AC33" s="767">
        <f t="shared" si="6"/>
        <v>0</v>
      </c>
      <c r="AD33" s="703">
        <f t="shared" si="37"/>
        <v>2.4122515281164385</v>
      </c>
      <c r="AE33" s="703">
        <f t="shared" si="17"/>
        <v>8.4486599999999985</v>
      </c>
      <c r="AF33" s="703">
        <f t="shared" si="18"/>
        <v>10.860911528116437</v>
      </c>
      <c r="AG33" s="704">
        <f t="shared" si="34"/>
        <v>3.6733304347826082E-2</v>
      </c>
      <c r="AH33" s="768">
        <f t="shared" si="34"/>
        <v>4.7221354470071468E-2</v>
      </c>
      <c r="AI33" s="703">
        <f t="shared" si="7"/>
        <v>0.37974575479953471</v>
      </c>
      <c r="AJ33" s="701">
        <v>3</v>
      </c>
      <c r="AK33" s="703">
        <v>0.1</v>
      </c>
      <c r="AL33" s="713">
        <f t="shared" si="47"/>
        <v>115</v>
      </c>
      <c r="AM33" s="703">
        <f t="shared" si="48"/>
        <v>1.0442274060403025</v>
      </c>
      <c r="AN33" s="706">
        <f t="shared" si="52"/>
        <v>1</v>
      </c>
      <c r="AO33" s="705" t="s">
        <v>563</v>
      </c>
      <c r="AP33" s="706" t="s">
        <v>523</v>
      </c>
      <c r="AQ33" s="706" t="str">
        <f t="shared" si="53"/>
        <v>3G</v>
      </c>
      <c r="AR33" s="706">
        <f t="shared" si="49"/>
        <v>2.5</v>
      </c>
      <c r="AS33" s="893" t="str">
        <f t="shared" si="8"/>
        <v/>
      </c>
      <c r="AT33" s="893" t="str">
        <f>IF(OR(AQ33="3G",AQ33="5G"),"",VLOOKUP(AR33,Consulta!$T$5:$U$25,2,FALSE))</f>
        <v/>
      </c>
      <c r="AU33" s="894" t="s">
        <v>565</v>
      </c>
      <c r="AV33" s="706" t="s">
        <v>23</v>
      </c>
      <c r="AW33" s="706" t="s">
        <v>564</v>
      </c>
      <c r="AX33" s="706">
        <f t="shared" si="30"/>
        <v>20</v>
      </c>
      <c r="AY33" s="707" t="s">
        <v>24</v>
      </c>
      <c r="AZ33" s="564"/>
      <c r="BA33" s="584">
        <f>IF(AND(J33="Cobre",F33="Monofásico"),VLOOKUP(M33,'Iz''s'!$B$8:$E$23,2,FALSE),IF(AND(J33="Cobre",F33="Trifásico"),VLOOKUP(M33,'Iz''s'!$L$8:$O$23,2,FALSE),IF(AND(J33="Alumínio",F33="Monofásico"),VLOOKUP(M33,'Iz''s'!$B$25:$E$39,2,FALSE),IF(AND(J33="Alumínio",F33="Trifásico"),VLOOKUP(M33,'Iz''s'!$L$25:$O$39,2,FALSE)))))</f>
        <v>19.5</v>
      </c>
      <c r="BB33" s="531">
        <f>IF(AND(J33="Cobre",F33="Monofásico"),VLOOKUP(M33,'Iz''s'!$CD$9:$CH$24,2,FALSE),IF(AND(J33="Cobre",F33="Trifásico"),VLOOKUP(M33,'Iz''s'!$CD$9:$CH$24,4,FALSE),IF(AND(J33="Alumínio",F33="Monofásico"),VLOOKUP(M33,'Iz''s'!$CD$26:$CH$40,2,FALSE),IF(AND(J33="Alumínio",F33="Trifásico"),VLOOKUP(M33,'Iz''s'!$CD$26:$CH$40,4,FALSE)))))</f>
        <v>18.5</v>
      </c>
      <c r="BC33" s="531">
        <f>IF(AND(J33="Cobre",F33="Monofásico"),VLOOKUP(M33,'Iz''s'!$B$8:$E$23,3,FALSE),IF(AND(J33="Cobre",F33="Trifásico"),VLOOKUP(M33,'Iz''s'!$L$8:$O$23,3,FALSE),IF(AND(J33="Alumínio",F33="Monofásico"),VLOOKUP(M33,'Iz''s'!$B$25:$E$39,3,FALSE),IF(AND(J33="Alumínio",F33="Trifásico"),VLOOKUP(M33,'Iz''s'!$L$25:$O$39,3,FALSE)))))</f>
        <v>24</v>
      </c>
      <c r="BD33" s="531">
        <f>IF(AND(J33="Cobre",F33="Monofásico"),VLOOKUP(M33,'Iz''s'!$CD$9:$CH$24,3,FALSE),IF(AND(J33="Cobre",F33="Trifásico"),VLOOKUP(M33,'Iz''s'!$CD$9:$CH$24,5,FALSE),IF(AND(J33="Alumínio",F33="Monofásico"),VLOOKUP(M33,'Iz''s'!$CD$26:$CH$40,3,FALSE),IF(AND(J33="Alumínio",F33="Trifásico"),VLOOKUP(M33,'Iz''s'!$CD$26:$CH$40,5,FALSE)))))</f>
        <v>23</v>
      </c>
      <c r="BE33" s="531">
        <f>IF(AND(J33="Cobre",F33="Monofásico"),VLOOKUP(M33,'Iz''s'!$B$8:$E$23,4,FALSE),IF(AND(J33="Cobre",F33="Trifásico"),VLOOKUP(M33,'Iz''s'!$L$8:$O$23,4,FALSE),IF(AND(J33="Alumínio",F33="Monofásico"),VLOOKUP(M33,'Iz''s'!$B$25:$E$39,4,FALSE),IF(AND(J33="Alumínio",F33="Trifásico"),VLOOKUP(M33,'Iz''s'!$L$25:$O$39,4,FALSE)))))</f>
        <v>27</v>
      </c>
      <c r="BF33" s="531">
        <f>IF(AND(J33="Cobre",F33="Monofásico"),VLOOKUP(M33,'Iz''s'!$CP$9:$CT$24,3,FALSE),IF(AND(J33="Cobre",F33="Trifásico"),VLOOKUP(M33,'Iz''s'!$CP$9:$CT$24,2,FALSE),IF(AND(J33="Alumínio",F33="Monofásico"),VLOOKUP(M33,'Iz''s'!$CP$26:$CT$37,3,FALSE),IF(AND(J33="Alumínio",F33="Trifásico"),VLOOKUP(M33,'Iz''s'!$CP$26:$CT$37,2,FALSE)))))</f>
        <v>42</v>
      </c>
      <c r="BG33" s="609">
        <f>IF(AND(J33="Cobre",F33="Monofásico"),VLOOKUP(M33,'Iz''s'!$AT$10:$BA$28,2,FALSE),IF(AND(J33="Cobre",F33="Trifásico"),VLOOKUP(M33,'Iz''s'!$AT$10:$BA$28,3,FALSE),IF(AND(J33="Alumínio",F33="Monofásico"),VLOOKUP(M33,'Iz''s'!$BC$10:$BJ$27,2,FALSE),IF(AND(J33="Alumínio",F33="Trifásico"),VLOOKUP(M33,'Iz''s'!$BC$10:$BJ$27,3,FALSE)))))</f>
        <v>30</v>
      </c>
      <c r="BH33" s="609" t="str">
        <f>IF(AND(J33="Cobre",F33="Monofásico"),VLOOKUP(M33,'Iz''s'!$AT$10:$BA$28,4,FALSE),IF(AND(J33="Cobre",F33="Trifásico"),VLOOKUP(M33,'Iz''s'!$AT$10:$BA$28,5,FALSE),IF(AND(J33="Alumínio",F33="Monofásico"),VLOOKUP(M33,'Iz''s'!$BC$10:$BJ$27,4,FALSE),IF(AND(J33="Alumínio",F33="Trifásico"),VLOOKUP(M33,'Iz''s'!$BC$10:$BJ$27,5,FALSE)))))</f>
        <v xml:space="preserve"> --- </v>
      </c>
      <c r="BI33" s="609" t="str">
        <f>IF(AND(J33="Cobre",F33="Monofásico"),"N/A",IF(AND(J33="Cobre",F33="Trifásico"),VLOOKUP(M33,'Iz''s'!$AT$10:$BA$28,8,FALSE),IF(AND(J33="Alumínio",F33="Monofásico"),"N/A",IF(AND(J33="Alumínio",F33="Trifásico"),VLOOKUP(M33,'Iz''s'!$BC$10:$BJ$27,8,FALSE)))))</f>
        <v>N/A</v>
      </c>
      <c r="BJ33" s="531">
        <f>IF(AND(J33="Cobre",F33="Monofásico"),VLOOKUP(M33,'Iz''s'!$G$8:$J$23,2,FALSE),IF(AND(J33="Cobre",F33="Trifásico"),VLOOKUP(M33,'Iz''s'!$Q$8:$T$23,2,FALSE),IF(AND(J33="Alumínio",F33="Monofásico"),VLOOKUP(M33,'Iz''s'!$G$25:$J$39,2,FALSE),IF(AND(J33="Alumínio",F33="Trifásico"),VLOOKUP(M33,'Iz''s'!$Q$25:$T$39,2,FALSE)))))</f>
        <v>26</v>
      </c>
      <c r="BK33" s="609">
        <f>IF(AND(J33="Cobre",F33="Monofásico"),VLOOKUP(M33,'Iz''s'!$CJ$9:$CN$24,2,FALSE),IF(AND(J33="Cobre",F33="Trifásico"),VLOOKUP(M33,'Iz''s'!$CJ$9:$CN$24,4,FALSE),IF(AND(J33="Alumínio",F33="Monofásico"),VLOOKUP(M33,'Iz''s'!$CJ$26:$CN$40,2,FALSE),IF(AND(J33="Alumínio",F33="Trifásico"),VLOOKUP(M33,'Iz''s'!$CJ$26:$CN$40,4,FALSE)))))</f>
        <v>25</v>
      </c>
      <c r="BL33" s="609">
        <f>IF(AND(J33="Cobre",F33="Monofásico"),VLOOKUP(M33,'Iz''s'!$G$8:$J$23,3,FALSE),IF(AND(J33="Cobre",F33="Trifásico"),VLOOKUP(M33,'Iz''s'!$Q$8:$T$23,3,FALSE),IF(AND(J33="Alumínio",F33="Monofásico"),VLOOKUP(M33,'Iz''s'!$G$25:$J$39,3,FALSE),IF(AND(J33="Alumínio",F33="Trifásico"),VLOOKUP(M33,'Iz''s'!$Q$25:$T$39,3,FALSE)))))</f>
        <v>31</v>
      </c>
      <c r="BM33" s="609">
        <f>IF(AND(J33="Cobre",F33="Monofásico"),VLOOKUP(M33,'Iz''s'!$CJ$9:$CN$24,3,FALSE),IF(AND(J33="Cobre",F33="Trifásico"),VLOOKUP(M33,'Iz''s'!$CJ$9:$CN$24,5,FALSE),IF(AND(J33="Alumínio",F33="Monofásico"),VLOOKUP(M33,'Iz''s'!$CJ$26:$CN$40,3,FALSE),IF(AND(J33="Alumínio",F33="Trifásico"),VLOOKUP(M33,'Iz''s'!$CJ$26:$CN$40,5,FALSE)))))</f>
        <v>30</v>
      </c>
      <c r="BN33" s="609">
        <f>IF(AND(J33="Cobre",F33="Monofásico"),VLOOKUP(M33,'Iz''s'!$G$8:$J$23,4,FALSE),IF(AND(J33="Cobre",F33="Trifásico"),VLOOKUP(M33,'Iz''s'!$Q$8:$T$23,4,FALSE),IF(AND(J33="Alumínio",F33="Monofásico"),VLOOKUP(M33,'Iz''s'!$G$25:$J$39,4,FALSE),IF(AND(J33="Alumínio",F33="Trifásico"),VLOOKUP(M33,'Iz''s'!$Q$25:$T$39,4,FALSE)))))</f>
        <v>33</v>
      </c>
      <c r="BO33" s="609">
        <f>IF(AND(J33="Cobre",F33="Monofásico"),VLOOKUP(M33,'Iz''s'!$CP$9:$CT$24,5,FALSE),IF(AND(J33="Cobre",F33="Trifásico"),VLOOKUP(M33,'Iz''s'!$CP$9:$CT$24,4,FALSE),IF(AND(J33="Alumínio",F33="Monofásico"),VLOOKUP(M33,'Iz''s'!$CP$26:$CT$37,5,FALSE),IF(AND(J33="Alumínio",F33="Trifásico"),VLOOKUP(M33,'Iz''s'!$CP$26:$CT$37,4,FALSE)))))</f>
        <v>48</v>
      </c>
      <c r="BP33" s="609">
        <f>IF(AND(J33="Cobre",F33="Monofásico"),VLOOKUP(M33,'Iz''s'!$BL$10:$BS$28,2,FALSE),IF(AND(J33="Cobre",F33="Trifásico"),VLOOKUP(M33,'Iz''s'!$BL$10:$BS$28,3,FALSE),IF(AND(J33="Alumínio",F33="Monofásico"),VLOOKUP(M33,'Iz''s'!$BU$10:$CB$27,2,FALSE),IF(AND(J33="Alumínio",F33="Trifásico"),VLOOKUP(M33,'Iz''s'!$BU$10:$CB$27,3,FALSE)))))</f>
        <v>36</v>
      </c>
      <c r="BQ33" s="609" t="str">
        <f>IF(AND(J33="Cobre",F33="Monofásico"),VLOOKUP(M33,'Iz''s'!$BL$10:$BS$28,4,FALSE),IF(AND(J33="Cobre",F33="Trifásico"),VLOOKUP(M33,'Iz''s'!$BL$10:$BS$28,5,FALSE),IF(AND(J33="Alumínio",F33="Monofásico"),VLOOKUP(M33,'Iz''s'!$BU$10:$CB$27,4,FALSE),IF(AND(J33="Alumínio",F33="Trifásico"),VLOOKUP(M33,'Iz''s'!$BU$10:$CB$27,5,FALSE)))))</f>
        <v xml:space="preserve"> --- </v>
      </c>
      <c r="BR33" s="609" t="str">
        <f>IF(AND(J33="Cobre",F33="Monofásico"),"N/A",IF(AND(J33="Cobre",F33="Trifásico"),VLOOKUP(M33,'Iz''s'!$BL$10:$BS$28,8,FALSE),IF(AND(J33="Alumínio",F33="Monofásico"),"N/A",IF(AND(J33="Alumínio",F33="Trifásico"),VLOOKUP(M33,'Iz''s'!$BU$10:$CB$27,8,FALSE)))))</f>
        <v>N/A</v>
      </c>
      <c r="BS33" s="609">
        <f>IF(AND(J33="Cobre",F33="Monofásico"),VLOOKUP(M33,'Iz''s'!$V$14:$Y$28,2,FALSE),IF(AND(J33="Cobre",F33="Trifásico"),VLOOKUP(M33,'Iz''s'!$V$14:$Y$28,3,FALSE),IF(AND(J33="Alumínio",F33="Monofásico"),VLOOKUP(M33,"N/A",4,FALSE),IF(AND(J33="Alumínio",F33="Trifásico"),VLOOKUP(M33,"N/A",4,FALSE)))))</f>
        <v>34</v>
      </c>
      <c r="BT33" s="609">
        <f>IF(AND(J33="Cobre",F33="Monofásico"),VLOOKUP(M33,'Iz''s'!$AF$15:$AK$29,2,FALSE),IF(AND(J33="Cobre",F33="Trifásico"),VLOOKUP(M33,'Iz''s'!$AF$15:$AK$29,3,FALSE),IF(AND(J33="Alumínio",F33="Monofásico"),"N/A",IF(AND(J33="Alumínio",F33="Trifásico"),"N/A"))))</f>
        <v>36</v>
      </c>
      <c r="BU33" s="609">
        <f>IF(AND(J33="Cobre",F33="Monofásico"),VLOOKUP(M33,'Iz''s'!$AF$15:$AK$29,2,FALSE),IF(AND(J33="Cobre",F33="Trifásico"),VLOOKUP(M33,'Iz''s'!$AF$15:$AK$29,3,FALSE),IF(AND(J33="Alumínio",F33="Monofásico"),"N/A",IF(AND(J33="Alumínio",F33="Trifásico"),"N/A"))))</f>
        <v>36</v>
      </c>
      <c r="BV33" s="610" t="str">
        <f>IF(AND(J33="Cobre",F33="Monofásico"),"N/A",IF(AND(J33="Cobre",F33="Trifásico"),VLOOKUP(M33,'Iz''s'!$AF$15:$AK$29,6,FALSE),IF(AND(J33="Alumínio",F33="Monofásico"),"N/A",IF(AND(J33="Alumínio",F33="Trifásico"),"N/A"))))</f>
        <v>N/A</v>
      </c>
      <c r="BW33" s="611">
        <v>31</v>
      </c>
      <c r="BX33" s="583"/>
      <c r="BY33" s="612">
        <f>VLOOKUP(M33,Consulta!$W$6:$AB$23,4,FALSE)</f>
        <v>16</v>
      </c>
      <c r="BZ33" s="612">
        <f>VLOOKUP(M33,Consulta!$W$6:$AB$23,6,FALSE)</f>
        <v>20</v>
      </c>
      <c r="CA33" s="612">
        <f>VLOOKUP(M33,Consulta!$AK$6:$AP$23,4,FALSE)</f>
        <v>20</v>
      </c>
      <c r="CB33" s="612">
        <f>VLOOKUP(M33,Consulta!$AK$6:$AP$23,6,FALSE)</f>
        <v>25</v>
      </c>
      <c r="CC33" s="585" t="e">
        <f>VLOOKUP(M33,Consulta!$AD$6:$AI$19,4,FALSE)</f>
        <v>#N/A</v>
      </c>
      <c r="CD33" s="585" t="e">
        <f>VLOOKUP(M33,Consulta!$AD$6:$AI$19,6,FALSE)</f>
        <v>#N/A</v>
      </c>
      <c r="CE33" s="585" t="e">
        <f>VLOOKUP(M33,Consulta!$AR$6:$AW$19,4,FALSE)</f>
        <v>#N/A</v>
      </c>
      <c r="CF33" s="586" t="e">
        <f>VLOOKUP(M33,Consulta!$AR$6:$AW$19,6,FALSE)</f>
        <v>#N/A</v>
      </c>
    </row>
    <row r="34" spans="2:212" s="675" customFormat="1" ht="16.5" customHeight="1" thickBot="1" x14ac:dyDescent="0.25">
      <c r="B34" s="1118"/>
      <c r="C34" s="867" t="s">
        <v>837</v>
      </c>
      <c r="D34" s="708">
        <f t="shared" si="54"/>
        <v>1.84</v>
      </c>
      <c r="E34" s="708">
        <f>32.9758+17.9769</f>
        <v>50.9527</v>
      </c>
      <c r="F34" s="708" t="s">
        <v>244</v>
      </c>
      <c r="G34" s="708" t="s">
        <v>808</v>
      </c>
      <c r="H34" s="708">
        <v>1</v>
      </c>
      <c r="I34" s="868" t="s">
        <v>13</v>
      </c>
      <c r="J34" s="708" t="s">
        <v>242</v>
      </c>
      <c r="K34" s="708" t="s">
        <v>363</v>
      </c>
      <c r="L34" s="708">
        <v>1</v>
      </c>
      <c r="M34" s="869">
        <v>2.5</v>
      </c>
      <c r="N34" s="708" t="s">
        <v>455</v>
      </c>
      <c r="O34" s="708">
        <v>4</v>
      </c>
      <c r="P34" s="573">
        <f t="shared" si="4"/>
        <v>30</v>
      </c>
      <c r="Q34" s="708">
        <v>1</v>
      </c>
      <c r="R34" s="708">
        <v>0.77</v>
      </c>
      <c r="S34" s="573">
        <f t="shared" ref="S34:S59" si="55">IF(F34="Monofásico",(((D34*10^3)/H34)/230),(((D34*10^3)/H34)/(SQRT(3)*400)))</f>
        <v>8</v>
      </c>
      <c r="T34" s="745">
        <f t="shared" si="46"/>
        <v>23.1</v>
      </c>
      <c r="U34" s="708" t="s">
        <v>499</v>
      </c>
      <c r="V34" s="573">
        <v>10</v>
      </c>
      <c r="W34" s="708">
        <f>IF(U34="C.C.Fusíveis",VLOOKUP(V34,Consulta!$L$5:$N$31,3,FALSE),VLOOKUP(V34,Consulta!$P$5:$R$34,3,FALSE))</f>
        <v>13.5</v>
      </c>
      <c r="X34" s="746">
        <f t="shared" si="10"/>
        <v>44</v>
      </c>
      <c r="Y34" s="870">
        <f t="shared" si="51"/>
        <v>0.34632034632034631</v>
      </c>
      <c r="Z34" s="711" t="str">
        <f t="shared" si="11"/>
        <v>Sim</v>
      </c>
      <c r="AA34" s="871">
        <f t="shared" si="33"/>
        <v>7.7627140213909152E-2</v>
      </c>
      <c r="AB34" s="871">
        <f t="shared" si="12"/>
        <v>0.57321787499999999</v>
      </c>
      <c r="AC34" s="871">
        <f t="shared" si="6"/>
        <v>0</v>
      </c>
      <c r="AD34" s="709">
        <f t="shared" si="37"/>
        <v>2.4122515281164385</v>
      </c>
      <c r="AE34" s="709">
        <f t="shared" si="17"/>
        <v>9.1714859999999998</v>
      </c>
      <c r="AF34" s="709">
        <f t="shared" si="18"/>
        <v>11.583737528116439</v>
      </c>
      <c r="AG34" s="872">
        <f t="shared" si="34"/>
        <v>3.987602608695652E-2</v>
      </c>
      <c r="AH34" s="873">
        <f t="shared" si="34"/>
        <v>5.0364076209201906E-2</v>
      </c>
      <c r="AI34" s="709">
        <f t="shared" si="7"/>
        <v>0.35338674280912691</v>
      </c>
      <c r="AJ34" s="708">
        <v>3</v>
      </c>
      <c r="AK34" s="709">
        <v>0.1</v>
      </c>
      <c r="AL34" s="746">
        <f t="shared" si="47"/>
        <v>115</v>
      </c>
      <c r="AM34" s="709">
        <f t="shared" si="48"/>
        <v>0.97174521929127888</v>
      </c>
      <c r="AN34" s="711">
        <f t="shared" si="52"/>
        <v>1</v>
      </c>
      <c r="AO34" s="710" t="s">
        <v>563</v>
      </c>
      <c r="AP34" s="711" t="s">
        <v>523</v>
      </c>
      <c r="AQ34" s="711" t="str">
        <f t="shared" si="53"/>
        <v>3G</v>
      </c>
      <c r="AR34" s="711">
        <f t="shared" si="49"/>
        <v>2.5</v>
      </c>
      <c r="AS34" s="903" t="str">
        <f t="shared" si="8"/>
        <v/>
      </c>
      <c r="AT34" s="903" t="str">
        <f>IF(OR(AQ34="3G",AQ34="5G"),"",VLOOKUP(AR34,Consulta!$T$5:$U$25,2,FALSE))</f>
        <v/>
      </c>
      <c r="AU34" s="904" t="s">
        <v>565</v>
      </c>
      <c r="AV34" s="711" t="s">
        <v>23</v>
      </c>
      <c r="AW34" s="711" t="s">
        <v>564</v>
      </c>
      <c r="AX34" s="711">
        <f t="shared" si="30"/>
        <v>20</v>
      </c>
      <c r="AY34" s="874" t="s">
        <v>24</v>
      </c>
      <c r="AZ34" s="662"/>
      <c r="BA34" s="671">
        <f>IF(AND(J34="Cobre",F34="Monofásico"),VLOOKUP(M34,'Iz''s'!$B$8:$E$23,2,FALSE),IF(AND(J34="Cobre",F34="Trifásico"),VLOOKUP(M34,'Iz''s'!$L$8:$O$23,2,FALSE),IF(AND(J34="Alumínio",F34="Monofásico"),VLOOKUP(M34,'Iz''s'!$B$25:$E$39,2,FALSE),IF(AND(J34="Alumínio",F34="Trifásico"),VLOOKUP(M34,'Iz''s'!$L$25:$O$39,2,FALSE)))))</f>
        <v>19.5</v>
      </c>
      <c r="BB34" s="672">
        <f>IF(AND(J34="Cobre",F34="Monofásico"),VLOOKUP(M34,'Iz''s'!$CD$9:$CH$24,2,FALSE),IF(AND(J34="Cobre",F34="Trifásico"),VLOOKUP(M34,'Iz''s'!$CD$9:$CH$24,4,FALSE),IF(AND(J34="Alumínio",F34="Monofásico"),VLOOKUP(M34,'Iz''s'!$CD$26:$CH$40,2,FALSE),IF(AND(J34="Alumínio",F34="Trifásico"),VLOOKUP(M34,'Iz''s'!$CD$26:$CH$40,4,FALSE)))))</f>
        <v>18.5</v>
      </c>
      <c r="BC34" s="672">
        <f>IF(AND(J34="Cobre",F34="Monofásico"),VLOOKUP(M34,'Iz''s'!$B$8:$E$23,3,FALSE),IF(AND(J34="Cobre",F34="Trifásico"),VLOOKUP(M34,'Iz''s'!$L$8:$O$23,3,FALSE),IF(AND(J34="Alumínio",F34="Monofásico"),VLOOKUP(M34,'Iz''s'!$B$25:$E$39,3,FALSE),IF(AND(J34="Alumínio",F34="Trifásico"),VLOOKUP(M34,'Iz''s'!$L$25:$O$39,3,FALSE)))))</f>
        <v>24</v>
      </c>
      <c r="BD34" s="672">
        <f>IF(AND(J34="Cobre",F34="Monofásico"),VLOOKUP(M34,'Iz''s'!$CD$9:$CH$24,3,FALSE),IF(AND(J34="Cobre",F34="Trifásico"),VLOOKUP(M34,'Iz''s'!$CD$9:$CH$24,5,FALSE),IF(AND(J34="Alumínio",F34="Monofásico"),VLOOKUP(M34,'Iz''s'!$CD$26:$CH$40,3,FALSE),IF(AND(J34="Alumínio",F34="Trifásico"),VLOOKUP(M34,'Iz''s'!$CD$26:$CH$40,5,FALSE)))))</f>
        <v>23</v>
      </c>
      <c r="BE34" s="672">
        <f>IF(AND(J34="Cobre",F34="Monofásico"),VLOOKUP(M34,'Iz''s'!$B$8:$E$23,4,FALSE),IF(AND(J34="Cobre",F34="Trifásico"),VLOOKUP(M34,'Iz''s'!$L$8:$O$23,4,FALSE),IF(AND(J34="Alumínio",F34="Monofásico"),VLOOKUP(M34,'Iz''s'!$B$25:$E$39,4,FALSE),IF(AND(J34="Alumínio",F34="Trifásico"),VLOOKUP(M34,'Iz''s'!$L$25:$O$39,4,FALSE)))))</f>
        <v>27</v>
      </c>
      <c r="BF34" s="672">
        <f>IF(AND(J34="Cobre",F34="Monofásico"),VLOOKUP(M34,'Iz''s'!$CP$9:$CT$24,3,FALSE),IF(AND(J34="Cobre",F34="Trifásico"),VLOOKUP(M34,'Iz''s'!$CP$9:$CT$24,2,FALSE),IF(AND(J34="Alumínio",F34="Monofásico"),VLOOKUP(M34,'Iz''s'!$CP$26:$CT$37,3,FALSE),IF(AND(J34="Alumínio",F34="Trifásico"),VLOOKUP(M34,'Iz''s'!$CP$26:$CT$37,2,FALSE)))))</f>
        <v>42</v>
      </c>
      <c r="BG34" s="664">
        <f>IF(AND(J34="Cobre",F34="Monofásico"),VLOOKUP(M34,'Iz''s'!$AT$10:$BA$28,2,FALSE),IF(AND(J34="Cobre",F34="Trifásico"),VLOOKUP(M34,'Iz''s'!$AT$10:$BA$28,3,FALSE),IF(AND(J34="Alumínio",F34="Monofásico"),VLOOKUP(M34,'Iz''s'!$BC$10:$BJ$27,2,FALSE),IF(AND(J34="Alumínio",F34="Trifásico"),VLOOKUP(M34,'Iz''s'!$BC$10:$BJ$27,3,FALSE)))))</f>
        <v>30</v>
      </c>
      <c r="BH34" s="664" t="str">
        <f>IF(AND(J34="Cobre",F34="Monofásico"),VLOOKUP(M34,'Iz''s'!$AT$10:$BA$28,4,FALSE),IF(AND(J34="Cobre",F34="Trifásico"),VLOOKUP(M34,'Iz''s'!$AT$10:$BA$28,5,FALSE),IF(AND(J34="Alumínio",F34="Monofásico"),VLOOKUP(M34,'Iz''s'!$BC$10:$BJ$27,4,FALSE),IF(AND(J34="Alumínio",F34="Trifásico"),VLOOKUP(M34,'Iz''s'!$BC$10:$BJ$27,5,FALSE)))))</f>
        <v xml:space="preserve"> --- </v>
      </c>
      <c r="BI34" s="664" t="str">
        <f>IF(AND(J34="Cobre",F34="Monofásico"),"N/A",IF(AND(J34="Cobre",F34="Trifásico"),VLOOKUP(M34,'Iz''s'!$AT$10:$BA$28,8,FALSE),IF(AND(J34="Alumínio",F34="Monofásico"),"N/A",IF(AND(J34="Alumínio",F34="Trifásico"),VLOOKUP(M34,'Iz''s'!$BC$10:$BJ$27,8,FALSE)))))</f>
        <v>N/A</v>
      </c>
      <c r="BJ34" s="672">
        <f>IF(AND(J34="Cobre",F34="Monofásico"),VLOOKUP(M34,'Iz''s'!$G$8:$J$23,2,FALSE),IF(AND(J34="Cobre",F34="Trifásico"),VLOOKUP(M34,'Iz''s'!$Q$8:$T$23,2,FALSE),IF(AND(J34="Alumínio",F34="Monofásico"),VLOOKUP(M34,'Iz''s'!$G$25:$J$39,2,FALSE),IF(AND(J34="Alumínio",F34="Trifásico"),VLOOKUP(M34,'Iz''s'!$Q$25:$T$39,2,FALSE)))))</f>
        <v>26</v>
      </c>
      <c r="BK34" s="664">
        <f>IF(AND(J34="Cobre",F34="Monofásico"),VLOOKUP(M34,'Iz''s'!$CJ$9:$CN$24,2,FALSE),IF(AND(J34="Cobre",F34="Trifásico"),VLOOKUP(M34,'Iz''s'!$CJ$9:$CN$24,4,FALSE),IF(AND(J34="Alumínio",F34="Monofásico"),VLOOKUP(M34,'Iz''s'!$CJ$26:$CN$40,2,FALSE),IF(AND(J34="Alumínio",F34="Trifásico"),VLOOKUP(M34,'Iz''s'!$CJ$26:$CN$40,4,FALSE)))))</f>
        <v>25</v>
      </c>
      <c r="BL34" s="664">
        <f>IF(AND(J34="Cobre",F34="Monofásico"),VLOOKUP(M34,'Iz''s'!$G$8:$J$23,3,FALSE),IF(AND(J34="Cobre",F34="Trifásico"),VLOOKUP(M34,'Iz''s'!$Q$8:$T$23,3,FALSE),IF(AND(J34="Alumínio",F34="Monofásico"),VLOOKUP(M34,'Iz''s'!$G$25:$J$39,3,FALSE),IF(AND(J34="Alumínio",F34="Trifásico"),VLOOKUP(M34,'Iz''s'!$Q$25:$T$39,3,FALSE)))))</f>
        <v>31</v>
      </c>
      <c r="BM34" s="664">
        <f>IF(AND(J34="Cobre",F34="Monofásico"),VLOOKUP(M34,'Iz''s'!$CJ$9:$CN$24,3,FALSE),IF(AND(J34="Cobre",F34="Trifásico"),VLOOKUP(M34,'Iz''s'!$CJ$9:$CN$24,5,FALSE),IF(AND(J34="Alumínio",F34="Monofásico"),VLOOKUP(M34,'Iz''s'!$CJ$26:$CN$40,3,FALSE),IF(AND(J34="Alumínio",F34="Trifásico"),VLOOKUP(M34,'Iz''s'!$CJ$26:$CN$40,5,FALSE)))))</f>
        <v>30</v>
      </c>
      <c r="BN34" s="664">
        <f>IF(AND(J34="Cobre",F34="Monofásico"),VLOOKUP(M34,'Iz''s'!$G$8:$J$23,4,FALSE),IF(AND(J34="Cobre",F34="Trifásico"),VLOOKUP(M34,'Iz''s'!$Q$8:$T$23,4,FALSE),IF(AND(J34="Alumínio",F34="Monofásico"),VLOOKUP(M34,'Iz''s'!$G$25:$J$39,4,FALSE),IF(AND(J34="Alumínio",F34="Trifásico"),VLOOKUP(M34,'Iz''s'!$Q$25:$T$39,4,FALSE)))))</f>
        <v>33</v>
      </c>
      <c r="BO34" s="664">
        <f>IF(AND(J34="Cobre",F34="Monofásico"),VLOOKUP(M34,'Iz''s'!$CP$9:$CT$24,5,FALSE),IF(AND(J34="Cobre",F34="Trifásico"),VLOOKUP(M34,'Iz''s'!$CP$9:$CT$24,4,FALSE),IF(AND(J34="Alumínio",F34="Monofásico"),VLOOKUP(M34,'Iz''s'!$CP$26:$CT$37,5,FALSE),IF(AND(J34="Alumínio",F34="Trifásico"),VLOOKUP(M34,'Iz''s'!$CP$26:$CT$37,4,FALSE)))))</f>
        <v>48</v>
      </c>
      <c r="BP34" s="664">
        <f>IF(AND(J34="Cobre",F34="Monofásico"),VLOOKUP(M34,'Iz''s'!$BL$10:$BS$28,2,FALSE),IF(AND(J34="Cobre",F34="Trifásico"),VLOOKUP(M34,'Iz''s'!$BL$10:$BS$28,3,FALSE),IF(AND(J34="Alumínio",F34="Monofásico"),VLOOKUP(M34,'Iz''s'!$BU$10:$CB$27,2,FALSE),IF(AND(J34="Alumínio",F34="Trifásico"),VLOOKUP(M34,'Iz''s'!$BU$10:$CB$27,3,FALSE)))))</f>
        <v>36</v>
      </c>
      <c r="BQ34" s="664" t="str">
        <f>IF(AND(J34="Cobre",F34="Monofásico"),VLOOKUP(M34,'Iz''s'!$BL$10:$BS$28,4,FALSE),IF(AND(J34="Cobre",F34="Trifásico"),VLOOKUP(M34,'Iz''s'!$BL$10:$BS$28,5,FALSE),IF(AND(J34="Alumínio",F34="Monofásico"),VLOOKUP(M34,'Iz''s'!$BU$10:$CB$27,4,FALSE),IF(AND(J34="Alumínio",F34="Trifásico"),VLOOKUP(M34,'Iz''s'!$BU$10:$CB$27,5,FALSE)))))</f>
        <v xml:space="preserve"> --- </v>
      </c>
      <c r="BR34" s="664" t="str">
        <f>IF(AND(J34="Cobre",F34="Monofásico"),"N/A",IF(AND(J34="Cobre",F34="Trifásico"),VLOOKUP(M34,'Iz''s'!$BL$10:$BS$28,8,FALSE),IF(AND(J34="Alumínio",F34="Monofásico"),"N/A",IF(AND(J34="Alumínio",F34="Trifásico"),VLOOKUP(M34,'Iz''s'!$BU$10:$CB$27,8,FALSE)))))</f>
        <v>N/A</v>
      </c>
      <c r="BS34" s="664">
        <f>IF(AND(J34="Cobre",F34="Monofásico"),VLOOKUP(M34,'Iz''s'!$V$14:$Y$28,2,FALSE),IF(AND(J34="Cobre",F34="Trifásico"),VLOOKUP(M34,'Iz''s'!$V$14:$Y$28,3,FALSE),IF(AND(J34="Alumínio",F34="Monofásico"),VLOOKUP(M34,"N/A",4,FALSE),IF(AND(J34="Alumínio",F34="Trifásico"),VLOOKUP(M34,"N/A",4,FALSE)))))</f>
        <v>34</v>
      </c>
      <c r="BT34" s="664">
        <f>IF(AND(J34="Cobre",F34="Monofásico"),VLOOKUP(M34,'Iz''s'!$AF$15:$AK$29,2,FALSE),IF(AND(J34="Cobre",F34="Trifásico"),VLOOKUP(M34,'Iz''s'!$AF$15:$AK$29,3,FALSE),IF(AND(J34="Alumínio",F34="Monofásico"),"N/A",IF(AND(J34="Alumínio",F34="Trifásico"),"N/A"))))</f>
        <v>36</v>
      </c>
      <c r="BU34" s="664">
        <f>IF(AND(J34="Cobre",F34="Monofásico"),VLOOKUP(M34,'Iz''s'!$AF$15:$AK$29,2,FALSE),IF(AND(J34="Cobre",F34="Trifásico"),VLOOKUP(M34,'Iz''s'!$AF$15:$AK$29,3,FALSE),IF(AND(J34="Alumínio",F34="Monofásico"),"N/A",IF(AND(J34="Alumínio",F34="Trifásico"),"N/A"))))</f>
        <v>36</v>
      </c>
      <c r="BV34" s="665" t="str">
        <f>IF(AND(J34="Cobre",F34="Monofásico"),"N/A",IF(AND(J34="Cobre",F34="Trifásico"),VLOOKUP(M34,'Iz''s'!$AF$15:$AK$29,6,FALSE),IF(AND(J34="Alumínio",F34="Monofásico"),"N/A",IF(AND(J34="Alumínio",F34="Trifásico"),"N/A"))))</f>
        <v>N/A</v>
      </c>
      <c r="BW34" s="666">
        <v>32</v>
      </c>
      <c r="BX34" s="667"/>
      <c r="BY34" s="668">
        <f>VLOOKUP(M34,Consulta!$W$6:$AB$23,4,FALSE)</f>
        <v>16</v>
      </c>
      <c r="BZ34" s="668">
        <f>VLOOKUP(M34,Consulta!$W$6:$AB$23,6,FALSE)</f>
        <v>20</v>
      </c>
      <c r="CA34" s="668">
        <f>VLOOKUP(M34,Consulta!$AK$6:$AP$23,4,FALSE)</f>
        <v>20</v>
      </c>
      <c r="CB34" s="668">
        <f>VLOOKUP(M34,Consulta!$AK$6:$AP$23,6,FALSE)</f>
        <v>25</v>
      </c>
      <c r="CC34" s="673" t="e">
        <f>VLOOKUP(M34,Consulta!$AD$6:$AI$19,4,FALSE)</f>
        <v>#N/A</v>
      </c>
      <c r="CD34" s="673" t="e">
        <f>VLOOKUP(M34,Consulta!$AD$6:$AI$19,6,FALSE)</f>
        <v>#N/A</v>
      </c>
      <c r="CE34" s="673" t="e">
        <f>VLOOKUP(M34,Consulta!$AR$6:$AW$19,4,FALSE)</f>
        <v>#N/A</v>
      </c>
      <c r="CF34" s="674" t="e">
        <f>VLOOKUP(M34,Consulta!$AR$6:$AW$19,6,FALSE)</f>
        <v>#N/A</v>
      </c>
    </row>
    <row r="35" spans="2:212" s="551" customFormat="1" ht="16.5" customHeight="1" x14ac:dyDescent="0.2">
      <c r="B35" s="1125" t="s">
        <v>811</v>
      </c>
      <c r="C35" s="865" t="s">
        <v>806</v>
      </c>
      <c r="D35" s="691">
        <v>3.6</v>
      </c>
      <c r="E35" s="691">
        <f>6.045+0.55+2.15+0.4+3.75+0.3</f>
        <v>13.195</v>
      </c>
      <c r="F35" s="691" t="s">
        <v>244</v>
      </c>
      <c r="G35" s="691" t="s">
        <v>808</v>
      </c>
      <c r="H35" s="691">
        <v>1</v>
      </c>
      <c r="I35" s="692" t="s">
        <v>13</v>
      </c>
      <c r="J35" s="691" t="s">
        <v>242</v>
      </c>
      <c r="K35" s="691" t="s">
        <v>363</v>
      </c>
      <c r="L35" s="691">
        <v>1</v>
      </c>
      <c r="M35" s="693">
        <v>2.5</v>
      </c>
      <c r="N35" s="691" t="s">
        <v>453</v>
      </c>
      <c r="O35" s="691">
        <v>4</v>
      </c>
      <c r="P35" s="616">
        <f t="shared" si="4"/>
        <v>23</v>
      </c>
      <c r="Q35" s="691">
        <v>3</v>
      </c>
      <c r="R35" s="691">
        <v>1</v>
      </c>
      <c r="S35" s="616">
        <f t="shared" si="55"/>
        <v>15.652173913043478</v>
      </c>
      <c r="T35" s="694">
        <f t="shared" ref="T35:T51" si="56">P35*R35</f>
        <v>23</v>
      </c>
      <c r="U35" s="691" t="s">
        <v>499</v>
      </c>
      <c r="V35" s="616">
        <v>16</v>
      </c>
      <c r="W35" s="691">
        <f>IF(U35="C.C.Fusíveis",VLOOKUP(V35,Consulta!$L$5:$N$31,3,FALSE),VLOOKUP(V35,Consulta!$P$5:$R$34,3,FALSE))</f>
        <v>21.6</v>
      </c>
      <c r="X35" s="695">
        <f t="shared" si="10"/>
        <v>34</v>
      </c>
      <c r="Y35" s="749">
        <f t="shared" si="51"/>
        <v>0.68052930056710781</v>
      </c>
      <c r="Z35" s="750" t="str">
        <f t="shared" si="11"/>
        <v>Sim</v>
      </c>
      <c r="AA35" s="751">
        <f t="shared" ref="AA35:AA49" si="57">$AA$7+SQRT($AB$7^2+$AC$7^2)</f>
        <v>4.4407014575354217E-2</v>
      </c>
      <c r="AB35" s="751">
        <f t="shared" si="12"/>
        <v>0.14844374999999999</v>
      </c>
      <c r="AC35" s="751">
        <f t="shared" si="6"/>
        <v>0</v>
      </c>
      <c r="AD35" s="752">
        <f>$AF$7</f>
        <v>0.24479900982315089</v>
      </c>
      <c r="AE35" s="752">
        <f t="shared" si="17"/>
        <v>4.6469347826086951</v>
      </c>
      <c r="AF35" s="752">
        <f t="shared" si="18"/>
        <v>4.8917337924318458</v>
      </c>
      <c r="AG35" s="753">
        <f t="shared" si="34"/>
        <v>2.0204064272211719E-2</v>
      </c>
      <c r="AH35" s="754">
        <f t="shared" si="34"/>
        <v>2.126840779318194E-2</v>
      </c>
      <c r="AI35" s="752">
        <f t="shared" si="7"/>
        <v>1.1926320360017559</v>
      </c>
      <c r="AJ35" s="691">
        <v>3</v>
      </c>
      <c r="AK35" s="752">
        <v>0.1</v>
      </c>
      <c r="AL35" s="695">
        <f>IF(G35="Multicondutor",(IF(AND(J35="Cobre",K35="PVC"),115,IF(AND(J35="Cobre",K35="XLPE"),143,IF(AND(J35="Alumínio",K35="PVC"),76,IF(AND(J35="Alumínio",K35="XLPE"),94))))),(IF(AND(J35="Cobre",K35="PVC"),143,IF(AND(J35="Cobre",K35="XLPE"),176,IF(AND(J35="Alumínio",K35="PVC"),95,IF(AND(J35="Alumínio",K35="XLPE"),116))))))</f>
        <v>115</v>
      </c>
      <c r="AM35" s="752">
        <f>((AI35*1000)*SQRT(AK35))/AL35</f>
        <v>3.2795075167386813</v>
      </c>
      <c r="AN35" s="750">
        <f t="shared" si="52"/>
        <v>1</v>
      </c>
      <c r="AO35" s="755" t="s">
        <v>563</v>
      </c>
      <c r="AP35" s="750" t="s">
        <v>523</v>
      </c>
      <c r="AQ35" s="750" t="str">
        <f t="shared" si="53"/>
        <v>3G</v>
      </c>
      <c r="AR35" s="750">
        <f>M35</f>
        <v>2.5</v>
      </c>
      <c r="AS35" s="901" t="str">
        <f t="shared" si="8"/>
        <v/>
      </c>
      <c r="AT35" s="901" t="str">
        <f>IF(OR(AQ35="3G",AQ35="5G"),"",VLOOKUP(AR35,Consulta!$T$5:$U$25,2,FALSE))</f>
        <v/>
      </c>
      <c r="AU35" s="902" t="s">
        <v>565</v>
      </c>
      <c r="AV35" s="750" t="s">
        <v>23</v>
      </c>
      <c r="AW35" s="750" t="s">
        <v>564</v>
      </c>
      <c r="AX35" s="750">
        <f t="shared" si="30"/>
        <v>20</v>
      </c>
      <c r="AY35" s="866" t="s">
        <v>24</v>
      </c>
      <c r="AZ35" s="756"/>
      <c r="BA35" s="756">
        <f>IF(AND(J35="Cobre",F35="Monofásico"),VLOOKUP(M35,'Iz''s'!$B$8:$E$23,2,FALSE),IF(AND(J35="Cobre",F35="Trifásico"),VLOOKUP(M35,'Iz''s'!$L$8:$O$23,2,FALSE),IF(AND(J35="Alumínio",F35="Monofásico"),VLOOKUP(M35,'Iz''s'!$B$25:$E$39,2,FALSE),IF(AND(J35="Alumínio",F35="Trifásico"),VLOOKUP(M35,'Iz''s'!$L$25:$O$39,2,FALSE)))))</f>
        <v>19.5</v>
      </c>
      <c r="BB35" s="756">
        <f>IF(AND(J35="Cobre",F35="Monofásico"),VLOOKUP(M35,'Iz''s'!$CD$9:$CH$24,2,FALSE),IF(AND(J35="Cobre",F35="Trifásico"),VLOOKUP(M35,'Iz''s'!$CD$9:$CH$24,4,FALSE),IF(AND(J35="Alumínio",F35="Monofásico"),VLOOKUP(M35,'Iz''s'!$CD$26:$CH$40,2,FALSE),IF(AND(J35="Alumínio",F35="Trifásico"),VLOOKUP(M35,'Iz''s'!$CD$26:$CH$40,4,FALSE)))))</f>
        <v>18.5</v>
      </c>
      <c r="BC35" s="756">
        <f>IF(AND(J35="Cobre",F35="Monofásico"),VLOOKUP(M35,'Iz''s'!$B$8:$E$23,3,FALSE),IF(AND(J35="Cobre",F35="Trifásico"),VLOOKUP(M35,'Iz''s'!$L$8:$O$23,3,FALSE),IF(AND(J35="Alumínio",F35="Monofásico"),VLOOKUP(M35,'Iz''s'!$B$25:$E$39,3,FALSE),IF(AND(J35="Alumínio",F35="Trifásico"),VLOOKUP(M35,'Iz''s'!$L$25:$O$39,3,FALSE)))))</f>
        <v>24</v>
      </c>
      <c r="BD35" s="756">
        <f>IF(AND(J35="Cobre",F35="Monofásico"),VLOOKUP(M35,'Iz''s'!$CD$9:$CH$24,3,FALSE),IF(AND(J35="Cobre",F35="Trifásico"),VLOOKUP(M35,'Iz''s'!$CD$9:$CH$24,5,FALSE),IF(AND(J35="Alumínio",F35="Monofásico"),VLOOKUP(M35,'Iz''s'!$CD$26:$CH$40,3,FALSE),IF(AND(J35="Alumínio",F35="Trifásico"),VLOOKUP(M35,'Iz''s'!$CD$26:$CH$40,5,FALSE)))))</f>
        <v>23</v>
      </c>
      <c r="BE35" s="756">
        <f>IF(AND(J35="Cobre",F35="Monofásico"),VLOOKUP(M35,'Iz''s'!$B$8:$E$23,4,FALSE),IF(AND(J35="Cobre",F35="Trifásico"),VLOOKUP(M35,'Iz''s'!$L$8:$O$23,4,FALSE),IF(AND(J35="Alumínio",F35="Monofásico"),VLOOKUP(M35,'Iz''s'!$B$25:$E$39,4,FALSE),IF(AND(J35="Alumínio",F35="Trifásico"),VLOOKUP(M35,'Iz''s'!$L$25:$O$39,4,FALSE)))))</f>
        <v>27</v>
      </c>
      <c r="BF35" s="756">
        <f>IF(AND(J35="Cobre",F35="Monofásico"),VLOOKUP(M35,'Iz''s'!$CP$9:$CT$24,3,FALSE),IF(AND(J35="Cobre",F35="Trifásico"),VLOOKUP(M35,'Iz''s'!$CP$9:$CT$24,2,FALSE),IF(AND(J35="Alumínio",F35="Monofásico"),VLOOKUP(M35,'Iz''s'!$CP$26:$CT$37,3,FALSE),IF(AND(J35="Alumínio",F35="Trifásico"),VLOOKUP(M35,'Iz''s'!$CP$26:$CT$37,2,FALSE)))))</f>
        <v>42</v>
      </c>
      <c r="BG35" s="756">
        <f>IF(AND(J35="Cobre",F35="Monofásico"),VLOOKUP(M35,'Iz''s'!$AT$10:$BA$28,2,FALSE),IF(AND(J35="Cobre",F35="Trifásico"),VLOOKUP(M35,'Iz''s'!$AT$10:$BA$28,3,FALSE),IF(AND(J35="Alumínio",F35="Monofásico"),VLOOKUP(M35,'Iz''s'!$BC$10:$BJ$27,2,FALSE),IF(AND(J35="Alumínio",F35="Trifásico"),VLOOKUP(M35,'Iz''s'!$BC$10:$BJ$27,3,FALSE)))))</f>
        <v>30</v>
      </c>
      <c r="BH35" s="757" t="str">
        <f>IF(AND(J35="Cobre",F35="Monofásico"),VLOOKUP(M35,'Iz''s'!$AT$10:$BA$28,4,FALSE),IF(AND(J35="Cobre",F35="Trifásico"),VLOOKUP(M35,'Iz''s'!$AT$10:$BA$28,5,FALSE),IF(AND(J35="Alumínio",F35="Monofásico"),VLOOKUP(M35,'Iz''s'!$BC$10:$BJ$27,4,FALSE),IF(AND(J35="Alumínio",F35="Trifásico"),VLOOKUP(M35,'Iz''s'!$BC$10:$BJ$27,5,FALSE)))))</f>
        <v xml:space="preserve"> --- </v>
      </c>
      <c r="BI35" s="757" t="str">
        <f>IF(AND(J35="Cobre",F35="Monofásico"),"N/A",IF(AND(J35="Cobre",F35="Trifásico"),VLOOKUP(M35,'Iz''s'!$AT$10:$BA$28,8,FALSE),IF(AND(J35="Alumínio",F35="Monofásico"),"N/A",IF(AND(J35="Alumínio",F35="Trifásico"),VLOOKUP(M35,'Iz''s'!$BC$10:$BJ$27,8,FALSE)))))</f>
        <v>N/A</v>
      </c>
      <c r="BJ35" s="756">
        <f>IF(AND(J35="Cobre",F35="Monofásico"),VLOOKUP(M35,'Iz''s'!$G$8:$J$23,2,FALSE),IF(AND(J35="Cobre",F35="Trifásico"),VLOOKUP(M35,'Iz''s'!$Q$8:$T$23,2,FALSE),IF(AND(J35="Alumínio",F35="Monofásico"),VLOOKUP(M35,'Iz''s'!$G$25:$J$39,2,FALSE),IF(AND(J35="Alumínio",F35="Trifásico"),VLOOKUP(M35,'Iz''s'!$Q$25:$T$39,2,FALSE)))))</f>
        <v>26</v>
      </c>
      <c r="BK35" s="757">
        <f>IF(AND(J35="Cobre",F35="Monofásico"),VLOOKUP(M35,'Iz''s'!$CJ$9:$CN$24,2,FALSE),IF(AND(J35="Cobre",F35="Trifásico"),VLOOKUP(M35,'Iz''s'!$CJ$9:$CN$24,4,FALSE),IF(AND(J35="Alumínio",F35="Monofásico"),VLOOKUP(M35,'Iz''s'!$CJ$26:$CN$40,2,FALSE),IF(AND(J35="Alumínio",F35="Trifásico"),VLOOKUP(M35,'Iz''s'!$CJ$26:$CN$40,4,FALSE)))))</f>
        <v>25</v>
      </c>
      <c r="BL35" s="757">
        <f>IF(AND(J35="Cobre",F35="Monofásico"),VLOOKUP(M35,'Iz''s'!$G$8:$J$23,3,FALSE),IF(AND(J35="Cobre",F35="Trifásico"),VLOOKUP(M35,'Iz''s'!$Q$8:$T$23,3,FALSE),IF(AND(J35="Alumínio",F35="Monofásico"),VLOOKUP(M35,'Iz''s'!$G$25:$J$39,3,FALSE),IF(AND(J35="Alumínio",F35="Trifásico"),VLOOKUP(M35,'Iz''s'!$Q$25:$T$39,3,FALSE)))))</f>
        <v>31</v>
      </c>
      <c r="BM35" s="757">
        <f>IF(AND(J35="Cobre",F35="Monofásico"),VLOOKUP(M35,'Iz''s'!$CJ$9:$CN$24,3,FALSE),IF(AND(J35="Cobre",F35="Trifásico"),VLOOKUP(M35,'Iz''s'!$CJ$9:$CN$24,5,FALSE),IF(AND(J35="Alumínio",F35="Monofásico"),VLOOKUP(M35,'Iz''s'!$CJ$26:$CN$40,3,FALSE),IF(AND(J35="Alumínio",F35="Trifásico"),VLOOKUP(M35,'Iz''s'!$CJ$26:$CN$40,5,FALSE)))))</f>
        <v>30</v>
      </c>
      <c r="BN35" s="757">
        <f>IF(AND(J35="Cobre",F35="Monofásico"),VLOOKUP(M35,'Iz''s'!$G$8:$J$23,4,FALSE),IF(AND(J35="Cobre",F35="Trifásico"),VLOOKUP(M35,'Iz''s'!$Q$8:$T$23,4,FALSE),IF(AND(J35="Alumínio",F35="Monofásico"),VLOOKUP(M35,'Iz''s'!$G$25:$J$39,4,FALSE),IF(AND(J35="Alumínio",F35="Trifásico"),VLOOKUP(M35,'Iz''s'!$Q$25:$T$39,4,FALSE)))))</f>
        <v>33</v>
      </c>
      <c r="BO35" s="757">
        <f>IF(AND(J35="Cobre",F35="Monofásico"),VLOOKUP(M35,'Iz''s'!$CP$9:$CT$24,5,FALSE),IF(AND(J35="Cobre",F35="Trifásico"),VLOOKUP(M35,'Iz''s'!$CP$9:$CT$24,4,FALSE),IF(AND(J35="Alumínio",F35="Monofásico"),VLOOKUP(M35,'Iz''s'!$CP$26:$CT$37,5,FALSE),IF(AND(J35="Alumínio",F35="Trifásico"),VLOOKUP(M35,'Iz''s'!$CP$26:$CT$37,4,FALSE)))))</f>
        <v>48</v>
      </c>
      <c r="BP35" s="757">
        <f>IF(AND(J35="Cobre",F35="Monofásico"),VLOOKUP(M35,'Iz''s'!$BL$10:$BS$28,2,FALSE),IF(AND(J35="Cobre",F35="Trifásico"),VLOOKUP(M35,'Iz''s'!$BL$10:$BS$28,3,FALSE),IF(AND(J35="Alumínio",F35="Monofásico"),VLOOKUP(M35,'Iz''s'!$BU$10:$CB$27,2,FALSE),IF(AND(J35="Alumínio",F35="Trifásico"),VLOOKUP(M35,'Iz''s'!$BU$10:$CB$27,3,FALSE)))))</f>
        <v>36</v>
      </c>
      <c r="BQ35" s="756" t="str">
        <f>IF(AND(J35="Cobre",F35="Monofásico"),VLOOKUP(M35,'Iz''s'!$BL$10:$BS$28,4,FALSE),IF(AND(J35="Cobre",F35="Trifásico"),VLOOKUP(M35,'Iz''s'!$BL$10:$BS$28,5,FALSE),IF(AND(J35="Alumínio",F35="Monofásico"),VLOOKUP(M35,'Iz''s'!$BU$10:$CB$27,4,FALSE),IF(AND(J35="Alumínio",F35="Trifásico"),VLOOKUP(M35,'Iz''s'!$BU$10:$CB$27,5,FALSE)))))</f>
        <v xml:space="preserve"> --- </v>
      </c>
      <c r="BR35" s="757" t="str">
        <f>IF(AND(J35="Cobre",F35="Monofásico"),"N/A",IF(AND(J35="Cobre",F35="Trifásico"),VLOOKUP(M35,'Iz''s'!$BL$10:$BS$28,8,FALSE),IF(AND(J35="Alumínio",F35="Monofásico"),"N/A",IF(AND(J35="Alumínio",F35="Trifásico"),VLOOKUP(M35,'Iz''s'!$BU$10:$CB$27,8,FALSE)))))</f>
        <v>N/A</v>
      </c>
      <c r="BS35" s="757">
        <f>IF(AND(J35="Cobre",F35="Monofásico"),VLOOKUP(M35,'Iz''s'!$V$14:$Y$28,2,FALSE),IF(AND(J35="Cobre",F35="Trifásico"),VLOOKUP(M35,'Iz''s'!$V$14:$Y$28,3,FALSE),IF(AND(J35="Alumínio",F35="Monofásico"),VLOOKUP(M35,"N/A",4,FALSE),IF(AND(J35="Alumínio",F35="Trifásico"),VLOOKUP(M35,"N/A",4,FALSE)))))</f>
        <v>34</v>
      </c>
      <c r="BT35" s="757">
        <f>IF(AND(J35="Cobre",F35="Monofásico"),VLOOKUP(M35,'Iz''s'!$AF$15:$AK$29,2,FALSE),IF(AND(J35="Cobre",F35="Trifásico"),VLOOKUP(M35,'Iz''s'!$AF$15:$AK$29,3,FALSE),IF(AND(J35="Alumínio",F35="Monofásico"),"N/A",IF(AND(J35="Alumínio",F35="Trifásico"),"N/A"))))</f>
        <v>36</v>
      </c>
      <c r="BU35" s="757">
        <f>IF(AND(J35="Cobre",F35="Monofásico"),VLOOKUP(M35,'Iz''s'!$AF$15:$AK$29,2,FALSE),IF(AND(J35="Cobre",F35="Trifásico"),VLOOKUP(M35,'Iz''s'!$AF$15:$AK$29,3,FALSE),IF(AND(J35="Alumínio",F35="Monofásico"),"N/A",IF(AND(J35="Alumínio",F35="Trifásico"),"N/A"))))</f>
        <v>36</v>
      </c>
      <c r="BV35" s="757" t="str">
        <f>IF(AND(J35="Cobre",F35="Monofásico"),"N/A",IF(AND(J35="Cobre",F35="Trifásico"),VLOOKUP(M35,'Iz''s'!$AF$15:$AK$29,6,FALSE),IF(AND(J35="Alumínio",F35="Monofásico"),"N/A",IF(AND(J35="Alumínio",F35="Trifásico"),"N/A"))))</f>
        <v>N/A</v>
      </c>
      <c r="BW35" s="757">
        <v>33</v>
      </c>
      <c r="BX35" s="528"/>
      <c r="BY35" s="758">
        <f>VLOOKUP(M35,Consulta!$W$6:$AB$23,4,FALSE)</f>
        <v>16</v>
      </c>
      <c r="BZ35" s="758">
        <f>VLOOKUP(M35,Consulta!$W$6:$AB$23,6,FALSE)</f>
        <v>20</v>
      </c>
      <c r="CA35" s="758">
        <f>VLOOKUP(M35,Consulta!$AK$6:$AP$23,4,FALSE)</f>
        <v>20</v>
      </c>
      <c r="CB35" s="758">
        <f>VLOOKUP(M35,Consulta!$AK$6:$AP$23,6,FALSE)</f>
        <v>25</v>
      </c>
      <c r="CC35" s="530" t="e">
        <f>VLOOKUP(M35,Consulta!$AD$6:$AI$19,4,FALSE)</f>
        <v>#N/A</v>
      </c>
      <c r="CD35" s="530" t="e">
        <f>VLOOKUP(M35,Consulta!$AD$6:$AI$19,6,FALSE)</f>
        <v>#N/A</v>
      </c>
      <c r="CE35" s="530" t="e">
        <f>VLOOKUP(M35,Consulta!$AR$6:$AW$19,4,FALSE)</f>
        <v>#N/A</v>
      </c>
      <c r="CF35" s="530" t="e">
        <f>VLOOKUP(M35,Consulta!$AR$6:$AW$19,6,FALSE)</f>
        <v>#N/A</v>
      </c>
      <c r="CG35" s="759"/>
      <c r="CH35" s="759"/>
      <c r="CI35" s="759"/>
      <c r="CJ35" s="759"/>
      <c r="CK35" s="759"/>
      <c r="CL35" s="759"/>
      <c r="CM35" s="759"/>
      <c r="CN35" s="759"/>
      <c r="CO35" s="759"/>
      <c r="CP35" s="759"/>
      <c r="CQ35" s="759"/>
      <c r="CR35" s="759"/>
      <c r="CS35" s="759"/>
      <c r="CT35" s="759"/>
      <c r="CU35" s="759"/>
      <c r="CV35" s="759"/>
      <c r="CW35" s="759"/>
      <c r="CX35" s="759"/>
      <c r="CY35" s="759"/>
      <c r="CZ35" s="759"/>
      <c r="DA35" s="759"/>
      <c r="DB35" s="759"/>
      <c r="DC35" s="759"/>
      <c r="DD35" s="759"/>
      <c r="DE35" s="759"/>
      <c r="DF35" s="759"/>
      <c r="DG35" s="759"/>
      <c r="DH35" s="759"/>
      <c r="DI35" s="759"/>
      <c r="DJ35" s="759"/>
      <c r="DK35" s="759"/>
      <c r="DL35" s="759"/>
      <c r="DM35" s="759"/>
      <c r="DN35" s="759"/>
      <c r="DO35" s="759"/>
      <c r="DP35" s="759"/>
      <c r="DQ35" s="759"/>
      <c r="DR35" s="759"/>
      <c r="DS35" s="759"/>
      <c r="DT35" s="759"/>
      <c r="DU35" s="759"/>
      <c r="DV35" s="759"/>
      <c r="DW35" s="759"/>
      <c r="DX35" s="759"/>
      <c r="DY35" s="759"/>
      <c r="DZ35" s="759"/>
      <c r="EA35" s="759"/>
      <c r="EB35" s="759"/>
      <c r="EC35" s="759"/>
      <c r="ED35" s="759"/>
      <c r="EE35" s="759"/>
      <c r="EF35" s="759"/>
      <c r="EG35" s="759"/>
      <c r="EH35" s="759"/>
      <c r="EI35" s="759"/>
      <c r="EJ35" s="759"/>
      <c r="EK35" s="759"/>
      <c r="EL35" s="759"/>
      <c r="EM35" s="759"/>
      <c r="EN35" s="759"/>
      <c r="EO35" s="759"/>
      <c r="EP35" s="759"/>
      <c r="EQ35" s="759"/>
      <c r="ER35" s="759"/>
      <c r="ES35" s="759"/>
      <c r="ET35" s="759"/>
      <c r="EU35" s="759"/>
      <c r="EV35" s="759"/>
      <c r="EW35" s="759"/>
      <c r="EX35" s="759"/>
      <c r="EY35" s="759"/>
      <c r="EZ35" s="759"/>
      <c r="FA35" s="759"/>
      <c r="FB35" s="759"/>
      <c r="FC35" s="759"/>
      <c r="FD35" s="759"/>
      <c r="FE35" s="759"/>
      <c r="FF35" s="759"/>
      <c r="FG35" s="759"/>
      <c r="FH35" s="759"/>
      <c r="FI35" s="759"/>
      <c r="FJ35" s="759"/>
      <c r="FK35" s="759"/>
      <c r="FL35" s="759"/>
      <c r="FM35" s="759"/>
      <c r="FN35" s="759"/>
      <c r="FO35" s="759"/>
      <c r="FP35" s="759"/>
      <c r="FQ35" s="759"/>
      <c r="FR35" s="759"/>
      <c r="FS35" s="759"/>
      <c r="FT35" s="759"/>
      <c r="FU35" s="759"/>
      <c r="FV35" s="759"/>
      <c r="FW35" s="759"/>
      <c r="FX35" s="759"/>
      <c r="FY35" s="759"/>
      <c r="FZ35" s="759"/>
      <c r="GA35" s="759"/>
      <c r="GB35" s="759"/>
      <c r="GC35" s="759"/>
      <c r="GD35" s="759"/>
      <c r="GE35" s="759"/>
      <c r="GF35" s="759"/>
      <c r="GG35" s="759"/>
      <c r="GH35" s="759"/>
      <c r="GI35" s="759"/>
      <c r="GJ35" s="759"/>
      <c r="GK35" s="759"/>
      <c r="GL35" s="759"/>
      <c r="GM35" s="759"/>
      <c r="GN35" s="759"/>
      <c r="GO35" s="759"/>
      <c r="GP35" s="759"/>
      <c r="GQ35" s="759"/>
      <c r="GR35" s="759"/>
      <c r="GS35" s="759"/>
      <c r="GT35" s="759"/>
      <c r="GU35" s="759"/>
      <c r="GV35" s="759"/>
      <c r="GW35" s="759"/>
      <c r="GX35" s="759"/>
      <c r="GY35" s="759"/>
      <c r="GZ35" s="759"/>
      <c r="HA35" s="759"/>
      <c r="HB35" s="759"/>
      <c r="HC35" s="759"/>
      <c r="HD35" s="759"/>
    </row>
    <row r="36" spans="2:212" s="552" customFormat="1" ht="16.5" customHeight="1" x14ac:dyDescent="0.2">
      <c r="B36" s="1126"/>
      <c r="C36" s="819" t="s">
        <v>793</v>
      </c>
      <c r="D36" s="684">
        <v>3.6</v>
      </c>
      <c r="E36" s="684">
        <f>5.95+0.2+6.9+3.85+0.1+0.25</f>
        <v>17.250000000000004</v>
      </c>
      <c r="F36" s="684" t="s">
        <v>244</v>
      </c>
      <c r="G36" s="684" t="s">
        <v>808</v>
      </c>
      <c r="H36" s="684">
        <v>1</v>
      </c>
      <c r="I36" s="760" t="s">
        <v>13</v>
      </c>
      <c r="J36" s="684" t="s">
        <v>242</v>
      </c>
      <c r="K36" s="684" t="s">
        <v>363</v>
      </c>
      <c r="L36" s="684">
        <v>1</v>
      </c>
      <c r="M36" s="685">
        <v>2.5</v>
      </c>
      <c r="N36" s="684" t="s">
        <v>453</v>
      </c>
      <c r="O36" s="684">
        <v>4</v>
      </c>
      <c r="P36" s="555">
        <f t="shared" si="4"/>
        <v>23</v>
      </c>
      <c r="Q36" s="684">
        <v>3</v>
      </c>
      <c r="R36" s="684">
        <v>1</v>
      </c>
      <c r="S36" s="555">
        <f t="shared" si="55"/>
        <v>15.652173913043478</v>
      </c>
      <c r="T36" s="696">
        <f t="shared" si="56"/>
        <v>23</v>
      </c>
      <c r="U36" s="684" t="s">
        <v>499</v>
      </c>
      <c r="V36" s="555">
        <v>16</v>
      </c>
      <c r="W36" s="684">
        <f>IF(U36="C.C.Fusíveis",VLOOKUP(V36,Consulta!$L$5:$N$31,3,FALSE),VLOOKUP(V36,Consulta!$P$5:$R$34,3,FALSE))</f>
        <v>21.6</v>
      </c>
      <c r="X36" s="698">
        <f t="shared" si="10"/>
        <v>34</v>
      </c>
      <c r="Y36" s="761">
        <f t="shared" si="51"/>
        <v>0.68052930056710781</v>
      </c>
      <c r="Z36" s="689" t="str">
        <f t="shared" si="11"/>
        <v>Sim</v>
      </c>
      <c r="AA36" s="762">
        <f t="shared" si="57"/>
        <v>4.4407014575354217E-2</v>
      </c>
      <c r="AB36" s="762">
        <f t="shared" si="12"/>
        <v>0.19406250000000003</v>
      </c>
      <c r="AC36" s="762">
        <f t="shared" si="6"/>
        <v>0</v>
      </c>
      <c r="AD36" s="686">
        <f t="shared" ref="AD36:AD49" si="58">$AF$7</f>
        <v>0.24479900982315089</v>
      </c>
      <c r="AE36" s="686">
        <f t="shared" si="17"/>
        <v>6.0750000000000011</v>
      </c>
      <c r="AF36" s="686">
        <f t="shared" si="18"/>
        <v>6.3197990098231518</v>
      </c>
      <c r="AG36" s="687">
        <f t="shared" si="34"/>
        <v>2.6413043478260873E-2</v>
      </c>
      <c r="AH36" s="763">
        <f t="shared" si="34"/>
        <v>2.7477386999231093E-2</v>
      </c>
      <c r="AI36" s="686">
        <f t="shared" si="7"/>
        <v>0.96448386876437431</v>
      </c>
      <c r="AJ36" s="684">
        <v>3</v>
      </c>
      <c r="AK36" s="686">
        <v>0.1</v>
      </c>
      <c r="AL36" s="698">
        <f t="shared" ref="AL36:AL41" si="59">IF(G36="Multicondutor",(IF(AND(J36="Cobre",K36="PVC"),115,IF(AND(J36="Cobre",K36="XLPE"),143,IF(AND(J36="Alumínio",K36="PVC"),76,IF(AND(J36="Alumínio",K36="XLPE"),94))))),(IF(AND(J36="Cobre",K36="PVC"),143,IF(AND(J36="Cobre",K36="XLPE"),176,IF(AND(J36="Alumínio",K36="PVC"),95,IF(AND(J36="Alumínio",K36="XLPE"),116))))))</f>
        <v>115</v>
      </c>
      <c r="AM36" s="686">
        <f t="shared" ref="AM36:AM38" si="60">((AI36*1000)*SQRT(AK36))/AL36</f>
        <v>2.6521441667707406</v>
      </c>
      <c r="AN36" s="689">
        <f t="shared" si="52"/>
        <v>1</v>
      </c>
      <c r="AO36" s="688" t="s">
        <v>563</v>
      </c>
      <c r="AP36" s="689" t="s">
        <v>523</v>
      </c>
      <c r="AQ36" s="689" t="str">
        <f t="shared" si="53"/>
        <v>3G</v>
      </c>
      <c r="AR36" s="689">
        <f t="shared" ref="AR36:AR41" si="61">M36</f>
        <v>2.5</v>
      </c>
      <c r="AS36" s="897" t="str">
        <f t="shared" si="8"/>
        <v/>
      </c>
      <c r="AT36" s="897" t="str">
        <f>IF(OR(AQ36="3G",AQ36="5G"),"",VLOOKUP(AR36,Consulta!$T$5:$U$25,2,FALSE))</f>
        <v/>
      </c>
      <c r="AU36" s="898" t="s">
        <v>565</v>
      </c>
      <c r="AV36" s="689" t="s">
        <v>23</v>
      </c>
      <c r="AW36" s="689" t="s">
        <v>564</v>
      </c>
      <c r="AX36" s="689">
        <f t="shared" si="30"/>
        <v>20</v>
      </c>
      <c r="AY36" s="690" t="s">
        <v>24</v>
      </c>
      <c r="AZ36" s="531"/>
      <c r="BA36" s="531">
        <f>IF(AND(J36="Cobre",F36="Monofásico"),VLOOKUP(M36,'Iz''s'!$B$8:$E$23,2,FALSE),IF(AND(J36="Cobre",F36="Trifásico"),VLOOKUP(M36,'Iz''s'!$L$8:$O$23,2,FALSE),IF(AND(J36="Alumínio",F36="Monofásico"),VLOOKUP(M36,'Iz''s'!$B$25:$E$39,2,FALSE),IF(AND(J36="Alumínio",F36="Trifásico"),VLOOKUP(M36,'Iz''s'!$L$25:$O$39,2,FALSE)))))</f>
        <v>19.5</v>
      </c>
      <c r="BB36" s="531">
        <f>IF(AND(J36="Cobre",F36="Monofásico"),VLOOKUP(M36,'Iz''s'!$CD$9:$CH$24,2,FALSE),IF(AND(J36="Cobre",F36="Trifásico"),VLOOKUP(M36,'Iz''s'!$CD$9:$CH$24,4,FALSE),IF(AND(J36="Alumínio",F36="Monofásico"),VLOOKUP(M36,'Iz''s'!$CD$26:$CH$40,2,FALSE),IF(AND(J36="Alumínio",F36="Trifásico"),VLOOKUP(M36,'Iz''s'!$CD$26:$CH$40,4,FALSE)))))</f>
        <v>18.5</v>
      </c>
      <c r="BC36" s="531">
        <f>IF(AND(J36="Cobre",F36="Monofásico"),VLOOKUP(M36,'Iz''s'!$B$8:$E$23,3,FALSE),IF(AND(J36="Cobre",F36="Trifásico"),VLOOKUP(M36,'Iz''s'!$L$8:$O$23,3,FALSE),IF(AND(J36="Alumínio",F36="Monofásico"),VLOOKUP(M36,'Iz''s'!$B$25:$E$39,3,FALSE),IF(AND(J36="Alumínio",F36="Trifásico"),VLOOKUP(M36,'Iz''s'!$L$25:$O$39,3,FALSE)))))</f>
        <v>24</v>
      </c>
      <c r="BD36" s="531">
        <f>IF(AND(J36="Cobre",F36="Monofásico"),VLOOKUP(M36,'Iz''s'!$CD$9:$CH$24,3,FALSE),IF(AND(J36="Cobre",F36="Trifásico"),VLOOKUP(M36,'Iz''s'!$CD$9:$CH$24,5,FALSE),IF(AND(J36="Alumínio",F36="Monofásico"),VLOOKUP(M36,'Iz''s'!$CD$26:$CH$40,3,FALSE),IF(AND(J36="Alumínio",F36="Trifásico"),VLOOKUP(M36,'Iz''s'!$CD$26:$CH$40,5,FALSE)))))</f>
        <v>23</v>
      </c>
      <c r="BE36" s="531">
        <f>IF(AND(J36="Cobre",F36="Monofásico"),VLOOKUP(M36,'Iz''s'!$B$8:$E$23,4,FALSE),IF(AND(J36="Cobre",F36="Trifásico"),VLOOKUP(M36,'Iz''s'!$L$8:$O$23,4,FALSE),IF(AND(J36="Alumínio",F36="Monofásico"),VLOOKUP(M36,'Iz''s'!$B$25:$E$39,4,FALSE),IF(AND(J36="Alumínio",F36="Trifásico"),VLOOKUP(M36,'Iz''s'!$L$25:$O$39,4,FALSE)))))</f>
        <v>27</v>
      </c>
      <c r="BF36" s="531">
        <f>IF(AND(J36="Cobre",F36="Monofásico"),VLOOKUP(M36,'Iz''s'!$CP$9:$CT$24,3,FALSE),IF(AND(J36="Cobre",F36="Trifásico"),VLOOKUP(M36,'Iz''s'!$CP$9:$CT$24,2,FALSE),IF(AND(J36="Alumínio",F36="Monofásico"),VLOOKUP(M36,'Iz''s'!$CP$26:$CT$37,3,FALSE),IF(AND(J36="Alumínio",F36="Trifásico"),VLOOKUP(M36,'Iz''s'!$CP$26:$CT$37,2,FALSE)))))</f>
        <v>42</v>
      </c>
      <c r="BG36" s="531">
        <f>IF(AND(J36="Cobre",F36="Monofásico"),VLOOKUP(M36,'Iz''s'!$AT$10:$BA$28,2,FALSE),IF(AND(J36="Cobre",F36="Trifásico"),VLOOKUP(M36,'Iz''s'!$AT$10:$BA$28,3,FALSE),IF(AND(J36="Alumínio",F36="Monofásico"),VLOOKUP(M36,'Iz''s'!$BC$10:$BJ$27,2,FALSE),IF(AND(J36="Alumínio",F36="Trifásico"),VLOOKUP(M36,'Iz''s'!$BC$10:$BJ$27,3,FALSE)))))</f>
        <v>30</v>
      </c>
      <c r="BH36" s="609" t="str">
        <f>IF(AND(J36="Cobre",F36="Monofásico"),VLOOKUP(M36,'Iz''s'!$AT$10:$BA$28,4,FALSE),IF(AND(J36="Cobre",F36="Trifásico"),VLOOKUP(M36,'Iz''s'!$AT$10:$BA$28,5,FALSE),IF(AND(J36="Alumínio",F36="Monofásico"),VLOOKUP(M36,'Iz''s'!$BC$10:$BJ$27,4,FALSE),IF(AND(J36="Alumínio",F36="Trifásico"),VLOOKUP(M36,'Iz''s'!$BC$10:$BJ$27,5,FALSE)))))</f>
        <v xml:space="preserve"> --- </v>
      </c>
      <c r="BI36" s="609" t="str">
        <f>IF(AND(J36="Cobre",F36="Monofásico"),"N/A",IF(AND(J36="Cobre",F36="Trifásico"),VLOOKUP(M36,'Iz''s'!$AT$10:$BA$28,8,FALSE),IF(AND(J36="Alumínio",F36="Monofásico"),"N/A",IF(AND(J36="Alumínio",F36="Trifásico"),VLOOKUP(M36,'Iz''s'!$BC$10:$BJ$27,8,FALSE)))))</f>
        <v>N/A</v>
      </c>
      <c r="BJ36" s="531">
        <f>IF(AND(J36="Cobre",F36="Monofásico"),VLOOKUP(M36,'Iz''s'!$G$8:$J$23,2,FALSE),IF(AND(J36="Cobre",F36="Trifásico"),VLOOKUP(M36,'Iz''s'!$Q$8:$T$23,2,FALSE),IF(AND(J36="Alumínio",F36="Monofásico"),VLOOKUP(M36,'Iz''s'!$G$25:$J$39,2,FALSE),IF(AND(J36="Alumínio",F36="Trifásico"),VLOOKUP(M36,'Iz''s'!$Q$25:$T$39,2,FALSE)))))</f>
        <v>26</v>
      </c>
      <c r="BK36" s="609">
        <f>IF(AND(J36="Cobre",F36="Monofásico"),VLOOKUP(M36,'Iz''s'!$CJ$9:$CN$24,2,FALSE),IF(AND(J36="Cobre",F36="Trifásico"),VLOOKUP(M36,'Iz''s'!$CJ$9:$CN$24,4,FALSE),IF(AND(J36="Alumínio",F36="Monofásico"),VLOOKUP(M36,'Iz''s'!$CJ$26:$CN$40,2,FALSE),IF(AND(J36="Alumínio",F36="Trifásico"),VLOOKUP(M36,'Iz''s'!$CJ$26:$CN$40,4,FALSE)))))</f>
        <v>25</v>
      </c>
      <c r="BL36" s="609">
        <f>IF(AND(J36="Cobre",F36="Monofásico"),VLOOKUP(M36,'Iz''s'!$G$8:$J$23,3,FALSE),IF(AND(J36="Cobre",F36="Trifásico"),VLOOKUP(M36,'Iz''s'!$Q$8:$T$23,3,FALSE),IF(AND(J36="Alumínio",F36="Monofásico"),VLOOKUP(M36,'Iz''s'!$G$25:$J$39,3,FALSE),IF(AND(J36="Alumínio",F36="Trifásico"),VLOOKUP(M36,'Iz''s'!$Q$25:$T$39,3,FALSE)))))</f>
        <v>31</v>
      </c>
      <c r="BM36" s="609">
        <f>IF(AND(J36="Cobre",F36="Monofásico"),VLOOKUP(M36,'Iz''s'!$CJ$9:$CN$24,3,FALSE),IF(AND(J36="Cobre",F36="Trifásico"),VLOOKUP(M36,'Iz''s'!$CJ$9:$CN$24,5,FALSE),IF(AND(J36="Alumínio",F36="Monofásico"),VLOOKUP(M36,'Iz''s'!$CJ$26:$CN$40,3,FALSE),IF(AND(J36="Alumínio",F36="Trifásico"),VLOOKUP(M36,'Iz''s'!$CJ$26:$CN$40,5,FALSE)))))</f>
        <v>30</v>
      </c>
      <c r="BN36" s="609">
        <f>IF(AND(J36="Cobre",F36="Monofásico"),VLOOKUP(M36,'Iz''s'!$G$8:$J$23,4,FALSE),IF(AND(J36="Cobre",F36="Trifásico"),VLOOKUP(M36,'Iz''s'!$Q$8:$T$23,4,FALSE),IF(AND(J36="Alumínio",F36="Monofásico"),VLOOKUP(M36,'Iz''s'!$G$25:$J$39,4,FALSE),IF(AND(J36="Alumínio",F36="Trifásico"),VLOOKUP(M36,'Iz''s'!$Q$25:$T$39,4,FALSE)))))</f>
        <v>33</v>
      </c>
      <c r="BO36" s="609">
        <f>IF(AND(J36="Cobre",F36="Monofásico"),VLOOKUP(M36,'Iz''s'!$CP$9:$CT$24,5,FALSE),IF(AND(J36="Cobre",F36="Trifásico"),VLOOKUP(M36,'Iz''s'!$CP$9:$CT$24,4,FALSE),IF(AND(J36="Alumínio",F36="Monofásico"),VLOOKUP(M36,'Iz''s'!$CP$26:$CT$37,5,FALSE),IF(AND(J36="Alumínio",F36="Trifásico"),VLOOKUP(M36,'Iz''s'!$CP$26:$CT$37,4,FALSE)))))</f>
        <v>48</v>
      </c>
      <c r="BP36" s="609">
        <f>IF(AND(J36="Cobre",F36="Monofásico"),VLOOKUP(M36,'Iz''s'!$BL$10:$BS$28,2,FALSE),IF(AND(J36="Cobre",F36="Trifásico"),VLOOKUP(M36,'Iz''s'!$BL$10:$BS$28,3,FALSE),IF(AND(J36="Alumínio",F36="Monofásico"),VLOOKUP(M36,'Iz''s'!$BU$10:$CB$27,2,FALSE),IF(AND(J36="Alumínio",F36="Trifásico"),VLOOKUP(M36,'Iz''s'!$BU$10:$CB$27,3,FALSE)))))</f>
        <v>36</v>
      </c>
      <c r="BQ36" s="531" t="str">
        <f>IF(AND(J36="Cobre",F36="Monofásico"),VLOOKUP(M36,'Iz''s'!$BL$10:$BS$28,4,FALSE),IF(AND(J36="Cobre",F36="Trifásico"),VLOOKUP(M36,'Iz''s'!$BL$10:$BS$28,5,FALSE),IF(AND(J36="Alumínio",F36="Monofásico"),VLOOKUP(M36,'Iz''s'!$BU$10:$CB$27,4,FALSE),IF(AND(J36="Alumínio",F36="Trifásico"),VLOOKUP(M36,'Iz''s'!$BU$10:$CB$27,5,FALSE)))))</f>
        <v xml:space="preserve"> --- </v>
      </c>
      <c r="BR36" s="609" t="str">
        <f>IF(AND(J36="Cobre",F36="Monofásico"),"N/A",IF(AND(J36="Cobre",F36="Trifásico"),VLOOKUP(M36,'Iz''s'!$BL$10:$BS$28,8,FALSE),IF(AND(J36="Alumínio",F36="Monofásico"),"N/A",IF(AND(J36="Alumínio",F36="Trifásico"),VLOOKUP(M36,'Iz''s'!$BU$10:$CB$27,8,FALSE)))))</f>
        <v>N/A</v>
      </c>
      <c r="BS36" s="609">
        <f>IF(AND(J36="Cobre",F36="Monofásico"),VLOOKUP(M36,'Iz''s'!$V$14:$Y$28,2,FALSE),IF(AND(J36="Cobre",F36="Trifásico"),VLOOKUP(M36,'Iz''s'!$V$14:$Y$28,3,FALSE),IF(AND(J36="Alumínio",F36="Monofásico"),VLOOKUP(M36,"N/A",4,FALSE),IF(AND(J36="Alumínio",F36="Trifásico"),VLOOKUP(M36,"N/A",4,FALSE)))))</f>
        <v>34</v>
      </c>
      <c r="BT36" s="609">
        <f>IF(AND(J36="Cobre",F36="Monofásico"),VLOOKUP(M36,'Iz''s'!$AF$15:$AK$29,2,FALSE),IF(AND(J36="Cobre",F36="Trifásico"),VLOOKUP(M36,'Iz''s'!$AF$15:$AK$29,3,FALSE),IF(AND(J36="Alumínio",F36="Monofásico"),"N/A",IF(AND(J36="Alumínio",F36="Trifásico"),"N/A"))))</f>
        <v>36</v>
      </c>
      <c r="BU36" s="609">
        <f>IF(AND(J36="Cobre",F36="Monofásico"),VLOOKUP(M36,'Iz''s'!$AF$15:$AK$29,2,FALSE),IF(AND(J36="Cobre",F36="Trifásico"),VLOOKUP(M36,'Iz''s'!$AF$15:$AK$29,3,FALSE),IF(AND(J36="Alumínio",F36="Monofásico"),"N/A",IF(AND(J36="Alumínio",F36="Trifásico"),"N/A"))))</f>
        <v>36</v>
      </c>
      <c r="BV36" s="609" t="str">
        <f>IF(AND(J36="Cobre",F36="Monofásico"),"N/A",IF(AND(J36="Cobre",F36="Trifásico"),VLOOKUP(M36,'Iz''s'!$AF$15:$AK$29,6,FALSE),IF(AND(J36="Alumínio",F36="Monofásico"),"N/A",IF(AND(J36="Alumínio",F36="Trifásico"),"N/A"))))</f>
        <v>N/A</v>
      </c>
      <c r="BW36" s="609">
        <v>34</v>
      </c>
      <c r="BX36" s="532"/>
      <c r="BY36" s="592">
        <f>VLOOKUP(M36,Consulta!$W$6:$AB$23,4,FALSE)</f>
        <v>16</v>
      </c>
      <c r="BZ36" s="592">
        <f>VLOOKUP(M36,Consulta!$W$6:$AB$23,6,FALSE)</f>
        <v>20</v>
      </c>
      <c r="CA36" s="592">
        <f>VLOOKUP(M36,Consulta!$AK$6:$AP$23,4,FALSE)</f>
        <v>20</v>
      </c>
      <c r="CB36" s="592">
        <f>VLOOKUP(M36,Consulta!$AK$6:$AP$23,6,FALSE)</f>
        <v>25</v>
      </c>
      <c r="CC36" s="529" t="e">
        <f>VLOOKUP(M36,Consulta!$AD$6:$AI$19,4,FALSE)</f>
        <v>#N/A</v>
      </c>
      <c r="CD36" s="529" t="e">
        <f>VLOOKUP(M36,Consulta!$AD$6:$AI$19,6,FALSE)</f>
        <v>#N/A</v>
      </c>
      <c r="CE36" s="529" t="e">
        <f>VLOOKUP(M36,Consulta!$AR$6:$AW$19,4,FALSE)</f>
        <v>#N/A</v>
      </c>
      <c r="CF36" s="529" t="e">
        <f>VLOOKUP(M36,Consulta!$AR$6:$AW$19,6,FALSE)</f>
        <v>#N/A</v>
      </c>
      <c r="CG36" s="764"/>
      <c r="CH36" s="764"/>
      <c r="CI36" s="764"/>
      <c r="CJ36" s="764"/>
      <c r="CK36" s="764"/>
      <c r="CL36" s="764"/>
      <c r="CM36" s="764"/>
      <c r="CN36" s="764"/>
      <c r="CO36" s="764"/>
      <c r="CP36" s="764"/>
      <c r="CQ36" s="764"/>
      <c r="CR36" s="764"/>
      <c r="CS36" s="764"/>
      <c r="CT36" s="764"/>
      <c r="CU36" s="764"/>
      <c r="CV36" s="764"/>
      <c r="CW36" s="764"/>
      <c r="CX36" s="764"/>
      <c r="CY36" s="764"/>
      <c r="CZ36" s="764"/>
      <c r="DA36" s="764"/>
      <c r="DB36" s="764"/>
      <c r="DC36" s="764"/>
      <c r="DD36" s="764"/>
      <c r="DE36" s="764"/>
      <c r="DF36" s="764"/>
      <c r="DG36" s="764"/>
      <c r="DH36" s="764"/>
      <c r="DI36" s="764"/>
      <c r="DJ36" s="764"/>
      <c r="DK36" s="764"/>
      <c r="DL36" s="764"/>
      <c r="DM36" s="764"/>
      <c r="DN36" s="764"/>
      <c r="DO36" s="764"/>
      <c r="DP36" s="764"/>
      <c r="DQ36" s="764"/>
      <c r="DR36" s="764"/>
      <c r="DS36" s="764"/>
      <c r="DT36" s="764"/>
      <c r="DU36" s="764"/>
      <c r="DV36" s="764"/>
      <c r="DW36" s="764"/>
      <c r="DX36" s="764"/>
      <c r="DY36" s="764"/>
      <c r="DZ36" s="764"/>
      <c r="EA36" s="764"/>
      <c r="EB36" s="764"/>
      <c r="EC36" s="764"/>
      <c r="ED36" s="764"/>
      <c r="EE36" s="764"/>
      <c r="EF36" s="764"/>
      <c r="EG36" s="764"/>
      <c r="EH36" s="764"/>
      <c r="EI36" s="764"/>
      <c r="EJ36" s="764"/>
      <c r="EK36" s="764"/>
      <c r="EL36" s="764"/>
      <c r="EM36" s="764"/>
      <c r="EN36" s="764"/>
      <c r="EO36" s="764"/>
      <c r="EP36" s="764"/>
      <c r="EQ36" s="764"/>
      <c r="ER36" s="764"/>
      <c r="ES36" s="764"/>
      <c r="ET36" s="764"/>
      <c r="EU36" s="764"/>
      <c r="EV36" s="764"/>
      <c r="EW36" s="764"/>
      <c r="EX36" s="764"/>
      <c r="EY36" s="764"/>
      <c r="EZ36" s="764"/>
      <c r="FA36" s="764"/>
      <c r="FB36" s="764"/>
      <c r="FC36" s="764"/>
      <c r="FD36" s="764"/>
      <c r="FE36" s="764"/>
      <c r="FF36" s="764"/>
      <c r="FG36" s="764"/>
      <c r="FH36" s="764"/>
      <c r="FI36" s="764"/>
      <c r="FJ36" s="764"/>
      <c r="FK36" s="764"/>
      <c r="FL36" s="764"/>
      <c r="FM36" s="764"/>
      <c r="FN36" s="764"/>
      <c r="FO36" s="764"/>
      <c r="FP36" s="764"/>
      <c r="FQ36" s="764"/>
      <c r="FR36" s="764"/>
      <c r="FS36" s="764"/>
      <c r="FT36" s="764"/>
      <c r="FU36" s="764"/>
      <c r="FV36" s="764"/>
      <c r="FW36" s="764"/>
      <c r="FX36" s="764"/>
      <c r="FY36" s="764"/>
      <c r="FZ36" s="764"/>
      <c r="GA36" s="764"/>
      <c r="GB36" s="764"/>
      <c r="GC36" s="764"/>
      <c r="GD36" s="764"/>
      <c r="GE36" s="764"/>
      <c r="GF36" s="764"/>
      <c r="GG36" s="764"/>
      <c r="GH36" s="764"/>
      <c r="GI36" s="764"/>
      <c r="GJ36" s="764"/>
      <c r="GK36" s="764"/>
      <c r="GL36" s="764"/>
      <c r="GM36" s="764"/>
      <c r="GN36" s="764"/>
      <c r="GO36" s="764"/>
      <c r="GP36" s="764"/>
      <c r="GQ36" s="764"/>
      <c r="GR36" s="764"/>
      <c r="GS36" s="764"/>
      <c r="GT36" s="764"/>
      <c r="GU36" s="764"/>
      <c r="GV36" s="764"/>
      <c r="GW36" s="764"/>
      <c r="GX36" s="764"/>
      <c r="GY36" s="764"/>
      <c r="GZ36" s="764"/>
      <c r="HA36" s="764"/>
      <c r="HB36" s="764"/>
      <c r="HC36" s="764"/>
      <c r="HD36" s="764"/>
    </row>
    <row r="37" spans="2:212" s="552" customFormat="1" ht="16.5" customHeight="1" x14ac:dyDescent="0.2">
      <c r="B37" s="1126"/>
      <c r="C37" s="819" t="s">
        <v>794</v>
      </c>
      <c r="D37" s="684">
        <v>3.6</v>
      </c>
      <c r="E37" s="684">
        <f>4.05+0.3+0.6</f>
        <v>4.9499999999999993</v>
      </c>
      <c r="F37" s="684" t="s">
        <v>244</v>
      </c>
      <c r="G37" s="684" t="s">
        <v>808</v>
      </c>
      <c r="H37" s="684">
        <v>1</v>
      </c>
      <c r="I37" s="760" t="s">
        <v>13</v>
      </c>
      <c r="J37" s="684" t="s">
        <v>242</v>
      </c>
      <c r="K37" s="684" t="s">
        <v>363</v>
      </c>
      <c r="L37" s="684">
        <v>1</v>
      </c>
      <c r="M37" s="685">
        <v>2.5</v>
      </c>
      <c r="N37" s="684" t="s">
        <v>453</v>
      </c>
      <c r="O37" s="684">
        <v>4</v>
      </c>
      <c r="P37" s="555">
        <f t="shared" ref="P37:P68" si="62">IF(K37="PVC",HLOOKUP(N37,$BA$3:$BI$104,BW37,FALSE),IF(OR(K37="XLPE",K37="EPR"),HLOOKUP(N37,$BJ$3:$BR$104,BW37,FALSE),IF(K37="Mineral",HLOOKUP(N37,$BS$3:$BV$104,BW37,FALSE),"N/A")))*L37</f>
        <v>23</v>
      </c>
      <c r="Q37" s="684">
        <v>3</v>
      </c>
      <c r="R37" s="684">
        <v>1</v>
      </c>
      <c r="S37" s="555">
        <f t="shared" si="55"/>
        <v>15.652173913043478</v>
      </c>
      <c r="T37" s="696">
        <f t="shared" si="56"/>
        <v>23</v>
      </c>
      <c r="U37" s="684" t="s">
        <v>499</v>
      </c>
      <c r="V37" s="555">
        <v>16</v>
      </c>
      <c r="W37" s="684">
        <f>IF(U37="C.C.Fusíveis",VLOOKUP(V37,Consulta!$L$5:$N$31,3,FALSE),VLOOKUP(V37,Consulta!$P$5:$R$34,3,FALSE))</f>
        <v>21.6</v>
      </c>
      <c r="X37" s="698">
        <f t="shared" si="10"/>
        <v>34</v>
      </c>
      <c r="Y37" s="761">
        <f t="shared" si="51"/>
        <v>0.68052930056710781</v>
      </c>
      <c r="Z37" s="689" t="str">
        <f t="shared" si="11"/>
        <v>Sim</v>
      </c>
      <c r="AA37" s="762">
        <f t="shared" si="57"/>
        <v>4.4407014575354217E-2</v>
      </c>
      <c r="AB37" s="762">
        <f t="shared" si="12"/>
        <v>5.5687499999999987E-2</v>
      </c>
      <c r="AC37" s="762">
        <f t="shared" si="6"/>
        <v>0</v>
      </c>
      <c r="AD37" s="686">
        <f t="shared" si="58"/>
        <v>0.24479900982315089</v>
      </c>
      <c r="AE37" s="686">
        <f t="shared" si="17"/>
        <v>1.743260869565217</v>
      </c>
      <c r="AF37" s="686">
        <f t="shared" si="18"/>
        <v>1.9880598793883679</v>
      </c>
      <c r="AG37" s="687">
        <f t="shared" si="34"/>
        <v>7.5793950850661608E-3</v>
      </c>
      <c r="AH37" s="763">
        <f t="shared" si="34"/>
        <v>8.6437386060363823E-3</v>
      </c>
      <c r="AI37" s="686">
        <f t="shared" si="7"/>
        <v>2.2978282174179383</v>
      </c>
      <c r="AJ37" s="684">
        <v>3</v>
      </c>
      <c r="AK37" s="686">
        <v>0.1</v>
      </c>
      <c r="AL37" s="698">
        <f t="shared" si="59"/>
        <v>115</v>
      </c>
      <c r="AM37" s="686">
        <f t="shared" si="60"/>
        <v>6.3185833381263272</v>
      </c>
      <c r="AN37" s="689">
        <f t="shared" si="52"/>
        <v>1</v>
      </c>
      <c r="AO37" s="688" t="s">
        <v>563</v>
      </c>
      <c r="AP37" s="689" t="s">
        <v>523</v>
      </c>
      <c r="AQ37" s="689" t="str">
        <f t="shared" si="53"/>
        <v>3G</v>
      </c>
      <c r="AR37" s="689">
        <f t="shared" si="61"/>
        <v>2.5</v>
      </c>
      <c r="AS37" s="897" t="str">
        <f t="shared" si="8"/>
        <v/>
      </c>
      <c r="AT37" s="897" t="str">
        <f>IF(OR(AQ37="3G",AQ37="5G"),"",VLOOKUP(AR37,Consulta!$T$5:$U$25,2,FALSE))</f>
        <v/>
      </c>
      <c r="AU37" s="898" t="s">
        <v>565</v>
      </c>
      <c r="AV37" s="689" t="s">
        <v>23</v>
      </c>
      <c r="AW37" s="689" t="s">
        <v>564</v>
      </c>
      <c r="AX37" s="689">
        <f t="shared" si="30"/>
        <v>20</v>
      </c>
      <c r="AY37" s="690" t="s">
        <v>24</v>
      </c>
      <c r="AZ37" s="531"/>
      <c r="BA37" s="531">
        <f>IF(AND(J37="Cobre",F37="Monofásico"),VLOOKUP(M37,'Iz''s'!$B$8:$E$23,2,FALSE),IF(AND(J37="Cobre",F37="Trifásico"),VLOOKUP(M37,'Iz''s'!$L$8:$O$23,2,FALSE),IF(AND(J37="Alumínio",F37="Monofásico"),VLOOKUP(M37,'Iz''s'!$B$25:$E$39,2,FALSE),IF(AND(J37="Alumínio",F37="Trifásico"),VLOOKUP(M37,'Iz''s'!$L$25:$O$39,2,FALSE)))))</f>
        <v>19.5</v>
      </c>
      <c r="BB37" s="531">
        <f>IF(AND(J37="Cobre",F37="Monofásico"),VLOOKUP(M37,'Iz''s'!$CD$9:$CH$24,2,FALSE),IF(AND(J37="Cobre",F37="Trifásico"),VLOOKUP(M37,'Iz''s'!$CD$9:$CH$24,4,FALSE),IF(AND(J37="Alumínio",F37="Monofásico"),VLOOKUP(M37,'Iz''s'!$CD$26:$CH$40,2,FALSE),IF(AND(J37="Alumínio",F37="Trifásico"),VLOOKUP(M37,'Iz''s'!$CD$26:$CH$40,4,FALSE)))))</f>
        <v>18.5</v>
      </c>
      <c r="BC37" s="531">
        <f>IF(AND(J37="Cobre",F37="Monofásico"),VLOOKUP(M37,'Iz''s'!$B$8:$E$23,3,FALSE),IF(AND(J37="Cobre",F37="Trifásico"),VLOOKUP(M37,'Iz''s'!$L$8:$O$23,3,FALSE),IF(AND(J37="Alumínio",F37="Monofásico"),VLOOKUP(M37,'Iz''s'!$B$25:$E$39,3,FALSE),IF(AND(J37="Alumínio",F37="Trifásico"),VLOOKUP(M37,'Iz''s'!$L$25:$O$39,3,FALSE)))))</f>
        <v>24</v>
      </c>
      <c r="BD37" s="531">
        <f>IF(AND(J37="Cobre",F37="Monofásico"),VLOOKUP(M37,'Iz''s'!$CD$9:$CH$24,3,FALSE),IF(AND(J37="Cobre",F37="Trifásico"),VLOOKUP(M37,'Iz''s'!$CD$9:$CH$24,5,FALSE),IF(AND(J37="Alumínio",F37="Monofásico"),VLOOKUP(M37,'Iz''s'!$CD$26:$CH$40,3,FALSE),IF(AND(J37="Alumínio",F37="Trifásico"),VLOOKUP(M37,'Iz''s'!$CD$26:$CH$40,5,FALSE)))))</f>
        <v>23</v>
      </c>
      <c r="BE37" s="531">
        <f>IF(AND(J37="Cobre",F37="Monofásico"),VLOOKUP(M37,'Iz''s'!$B$8:$E$23,4,FALSE),IF(AND(J37="Cobre",F37="Trifásico"),VLOOKUP(M37,'Iz''s'!$L$8:$O$23,4,FALSE),IF(AND(J37="Alumínio",F37="Monofásico"),VLOOKUP(M37,'Iz''s'!$B$25:$E$39,4,FALSE),IF(AND(J37="Alumínio",F37="Trifásico"),VLOOKUP(M37,'Iz''s'!$L$25:$O$39,4,FALSE)))))</f>
        <v>27</v>
      </c>
      <c r="BF37" s="531">
        <f>IF(AND(J37="Cobre",F37="Monofásico"),VLOOKUP(M37,'Iz''s'!$CP$9:$CT$24,3,FALSE),IF(AND(J37="Cobre",F37="Trifásico"),VLOOKUP(M37,'Iz''s'!$CP$9:$CT$24,2,FALSE),IF(AND(J37="Alumínio",F37="Monofásico"),VLOOKUP(M37,'Iz''s'!$CP$26:$CT$37,3,FALSE),IF(AND(J37="Alumínio",F37="Trifásico"),VLOOKUP(M37,'Iz''s'!$CP$26:$CT$37,2,FALSE)))))</f>
        <v>42</v>
      </c>
      <c r="BG37" s="531">
        <f>IF(AND(J37="Cobre",F37="Monofásico"),VLOOKUP(M37,'Iz''s'!$AT$10:$BA$28,2,FALSE),IF(AND(J37="Cobre",F37="Trifásico"),VLOOKUP(M37,'Iz''s'!$AT$10:$BA$28,3,FALSE),IF(AND(J37="Alumínio",F37="Monofásico"),VLOOKUP(M37,'Iz''s'!$BC$10:$BJ$27,2,FALSE),IF(AND(J37="Alumínio",F37="Trifásico"),VLOOKUP(M37,'Iz''s'!$BC$10:$BJ$27,3,FALSE)))))</f>
        <v>30</v>
      </c>
      <c r="BH37" s="609" t="str">
        <f>IF(AND(J37="Cobre",F37="Monofásico"),VLOOKUP(M37,'Iz''s'!$AT$10:$BA$28,4,FALSE),IF(AND(J37="Cobre",F37="Trifásico"),VLOOKUP(M37,'Iz''s'!$AT$10:$BA$28,5,FALSE),IF(AND(J37="Alumínio",F37="Monofásico"),VLOOKUP(M37,'Iz''s'!$BC$10:$BJ$27,4,FALSE),IF(AND(J37="Alumínio",F37="Trifásico"),VLOOKUP(M37,'Iz''s'!$BC$10:$BJ$27,5,FALSE)))))</f>
        <v xml:space="preserve"> --- </v>
      </c>
      <c r="BI37" s="609" t="str">
        <f>IF(AND(J37="Cobre",F37="Monofásico"),"N/A",IF(AND(J37="Cobre",F37="Trifásico"),VLOOKUP(M37,'Iz''s'!$AT$10:$BA$28,8,FALSE),IF(AND(J37="Alumínio",F37="Monofásico"),"N/A",IF(AND(J37="Alumínio",F37="Trifásico"),VLOOKUP(M37,'Iz''s'!$BC$10:$BJ$27,8,FALSE)))))</f>
        <v>N/A</v>
      </c>
      <c r="BJ37" s="531">
        <f>IF(AND(J37="Cobre",F37="Monofásico"),VLOOKUP(M37,'Iz''s'!$G$8:$J$23,2,FALSE),IF(AND(J37="Cobre",F37="Trifásico"),VLOOKUP(M37,'Iz''s'!$Q$8:$T$23,2,FALSE),IF(AND(J37="Alumínio",F37="Monofásico"),VLOOKUP(M37,'Iz''s'!$G$25:$J$39,2,FALSE),IF(AND(J37="Alumínio",F37="Trifásico"),VLOOKUP(M37,'Iz''s'!$Q$25:$T$39,2,FALSE)))))</f>
        <v>26</v>
      </c>
      <c r="BK37" s="609">
        <f>IF(AND(J37="Cobre",F37="Monofásico"),VLOOKUP(M37,'Iz''s'!$CJ$9:$CN$24,2,FALSE),IF(AND(J37="Cobre",F37="Trifásico"),VLOOKUP(M37,'Iz''s'!$CJ$9:$CN$24,4,FALSE),IF(AND(J37="Alumínio",F37="Monofásico"),VLOOKUP(M37,'Iz''s'!$CJ$26:$CN$40,2,FALSE),IF(AND(J37="Alumínio",F37="Trifásico"),VLOOKUP(M37,'Iz''s'!$CJ$26:$CN$40,4,FALSE)))))</f>
        <v>25</v>
      </c>
      <c r="BL37" s="609">
        <f>IF(AND(J37="Cobre",F37="Monofásico"),VLOOKUP(M37,'Iz''s'!$G$8:$J$23,3,FALSE),IF(AND(J37="Cobre",F37="Trifásico"),VLOOKUP(M37,'Iz''s'!$Q$8:$T$23,3,FALSE),IF(AND(J37="Alumínio",F37="Monofásico"),VLOOKUP(M37,'Iz''s'!$G$25:$J$39,3,FALSE),IF(AND(J37="Alumínio",F37="Trifásico"),VLOOKUP(M37,'Iz''s'!$Q$25:$T$39,3,FALSE)))))</f>
        <v>31</v>
      </c>
      <c r="BM37" s="609">
        <f>IF(AND(J37="Cobre",F37="Monofásico"),VLOOKUP(M37,'Iz''s'!$CJ$9:$CN$24,3,FALSE),IF(AND(J37="Cobre",F37="Trifásico"),VLOOKUP(M37,'Iz''s'!$CJ$9:$CN$24,5,FALSE),IF(AND(J37="Alumínio",F37="Monofásico"),VLOOKUP(M37,'Iz''s'!$CJ$26:$CN$40,3,FALSE),IF(AND(J37="Alumínio",F37="Trifásico"),VLOOKUP(M37,'Iz''s'!$CJ$26:$CN$40,5,FALSE)))))</f>
        <v>30</v>
      </c>
      <c r="BN37" s="609">
        <f>IF(AND(J37="Cobre",F37="Monofásico"),VLOOKUP(M37,'Iz''s'!$G$8:$J$23,4,FALSE),IF(AND(J37="Cobre",F37="Trifásico"),VLOOKUP(M37,'Iz''s'!$Q$8:$T$23,4,FALSE),IF(AND(J37="Alumínio",F37="Monofásico"),VLOOKUP(M37,'Iz''s'!$G$25:$J$39,4,FALSE),IF(AND(J37="Alumínio",F37="Trifásico"),VLOOKUP(M37,'Iz''s'!$Q$25:$T$39,4,FALSE)))))</f>
        <v>33</v>
      </c>
      <c r="BO37" s="609">
        <f>IF(AND(J37="Cobre",F37="Monofásico"),VLOOKUP(M37,'Iz''s'!$CP$9:$CT$24,5,FALSE),IF(AND(J37="Cobre",F37="Trifásico"),VLOOKUP(M37,'Iz''s'!$CP$9:$CT$24,4,FALSE),IF(AND(J37="Alumínio",F37="Monofásico"),VLOOKUP(M37,'Iz''s'!$CP$26:$CT$37,5,FALSE),IF(AND(J37="Alumínio",F37="Trifásico"),VLOOKUP(M37,'Iz''s'!$CP$26:$CT$37,4,FALSE)))))</f>
        <v>48</v>
      </c>
      <c r="BP37" s="609">
        <f>IF(AND(J37="Cobre",F37="Monofásico"),VLOOKUP(M37,'Iz''s'!$BL$10:$BS$28,2,FALSE),IF(AND(J37="Cobre",F37="Trifásico"),VLOOKUP(M37,'Iz''s'!$BL$10:$BS$28,3,FALSE),IF(AND(J37="Alumínio",F37="Monofásico"),VLOOKUP(M37,'Iz''s'!$BU$10:$CB$27,2,FALSE),IF(AND(J37="Alumínio",F37="Trifásico"),VLOOKUP(M37,'Iz''s'!$BU$10:$CB$27,3,FALSE)))))</f>
        <v>36</v>
      </c>
      <c r="BQ37" s="531" t="str">
        <f>IF(AND(J37="Cobre",F37="Monofásico"),VLOOKUP(M37,'Iz''s'!$BL$10:$BS$28,4,FALSE),IF(AND(J37="Cobre",F37="Trifásico"),VLOOKUP(M37,'Iz''s'!$BL$10:$BS$28,5,FALSE),IF(AND(J37="Alumínio",F37="Monofásico"),VLOOKUP(M37,'Iz''s'!$BU$10:$CB$27,4,FALSE),IF(AND(J37="Alumínio",F37="Trifásico"),VLOOKUP(M37,'Iz''s'!$BU$10:$CB$27,5,FALSE)))))</f>
        <v xml:space="preserve"> --- </v>
      </c>
      <c r="BR37" s="609" t="str">
        <f>IF(AND(J37="Cobre",F37="Monofásico"),"N/A",IF(AND(J37="Cobre",F37="Trifásico"),VLOOKUP(M37,'Iz''s'!$BL$10:$BS$28,8,FALSE),IF(AND(J37="Alumínio",F37="Monofásico"),"N/A",IF(AND(J37="Alumínio",F37="Trifásico"),VLOOKUP(M37,'Iz''s'!$BU$10:$CB$27,8,FALSE)))))</f>
        <v>N/A</v>
      </c>
      <c r="BS37" s="609">
        <f>IF(AND(J37="Cobre",F37="Monofásico"),VLOOKUP(M37,'Iz''s'!$V$14:$Y$28,2,FALSE),IF(AND(J37="Cobre",F37="Trifásico"),VLOOKUP(M37,'Iz''s'!$V$14:$Y$28,3,FALSE),IF(AND(J37="Alumínio",F37="Monofásico"),VLOOKUP(M37,"N/A",4,FALSE),IF(AND(J37="Alumínio",F37="Trifásico"),VLOOKUP(M37,"N/A",4,FALSE)))))</f>
        <v>34</v>
      </c>
      <c r="BT37" s="609">
        <f>IF(AND(J37="Cobre",F37="Monofásico"),VLOOKUP(M37,'Iz''s'!$AF$15:$AK$29,2,FALSE),IF(AND(J37="Cobre",F37="Trifásico"),VLOOKUP(M37,'Iz''s'!$AF$15:$AK$29,3,FALSE),IF(AND(J37="Alumínio",F37="Monofásico"),"N/A",IF(AND(J37="Alumínio",F37="Trifásico"),"N/A"))))</f>
        <v>36</v>
      </c>
      <c r="BU37" s="609">
        <f>IF(AND(J37="Cobre",F37="Monofásico"),VLOOKUP(M37,'Iz''s'!$AF$15:$AK$29,2,FALSE),IF(AND(J37="Cobre",F37="Trifásico"),VLOOKUP(M37,'Iz''s'!$AF$15:$AK$29,3,FALSE),IF(AND(J37="Alumínio",F37="Monofásico"),"N/A",IF(AND(J37="Alumínio",F37="Trifásico"),"N/A"))))</f>
        <v>36</v>
      </c>
      <c r="BV37" s="609" t="str">
        <f>IF(AND(J37="Cobre",F37="Monofásico"),"N/A",IF(AND(J37="Cobre",F37="Trifásico"),VLOOKUP(M37,'Iz''s'!$AF$15:$AK$29,6,FALSE),IF(AND(J37="Alumínio",F37="Monofásico"),"N/A",IF(AND(J37="Alumínio",F37="Trifásico"),"N/A"))))</f>
        <v>N/A</v>
      </c>
      <c r="BW37" s="609">
        <v>35</v>
      </c>
      <c r="BX37" s="532"/>
      <c r="BY37" s="592">
        <f>VLOOKUP(M37,Consulta!$W$6:$AB$23,4,FALSE)</f>
        <v>16</v>
      </c>
      <c r="BZ37" s="592">
        <f>VLOOKUP(M37,Consulta!$W$6:$AB$23,6,FALSE)</f>
        <v>20</v>
      </c>
      <c r="CA37" s="592">
        <f>VLOOKUP(M37,Consulta!$AK$6:$AP$23,4,FALSE)</f>
        <v>20</v>
      </c>
      <c r="CB37" s="592">
        <f>VLOOKUP(M37,Consulta!$AK$6:$AP$23,6,FALSE)</f>
        <v>25</v>
      </c>
      <c r="CC37" s="529" t="e">
        <f>VLOOKUP(M37,Consulta!$AD$6:$AI$19,4,FALSE)</f>
        <v>#N/A</v>
      </c>
      <c r="CD37" s="529" t="e">
        <f>VLOOKUP(M37,Consulta!$AD$6:$AI$19,6,FALSE)</f>
        <v>#N/A</v>
      </c>
      <c r="CE37" s="529" t="e">
        <f>VLOOKUP(M37,Consulta!$AR$6:$AW$19,4,FALSE)</f>
        <v>#N/A</v>
      </c>
      <c r="CF37" s="529" t="e">
        <f>VLOOKUP(M37,Consulta!$AR$6:$AW$19,6,FALSE)</f>
        <v>#N/A</v>
      </c>
      <c r="CG37" s="764"/>
      <c r="CH37" s="764"/>
      <c r="CI37" s="764"/>
      <c r="CJ37" s="764"/>
      <c r="CK37" s="764"/>
      <c r="CL37" s="764"/>
      <c r="CM37" s="764"/>
      <c r="CN37" s="764"/>
      <c r="CO37" s="764"/>
      <c r="CP37" s="764"/>
      <c r="CQ37" s="764"/>
      <c r="CR37" s="764"/>
      <c r="CS37" s="764"/>
      <c r="CT37" s="764"/>
      <c r="CU37" s="764"/>
      <c r="CV37" s="764"/>
      <c r="CW37" s="764"/>
      <c r="CX37" s="764"/>
      <c r="CY37" s="764"/>
      <c r="CZ37" s="764"/>
      <c r="DA37" s="764"/>
      <c r="DB37" s="764"/>
      <c r="DC37" s="764"/>
      <c r="DD37" s="764"/>
      <c r="DE37" s="764"/>
      <c r="DF37" s="764"/>
      <c r="DG37" s="764"/>
      <c r="DH37" s="764"/>
      <c r="DI37" s="764"/>
      <c r="DJ37" s="764"/>
      <c r="DK37" s="764"/>
      <c r="DL37" s="764"/>
      <c r="DM37" s="764"/>
      <c r="DN37" s="764"/>
      <c r="DO37" s="764"/>
      <c r="DP37" s="764"/>
      <c r="DQ37" s="764"/>
      <c r="DR37" s="764"/>
      <c r="DS37" s="764"/>
      <c r="DT37" s="764"/>
      <c r="DU37" s="764"/>
      <c r="DV37" s="764"/>
      <c r="DW37" s="764"/>
      <c r="DX37" s="764"/>
      <c r="DY37" s="764"/>
      <c r="DZ37" s="764"/>
      <c r="EA37" s="764"/>
      <c r="EB37" s="764"/>
      <c r="EC37" s="764"/>
      <c r="ED37" s="764"/>
      <c r="EE37" s="764"/>
      <c r="EF37" s="764"/>
      <c r="EG37" s="764"/>
      <c r="EH37" s="764"/>
      <c r="EI37" s="764"/>
      <c r="EJ37" s="764"/>
      <c r="EK37" s="764"/>
      <c r="EL37" s="764"/>
      <c r="EM37" s="764"/>
      <c r="EN37" s="764"/>
      <c r="EO37" s="764"/>
      <c r="EP37" s="764"/>
      <c r="EQ37" s="764"/>
      <c r="ER37" s="764"/>
      <c r="ES37" s="764"/>
      <c r="ET37" s="764"/>
      <c r="EU37" s="764"/>
      <c r="EV37" s="764"/>
      <c r="EW37" s="764"/>
      <c r="EX37" s="764"/>
      <c r="EY37" s="764"/>
      <c r="EZ37" s="764"/>
      <c r="FA37" s="764"/>
      <c r="FB37" s="764"/>
      <c r="FC37" s="764"/>
      <c r="FD37" s="764"/>
      <c r="FE37" s="764"/>
      <c r="FF37" s="764"/>
      <c r="FG37" s="764"/>
      <c r="FH37" s="764"/>
      <c r="FI37" s="764"/>
      <c r="FJ37" s="764"/>
      <c r="FK37" s="764"/>
      <c r="FL37" s="764"/>
      <c r="FM37" s="764"/>
      <c r="FN37" s="764"/>
      <c r="FO37" s="764"/>
      <c r="FP37" s="764"/>
      <c r="FQ37" s="764"/>
      <c r="FR37" s="764"/>
      <c r="FS37" s="764"/>
      <c r="FT37" s="764"/>
      <c r="FU37" s="764"/>
      <c r="FV37" s="764"/>
      <c r="FW37" s="764"/>
      <c r="FX37" s="764"/>
      <c r="FY37" s="764"/>
      <c r="FZ37" s="764"/>
      <c r="GA37" s="764"/>
      <c r="GB37" s="764"/>
      <c r="GC37" s="764"/>
      <c r="GD37" s="764"/>
      <c r="GE37" s="764"/>
      <c r="GF37" s="764"/>
      <c r="GG37" s="764"/>
      <c r="GH37" s="764"/>
      <c r="GI37" s="764"/>
      <c r="GJ37" s="764"/>
      <c r="GK37" s="764"/>
      <c r="GL37" s="764"/>
      <c r="GM37" s="764"/>
      <c r="GN37" s="764"/>
      <c r="GO37" s="764"/>
      <c r="GP37" s="764"/>
      <c r="GQ37" s="764"/>
      <c r="GR37" s="764"/>
      <c r="GS37" s="764"/>
      <c r="GT37" s="764"/>
      <c r="GU37" s="764"/>
      <c r="GV37" s="764"/>
      <c r="GW37" s="764"/>
      <c r="GX37" s="764"/>
      <c r="GY37" s="764"/>
      <c r="GZ37" s="764"/>
      <c r="HA37" s="764"/>
      <c r="HB37" s="764"/>
      <c r="HC37" s="764"/>
      <c r="HD37" s="764"/>
    </row>
    <row r="38" spans="2:212" s="552" customFormat="1" ht="16.5" customHeight="1" x14ac:dyDescent="0.2">
      <c r="B38" s="1126"/>
      <c r="C38" s="819" t="s">
        <v>791</v>
      </c>
      <c r="D38" s="684">
        <v>3.6</v>
      </c>
      <c r="E38" s="684">
        <f>0.6+0.3+15.5+4.05+3.43+2.02</f>
        <v>25.9</v>
      </c>
      <c r="F38" s="684" t="s">
        <v>244</v>
      </c>
      <c r="G38" s="684" t="s">
        <v>808</v>
      </c>
      <c r="H38" s="684">
        <v>1</v>
      </c>
      <c r="I38" s="760" t="s">
        <v>13</v>
      </c>
      <c r="J38" s="684" t="s">
        <v>242</v>
      </c>
      <c r="K38" s="684" t="s">
        <v>363</v>
      </c>
      <c r="L38" s="684">
        <v>1</v>
      </c>
      <c r="M38" s="685">
        <v>2.5</v>
      </c>
      <c r="N38" s="684" t="s">
        <v>453</v>
      </c>
      <c r="O38" s="684">
        <v>4</v>
      </c>
      <c r="P38" s="555">
        <f t="shared" si="62"/>
        <v>23</v>
      </c>
      <c r="Q38" s="684">
        <v>3</v>
      </c>
      <c r="R38" s="684">
        <v>0.7</v>
      </c>
      <c r="S38" s="555">
        <f t="shared" si="55"/>
        <v>15.652173913043478</v>
      </c>
      <c r="T38" s="696">
        <f t="shared" si="56"/>
        <v>16.099999999999998</v>
      </c>
      <c r="U38" s="684" t="s">
        <v>499</v>
      </c>
      <c r="V38" s="555">
        <v>16</v>
      </c>
      <c r="W38" s="684">
        <f>IF(U38="C.C.Fusíveis",VLOOKUP(V38,Consulta!$L$5:$N$31,3,FALSE),VLOOKUP(V38,Consulta!$P$5:$R$34,3,FALSE))</f>
        <v>21.6</v>
      </c>
      <c r="X38" s="698">
        <f t="shared" si="10"/>
        <v>34</v>
      </c>
      <c r="Y38" s="761">
        <f t="shared" si="51"/>
        <v>0.97218471509586835</v>
      </c>
      <c r="Z38" s="689" t="str">
        <f t="shared" si="11"/>
        <v>Sim</v>
      </c>
      <c r="AA38" s="762">
        <f t="shared" si="57"/>
        <v>4.4407014575354217E-2</v>
      </c>
      <c r="AB38" s="762">
        <f t="shared" si="12"/>
        <v>0.29137499999999994</v>
      </c>
      <c r="AC38" s="762">
        <f t="shared" si="6"/>
        <v>0</v>
      </c>
      <c r="AD38" s="686">
        <f t="shared" si="58"/>
        <v>0.24479900982315089</v>
      </c>
      <c r="AE38" s="686">
        <f t="shared" si="17"/>
        <v>9.1213043478260847</v>
      </c>
      <c r="AF38" s="686">
        <f t="shared" si="18"/>
        <v>9.3661033576492354</v>
      </c>
      <c r="AG38" s="687">
        <f t="shared" si="34"/>
        <v>3.9657844990548197E-2</v>
      </c>
      <c r="AH38" s="763">
        <f t="shared" si="34"/>
        <v>4.0722188511518417E-2</v>
      </c>
      <c r="AI38" s="686">
        <f t="shared" si="7"/>
        <v>0.68496819369813144</v>
      </c>
      <c r="AJ38" s="684">
        <v>3</v>
      </c>
      <c r="AK38" s="686">
        <v>0.1</v>
      </c>
      <c r="AL38" s="698">
        <f t="shared" si="59"/>
        <v>115</v>
      </c>
      <c r="AM38" s="686">
        <f t="shared" si="60"/>
        <v>1.8835301016152073</v>
      </c>
      <c r="AN38" s="689">
        <f t="shared" si="52"/>
        <v>1</v>
      </c>
      <c r="AO38" s="688" t="s">
        <v>563</v>
      </c>
      <c r="AP38" s="689" t="s">
        <v>523</v>
      </c>
      <c r="AQ38" s="689" t="str">
        <f t="shared" si="53"/>
        <v>3G</v>
      </c>
      <c r="AR38" s="689">
        <f t="shared" si="61"/>
        <v>2.5</v>
      </c>
      <c r="AS38" s="897" t="str">
        <f t="shared" si="8"/>
        <v/>
      </c>
      <c r="AT38" s="897" t="str">
        <f>IF(OR(AQ38="3G",AQ38="5G"),"",VLOOKUP(AR38,Consulta!$T$5:$U$25,2,FALSE))</f>
        <v/>
      </c>
      <c r="AU38" s="898" t="s">
        <v>565</v>
      </c>
      <c r="AV38" s="689" t="s">
        <v>23</v>
      </c>
      <c r="AW38" s="689" t="s">
        <v>564</v>
      </c>
      <c r="AX38" s="689">
        <f t="shared" si="30"/>
        <v>20</v>
      </c>
      <c r="AY38" s="690" t="s">
        <v>24</v>
      </c>
      <c r="AZ38" s="531"/>
      <c r="BA38" s="531">
        <f>IF(AND(J38="Cobre",F38="Monofásico"),VLOOKUP(M38,'Iz''s'!$B$8:$E$23,2,FALSE),IF(AND(J38="Cobre",F38="Trifásico"),VLOOKUP(M38,'Iz''s'!$L$8:$O$23,2,FALSE),IF(AND(J38="Alumínio",F38="Monofásico"),VLOOKUP(M38,'Iz''s'!$B$25:$E$39,2,FALSE),IF(AND(J38="Alumínio",F38="Trifásico"),VLOOKUP(M38,'Iz''s'!$L$25:$O$39,2,FALSE)))))</f>
        <v>19.5</v>
      </c>
      <c r="BB38" s="531">
        <f>IF(AND(J38="Cobre",F38="Monofásico"),VLOOKUP(M38,'Iz''s'!$CD$9:$CH$24,2,FALSE),IF(AND(J38="Cobre",F38="Trifásico"),VLOOKUP(M38,'Iz''s'!$CD$9:$CH$24,4,FALSE),IF(AND(J38="Alumínio",F38="Monofásico"),VLOOKUP(M38,'Iz''s'!$CD$26:$CH$40,2,FALSE),IF(AND(J38="Alumínio",F38="Trifásico"),VLOOKUP(M38,'Iz''s'!$CD$26:$CH$40,4,FALSE)))))</f>
        <v>18.5</v>
      </c>
      <c r="BC38" s="531">
        <f>IF(AND(J38="Cobre",F38="Monofásico"),VLOOKUP(M38,'Iz''s'!$B$8:$E$23,3,FALSE),IF(AND(J38="Cobre",F38="Trifásico"),VLOOKUP(M38,'Iz''s'!$L$8:$O$23,3,FALSE),IF(AND(J38="Alumínio",F38="Monofásico"),VLOOKUP(M38,'Iz''s'!$B$25:$E$39,3,FALSE),IF(AND(J38="Alumínio",F38="Trifásico"),VLOOKUP(M38,'Iz''s'!$L$25:$O$39,3,FALSE)))))</f>
        <v>24</v>
      </c>
      <c r="BD38" s="531">
        <f>IF(AND(J38="Cobre",F38="Monofásico"),VLOOKUP(M38,'Iz''s'!$CD$9:$CH$24,3,FALSE),IF(AND(J38="Cobre",F38="Trifásico"),VLOOKUP(M38,'Iz''s'!$CD$9:$CH$24,5,FALSE),IF(AND(J38="Alumínio",F38="Monofásico"),VLOOKUP(M38,'Iz''s'!$CD$26:$CH$40,3,FALSE),IF(AND(J38="Alumínio",F38="Trifásico"),VLOOKUP(M38,'Iz''s'!$CD$26:$CH$40,5,FALSE)))))</f>
        <v>23</v>
      </c>
      <c r="BE38" s="531">
        <f>IF(AND(J38="Cobre",F38="Monofásico"),VLOOKUP(M38,'Iz''s'!$B$8:$E$23,4,FALSE),IF(AND(J38="Cobre",F38="Trifásico"),VLOOKUP(M38,'Iz''s'!$L$8:$O$23,4,FALSE),IF(AND(J38="Alumínio",F38="Monofásico"),VLOOKUP(M38,'Iz''s'!$B$25:$E$39,4,FALSE),IF(AND(J38="Alumínio",F38="Trifásico"),VLOOKUP(M38,'Iz''s'!$L$25:$O$39,4,FALSE)))))</f>
        <v>27</v>
      </c>
      <c r="BF38" s="531">
        <f>IF(AND(J38="Cobre",F38="Monofásico"),VLOOKUP(M38,'Iz''s'!$CP$9:$CT$24,3,FALSE),IF(AND(J38="Cobre",F38="Trifásico"),VLOOKUP(M38,'Iz''s'!$CP$9:$CT$24,2,FALSE),IF(AND(J38="Alumínio",F38="Monofásico"),VLOOKUP(M38,'Iz''s'!$CP$26:$CT$37,3,FALSE),IF(AND(J38="Alumínio",F38="Trifásico"),VLOOKUP(M38,'Iz''s'!$CP$26:$CT$37,2,FALSE)))))</f>
        <v>42</v>
      </c>
      <c r="BG38" s="531">
        <f>IF(AND(J38="Cobre",F38="Monofásico"),VLOOKUP(M38,'Iz''s'!$AT$10:$BA$28,2,FALSE),IF(AND(J38="Cobre",F38="Trifásico"),VLOOKUP(M38,'Iz''s'!$AT$10:$BA$28,3,FALSE),IF(AND(J38="Alumínio",F38="Monofásico"),VLOOKUP(M38,'Iz''s'!$BC$10:$BJ$27,2,FALSE),IF(AND(J38="Alumínio",F38="Trifásico"),VLOOKUP(M38,'Iz''s'!$BC$10:$BJ$27,3,FALSE)))))</f>
        <v>30</v>
      </c>
      <c r="BH38" s="609" t="str">
        <f>IF(AND(J38="Cobre",F38="Monofásico"),VLOOKUP(M38,'Iz''s'!$AT$10:$BA$28,4,FALSE),IF(AND(J38="Cobre",F38="Trifásico"),VLOOKUP(M38,'Iz''s'!$AT$10:$BA$28,5,FALSE),IF(AND(J38="Alumínio",F38="Monofásico"),VLOOKUP(M38,'Iz''s'!$BC$10:$BJ$27,4,FALSE),IF(AND(J38="Alumínio",F38="Trifásico"),VLOOKUP(M38,'Iz''s'!$BC$10:$BJ$27,5,FALSE)))))</f>
        <v xml:space="preserve"> --- </v>
      </c>
      <c r="BI38" s="609" t="str">
        <f>IF(AND(J38="Cobre",F38="Monofásico"),"N/A",IF(AND(J38="Cobre",F38="Trifásico"),VLOOKUP(M38,'Iz''s'!$AT$10:$BA$28,8,FALSE),IF(AND(J38="Alumínio",F38="Monofásico"),"N/A",IF(AND(J38="Alumínio",F38="Trifásico"),VLOOKUP(M38,'Iz''s'!$BC$10:$BJ$27,8,FALSE)))))</f>
        <v>N/A</v>
      </c>
      <c r="BJ38" s="531">
        <f>IF(AND(J38="Cobre",F38="Monofásico"),VLOOKUP(M38,'Iz''s'!$G$8:$J$23,2,FALSE),IF(AND(J38="Cobre",F38="Trifásico"),VLOOKUP(M38,'Iz''s'!$Q$8:$T$23,2,FALSE),IF(AND(J38="Alumínio",F38="Monofásico"),VLOOKUP(M38,'Iz''s'!$G$25:$J$39,2,FALSE),IF(AND(J38="Alumínio",F38="Trifásico"),VLOOKUP(M38,'Iz''s'!$Q$25:$T$39,2,FALSE)))))</f>
        <v>26</v>
      </c>
      <c r="BK38" s="609">
        <f>IF(AND(J38="Cobre",F38="Monofásico"),VLOOKUP(M38,'Iz''s'!$CJ$9:$CN$24,2,FALSE),IF(AND(J38="Cobre",F38="Trifásico"),VLOOKUP(M38,'Iz''s'!$CJ$9:$CN$24,4,FALSE),IF(AND(J38="Alumínio",F38="Monofásico"),VLOOKUP(M38,'Iz''s'!$CJ$26:$CN$40,2,FALSE),IF(AND(J38="Alumínio",F38="Trifásico"),VLOOKUP(M38,'Iz''s'!$CJ$26:$CN$40,4,FALSE)))))</f>
        <v>25</v>
      </c>
      <c r="BL38" s="609">
        <f>IF(AND(J38="Cobre",F38="Monofásico"),VLOOKUP(M38,'Iz''s'!$G$8:$J$23,3,FALSE),IF(AND(J38="Cobre",F38="Trifásico"),VLOOKUP(M38,'Iz''s'!$Q$8:$T$23,3,FALSE),IF(AND(J38="Alumínio",F38="Monofásico"),VLOOKUP(M38,'Iz''s'!$G$25:$J$39,3,FALSE),IF(AND(J38="Alumínio",F38="Trifásico"),VLOOKUP(M38,'Iz''s'!$Q$25:$T$39,3,FALSE)))))</f>
        <v>31</v>
      </c>
      <c r="BM38" s="609">
        <f>IF(AND(J38="Cobre",F38="Monofásico"),VLOOKUP(M38,'Iz''s'!$CJ$9:$CN$24,3,FALSE),IF(AND(J38="Cobre",F38="Trifásico"),VLOOKUP(M38,'Iz''s'!$CJ$9:$CN$24,5,FALSE),IF(AND(J38="Alumínio",F38="Monofásico"),VLOOKUP(M38,'Iz''s'!$CJ$26:$CN$40,3,FALSE),IF(AND(J38="Alumínio",F38="Trifásico"),VLOOKUP(M38,'Iz''s'!$CJ$26:$CN$40,5,FALSE)))))</f>
        <v>30</v>
      </c>
      <c r="BN38" s="609">
        <f>IF(AND(J38="Cobre",F38="Monofásico"),VLOOKUP(M38,'Iz''s'!$G$8:$J$23,4,FALSE),IF(AND(J38="Cobre",F38="Trifásico"),VLOOKUP(M38,'Iz''s'!$Q$8:$T$23,4,FALSE),IF(AND(J38="Alumínio",F38="Monofásico"),VLOOKUP(M38,'Iz''s'!$G$25:$J$39,4,FALSE),IF(AND(J38="Alumínio",F38="Trifásico"),VLOOKUP(M38,'Iz''s'!$Q$25:$T$39,4,FALSE)))))</f>
        <v>33</v>
      </c>
      <c r="BO38" s="609">
        <f>IF(AND(J38="Cobre",F38="Monofásico"),VLOOKUP(M38,'Iz''s'!$CP$9:$CT$24,5,FALSE),IF(AND(J38="Cobre",F38="Trifásico"),VLOOKUP(M38,'Iz''s'!$CP$9:$CT$24,4,FALSE),IF(AND(J38="Alumínio",F38="Monofásico"),VLOOKUP(M38,'Iz''s'!$CP$26:$CT$37,5,FALSE),IF(AND(J38="Alumínio",F38="Trifásico"),VLOOKUP(M38,'Iz''s'!$CP$26:$CT$37,4,FALSE)))))</f>
        <v>48</v>
      </c>
      <c r="BP38" s="609">
        <f>IF(AND(J38="Cobre",F38="Monofásico"),VLOOKUP(M38,'Iz''s'!$BL$10:$BS$28,2,FALSE),IF(AND(J38="Cobre",F38="Trifásico"),VLOOKUP(M38,'Iz''s'!$BL$10:$BS$28,3,FALSE),IF(AND(J38="Alumínio",F38="Monofásico"),VLOOKUP(M38,'Iz''s'!$BU$10:$CB$27,2,FALSE),IF(AND(J38="Alumínio",F38="Trifásico"),VLOOKUP(M38,'Iz''s'!$BU$10:$CB$27,3,FALSE)))))</f>
        <v>36</v>
      </c>
      <c r="BQ38" s="531" t="str">
        <f>IF(AND(J38="Cobre",F38="Monofásico"),VLOOKUP(M38,'Iz''s'!$BL$10:$BS$28,4,FALSE),IF(AND(J38="Cobre",F38="Trifásico"),VLOOKUP(M38,'Iz''s'!$BL$10:$BS$28,5,FALSE),IF(AND(J38="Alumínio",F38="Monofásico"),VLOOKUP(M38,'Iz''s'!$BU$10:$CB$27,4,FALSE),IF(AND(J38="Alumínio",F38="Trifásico"),VLOOKUP(M38,'Iz''s'!$BU$10:$CB$27,5,FALSE)))))</f>
        <v xml:space="preserve"> --- </v>
      </c>
      <c r="BR38" s="609" t="str">
        <f>IF(AND(J38="Cobre",F38="Monofásico"),"N/A",IF(AND(J38="Cobre",F38="Trifásico"),VLOOKUP(M38,'Iz''s'!$BL$10:$BS$28,8,FALSE),IF(AND(J38="Alumínio",F38="Monofásico"),"N/A",IF(AND(J38="Alumínio",F38="Trifásico"),VLOOKUP(M38,'Iz''s'!$BU$10:$CB$27,8,FALSE)))))</f>
        <v>N/A</v>
      </c>
      <c r="BS38" s="609">
        <f>IF(AND(J38="Cobre",F38="Monofásico"),VLOOKUP(M38,'Iz''s'!$V$14:$Y$28,2,FALSE),IF(AND(J38="Cobre",F38="Trifásico"),VLOOKUP(M38,'Iz''s'!$V$14:$Y$28,3,FALSE),IF(AND(J38="Alumínio",F38="Monofásico"),VLOOKUP(M38,"N/A",4,FALSE),IF(AND(J38="Alumínio",F38="Trifásico"),VLOOKUP(M38,"N/A",4,FALSE)))))</f>
        <v>34</v>
      </c>
      <c r="BT38" s="609">
        <f>IF(AND(J38="Cobre",F38="Monofásico"),VLOOKUP(M38,'Iz''s'!$AF$15:$AK$29,2,FALSE),IF(AND(J38="Cobre",F38="Trifásico"),VLOOKUP(M38,'Iz''s'!$AF$15:$AK$29,3,FALSE),IF(AND(J38="Alumínio",F38="Monofásico"),"N/A",IF(AND(J38="Alumínio",F38="Trifásico"),"N/A"))))</f>
        <v>36</v>
      </c>
      <c r="BU38" s="609">
        <f>IF(AND(J38="Cobre",F38="Monofásico"),VLOOKUP(M38,'Iz''s'!$AF$15:$AK$29,2,FALSE),IF(AND(J38="Cobre",F38="Trifásico"),VLOOKUP(M38,'Iz''s'!$AF$15:$AK$29,3,FALSE),IF(AND(J38="Alumínio",F38="Monofásico"),"N/A",IF(AND(J38="Alumínio",F38="Trifásico"),"N/A"))))</f>
        <v>36</v>
      </c>
      <c r="BV38" s="609" t="str">
        <f>IF(AND(J38="Cobre",F38="Monofásico"),"N/A",IF(AND(J38="Cobre",F38="Trifásico"),VLOOKUP(M38,'Iz''s'!$AF$15:$AK$29,6,FALSE),IF(AND(J38="Alumínio",F38="Monofásico"),"N/A",IF(AND(J38="Alumínio",F38="Trifásico"),"N/A"))))</f>
        <v>N/A</v>
      </c>
      <c r="BW38" s="609">
        <v>36</v>
      </c>
      <c r="BX38" s="532"/>
      <c r="BY38" s="592">
        <f>VLOOKUP(M38,Consulta!$W$6:$AB$23,4,FALSE)</f>
        <v>16</v>
      </c>
      <c r="BZ38" s="592">
        <f>VLOOKUP(M38,Consulta!$W$6:$AB$23,6,FALSE)</f>
        <v>20</v>
      </c>
      <c r="CA38" s="592">
        <f>VLOOKUP(M38,Consulta!$AK$6:$AP$23,4,FALSE)</f>
        <v>20</v>
      </c>
      <c r="CB38" s="592">
        <f>VLOOKUP(M38,Consulta!$AK$6:$AP$23,6,FALSE)</f>
        <v>25</v>
      </c>
      <c r="CC38" s="529" t="e">
        <f>VLOOKUP(M38,Consulta!$AD$6:$AI$19,4,FALSE)</f>
        <v>#N/A</v>
      </c>
      <c r="CD38" s="529" t="e">
        <f>VLOOKUP(M38,Consulta!$AD$6:$AI$19,6,FALSE)</f>
        <v>#N/A</v>
      </c>
      <c r="CE38" s="529" t="e">
        <f>VLOOKUP(M38,Consulta!$AR$6:$AW$19,4,FALSE)</f>
        <v>#N/A</v>
      </c>
      <c r="CF38" s="529" t="e">
        <f>VLOOKUP(M38,Consulta!$AR$6:$AW$19,6,FALSE)</f>
        <v>#N/A</v>
      </c>
      <c r="CG38" s="764"/>
      <c r="CH38" s="764"/>
      <c r="CI38" s="764"/>
      <c r="CJ38" s="764"/>
      <c r="CK38" s="764"/>
      <c r="CL38" s="764"/>
      <c r="CM38" s="764"/>
      <c r="CN38" s="764"/>
      <c r="CO38" s="764"/>
      <c r="CP38" s="764"/>
      <c r="CQ38" s="764"/>
      <c r="CR38" s="764"/>
      <c r="CS38" s="764"/>
      <c r="CT38" s="764"/>
      <c r="CU38" s="764"/>
      <c r="CV38" s="764"/>
      <c r="CW38" s="764"/>
      <c r="CX38" s="764"/>
      <c r="CY38" s="764"/>
      <c r="CZ38" s="764"/>
      <c r="DA38" s="764"/>
      <c r="DB38" s="764"/>
      <c r="DC38" s="764"/>
      <c r="DD38" s="764"/>
      <c r="DE38" s="764"/>
      <c r="DF38" s="764"/>
      <c r="DG38" s="764"/>
      <c r="DH38" s="764"/>
      <c r="DI38" s="764"/>
      <c r="DJ38" s="764"/>
      <c r="DK38" s="764"/>
      <c r="DL38" s="764"/>
      <c r="DM38" s="764"/>
      <c r="DN38" s="764"/>
      <c r="DO38" s="764"/>
      <c r="DP38" s="764"/>
      <c r="DQ38" s="764"/>
      <c r="DR38" s="764"/>
      <c r="DS38" s="764"/>
      <c r="DT38" s="764"/>
      <c r="DU38" s="764"/>
      <c r="DV38" s="764"/>
      <c r="DW38" s="764"/>
      <c r="DX38" s="764"/>
      <c r="DY38" s="764"/>
      <c r="DZ38" s="764"/>
      <c r="EA38" s="764"/>
      <c r="EB38" s="764"/>
      <c r="EC38" s="764"/>
      <c r="ED38" s="764"/>
      <c r="EE38" s="764"/>
      <c r="EF38" s="764"/>
      <c r="EG38" s="764"/>
      <c r="EH38" s="764"/>
      <c r="EI38" s="764"/>
      <c r="EJ38" s="764"/>
      <c r="EK38" s="764"/>
      <c r="EL38" s="764"/>
      <c r="EM38" s="764"/>
      <c r="EN38" s="764"/>
      <c r="EO38" s="764"/>
      <c r="EP38" s="764"/>
      <c r="EQ38" s="764"/>
      <c r="ER38" s="764"/>
      <c r="ES38" s="764"/>
      <c r="ET38" s="764"/>
      <c r="EU38" s="764"/>
      <c r="EV38" s="764"/>
      <c r="EW38" s="764"/>
      <c r="EX38" s="764"/>
      <c r="EY38" s="764"/>
      <c r="EZ38" s="764"/>
      <c r="FA38" s="764"/>
      <c r="FB38" s="764"/>
      <c r="FC38" s="764"/>
      <c r="FD38" s="764"/>
      <c r="FE38" s="764"/>
      <c r="FF38" s="764"/>
      <c r="FG38" s="764"/>
      <c r="FH38" s="764"/>
      <c r="FI38" s="764"/>
      <c r="FJ38" s="764"/>
      <c r="FK38" s="764"/>
      <c r="FL38" s="764"/>
      <c r="FM38" s="764"/>
      <c r="FN38" s="764"/>
      <c r="FO38" s="764"/>
      <c r="FP38" s="764"/>
      <c r="FQ38" s="764"/>
      <c r="FR38" s="764"/>
      <c r="FS38" s="764"/>
      <c r="FT38" s="764"/>
      <c r="FU38" s="764"/>
      <c r="FV38" s="764"/>
      <c r="FW38" s="764"/>
      <c r="FX38" s="764"/>
      <c r="FY38" s="764"/>
      <c r="FZ38" s="764"/>
      <c r="GA38" s="764"/>
      <c r="GB38" s="764"/>
      <c r="GC38" s="764"/>
      <c r="GD38" s="764"/>
      <c r="GE38" s="764"/>
      <c r="GF38" s="764"/>
      <c r="GG38" s="764"/>
      <c r="GH38" s="764"/>
      <c r="GI38" s="764"/>
      <c r="GJ38" s="764"/>
      <c r="GK38" s="764"/>
      <c r="GL38" s="764"/>
      <c r="GM38" s="764"/>
      <c r="GN38" s="764"/>
      <c r="GO38" s="764"/>
      <c r="GP38" s="764"/>
      <c r="GQ38" s="764"/>
      <c r="GR38" s="764"/>
      <c r="GS38" s="764"/>
      <c r="GT38" s="764"/>
      <c r="GU38" s="764"/>
      <c r="GV38" s="764"/>
      <c r="GW38" s="764"/>
      <c r="GX38" s="764"/>
      <c r="GY38" s="764"/>
      <c r="GZ38" s="764"/>
      <c r="HA38" s="764"/>
      <c r="HB38" s="764"/>
      <c r="HC38" s="764"/>
      <c r="HD38" s="764"/>
    </row>
    <row r="39" spans="2:212" s="552" customFormat="1" ht="16.5" customHeight="1" x14ac:dyDescent="0.2">
      <c r="B39" s="1126"/>
      <c r="C39" s="819" t="s">
        <v>807</v>
      </c>
      <c r="D39" s="684">
        <v>3.6</v>
      </c>
      <c r="E39" s="684">
        <f>6.9+5.55+5.87+3.5+5.26</f>
        <v>27.08</v>
      </c>
      <c r="F39" s="684" t="s">
        <v>244</v>
      </c>
      <c r="G39" s="684" t="s">
        <v>808</v>
      </c>
      <c r="H39" s="684">
        <v>1</v>
      </c>
      <c r="I39" s="760" t="s">
        <v>13</v>
      </c>
      <c r="J39" s="684" t="s">
        <v>242</v>
      </c>
      <c r="K39" s="684" t="s">
        <v>363</v>
      </c>
      <c r="L39" s="684">
        <v>1</v>
      </c>
      <c r="M39" s="685">
        <v>2.5</v>
      </c>
      <c r="N39" s="684" t="s">
        <v>453</v>
      </c>
      <c r="O39" s="684">
        <v>4</v>
      </c>
      <c r="P39" s="555">
        <f t="shared" si="62"/>
        <v>23</v>
      </c>
      <c r="Q39" s="684">
        <v>3</v>
      </c>
      <c r="R39" s="684">
        <v>0.7</v>
      </c>
      <c r="S39" s="555">
        <f t="shared" si="55"/>
        <v>15.652173913043478</v>
      </c>
      <c r="T39" s="696">
        <f t="shared" si="56"/>
        <v>16.099999999999998</v>
      </c>
      <c r="U39" s="684" t="s">
        <v>499</v>
      </c>
      <c r="V39" s="555">
        <v>16</v>
      </c>
      <c r="W39" s="684">
        <f>IF(U39="C.C.Fusíveis",VLOOKUP(V39,Consulta!$L$5:$N$31,3,FALSE),VLOOKUP(V39,Consulta!$P$5:$R$34,3,FALSE))</f>
        <v>21.6</v>
      </c>
      <c r="X39" s="698">
        <f t="shared" si="10"/>
        <v>34</v>
      </c>
      <c r="Y39" s="761">
        <f t="shared" si="51"/>
        <v>0.97218471509586835</v>
      </c>
      <c r="Z39" s="689" t="str">
        <f t="shared" si="11"/>
        <v>Sim</v>
      </c>
      <c r="AA39" s="762">
        <f t="shared" si="57"/>
        <v>4.4407014575354217E-2</v>
      </c>
      <c r="AB39" s="762">
        <f>(IF(J39="Cobre",(1.25*0.0225),(1.25*0.036)))*((E39/M39)/L39)</f>
        <v>0.30464999999999992</v>
      </c>
      <c r="AC39" s="762">
        <f t="shared" si="6"/>
        <v>0</v>
      </c>
      <c r="AD39" s="686">
        <f t="shared" si="58"/>
        <v>0.24479900982315089</v>
      </c>
      <c r="AE39" s="686">
        <f t="shared" si="17"/>
        <v>9.5368695652173887</v>
      </c>
      <c r="AF39" s="686">
        <f t="shared" si="18"/>
        <v>9.7816685750405394</v>
      </c>
      <c r="AG39" s="687">
        <f t="shared" si="34"/>
        <v>4.1464650283553867E-2</v>
      </c>
      <c r="AH39" s="763">
        <f t="shared" si="34"/>
        <v>4.2528993804524087E-2</v>
      </c>
      <c r="AI39" s="686">
        <f t="shared" si="7"/>
        <v>0.65891814344372035</v>
      </c>
      <c r="AJ39" s="684">
        <v>3</v>
      </c>
      <c r="AK39" s="686">
        <v>0.1</v>
      </c>
      <c r="AL39" s="698">
        <f>IF(G39="Multicondutor",(IF(AND(J39="Cobre",K39="PVC"),115,IF(AND(J39="Cobre",K39="XLPE"),143,IF(AND(J39="Alumínio",K39="PVC"),76,IF(AND(J39="Alumínio",K39="XLPE"),94))))),(IF(AND(J39="Cobre",K39="PVC"),143,IF(AND(J39="Cobre",K39="XLPE"),176,IF(AND(J39="Alumínio",K39="PVC"),95,IF(AND(J39="Alumínio",K39="XLPE"),116))))))</f>
        <v>115</v>
      </c>
      <c r="AM39" s="686">
        <f>((AI39*1000)*SQRT(AK39))/AL39</f>
        <v>1.8118974999058268</v>
      </c>
      <c r="AN39" s="689">
        <f t="shared" si="52"/>
        <v>1</v>
      </c>
      <c r="AO39" s="688" t="s">
        <v>563</v>
      </c>
      <c r="AP39" s="689" t="s">
        <v>523</v>
      </c>
      <c r="AQ39" s="689" t="str">
        <f t="shared" si="53"/>
        <v>3G</v>
      </c>
      <c r="AR39" s="689">
        <f>M39</f>
        <v>2.5</v>
      </c>
      <c r="AS39" s="897" t="str">
        <f t="shared" si="8"/>
        <v/>
      </c>
      <c r="AT39" s="897" t="str">
        <f>IF(OR(AQ39="3G",AQ39="5G"),"",VLOOKUP(AR39,Consulta!$T$5:$U$25,2,FALSE))</f>
        <v/>
      </c>
      <c r="AU39" s="898" t="s">
        <v>565</v>
      </c>
      <c r="AV39" s="689" t="s">
        <v>23</v>
      </c>
      <c r="AW39" s="689" t="s">
        <v>564</v>
      </c>
      <c r="AX39" s="689">
        <f t="shared" si="30"/>
        <v>20</v>
      </c>
      <c r="AY39" s="690" t="s">
        <v>24</v>
      </c>
      <c r="AZ39" s="531"/>
      <c r="BA39" s="531">
        <f>IF(AND(J39="Cobre",F39="Monofásico"),VLOOKUP(M39,'Iz''s'!$B$8:$E$23,2,FALSE),IF(AND(J39="Cobre",F39="Trifásico"),VLOOKUP(M39,'Iz''s'!$L$8:$O$23,2,FALSE),IF(AND(J39="Alumínio",F39="Monofásico"),VLOOKUP(M39,'Iz''s'!$B$25:$E$39,2,FALSE),IF(AND(J39="Alumínio",F39="Trifásico"),VLOOKUP(M39,'Iz''s'!$L$25:$O$39,2,FALSE)))))</f>
        <v>19.5</v>
      </c>
      <c r="BB39" s="531">
        <f>IF(AND(J39="Cobre",F39="Monofásico"),VLOOKUP(M39,'Iz''s'!$CD$9:$CH$24,2,FALSE),IF(AND(J39="Cobre",F39="Trifásico"),VLOOKUP(M39,'Iz''s'!$CD$9:$CH$24,4,FALSE),IF(AND(J39="Alumínio",F39="Monofásico"),VLOOKUP(M39,'Iz''s'!$CD$26:$CH$40,2,FALSE),IF(AND(J39="Alumínio",F39="Trifásico"),VLOOKUP(M39,'Iz''s'!$CD$26:$CH$40,4,FALSE)))))</f>
        <v>18.5</v>
      </c>
      <c r="BC39" s="531">
        <f>IF(AND(J39="Cobre",F39="Monofásico"),VLOOKUP(M39,'Iz''s'!$B$8:$E$23,3,FALSE),IF(AND(J39="Cobre",F39="Trifásico"),VLOOKUP(M39,'Iz''s'!$L$8:$O$23,3,FALSE),IF(AND(J39="Alumínio",F39="Monofásico"),VLOOKUP(M39,'Iz''s'!$B$25:$E$39,3,FALSE),IF(AND(J39="Alumínio",F39="Trifásico"),VLOOKUP(M39,'Iz''s'!$L$25:$O$39,3,FALSE)))))</f>
        <v>24</v>
      </c>
      <c r="BD39" s="531">
        <f>IF(AND(J39="Cobre",F39="Monofásico"),VLOOKUP(M39,'Iz''s'!$CD$9:$CH$24,3,FALSE),IF(AND(J39="Cobre",F39="Trifásico"),VLOOKUP(M39,'Iz''s'!$CD$9:$CH$24,5,FALSE),IF(AND(J39="Alumínio",F39="Monofásico"),VLOOKUP(M39,'Iz''s'!$CD$26:$CH$40,3,FALSE),IF(AND(J39="Alumínio",F39="Trifásico"),VLOOKUP(M39,'Iz''s'!$CD$26:$CH$40,5,FALSE)))))</f>
        <v>23</v>
      </c>
      <c r="BE39" s="531">
        <f>IF(AND(J39="Cobre",F39="Monofásico"),VLOOKUP(M39,'Iz''s'!$B$8:$E$23,4,FALSE),IF(AND(J39="Cobre",F39="Trifásico"),VLOOKUP(M39,'Iz''s'!$L$8:$O$23,4,FALSE),IF(AND(J39="Alumínio",F39="Monofásico"),VLOOKUP(M39,'Iz''s'!$B$25:$E$39,4,FALSE),IF(AND(J39="Alumínio",F39="Trifásico"),VLOOKUP(M39,'Iz''s'!$L$25:$O$39,4,FALSE)))))</f>
        <v>27</v>
      </c>
      <c r="BF39" s="531">
        <f>IF(AND(J39="Cobre",F39="Monofásico"),VLOOKUP(M39,'Iz''s'!$CP$9:$CT$24,3,FALSE),IF(AND(J39="Cobre",F39="Trifásico"),VLOOKUP(M39,'Iz''s'!$CP$9:$CT$24,2,FALSE),IF(AND(J39="Alumínio",F39="Monofásico"),VLOOKUP(M39,'Iz''s'!$CP$26:$CT$37,3,FALSE),IF(AND(J39="Alumínio",F39="Trifásico"),VLOOKUP(M39,'Iz''s'!$CP$26:$CT$37,2,FALSE)))))</f>
        <v>42</v>
      </c>
      <c r="BG39" s="531">
        <f>IF(AND(J39="Cobre",F39="Monofásico"),VLOOKUP(M39,'Iz''s'!$AT$10:$BA$28,2,FALSE),IF(AND(J39="Cobre",F39="Trifásico"),VLOOKUP(M39,'Iz''s'!$AT$10:$BA$28,3,FALSE),IF(AND(J39="Alumínio",F39="Monofásico"),VLOOKUP(M39,'Iz''s'!$BC$10:$BJ$27,2,FALSE),IF(AND(J39="Alumínio",F39="Trifásico"),VLOOKUP(M39,'Iz''s'!$BC$10:$BJ$27,3,FALSE)))))</f>
        <v>30</v>
      </c>
      <c r="BH39" s="609" t="str">
        <f>IF(AND(J39="Cobre",F39="Monofásico"),VLOOKUP(M39,'Iz''s'!$AT$10:$BA$28,4,FALSE),IF(AND(J39="Cobre",F39="Trifásico"),VLOOKUP(M39,'Iz''s'!$AT$10:$BA$28,5,FALSE),IF(AND(J39="Alumínio",F39="Monofásico"),VLOOKUP(M39,'Iz''s'!$BC$10:$BJ$27,4,FALSE),IF(AND(J39="Alumínio",F39="Trifásico"),VLOOKUP(M39,'Iz''s'!$BC$10:$BJ$27,5,FALSE)))))</f>
        <v xml:space="preserve"> --- </v>
      </c>
      <c r="BI39" s="609" t="str">
        <f>IF(AND(J39="Cobre",F39="Monofásico"),"N/A",IF(AND(J39="Cobre",F39="Trifásico"),VLOOKUP(M39,'Iz''s'!$AT$10:$BA$28,8,FALSE),IF(AND(J39="Alumínio",F39="Monofásico"),"N/A",IF(AND(J39="Alumínio",F39="Trifásico"),VLOOKUP(M39,'Iz''s'!$BC$10:$BJ$27,8,FALSE)))))</f>
        <v>N/A</v>
      </c>
      <c r="BJ39" s="531">
        <f>IF(AND(J39="Cobre",F39="Monofásico"),VLOOKUP(M39,'Iz''s'!$G$8:$J$23,2,FALSE),IF(AND(J39="Cobre",F39="Trifásico"),VLOOKUP(M39,'Iz''s'!$Q$8:$T$23,2,FALSE),IF(AND(J39="Alumínio",F39="Monofásico"),VLOOKUP(M39,'Iz''s'!$G$25:$J$39,2,FALSE),IF(AND(J39="Alumínio",F39="Trifásico"),VLOOKUP(M39,'Iz''s'!$Q$25:$T$39,2,FALSE)))))</f>
        <v>26</v>
      </c>
      <c r="BK39" s="609">
        <f>IF(AND(J39="Cobre",F39="Monofásico"),VLOOKUP(M39,'Iz''s'!$CJ$9:$CN$24,2,FALSE),IF(AND(J39="Cobre",F39="Trifásico"),VLOOKUP(M39,'Iz''s'!$CJ$9:$CN$24,4,FALSE),IF(AND(J39="Alumínio",F39="Monofásico"),VLOOKUP(M39,'Iz''s'!$CJ$26:$CN$40,2,FALSE),IF(AND(J39="Alumínio",F39="Trifásico"),VLOOKUP(M39,'Iz''s'!$CJ$26:$CN$40,4,FALSE)))))</f>
        <v>25</v>
      </c>
      <c r="BL39" s="609">
        <f>IF(AND(J39="Cobre",F39="Monofásico"),VLOOKUP(M39,'Iz''s'!$G$8:$J$23,3,FALSE),IF(AND(J39="Cobre",F39="Trifásico"),VLOOKUP(M39,'Iz''s'!$Q$8:$T$23,3,FALSE),IF(AND(J39="Alumínio",F39="Monofásico"),VLOOKUP(M39,'Iz''s'!$G$25:$J$39,3,FALSE),IF(AND(J39="Alumínio",F39="Trifásico"),VLOOKUP(M39,'Iz''s'!$Q$25:$T$39,3,FALSE)))))</f>
        <v>31</v>
      </c>
      <c r="BM39" s="609">
        <f>IF(AND(J39="Cobre",F39="Monofásico"),VLOOKUP(M39,'Iz''s'!$CJ$9:$CN$24,3,FALSE),IF(AND(J39="Cobre",F39="Trifásico"),VLOOKUP(M39,'Iz''s'!$CJ$9:$CN$24,5,FALSE),IF(AND(J39="Alumínio",F39="Monofásico"),VLOOKUP(M39,'Iz''s'!$CJ$26:$CN$40,3,FALSE),IF(AND(J39="Alumínio",F39="Trifásico"),VLOOKUP(M39,'Iz''s'!$CJ$26:$CN$40,5,FALSE)))))</f>
        <v>30</v>
      </c>
      <c r="BN39" s="609">
        <f>IF(AND(J39="Cobre",F39="Monofásico"),VLOOKUP(M39,'Iz''s'!$G$8:$J$23,4,FALSE),IF(AND(J39="Cobre",F39="Trifásico"),VLOOKUP(M39,'Iz''s'!$Q$8:$T$23,4,FALSE),IF(AND(J39="Alumínio",F39="Monofásico"),VLOOKUP(M39,'Iz''s'!$G$25:$J$39,4,FALSE),IF(AND(J39="Alumínio",F39="Trifásico"),VLOOKUP(M39,'Iz''s'!$Q$25:$T$39,4,FALSE)))))</f>
        <v>33</v>
      </c>
      <c r="BO39" s="609">
        <f>IF(AND(J39="Cobre",F39="Monofásico"),VLOOKUP(M39,'Iz''s'!$CP$9:$CT$24,5,FALSE),IF(AND(J39="Cobre",F39="Trifásico"),VLOOKUP(M39,'Iz''s'!$CP$9:$CT$24,4,FALSE),IF(AND(J39="Alumínio",F39="Monofásico"),VLOOKUP(M39,'Iz''s'!$CP$26:$CT$37,5,FALSE),IF(AND(J39="Alumínio",F39="Trifásico"),VLOOKUP(M39,'Iz''s'!$CP$26:$CT$37,4,FALSE)))))</f>
        <v>48</v>
      </c>
      <c r="BP39" s="609">
        <f>IF(AND(J39="Cobre",F39="Monofásico"),VLOOKUP(M39,'Iz''s'!$BL$10:$BS$28,2,FALSE),IF(AND(J39="Cobre",F39="Trifásico"),VLOOKUP(M39,'Iz''s'!$BL$10:$BS$28,3,FALSE),IF(AND(J39="Alumínio",F39="Monofásico"),VLOOKUP(M39,'Iz''s'!$BU$10:$CB$27,2,FALSE),IF(AND(J39="Alumínio",F39="Trifásico"),VLOOKUP(M39,'Iz''s'!$BU$10:$CB$27,3,FALSE)))))</f>
        <v>36</v>
      </c>
      <c r="BQ39" s="531" t="str">
        <f>IF(AND(J39="Cobre",F39="Monofásico"),VLOOKUP(M39,'Iz''s'!$BL$10:$BS$28,4,FALSE),IF(AND(J39="Cobre",F39="Trifásico"),VLOOKUP(M39,'Iz''s'!$BL$10:$BS$28,5,FALSE),IF(AND(J39="Alumínio",F39="Monofásico"),VLOOKUP(M39,'Iz''s'!$BU$10:$CB$27,4,FALSE),IF(AND(J39="Alumínio",F39="Trifásico"),VLOOKUP(M39,'Iz''s'!$BU$10:$CB$27,5,FALSE)))))</f>
        <v xml:space="preserve"> --- </v>
      </c>
      <c r="BR39" s="609" t="str">
        <f>IF(AND(J39="Cobre",F39="Monofásico"),"N/A",IF(AND(J39="Cobre",F39="Trifásico"),VLOOKUP(M39,'Iz''s'!$BL$10:$BS$28,8,FALSE),IF(AND(J39="Alumínio",F39="Monofásico"),"N/A",IF(AND(J39="Alumínio",F39="Trifásico"),VLOOKUP(M39,'Iz''s'!$BU$10:$CB$27,8,FALSE)))))</f>
        <v>N/A</v>
      </c>
      <c r="BS39" s="609">
        <f>IF(AND(J39="Cobre",F39="Monofásico"),VLOOKUP(M39,'Iz''s'!$V$14:$Y$28,2,FALSE),IF(AND(J39="Cobre",F39="Trifásico"),VLOOKUP(M39,'Iz''s'!$V$14:$Y$28,3,FALSE),IF(AND(J39="Alumínio",F39="Monofásico"),VLOOKUP(M39,"N/A",4,FALSE),IF(AND(J39="Alumínio",F39="Trifásico"),VLOOKUP(M39,"N/A",4,FALSE)))))</f>
        <v>34</v>
      </c>
      <c r="BT39" s="609">
        <f>IF(AND(J39="Cobre",F39="Monofásico"),VLOOKUP(M39,'Iz''s'!$AF$15:$AK$29,2,FALSE),IF(AND(J39="Cobre",F39="Trifásico"),VLOOKUP(M39,'Iz''s'!$AF$15:$AK$29,3,FALSE),IF(AND(J39="Alumínio",F39="Monofásico"),"N/A",IF(AND(J39="Alumínio",F39="Trifásico"),"N/A"))))</f>
        <v>36</v>
      </c>
      <c r="BU39" s="609">
        <f>IF(AND(J39="Cobre",F39="Monofásico"),VLOOKUP(M39,'Iz''s'!$AF$15:$AK$29,2,FALSE),IF(AND(J39="Cobre",F39="Trifásico"),VLOOKUP(M39,'Iz''s'!$AF$15:$AK$29,3,FALSE),IF(AND(J39="Alumínio",F39="Monofásico"),"N/A",IF(AND(J39="Alumínio",F39="Trifásico"),"N/A"))))</f>
        <v>36</v>
      </c>
      <c r="BV39" s="609" t="str">
        <f>IF(AND(J39="Cobre",F39="Monofásico"),"N/A",IF(AND(J39="Cobre",F39="Trifásico"),VLOOKUP(M39,'Iz''s'!$AF$15:$AK$29,6,FALSE),IF(AND(J39="Alumínio",F39="Monofásico"),"N/A",IF(AND(J39="Alumínio",F39="Trifásico"),"N/A"))))</f>
        <v>N/A</v>
      </c>
      <c r="BW39" s="609">
        <v>37</v>
      </c>
      <c r="BX39" s="532"/>
      <c r="BY39" s="592">
        <f>VLOOKUP(M39,Consulta!$W$6:$AB$23,4,FALSE)</f>
        <v>16</v>
      </c>
      <c r="BZ39" s="592">
        <f>VLOOKUP(M39,Consulta!$W$6:$AB$23,6,FALSE)</f>
        <v>20</v>
      </c>
      <c r="CA39" s="592">
        <f>VLOOKUP(M39,Consulta!$AK$6:$AP$23,4,FALSE)</f>
        <v>20</v>
      </c>
      <c r="CB39" s="592">
        <f>VLOOKUP(M39,Consulta!$AK$6:$AP$23,6,FALSE)</f>
        <v>25</v>
      </c>
      <c r="CC39" s="529" t="e">
        <f>VLOOKUP(M39,Consulta!$AD$6:$AI$19,4,FALSE)</f>
        <v>#N/A</v>
      </c>
      <c r="CD39" s="529" t="e">
        <f>VLOOKUP(M39,Consulta!$AD$6:$AI$19,6,FALSE)</f>
        <v>#N/A</v>
      </c>
      <c r="CE39" s="529" t="e">
        <f>VLOOKUP(M39,Consulta!$AR$6:$AW$19,4,FALSE)</f>
        <v>#N/A</v>
      </c>
      <c r="CF39" s="529" t="e">
        <f>VLOOKUP(M39,Consulta!$AR$6:$AW$19,6,FALSE)</f>
        <v>#N/A</v>
      </c>
      <c r="CG39" s="764"/>
      <c r="CH39" s="764"/>
      <c r="CI39" s="764"/>
      <c r="CJ39" s="764"/>
      <c r="CK39" s="764"/>
      <c r="CL39" s="764"/>
      <c r="CM39" s="764"/>
      <c r="CN39" s="764"/>
      <c r="CO39" s="764"/>
      <c r="CP39" s="764"/>
      <c r="CQ39" s="764"/>
      <c r="CR39" s="764"/>
      <c r="CS39" s="764"/>
      <c r="CT39" s="764"/>
      <c r="CU39" s="764"/>
      <c r="CV39" s="764"/>
      <c r="CW39" s="764"/>
      <c r="CX39" s="764"/>
      <c r="CY39" s="764"/>
      <c r="CZ39" s="764"/>
      <c r="DA39" s="764"/>
      <c r="DB39" s="764"/>
      <c r="DC39" s="764"/>
      <c r="DD39" s="764"/>
      <c r="DE39" s="764"/>
      <c r="DF39" s="764"/>
      <c r="DG39" s="764"/>
      <c r="DH39" s="764"/>
      <c r="DI39" s="764"/>
      <c r="DJ39" s="764"/>
      <c r="DK39" s="764"/>
      <c r="DL39" s="764"/>
      <c r="DM39" s="764"/>
      <c r="DN39" s="764"/>
      <c r="DO39" s="764"/>
      <c r="DP39" s="764"/>
      <c r="DQ39" s="764"/>
      <c r="DR39" s="764"/>
      <c r="DS39" s="764"/>
      <c r="DT39" s="764"/>
      <c r="DU39" s="764"/>
      <c r="DV39" s="764"/>
      <c r="DW39" s="764"/>
      <c r="DX39" s="764"/>
      <c r="DY39" s="764"/>
      <c r="DZ39" s="764"/>
      <c r="EA39" s="764"/>
      <c r="EB39" s="764"/>
      <c r="EC39" s="764"/>
      <c r="ED39" s="764"/>
      <c r="EE39" s="764"/>
      <c r="EF39" s="764"/>
      <c r="EG39" s="764"/>
      <c r="EH39" s="764"/>
      <c r="EI39" s="764"/>
      <c r="EJ39" s="764"/>
      <c r="EK39" s="764"/>
      <c r="EL39" s="764"/>
      <c r="EM39" s="764"/>
      <c r="EN39" s="764"/>
      <c r="EO39" s="764"/>
      <c r="EP39" s="764"/>
      <c r="EQ39" s="764"/>
      <c r="ER39" s="764"/>
      <c r="ES39" s="764"/>
      <c r="ET39" s="764"/>
      <c r="EU39" s="764"/>
      <c r="EV39" s="764"/>
      <c r="EW39" s="764"/>
      <c r="EX39" s="764"/>
      <c r="EY39" s="764"/>
      <c r="EZ39" s="764"/>
      <c r="FA39" s="764"/>
      <c r="FB39" s="764"/>
      <c r="FC39" s="764"/>
      <c r="FD39" s="764"/>
      <c r="FE39" s="764"/>
      <c r="FF39" s="764"/>
      <c r="FG39" s="764"/>
      <c r="FH39" s="764"/>
      <c r="FI39" s="764"/>
      <c r="FJ39" s="764"/>
      <c r="FK39" s="764"/>
      <c r="FL39" s="764"/>
      <c r="FM39" s="764"/>
      <c r="FN39" s="764"/>
      <c r="FO39" s="764"/>
      <c r="FP39" s="764"/>
      <c r="FQ39" s="764"/>
      <c r="FR39" s="764"/>
      <c r="FS39" s="764"/>
      <c r="FT39" s="764"/>
      <c r="FU39" s="764"/>
      <c r="FV39" s="764"/>
      <c r="FW39" s="764"/>
      <c r="FX39" s="764"/>
      <c r="FY39" s="764"/>
      <c r="FZ39" s="764"/>
      <c r="GA39" s="764"/>
      <c r="GB39" s="764"/>
      <c r="GC39" s="764"/>
      <c r="GD39" s="764"/>
      <c r="GE39" s="764"/>
      <c r="GF39" s="764"/>
      <c r="GG39" s="764"/>
      <c r="GH39" s="764"/>
      <c r="GI39" s="764"/>
      <c r="GJ39" s="764"/>
      <c r="GK39" s="764"/>
      <c r="GL39" s="764"/>
      <c r="GM39" s="764"/>
      <c r="GN39" s="764"/>
      <c r="GO39" s="764"/>
      <c r="GP39" s="764"/>
      <c r="GQ39" s="764"/>
      <c r="GR39" s="764"/>
      <c r="GS39" s="764"/>
      <c r="GT39" s="764"/>
      <c r="GU39" s="764"/>
      <c r="GV39" s="764"/>
      <c r="GW39" s="764"/>
      <c r="GX39" s="764"/>
      <c r="GY39" s="764"/>
      <c r="GZ39" s="764"/>
      <c r="HA39" s="764"/>
      <c r="HB39" s="764"/>
      <c r="HC39" s="764"/>
      <c r="HD39" s="764"/>
    </row>
    <row r="40" spans="2:212" s="552" customFormat="1" ht="16.5" customHeight="1" x14ac:dyDescent="0.2">
      <c r="B40" s="1126"/>
      <c r="C40" s="819" t="s">
        <v>792</v>
      </c>
      <c r="D40" s="684">
        <v>3.6</v>
      </c>
      <c r="E40" s="684">
        <f>5.26+3.068+2.62+0.8</f>
        <v>11.748000000000001</v>
      </c>
      <c r="F40" s="684" t="s">
        <v>244</v>
      </c>
      <c r="G40" s="684" t="s">
        <v>808</v>
      </c>
      <c r="H40" s="684">
        <v>1</v>
      </c>
      <c r="I40" s="760" t="s">
        <v>13</v>
      </c>
      <c r="J40" s="684" t="s">
        <v>242</v>
      </c>
      <c r="K40" s="684" t="s">
        <v>363</v>
      </c>
      <c r="L40" s="684">
        <v>1</v>
      </c>
      <c r="M40" s="685">
        <v>2.5</v>
      </c>
      <c r="N40" s="684" t="s">
        <v>453</v>
      </c>
      <c r="O40" s="684">
        <v>4</v>
      </c>
      <c r="P40" s="555">
        <f t="shared" si="62"/>
        <v>23</v>
      </c>
      <c r="Q40" s="684">
        <v>3</v>
      </c>
      <c r="R40" s="684">
        <v>0.7</v>
      </c>
      <c r="S40" s="555">
        <f t="shared" si="55"/>
        <v>15.652173913043478</v>
      </c>
      <c r="T40" s="696">
        <f t="shared" si="56"/>
        <v>16.099999999999998</v>
      </c>
      <c r="U40" s="684" t="s">
        <v>499</v>
      </c>
      <c r="V40" s="555">
        <v>16</v>
      </c>
      <c r="W40" s="684">
        <f>IF(U40="C.C.Fusíveis",VLOOKUP(V40,Consulta!$L$5:$N$31,3,FALSE),VLOOKUP(V40,Consulta!$P$5:$R$34,3,FALSE))</f>
        <v>21.6</v>
      </c>
      <c r="X40" s="698">
        <f t="shared" si="10"/>
        <v>34</v>
      </c>
      <c r="Y40" s="761">
        <f t="shared" si="51"/>
        <v>0.97218471509586835</v>
      </c>
      <c r="Z40" s="689" t="str">
        <f t="shared" si="11"/>
        <v>Sim</v>
      </c>
      <c r="AA40" s="762">
        <f t="shared" si="57"/>
        <v>4.4407014575354217E-2</v>
      </c>
      <c r="AB40" s="762">
        <f t="shared" ref="AB40:AB41" si="63">(IF(J40="Cobre",(1.25*0.0225),(1.25*0.036)))*((E40/M40)/L40)</f>
        <v>0.132165</v>
      </c>
      <c r="AC40" s="762">
        <f t="shared" si="6"/>
        <v>0</v>
      </c>
      <c r="AD40" s="686">
        <f t="shared" si="58"/>
        <v>0.24479900982315089</v>
      </c>
      <c r="AE40" s="686">
        <f t="shared" si="17"/>
        <v>4.1373391304347829</v>
      </c>
      <c r="AF40" s="686">
        <f t="shared" si="18"/>
        <v>4.3821381402579336</v>
      </c>
      <c r="AG40" s="687">
        <f t="shared" si="34"/>
        <v>1.7988431001890359E-2</v>
      </c>
      <c r="AH40" s="763">
        <f t="shared" si="34"/>
        <v>1.9052774522860579E-2</v>
      </c>
      <c r="AI40" s="686">
        <f t="shared" si="7"/>
        <v>1.3025846737555615</v>
      </c>
      <c r="AJ40" s="684">
        <v>3</v>
      </c>
      <c r="AK40" s="686">
        <v>0.1</v>
      </c>
      <c r="AL40" s="698">
        <f t="shared" si="59"/>
        <v>115</v>
      </c>
      <c r="AM40" s="686">
        <f t="shared" ref="AM40:AM41" si="64">((AI40*1000)*SQRT(AK40))/AL40</f>
        <v>3.5818560124303729</v>
      </c>
      <c r="AN40" s="689">
        <f t="shared" si="52"/>
        <v>1</v>
      </c>
      <c r="AO40" s="688" t="s">
        <v>563</v>
      </c>
      <c r="AP40" s="689" t="s">
        <v>523</v>
      </c>
      <c r="AQ40" s="689" t="str">
        <f t="shared" si="53"/>
        <v>3G</v>
      </c>
      <c r="AR40" s="689">
        <f t="shared" si="61"/>
        <v>2.5</v>
      </c>
      <c r="AS40" s="897" t="str">
        <f t="shared" si="8"/>
        <v/>
      </c>
      <c r="AT40" s="897" t="str">
        <f>IF(OR(AQ40="3G",AQ40="5G"),"",VLOOKUP(AR40,Consulta!$T$5:$U$25,2,FALSE))</f>
        <v/>
      </c>
      <c r="AU40" s="898" t="s">
        <v>565</v>
      </c>
      <c r="AV40" s="689" t="s">
        <v>23</v>
      </c>
      <c r="AW40" s="689" t="s">
        <v>564</v>
      </c>
      <c r="AX40" s="689">
        <f t="shared" si="30"/>
        <v>20</v>
      </c>
      <c r="AY40" s="690" t="s">
        <v>24</v>
      </c>
      <c r="AZ40" s="531"/>
      <c r="BA40" s="531">
        <f>IF(AND(J40="Cobre",F40="Monofásico"),VLOOKUP(M40,'Iz''s'!$B$8:$E$23,2,FALSE),IF(AND(J40="Cobre",F40="Trifásico"),VLOOKUP(M40,'Iz''s'!$L$8:$O$23,2,FALSE),IF(AND(J40="Alumínio",F40="Monofásico"),VLOOKUP(M40,'Iz''s'!$B$25:$E$39,2,FALSE),IF(AND(J40="Alumínio",F40="Trifásico"),VLOOKUP(M40,'Iz''s'!$L$25:$O$39,2,FALSE)))))</f>
        <v>19.5</v>
      </c>
      <c r="BB40" s="531">
        <f>IF(AND(J40="Cobre",F40="Monofásico"),VLOOKUP(M40,'Iz''s'!$CD$9:$CH$24,2,FALSE),IF(AND(J40="Cobre",F40="Trifásico"),VLOOKUP(M40,'Iz''s'!$CD$9:$CH$24,4,FALSE),IF(AND(J40="Alumínio",F40="Monofásico"),VLOOKUP(M40,'Iz''s'!$CD$26:$CH$40,2,FALSE),IF(AND(J40="Alumínio",F40="Trifásico"),VLOOKUP(M40,'Iz''s'!$CD$26:$CH$40,4,FALSE)))))</f>
        <v>18.5</v>
      </c>
      <c r="BC40" s="531">
        <f>IF(AND(J40="Cobre",F40="Monofásico"),VLOOKUP(M40,'Iz''s'!$B$8:$E$23,3,FALSE),IF(AND(J40="Cobre",F40="Trifásico"),VLOOKUP(M40,'Iz''s'!$L$8:$O$23,3,FALSE),IF(AND(J40="Alumínio",F40="Monofásico"),VLOOKUP(M40,'Iz''s'!$B$25:$E$39,3,FALSE),IF(AND(J40="Alumínio",F40="Trifásico"),VLOOKUP(M40,'Iz''s'!$L$25:$O$39,3,FALSE)))))</f>
        <v>24</v>
      </c>
      <c r="BD40" s="531">
        <f>IF(AND(J40="Cobre",F40="Monofásico"),VLOOKUP(M40,'Iz''s'!$CD$9:$CH$24,3,FALSE),IF(AND(J40="Cobre",F40="Trifásico"),VLOOKUP(M40,'Iz''s'!$CD$9:$CH$24,5,FALSE),IF(AND(J40="Alumínio",F40="Monofásico"),VLOOKUP(M40,'Iz''s'!$CD$26:$CH$40,3,FALSE),IF(AND(J40="Alumínio",F40="Trifásico"),VLOOKUP(M40,'Iz''s'!$CD$26:$CH$40,5,FALSE)))))</f>
        <v>23</v>
      </c>
      <c r="BE40" s="531">
        <f>IF(AND(J40="Cobre",F40="Monofásico"),VLOOKUP(M40,'Iz''s'!$B$8:$E$23,4,FALSE),IF(AND(J40="Cobre",F40="Trifásico"),VLOOKUP(M40,'Iz''s'!$L$8:$O$23,4,FALSE),IF(AND(J40="Alumínio",F40="Monofásico"),VLOOKUP(M40,'Iz''s'!$B$25:$E$39,4,FALSE),IF(AND(J40="Alumínio",F40="Trifásico"),VLOOKUP(M40,'Iz''s'!$L$25:$O$39,4,FALSE)))))</f>
        <v>27</v>
      </c>
      <c r="BF40" s="531">
        <f>IF(AND(J40="Cobre",F40="Monofásico"),VLOOKUP(M40,'Iz''s'!$CP$9:$CT$24,3,FALSE),IF(AND(J40="Cobre",F40="Trifásico"),VLOOKUP(M40,'Iz''s'!$CP$9:$CT$24,2,FALSE),IF(AND(J40="Alumínio",F40="Monofásico"),VLOOKUP(M40,'Iz''s'!$CP$26:$CT$37,3,FALSE),IF(AND(J40="Alumínio",F40="Trifásico"),VLOOKUP(M40,'Iz''s'!$CP$26:$CT$37,2,FALSE)))))</f>
        <v>42</v>
      </c>
      <c r="BG40" s="531">
        <f>IF(AND(J40="Cobre",F40="Monofásico"),VLOOKUP(M40,'Iz''s'!$AT$10:$BA$28,2,FALSE),IF(AND(J40="Cobre",F40="Trifásico"),VLOOKUP(M40,'Iz''s'!$AT$10:$BA$28,3,FALSE),IF(AND(J40="Alumínio",F40="Monofásico"),VLOOKUP(M40,'Iz''s'!$BC$10:$BJ$27,2,FALSE),IF(AND(J40="Alumínio",F40="Trifásico"),VLOOKUP(M40,'Iz''s'!$BC$10:$BJ$27,3,FALSE)))))</f>
        <v>30</v>
      </c>
      <c r="BH40" s="609" t="str">
        <f>IF(AND(J40="Cobre",F40="Monofásico"),VLOOKUP(M40,'Iz''s'!$AT$10:$BA$28,4,FALSE),IF(AND(J40="Cobre",F40="Trifásico"),VLOOKUP(M40,'Iz''s'!$AT$10:$BA$28,5,FALSE),IF(AND(J40="Alumínio",F40="Monofásico"),VLOOKUP(M40,'Iz''s'!$BC$10:$BJ$27,4,FALSE),IF(AND(J40="Alumínio",F40="Trifásico"),VLOOKUP(M40,'Iz''s'!$BC$10:$BJ$27,5,FALSE)))))</f>
        <v xml:space="preserve"> --- </v>
      </c>
      <c r="BI40" s="609" t="str">
        <f>IF(AND(J40="Cobre",F40="Monofásico"),"N/A",IF(AND(J40="Cobre",F40="Trifásico"),VLOOKUP(M40,'Iz''s'!$AT$10:$BA$28,8,FALSE),IF(AND(J40="Alumínio",F40="Monofásico"),"N/A",IF(AND(J40="Alumínio",F40="Trifásico"),VLOOKUP(M40,'Iz''s'!$BC$10:$BJ$27,8,FALSE)))))</f>
        <v>N/A</v>
      </c>
      <c r="BJ40" s="531">
        <f>IF(AND(J40="Cobre",F40="Monofásico"),VLOOKUP(M40,'Iz''s'!$G$8:$J$23,2,FALSE),IF(AND(J40="Cobre",F40="Trifásico"),VLOOKUP(M40,'Iz''s'!$Q$8:$T$23,2,FALSE),IF(AND(J40="Alumínio",F40="Monofásico"),VLOOKUP(M40,'Iz''s'!$G$25:$J$39,2,FALSE),IF(AND(J40="Alumínio",F40="Trifásico"),VLOOKUP(M40,'Iz''s'!$Q$25:$T$39,2,FALSE)))))</f>
        <v>26</v>
      </c>
      <c r="BK40" s="609">
        <f>IF(AND(J40="Cobre",F40="Monofásico"),VLOOKUP(M40,'Iz''s'!$CJ$9:$CN$24,2,FALSE),IF(AND(J40="Cobre",F40="Trifásico"),VLOOKUP(M40,'Iz''s'!$CJ$9:$CN$24,4,FALSE),IF(AND(J40="Alumínio",F40="Monofásico"),VLOOKUP(M40,'Iz''s'!$CJ$26:$CN$40,2,FALSE),IF(AND(J40="Alumínio",F40="Trifásico"),VLOOKUP(M40,'Iz''s'!$CJ$26:$CN$40,4,FALSE)))))</f>
        <v>25</v>
      </c>
      <c r="BL40" s="609">
        <f>IF(AND(J40="Cobre",F40="Monofásico"),VLOOKUP(M40,'Iz''s'!$G$8:$J$23,3,FALSE),IF(AND(J40="Cobre",F40="Trifásico"),VLOOKUP(M40,'Iz''s'!$Q$8:$T$23,3,FALSE),IF(AND(J40="Alumínio",F40="Monofásico"),VLOOKUP(M40,'Iz''s'!$G$25:$J$39,3,FALSE),IF(AND(J40="Alumínio",F40="Trifásico"),VLOOKUP(M40,'Iz''s'!$Q$25:$T$39,3,FALSE)))))</f>
        <v>31</v>
      </c>
      <c r="BM40" s="609">
        <f>IF(AND(J40="Cobre",F40="Monofásico"),VLOOKUP(M40,'Iz''s'!$CJ$9:$CN$24,3,FALSE),IF(AND(J40="Cobre",F40="Trifásico"),VLOOKUP(M40,'Iz''s'!$CJ$9:$CN$24,5,FALSE),IF(AND(J40="Alumínio",F40="Monofásico"),VLOOKUP(M40,'Iz''s'!$CJ$26:$CN$40,3,FALSE),IF(AND(J40="Alumínio",F40="Trifásico"),VLOOKUP(M40,'Iz''s'!$CJ$26:$CN$40,5,FALSE)))))</f>
        <v>30</v>
      </c>
      <c r="BN40" s="609">
        <f>IF(AND(J40="Cobre",F40="Monofásico"),VLOOKUP(M40,'Iz''s'!$G$8:$J$23,4,FALSE),IF(AND(J40="Cobre",F40="Trifásico"),VLOOKUP(M40,'Iz''s'!$Q$8:$T$23,4,FALSE),IF(AND(J40="Alumínio",F40="Monofásico"),VLOOKUP(M40,'Iz''s'!$G$25:$J$39,4,FALSE),IF(AND(J40="Alumínio",F40="Trifásico"),VLOOKUP(M40,'Iz''s'!$Q$25:$T$39,4,FALSE)))))</f>
        <v>33</v>
      </c>
      <c r="BO40" s="609">
        <f>IF(AND(J40="Cobre",F40="Monofásico"),VLOOKUP(M40,'Iz''s'!$CP$9:$CT$24,5,FALSE),IF(AND(J40="Cobre",F40="Trifásico"),VLOOKUP(M40,'Iz''s'!$CP$9:$CT$24,4,FALSE),IF(AND(J40="Alumínio",F40="Monofásico"),VLOOKUP(M40,'Iz''s'!$CP$26:$CT$37,5,FALSE),IF(AND(J40="Alumínio",F40="Trifásico"),VLOOKUP(M40,'Iz''s'!$CP$26:$CT$37,4,FALSE)))))</f>
        <v>48</v>
      </c>
      <c r="BP40" s="609">
        <f>IF(AND(J40="Cobre",F40="Monofásico"),VLOOKUP(M40,'Iz''s'!$BL$10:$BS$28,2,FALSE),IF(AND(J40="Cobre",F40="Trifásico"),VLOOKUP(M40,'Iz''s'!$BL$10:$BS$28,3,FALSE),IF(AND(J40="Alumínio",F40="Monofásico"),VLOOKUP(M40,'Iz''s'!$BU$10:$CB$27,2,FALSE),IF(AND(J40="Alumínio",F40="Trifásico"),VLOOKUP(M40,'Iz''s'!$BU$10:$CB$27,3,FALSE)))))</f>
        <v>36</v>
      </c>
      <c r="BQ40" s="531" t="str">
        <f>IF(AND(J40="Cobre",F40="Monofásico"),VLOOKUP(M40,'Iz''s'!$BL$10:$BS$28,4,FALSE),IF(AND(J40="Cobre",F40="Trifásico"),VLOOKUP(M40,'Iz''s'!$BL$10:$BS$28,5,FALSE),IF(AND(J40="Alumínio",F40="Monofásico"),VLOOKUP(M40,'Iz''s'!$BU$10:$CB$27,4,FALSE),IF(AND(J40="Alumínio",F40="Trifásico"),VLOOKUP(M40,'Iz''s'!$BU$10:$CB$27,5,FALSE)))))</f>
        <v xml:space="preserve"> --- </v>
      </c>
      <c r="BR40" s="609" t="str">
        <f>IF(AND(J40="Cobre",F40="Monofásico"),"N/A",IF(AND(J40="Cobre",F40="Trifásico"),VLOOKUP(M40,'Iz''s'!$BL$10:$BS$28,8,FALSE),IF(AND(J40="Alumínio",F40="Monofásico"),"N/A",IF(AND(J40="Alumínio",F40="Trifásico"),VLOOKUP(M40,'Iz''s'!$BU$10:$CB$27,8,FALSE)))))</f>
        <v>N/A</v>
      </c>
      <c r="BS40" s="609">
        <f>IF(AND(J40="Cobre",F40="Monofásico"),VLOOKUP(M40,'Iz''s'!$V$14:$Y$28,2,FALSE),IF(AND(J40="Cobre",F40="Trifásico"),VLOOKUP(M40,'Iz''s'!$V$14:$Y$28,3,FALSE),IF(AND(J40="Alumínio",F40="Monofásico"),VLOOKUP(M40,"N/A",4,FALSE),IF(AND(J40="Alumínio",F40="Trifásico"),VLOOKUP(M40,"N/A",4,FALSE)))))</f>
        <v>34</v>
      </c>
      <c r="BT40" s="609">
        <f>IF(AND(J40="Cobre",F40="Monofásico"),VLOOKUP(M40,'Iz''s'!$AF$15:$AK$29,2,FALSE),IF(AND(J40="Cobre",F40="Trifásico"),VLOOKUP(M40,'Iz''s'!$AF$15:$AK$29,3,FALSE),IF(AND(J40="Alumínio",F40="Monofásico"),"N/A",IF(AND(J40="Alumínio",F40="Trifásico"),"N/A"))))</f>
        <v>36</v>
      </c>
      <c r="BU40" s="609">
        <f>IF(AND(J40="Cobre",F40="Monofásico"),VLOOKUP(M40,'Iz''s'!$AF$15:$AK$29,2,FALSE),IF(AND(J40="Cobre",F40="Trifásico"),VLOOKUP(M40,'Iz''s'!$AF$15:$AK$29,3,FALSE),IF(AND(J40="Alumínio",F40="Monofásico"),"N/A",IF(AND(J40="Alumínio",F40="Trifásico"),"N/A"))))</f>
        <v>36</v>
      </c>
      <c r="BV40" s="609" t="str">
        <f>IF(AND(J40="Cobre",F40="Monofásico"),"N/A",IF(AND(J40="Cobre",F40="Trifásico"),VLOOKUP(M40,'Iz''s'!$AF$15:$AK$29,6,FALSE),IF(AND(J40="Alumínio",F40="Monofásico"),"N/A",IF(AND(J40="Alumínio",F40="Trifásico"),"N/A"))))</f>
        <v>N/A</v>
      </c>
      <c r="BW40" s="609">
        <v>38</v>
      </c>
      <c r="BX40" s="532"/>
      <c r="BY40" s="592">
        <f>VLOOKUP(M40,Consulta!$W$6:$AB$23,4,FALSE)</f>
        <v>16</v>
      </c>
      <c r="BZ40" s="592">
        <f>VLOOKUP(M40,Consulta!$W$6:$AB$23,6,FALSE)</f>
        <v>20</v>
      </c>
      <c r="CA40" s="592">
        <f>VLOOKUP(M40,Consulta!$AK$6:$AP$23,4,FALSE)</f>
        <v>20</v>
      </c>
      <c r="CB40" s="592">
        <f>VLOOKUP(M40,Consulta!$AK$6:$AP$23,6,FALSE)</f>
        <v>25</v>
      </c>
      <c r="CC40" s="529" t="e">
        <f>VLOOKUP(M40,Consulta!$AD$6:$AI$19,4,FALSE)</f>
        <v>#N/A</v>
      </c>
      <c r="CD40" s="529" t="e">
        <f>VLOOKUP(M40,Consulta!$AD$6:$AI$19,6,FALSE)</f>
        <v>#N/A</v>
      </c>
      <c r="CE40" s="529" t="e">
        <f>VLOOKUP(M40,Consulta!$AR$6:$AW$19,4,FALSE)</f>
        <v>#N/A</v>
      </c>
      <c r="CF40" s="529" t="e">
        <f>VLOOKUP(M40,Consulta!$AR$6:$AW$19,6,FALSE)</f>
        <v>#N/A</v>
      </c>
      <c r="CG40" s="764"/>
      <c r="CH40" s="764"/>
      <c r="CI40" s="764"/>
      <c r="CJ40" s="764"/>
      <c r="CK40" s="764"/>
      <c r="CL40" s="764"/>
      <c r="CM40" s="764"/>
      <c r="CN40" s="764"/>
      <c r="CO40" s="764"/>
      <c r="CP40" s="764"/>
      <c r="CQ40" s="764"/>
      <c r="CR40" s="764"/>
      <c r="CS40" s="764"/>
      <c r="CT40" s="764"/>
      <c r="CU40" s="764"/>
      <c r="CV40" s="764"/>
      <c r="CW40" s="764"/>
      <c r="CX40" s="764"/>
      <c r="CY40" s="764"/>
      <c r="CZ40" s="764"/>
      <c r="DA40" s="764"/>
      <c r="DB40" s="764"/>
      <c r="DC40" s="764"/>
      <c r="DD40" s="764"/>
      <c r="DE40" s="764"/>
      <c r="DF40" s="764"/>
      <c r="DG40" s="764"/>
      <c r="DH40" s="764"/>
      <c r="DI40" s="764"/>
      <c r="DJ40" s="764"/>
      <c r="DK40" s="764"/>
      <c r="DL40" s="764"/>
      <c r="DM40" s="764"/>
      <c r="DN40" s="764"/>
      <c r="DO40" s="764"/>
      <c r="DP40" s="764"/>
      <c r="DQ40" s="764"/>
      <c r="DR40" s="764"/>
      <c r="DS40" s="764"/>
      <c r="DT40" s="764"/>
      <c r="DU40" s="764"/>
      <c r="DV40" s="764"/>
      <c r="DW40" s="764"/>
      <c r="DX40" s="764"/>
      <c r="DY40" s="764"/>
      <c r="DZ40" s="764"/>
      <c r="EA40" s="764"/>
      <c r="EB40" s="764"/>
      <c r="EC40" s="764"/>
      <c r="ED40" s="764"/>
      <c r="EE40" s="764"/>
      <c r="EF40" s="764"/>
      <c r="EG40" s="764"/>
      <c r="EH40" s="764"/>
      <c r="EI40" s="764"/>
      <c r="EJ40" s="764"/>
      <c r="EK40" s="764"/>
      <c r="EL40" s="764"/>
      <c r="EM40" s="764"/>
      <c r="EN40" s="764"/>
      <c r="EO40" s="764"/>
      <c r="EP40" s="764"/>
      <c r="EQ40" s="764"/>
      <c r="ER40" s="764"/>
      <c r="ES40" s="764"/>
      <c r="ET40" s="764"/>
      <c r="EU40" s="764"/>
      <c r="EV40" s="764"/>
      <c r="EW40" s="764"/>
      <c r="EX40" s="764"/>
      <c r="EY40" s="764"/>
      <c r="EZ40" s="764"/>
      <c r="FA40" s="764"/>
      <c r="FB40" s="764"/>
      <c r="FC40" s="764"/>
      <c r="FD40" s="764"/>
      <c r="FE40" s="764"/>
      <c r="FF40" s="764"/>
      <c r="FG40" s="764"/>
      <c r="FH40" s="764"/>
      <c r="FI40" s="764"/>
      <c r="FJ40" s="764"/>
      <c r="FK40" s="764"/>
      <c r="FL40" s="764"/>
      <c r="FM40" s="764"/>
      <c r="FN40" s="764"/>
      <c r="FO40" s="764"/>
      <c r="FP40" s="764"/>
      <c r="FQ40" s="764"/>
      <c r="FR40" s="764"/>
      <c r="FS40" s="764"/>
      <c r="FT40" s="764"/>
      <c r="FU40" s="764"/>
      <c r="FV40" s="764"/>
      <c r="FW40" s="764"/>
      <c r="FX40" s="764"/>
      <c r="FY40" s="764"/>
      <c r="FZ40" s="764"/>
      <c r="GA40" s="764"/>
      <c r="GB40" s="764"/>
      <c r="GC40" s="764"/>
      <c r="GD40" s="764"/>
      <c r="GE40" s="764"/>
      <c r="GF40" s="764"/>
      <c r="GG40" s="764"/>
      <c r="GH40" s="764"/>
      <c r="GI40" s="764"/>
      <c r="GJ40" s="764"/>
      <c r="GK40" s="764"/>
      <c r="GL40" s="764"/>
      <c r="GM40" s="764"/>
      <c r="GN40" s="764"/>
      <c r="GO40" s="764"/>
      <c r="GP40" s="764"/>
      <c r="GQ40" s="764"/>
      <c r="GR40" s="764"/>
      <c r="GS40" s="764"/>
      <c r="GT40" s="764"/>
      <c r="GU40" s="764"/>
      <c r="GV40" s="764"/>
      <c r="GW40" s="764"/>
      <c r="GX40" s="764"/>
      <c r="GY40" s="764"/>
      <c r="GZ40" s="764"/>
      <c r="HA40" s="764"/>
      <c r="HB40" s="764"/>
      <c r="HC40" s="764"/>
      <c r="HD40" s="764"/>
    </row>
    <row r="41" spans="2:212" s="552" customFormat="1" ht="16.5" customHeight="1" x14ac:dyDescent="0.2">
      <c r="B41" s="1126"/>
      <c r="C41" s="819" t="s">
        <v>801</v>
      </c>
      <c r="D41" s="684">
        <v>3.6</v>
      </c>
      <c r="E41" s="684">
        <f>5.26+11.1+9.65+5.4+6.95</f>
        <v>38.36</v>
      </c>
      <c r="F41" s="684" t="s">
        <v>244</v>
      </c>
      <c r="G41" s="684" t="s">
        <v>808</v>
      </c>
      <c r="H41" s="684">
        <v>1</v>
      </c>
      <c r="I41" s="760" t="s">
        <v>13</v>
      </c>
      <c r="J41" s="684" t="s">
        <v>242</v>
      </c>
      <c r="K41" s="684" t="s">
        <v>363</v>
      </c>
      <c r="L41" s="684">
        <v>1</v>
      </c>
      <c r="M41" s="685">
        <v>4</v>
      </c>
      <c r="N41" s="684" t="s">
        <v>453</v>
      </c>
      <c r="O41" s="684">
        <v>4</v>
      </c>
      <c r="P41" s="555">
        <f t="shared" si="62"/>
        <v>30</v>
      </c>
      <c r="Q41" s="684">
        <v>3</v>
      </c>
      <c r="R41" s="684">
        <v>0.7</v>
      </c>
      <c r="S41" s="555">
        <f t="shared" si="55"/>
        <v>15.652173913043478</v>
      </c>
      <c r="T41" s="696">
        <f t="shared" si="56"/>
        <v>21</v>
      </c>
      <c r="U41" s="684" t="s">
        <v>499</v>
      </c>
      <c r="V41" s="555">
        <v>16</v>
      </c>
      <c r="W41" s="684">
        <f>IF(U41="C.C.Fusíveis",VLOOKUP(V41,Consulta!$L$5:$N$31,3,FALSE),VLOOKUP(V41,Consulta!$P$5:$R$34,3,FALSE))</f>
        <v>21.6</v>
      </c>
      <c r="X41" s="698">
        <f t="shared" si="10"/>
        <v>44</v>
      </c>
      <c r="Y41" s="761">
        <f t="shared" si="51"/>
        <v>0.74534161490683226</v>
      </c>
      <c r="Z41" s="689" t="str">
        <f t="shared" si="11"/>
        <v>Sim</v>
      </c>
      <c r="AA41" s="762">
        <f t="shared" si="57"/>
        <v>4.4407014575354217E-2</v>
      </c>
      <c r="AB41" s="762">
        <f t="shared" si="63"/>
        <v>0.26971874999999995</v>
      </c>
      <c r="AC41" s="762">
        <f t="shared" si="6"/>
        <v>0</v>
      </c>
      <c r="AD41" s="686">
        <f t="shared" si="58"/>
        <v>0.24479900982315089</v>
      </c>
      <c r="AE41" s="686">
        <f t="shared" si="17"/>
        <v>8.4433695652173899</v>
      </c>
      <c r="AF41" s="686">
        <f t="shared" si="18"/>
        <v>8.6881685750405406</v>
      </c>
      <c r="AG41" s="687">
        <f t="shared" si="34"/>
        <v>3.6710302457466912E-2</v>
      </c>
      <c r="AH41" s="763">
        <f t="shared" si="34"/>
        <v>3.7774645978437132E-2</v>
      </c>
      <c r="AI41" s="686">
        <f t="shared" si="7"/>
        <v>0.73219081634682781</v>
      </c>
      <c r="AJ41" s="684">
        <v>3</v>
      </c>
      <c r="AK41" s="686">
        <v>0.1</v>
      </c>
      <c r="AL41" s="698">
        <f t="shared" si="59"/>
        <v>115</v>
      </c>
      <c r="AM41" s="686">
        <f t="shared" si="64"/>
        <v>2.0133831839252365</v>
      </c>
      <c r="AN41" s="689">
        <f t="shared" si="52"/>
        <v>1</v>
      </c>
      <c r="AO41" s="688" t="s">
        <v>563</v>
      </c>
      <c r="AP41" s="689" t="s">
        <v>523</v>
      </c>
      <c r="AQ41" s="689" t="str">
        <f t="shared" si="53"/>
        <v>3G</v>
      </c>
      <c r="AR41" s="689">
        <f t="shared" si="61"/>
        <v>4</v>
      </c>
      <c r="AS41" s="897" t="str">
        <f t="shared" si="8"/>
        <v/>
      </c>
      <c r="AT41" s="897" t="str">
        <f>IF(OR(AQ41="3G",AQ41="5G"),"",VLOOKUP(AR41,Consulta!$T$5:$U$25,2,FALSE))</f>
        <v/>
      </c>
      <c r="AU41" s="898" t="s">
        <v>565</v>
      </c>
      <c r="AV41" s="689" t="s">
        <v>23</v>
      </c>
      <c r="AW41" s="689" t="s">
        <v>564</v>
      </c>
      <c r="AX41" s="689">
        <f t="shared" si="30"/>
        <v>20</v>
      </c>
      <c r="AY41" s="690" t="s">
        <v>24</v>
      </c>
      <c r="AZ41" s="531"/>
      <c r="BA41" s="531">
        <f>IF(AND(J41="Cobre",F41="Monofásico"),VLOOKUP(M41,'Iz''s'!$B$8:$E$23,2,FALSE),IF(AND(J41="Cobre",F41="Trifásico"),VLOOKUP(M41,'Iz''s'!$L$8:$O$23,2,FALSE),IF(AND(J41="Alumínio",F41="Monofásico"),VLOOKUP(M41,'Iz''s'!$B$25:$E$39,2,FALSE),IF(AND(J41="Alumínio",F41="Trifásico"),VLOOKUP(M41,'Iz''s'!$L$25:$O$39,2,FALSE)))))</f>
        <v>26</v>
      </c>
      <c r="BB41" s="531">
        <f>IF(AND(J41="Cobre",F41="Monofásico"),VLOOKUP(M41,'Iz''s'!$CD$9:$CH$24,2,FALSE),IF(AND(J41="Cobre",F41="Trifásico"),VLOOKUP(M41,'Iz''s'!$CD$9:$CH$24,4,FALSE),IF(AND(J41="Alumínio",F41="Monofásico"),VLOOKUP(M41,'Iz''s'!$CD$26:$CH$40,2,FALSE),IF(AND(J41="Alumínio",F41="Trifásico"),VLOOKUP(M41,'Iz''s'!$CD$26:$CH$40,4,FALSE)))))</f>
        <v>25</v>
      </c>
      <c r="BC41" s="531">
        <f>IF(AND(J41="Cobre",F41="Monofásico"),VLOOKUP(M41,'Iz''s'!$B$8:$E$23,3,FALSE),IF(AND(J41="Cobre",F41="Trifásico"),VLOOKUP(M41,'Iz''s'!$L$8:$O$23,3,FALSE),IF(AND(J41="Alumínio",F41="Monofásico"),VLOOKUP(M41,'Iz''s'!$B$25:$E$39,3,FALSE),IF(AND(J41="Alumínio",F41="Trifásico"),VLOOKUP(M41,'Iz''s'!$L$25:$O$39,3,FALSE)))))</f>
        <v>32</v>
      </c>
      <c r="BD41" s="531">
        <f>IF(AND(J41="Cobre",F41="Monofásico"),VLOOKUP(M41,'Iz''s'!$CD$9:$CH$24,3,FALSE),IF(AND(J41="Cobre",F41="Trifásico"),VLOOKUP(M41,'Iz''s'!$CD$9:$CH$24,5,FALSE),IF(AND(J41="Alumínio",F41="Monofásico"),VLOOKUP(M41,'Iz''s'!$CD$26:$CH$40,3,FALSE),IF(AND(J41="Alumínio",F41="Trifásico"),VLOOKUP(M41,'Iz''s'!$CD$26:$CH$40,5,FALSE)))))</f>
        <v>30</v>
      </c>
      <c r="BE41" s="531">
        <f>IF(AND(J41="Cobre",F41="Monofásico"),VLOOKUP(M41,'Iz''s'!$B$8:$E$23,4,FALSE),IF(AND(J41="Cobre",F41="Trifásico"),VLOOKUP(M41,'Iz''s'!$L$8:$O$23,4,FALSE),IF(AND(J41="Alumínio",F41="Monofásico"),VLOOKUP(M41,'Iz''s'!$B$25:$E$39,4,FALSE),IF(AND(J41="Alumínio",F41="Trifásico"),VLOOKUP(M41,'Iz''s'!$L$25:$O$39,4,FALSE)))))</f>
        <v>36</v>
      </c>
      <c r="BF41" s="531">
        <f>IF(AND(J41="Cobre",F41="Monofásico"),VLOOKUP(M41,'Iz''s'!$CP$9:$CT$24,3,FALSE),IF(AND(J41="Cobre",F41="Trifásico"),VLOOKUP(M41,'Iz''s'!$CP$9:$CT$24,2,FALSE),IF(AND(J41="Alumínio",F41="Monofásico"),VLOOKUP(M41,'Iz''s'!$CP$26:$CT$37,3,FALSE),IF(AND(J41="Alumínio",F41="Trifásico"),VLOOKUP(M41,'Iz''s'!$CP$26:$CT$37,2,FALSE)))))</f>
        <v>54</v>
      </c>
      <c r="BG41" s="531">
        <f>IF(AND(J41="Cobre",F41="Monofásico"),VLOOKUP(M41,'Iz''s'!$AT$10:$BA$28,2,FALSE),IF(AND(J41="Cobre",F41="Trifásico"),VLOOKUP(M41,'Iz''s'!$AT$10:$BA$28,3,FALSE),IF(AND(J41="Alumínio",F41="Monofásico"),VLOOKUP(M41,'Iz''s'!$BC$10:$BJ$27,2,FALSE),IF(AND(J41="Alumínio",F41="Trifásico"),VLOOKUP(M41,'Iz''s'!$BC$10:$BJ$27,3,FALSE)))))</f>
        <v>40</v>
      </c>
      <c r="BH41" s="609" t="str">
        <f>IF(AND(J41="Cobre",F41="Monofásico"),VLOOKUP(M41,'Iz''s'!$AT$10:$BA$28,4,FALSE),IF(AND(J41="Cobre",F41="Trifásico"),VLOOKUP(M41,'Iz''s'!$AT$10:$BA$28,5,FALSE),IF(AND(J41="Alumínio",F41="Monofásico"),VLOOKUP(M41,'Iz''s'!$BC$10:$BJ$27,4,FALSE),IF(AND(J41="Alumínio",F41="Trifásico"),VLOOKUP(M41,'Iz''s'!$BC$10:$BJ$27,5,FALSE)))))</f>
        <v xml:space="preserve"> --- </v>
      </c>
      <c r="BI41" s="609" t="str">
        <f>IF(AND(J41="Cobre",F41="Monofásico"),"N/A",IF(AND(J41="Cobre",F41="Trifásico"),VLOOKUP(M41,'Iz''s'!$AT$10:$BA$28,8,FALSE),IF(AND(J41="Alumínio",F41="Monofásico"),"N/A",IF(AND(J41="Alumínio",F41="Trifásico"),VLOOKUP(M41,'Iz''s'!$BC$10:$BJ$27,8,FALSE)))))</f>
        <v>N/A</v>
      </c>
      <c r="BJ41" s="531">
        <f>IF(AND(J41="Cobre",F41="Monofásico"),VLOOKUP(M41,'Iz''s'!$G$8:$J$23,2,FALSE),IF(AND(J41="Cobre",F41="Trifásico"),VLOOKUP(M41,'Iz''s'!$Q$8:$T$23,2,FALSE),IF(AND(J41="Alumínio",F41="Monofásico"),VLOOKUP(M41,'Iz''s'!$G$25:$J$39,2,FALSE),IF(AND(J41="Alumínio",F41="Trifásico"),VLOOKUP(M41,'Iz''s'!$Q$25:$T$39,2,FALSE)))))</f>
        <v>35</v>
      </c>
      <c r="BK41" s="609">
        <f>IF(AND(J41="Cobre",F41="Monofásico"),VLOOKUP(M41,'Iz''s'!$CJ$9:$CN$24,2,FALSE),IF(AND(J41="Cobre",F41="Trifásico"),VLOOKUP(M41,'Iz''s'!$CJ$9:$CN$24,4,FALSE),IF(AND(J41="Alumínio",F41="Monofásico"),VLOOKUP(M41,'Iz''s'!$CJ$26:$CN$40,2,FALSE),IF(AND(J41="Alumínio",F41="Trifásico"),VLOOKUP(M41,'Iz''s'!$CJ$26:$CN$40,4,FALSE)))))</f>
        <v>33</v>
      </c>
      <c r="BL41" s="609">
        <f>IF(AND(J41="Cobre",F41="Monofásico"),VLOOKUP(M41,'Iz''s'!$G$8:$J$23,3,FALSE),IF(AND(J41="Cobre",F41="Trifásico"),VLOOKUP(M41,'Iz''s'!$Q$8:$T$23,3,FALSE),IF(AND(J41="Alumínio",F41="Monofásico"),VLOOKUP(M41,'Iz''s'!$G$25:$J$39,3,FALSE),IF(AND(J41="Alumínio",F41="Trifásico"),VLOOKUP(M41,'Iz''s'!$Q$25:$T$39,3,FALSE)))))</f>
        <v>42</v>
      </c>
      <c r="BM41" s="609">
        <f>IF(AND(J41="Cobre",F41="Monofásico"),VLOOKUP(M41,'Iz''s'!$CJ$9:$CN$24,3,FALSE),IF(AND(J41="Cobre",F41="Trifásico"),VLOOKUP(M41,'Iz''s'!$CJ$9:$CN$24,5,FALSE),IF(AND(J41="Alumínio",F41="Monofásico"),VLOOKUP(M41,'Iz''s'!$CJ$26:$CN$40,3,FALSE),IF(AND(J41="Alumínio",F41="Trifásico"),VLOOKUP(M41,'Iz''s'!$CJ$26:$CN$40,5,FALSE)))))</f>
        <v>40</v>
      </c>
      <c r="BN41" s="609">
        <f>IF(AND(J41="Cobre",F41="Monofásico"),VLOOKUP(M41,'Iz''s'!$G$8:$J$23,4,FALSE),IF(AND(J41="Cobre",F41="Trifásico"),VLOOKUP(M41,'Iz''s'!$Q$8:$T$23,4,FALSE),IF(AND(J41="Alumínio",F41="Monofásico"),VLOOKUP(M41,'Iz''s'!$G$25:$J$39,4,FALSE),IF(AND(J41="Alumínio",F41="Trifásico"),VLOOKUP(M41,'Iz''s'!$Q$25:$T$39,4,FALSE)))))</f>
        <v>45</v>
      </c>
      <c r="BO41" s="609">
        <f>IF(AND(J41="Cobre",F41="Monofásico"),VLOOKUP(M41,'Iz''s'!$CP$9:$CT$24,5,FALSE),IF(AND(J41="Cobre",F41="Trifásico"),VLOOKUP(M41,'Iz''s'!$CP$9:$CT$24,4,FALSE),IF(AND(J41="Alumínio",F41="Monofásico"),VLOOKUP(M41,'Iz''s'!$CP$26:$CT$37,5,FALSE),IF(AND(J41="Alumínio",F41="Trifásico"),VLOOKUP(M41,'Iz''s'!$CP$26:$CT$37,4,FALSE)))))</f>
        <v>63</v>
      </c>
      <c r="BP41" s="609">
        <f>IF(AND(J41="Cobre",F41="Monofásico"),VLOOKUP(M41,'Iz''s'!$BL$10:$BS$28,2,FALSE),IF(AND(J41="Cobre",F41="Trifásico"),VLOOKUP(M41,'Iz''s'!$BL$10:$BS$28,3,FALSE),IF(AND(J41="Alumínio",F41="Monofásico"),VLOOKUP(M41,'Iz''s'!$BU$10:$CB$27,2,FALSE),IF(AND(J41="Alumínio",F41="Trifásico"),VLOOKUP(M41,'Iz''s'!$BU$10:$CB$27,3,FALSE)))))</f>
        <v>49</v>
      </c>
      <c r="BQ41" s="531"/>
      <c r="BR41" s="609" t="str">
        <f>IF(AND(J41="Cobre",F41="Monofásico"),"N/A",IF(AND(J41="Cobre",F41="Trifásico"),VLOOKUP(M41,'Iz''s'!$BL$10:$BS$28,8,FALSE),IF(AND(J41="Alumínio",F41="Monofásico"),"N/A",IF(AND(J41="Alumínio",F41="Trifásico"),VLOOKUP(M41,'Iz''s'!$BU$10:$CB$27,8,FALSE)))))</f>
        <v>N/A</v>
      </c>
      <c r="BS41" s="609">
        <f>IF(AND(J41="Cobre",F41="Monofásico"),VLOOKUP(M41,'Iz''s'!$V$14:$Y$28,2,FALSE),IF(AND(J41="Cobre",F41="Trifásico"),VLOOKUP(M41,'Iz''s'!$V$14:$Y$28,3,FALSE),IF(AND(J41="Alumínio",F41="Monofásico"),VLOOKUP(M41,"N/A",4,FALSE),IF(AND(J41="Alumínio",F41="Trifásico"),VLOOKUP(M41,"N/A",4,FALSE)))))</f>
        <v>45</v>
      </c>
      <c r="BT41" s="609">
        <f>IF(AND(J41="Cobre",F41="Monofásico"),VLOOKUP(M41,'Iz''s'!$AF$15:$AK$29,2,FALSE),IF(AND(J41="Cobre",F41="Trifásico"),VLOOKUP(M41,'Iz''s'!$AF$15:$AK$29,3,FALSE),IF(AND(J41="Alumínio",F41="Monofásico"),"N/A",IF(AND(J41="Alumínio",F41="Trifásico"),"N/A"))))</f>
        <v>47</v>
      </c>
      <c r="BU41" s="609">
        <f>IF(AND(J41="Cobre",F41="Monofásico"),VLOOKUP(M41,'Iz''s'!$AF$15:$AK$29,2,FALSE),IF(AND(J41="Cobre",F41="Trifásico"),VLOOKUP(M41,'Iz''s'!$AF$15:$AK$29,3,FALSE),IF(AND(J41="Alumínio",F41="Monofásico"),"N/A",IF(AND(J41="Alumínio",F41="Trifásico"),"N/A"))))</f>
        <v>47</v>
      </c>
      <c r="BV41" s="609" t="str">
        <f>IF(AND(J41="Cobre",F41="Monofásico"),"N/A",IF(AND(J41="Cobre",F41="Trifásico"),VLOOKUP(M41,'Iz''s'!$AF$15:$AK$29,6,FALSE),IF(AND(J41="Alumínio",F41="Monofásico"),"N/A",IF(AND(J41="Alumínio",F41="Trifásico"),"N/A"))))</f>
        <v>N/A</v>
      </c>
      <c r="BW41" s="609">
        <v>39</v>
      </c>
      <c r="BX41" s="532"/>
      <c r="BY41" s="592">
        <f>VLOOKUP(M41,Consulta!$W$6:$AB$23,4,FALSE)</f>
        <v>20</v>
      </c>
      <c r="BZ41" s="592">
        <f>VLOOKUP(M41,Consulta!$W$6:$AB$23,6,FALSE)</f>
        <v>25</v>
      </c>
      <c r="CA41" s="592">
        <f>VLOOKUP(M41,Consulta!$AK$6:$AP$23,4,FALSE)</f>
        <v>25</v>
      </c>
      <c r="CB41" s="592">
        <f>VLOOKUP(M41,Consulta!$AK$6:$AP$23,6,FALSE)</f>
        <v>25</v>
      </c>
      <c r="CC41" s="529" t="e">
        <f>VLOOKUP(M41,Consulta!$AD$6:$AI$19,4,FALSE)</f>
        <v>#N/A</v>
      </c>
      <c r="CD41" s="529" t="e">
        <f>VLOOKUP(M41,Consulta!$AD$6:$AI$19,6,FALSE)</f>
        <v>#N/A</v>
      </c>
      <c r="CE41" s="529" t="e">
        <f>VLOOKUP(M41,Consulta!$AR$6:$AW$19,4,FALSE)</f>
        <v>#N/A</v>
      </c>
      <c r="CF41" s="529" t="e">
        <f>VLOOKUP(M41,Consulta!$AR$6:$AW$19,6,FALSE)</f>
        <v>#N/A</v>
      </c>
      <c r="CG41" s="764"/>
      <c r="CH41" s="764"/>
      <c r="CI41" s="764"/>
      <c r="CJ41" s="764"/>
      <c r="CK41" s="764"/>
      <c r="CL41" s="764"/>
      <c r="CM41" s="764"/>
      <c r="CN41" s="764"/>
      <c r="CO41" s="764"/>
      <c r="CP41" s="764"/>
      <c r="CQ41" s="764"/>
      <c r="CR41" s="764"/>
      <c r="CS41" s="764"/>
      <c r="CT41" s="764"/>
      <c r="CU41" s="764"/>
      <c r="CV41" s="764"/>
      <c r="CW41" s="764"/>
      <c r="CX41" s="764"/>
      <c r="CY41" s="764"/>
      <c r="CZ41" s="764"/>
      <c r="DA41" s="764"/>
      <c r="DB41" s="764"/>
      <c r="DC41" s="764"/>
      <c r="DD41" s="764"/>
      <c r="DE41" s="764"/>
      <c r="DF41" s="764"/>
      <c r="DG41" s="764"/>
      <c r="DH41" s="764"/>
      <c r="DI41" s="764"/>
      <c r="DJ41" s="764"/>
      <c r="DK41" s="764"/>
      <c r="DL41" s="764"/>
      <c r="DM41" s="764"/>
      <c r="DN41" s="764"/>
      <c r="DO41" s="764"/>
      <c r="DP41" s="764"/>
      <c r="DQ41" s="764"/>
      <c r="DR41" s="764"/>
      <c r="DS41" s="764"/>
      <c r="DT41" s="764"/>
      <c r="DU41" s="764"/>
      <c r="DV41" s="764"/>
      <c r="DW41" s="764"/>
      <c r="DX41" s="764"/>
      <c r="DY41" s="764"/>
      <c r="DZ41" s="764"/>
      <c r="EA41" s="764"/>
      <c r="EB41" s="764"/>
      <c r="EC41" s="764"/>
      <c r="ED41" s="764"/>
      <c r="EE41" s="764"/>
      <c r="EF41" s="764"/>
      <c r="EG41" s="764"/>
      <c r="EH41" s="764"/>
      <c r="EI41" s="764"/>
      <c r="EJ41" s="764"/>
      <c r="EK41" s="764"/>
      <c r="EL41" s="764"/>
      <c r="EM41" s="764"/>
      <c r="EN41" s="764"/>
      <c r="EO41" s="764"/>
      <c r="EP41" s="764"/>
      <c r="EQ41" s="764"/>
      <c r="ER41" s="764"/>
      <c r="ES41" s="764"/>
      <c r="ET41" s="764"/>
      <c r="EU41" s="764"/>
      <c r="EV41" s="764"/>
      <c r="EW41" s="764"/>
      <c r="EX41" s="764"/>
      <c r="EY41" s="764"/>
      <c r="EZ41" s="764"/>
      <c r="FA41" s="764"/>
      <c r="FB41" s="764"/>
      <c r="FC41" s="764"/>
      <c r="FD41" s="764"/>
      <c r="FE41" s="764"/>
      <c r="FF41" s="764"/>
      <c r="FG41" s="764"/>
      <c r="FH41" s="764"/>
      <c r="FI41" s="764"/>
      <c r="FJ41" s="764"/>
      <c r="FK41" s="764"/>
      <c r="FL41" s="764"/>
      <c r="FM41" s="764"/>
      <c r="FN41" s="764"/>
      <c r="FO41" s="764"/>
      <c r="FP41" s="764"/>
      <c r="FQ41" s="764"/>
      <c r="FR41" s="764"/>
      <c r="FS41" s="764"/>
      <c r="FT41" s="764"/>
      <c r="FU41" s="764"/>
      <c r="FV41" s="764"/>
      <c r="FW41" s="764"/>
      <c r="FX41" s="764"/>
      <c r="FY41" s="764"/>
      <c r="FZ41" s="764"/>
      <c r="GA41" s="764"/>
      <c r="GB41" s="764"/>
      <c r="GC41" s="764"/>
      <c r="GD41" s="764"/>
      <c r="GE41" s="764"/>
      <c r="GF41" s="764"/>
      <c r="GG41" s="764"/>
      <c r="GH41" s="764"/>
      <c r="GI41" s="764"/>
      <c r="GJ41" s="764"/>
      <c r="GK41" s="764"/>
      <c r="GL41" s="764"/>
      <c r="GM41" s="764"/>
      <c r="GN41" s="764"/>
      <c r="GO41" s="764"/>
      <c r="GP41" s="764"/>
      <c r="GQ41" s="764"/>
      <c r="GR41" s="764"/>
      <c r="GS41" s="764"/>
      <c r="GT41" s="764"/>
      <c r="GU41" s="764"/>
      <c r="GV41" s="764"/>
      <c r="GW41" s="764"/>
      <c r="GX41" s="764"/>
      <c r="GY41" s="764"/>
      <c r="GZ41" s="764"/>
      <c r="HA41" s="764"/>
      <c r="HB41" s="764"/>
      <c r="HC41" s="764"/>
      <c r="HD41" s="764"/>
    </row>
    <row r="42" spans="2:212" s="552" customFormat="1" ht="16.5" customHeight="1" x14ac:dyDescent="0.2">
      <c r="B42" s="1126"/>
      <c r="C42" s="820" t="s">
        <v>838</v>
      </c>
      <c r="D42" s="701">
        <f>2*51/1000</f>
        <v>0.10199999999999999</v>
      </c>
      <c r="E42" s="701">
        <f>0.5516+4.66+0.45+1.2071+1.955+0.1</f>
        <v>8.9237000000000002</v>
      </c>
      <c r="F42" s="701" t="s">
        <v>244</v>
      </c>
      <c r="G42" s="701" t="s">
        <v>808</v>
      </c>
      <c r="H42" s="701">
        <v>1</v>
      </c>
      <c r="I42" s="765" t="s">
        <v>13</v>
      </c>
      <c r="J42" s="701" t="s">
        <v>242</v>
      </c>
      <c r="K42" s="701" t="s">
        <v>363</v>
      </c>
      <c r="L42" s="701">
        <v>1</v>
      </c>
      <c r="M42" s="702">
        <v>1.5</v>
      </c>
      <c r="N42" s="701" t="s">
        <v>453</v>
      </c>
      <c r="O42" s="701">
        <v>4</v>
      </c>
      <c r="P42" s="555">
        <f t="shared" si="62"/>
        <v>16.5</v>
      </c>
      <c r="Q42" s="701">
        <v>3</v>
      </c>
      <c r="R42" s="701">
        <v>1</v>
      </c>
      <c r="S42" s="555">
        <f t="shared" si="55"/>
        <v>0.44347826086956521</v>
      </c>
      <c r="T42" s="712">
        <f t="shared" si="56"/>
        <v>16.5</v>
      </c>
      <c r="U42" s="701" t="s">
        <v>499</v>
      </c>
      <c r="V42" s="555">
        <v>10</v>
      </c>
      <c r="W42" s="701">
        <f>IF(U42="C.C.Fusíveis",VLOOKUP(V42,Consulta!$L$5:$N$31,3,FALSE),VLOOKUP(V42,Consulta!$P$5:$R$34,3,FALSE))</f>
        <v>13.5</v>
      </c>
      <c r="X42" s="713">
        <f t="shared" si="10"/>
        <v>24</v>
      </c>
      <c r="Y42" s="766">
        <f t="shared" si="51"/>
        <v>2.6877470355731226E-2</v>
      </c>
      <c r="Z42" s="706" t="str">
        <f>IF(AND(S42&lt;=V42,V42&lt;=P42,W42&lt;=X42),"Sim","Não")</f>
        <v>Sim</v>
      </c>
      <c r="AA42" s="767">
        <f t="shared" si="57"/>
        <v>4.4407014575354217E-2</v>
      </c>
      <c r="AB42" s="767">
        <f t="shared" si="12"/>
        <v>0.16731937499999999</v>
      </c>
      <c r="AC42" s="767">
        <f t="shared" si="6"/>
        <v>0</v>
      </c>
      <c r="AD42" s="703">
        <f t="shared" si="58"/>
        <v>0.24479900982315089</v>
      </c>
      <c r="AE42" s="703">
        <f t="shared" si="17"/>
        <v>0.1484050108695652</v>
      </c>
      <c r="AF42" s="703">
        <f>AD42+AE42</f>
        <v>0.39320402069271609</v>
      </c>
      <c r="AG42" s="704">
        <f t="shared" si="34"/>
        <v>6.4523917769376176E-4</v>
      </c>
      <c r="AH42" s="768">
        <f>AF42/230</f>
        <v>1.7095826986639831E-3</v>
      </c>
      <c r="AI42" s="703">
        <f t="shared" si="7"/>
        <v>1.0863076655739323</v>
      </c>
      <c r="AJ42" s="701">
        <v>3</v>
      </c>
      <c r="AK42" s="703">
        <v>0.1</v>
      </c>
      <c r="AL42" s="713">
        <f>IF(G42="Multicondutor",(IF(AND(J42="Cobre",K42="PVC"),115,IF(AND(J42="Cobre",K42="XLPE"),143,IF(AND(J42="Alumínio",K42="PVC"),76,IF(AND(J42="Alumínio",K42="XLPE"),94))))),(IF(AND(J42="Cobre",K42="PVC"),143,IF(AND(J42="Cobre",K42="XLPE"),176,IF(AND(J42="Alumínio",K42="PVC"),95,IF(AND(J42="Alumínio",K42="XLPE"),116))))))</f>
        <v>115</v>
      </c>
      <c r="AM42" s="703">
        <f>((AI42*1000)*SQRT(AK42))/AL42</f>
        <v>2.9871360547079209</v>
      </c>
      <c r="AN42" s="706">
        <f t="shared" si="52"/>
        <v>1</v>
      </c>
      <c r="AO42" s="705" t="s">
        <v>563</v>
      </c>
      <c r="AP42" s="706" t="s">
        <v>523</v>
      </c>
      <c r="AQ42" s="706" t="str">
        <f t="shared" si="53"/>
        <v>3G</v>
      </c>
      <c r="AR42" s="706">
        <f>M42</f>
        <v>1.5</v>
      </c>
      <c r="AS42" s="893" t="str">
        <f t="shared" si="8"/>
        <v/>
      </c>
      <c r="AT42" s="893" t="str">
        <f>IF(OR(AQ42="3G",AQ42="5G"),"",VLOOKUP(AR42,Consulta!$T$5:$U$25,2,FALSE))</f>
        <v/>
      </c>
      <c r="AU42" s="894" t="s">
        <v>565</v>
      </c>
      <c r="AV42" s="706" t="s">
        <v>23</v>
      </c>
      <c r="AW42" s="706" t="s">
        <v>564</v>
      </c>
      <c r="AX42" s="706">
        <f t="shared" si="30"/>
        <v>25</v>
      </c>
      <c r="AY42" s="707" t="s">
        <v>24</v>
      </c>
      <c r="AZ42" s="531"/>
      <c r="BA42" s="531">
        <f>IF(AND(J42="Cobre",F42="Monofásico"),VLOOKUP(M42,'Iz''s'!$B$8:$E$23,2,FALSE),IF(AND(J42="Cobre",F42="Trifásico"),VLOOKUP(M42,'Iz''s'!$L$8:$O$23,2,FALSE),IF(AND(J42="Alumínio",F42="Monofásico"),VLOOKUP(M42,'Iz''s'!$B$25:$E$39,2,FALSE),IF(AND(J42="Alumínio",F42="Trifásico"),VLOOKUP(M42,'Iz''s'!$L$25:$O$39,2,FALSE)))))</f>
        <v>14.5</v>
      </c>
      <c r="BB42" s="531">
        <f>IF(AND(J42="Cobre",F42="Monofásico"),VLOOKUP(M42,'Iz''s'!$CD$9:$CH$24,2,FALSE),IF(AND(J42="Cobre",F42="Trifásico"),VLOOKUP(M42,'Iz''s'!$CD$9:$CH$24,4,FALSE),IF(AND(J42="Alumínio",F42="Monofásico"),VLOOKUP(M42,'Iz''s'!$CD$26:$CH$40,2,FALSE),IF(AND(J42="Alumínio",F42="Trifásico"),VLOOKUP(M42,'Iz''s'!$CD$26:$CH$40,4,FALSE)))))</f>
        <v>14</v>
      </c>
      <c r="BC42" s="531">
        <f>IF(AND(J42="Cobre",F42="Monofásico"),VLOOKUP(M42,'Iz''s'!$B$8:$E$23,3,FALSE),IF(AND(J42="Cobre",F42="Trifásico"),VLOOKUP(M42,'Iz''s'!$L$8:$O$23,3,FALSE),IF(AND(J42="Alumínio",F42="Monofásico"),VLOOKUP(M42,'Iz''s'!$B$25:$E$39,3,FALSE),IF(AND(J42="Alumínio",F42="Trifásico"),VLOOKUP(M42,'Iz''s'!$L$25:$O$39,3,FALSE)))))</f>
        <v>17.5</v>
      </c>
      <c r="BD42" s="531">
        <f>IF(AND(J42="Cobre",F42="Monofásico"),VLOOKUP(M42,'Iz''s'!$CD$9:$CH$24,3,FALSE),IF(AND(J42="Cobre",F42="Trifásico"),VLOOKUP(M42,'Iz''s'!$CD$9:$CH$24,5,FALSE),IF(AND(J42="Alumínio",F42="Monofásico"),VLOOKUP(M42,'Iz''s'!$CD$26:$CH$40,3,FALSE),IF(AND(J42="Alumínio",F42="Trifásico"),VLOOKUP(M42,'Iz''s'!$CD$26:$CH$40,5,FALSE)))))</f>
        <v>16.5</v>
      </c>
      <c r="BE42" s="531">
        <f>IF(AND(J42="Cobre",F42="Monofásico"),VLOOKUP(M42,'Iz''s'!$B$8:$E$23,4,FALSE),IF(AND(J42="Cobre",F42="Trifásico"),VLOOKUP(M42,'Iz''s'!$L$8:$O$23,4,FALSE),IF(AND(J42="Alumínio",F42="Monofásico"),VLOOKUP(M42,'Iz''s'!$B$25:$E$39,4,FALSE),IF(AND(J42="Alumínio",F42="Trifásico"),VLOOKUP(M42,'Iz''s'!$L$25:$O$39,4,FALSE)))))</f>
        <v>19.5</v>
      </c>
      <c r="BF42" s="531">
        <f>IF(AND(J42="Cobre",F42="Monofásico"),VLOOKUP(M42,'Iz''s'!$CP$9:$CT$24,3,FALSE),IF(AND(J42="Cobre",F42="Trifásico"),VLOOKUP(M42,'Iz''s'!$CP$9:$CT$24,2,FALSE),IF(AND(J42="Alumínio",F42="Monofásico"),VLOOKUP(M42,'Iz''s'!$CP$26:$CT$37,3,FALSE),IF(AND(J42="Alumínio",F42="Trifásico"),VLOOKUP(M42,'Iz''s'!$CP$26:$CT$37,2,FALSE)))))</f>
        <v>32</v>
      </c>
      <c r="BG42" s="531">
        <f>IF(AND(J42="Cobre",F42="Monofásico"),VLOOKUP(M42,'Iz''s'!$AT$10:$BA$28,2,FALSE),IF(AND(J42="Cobre",F42="Trifásico"),VLOOKUP(M42,'Iz''s'!$AT$10:$BA$28,3,FALSE),IF(AND(J42="Alumínio",F42="Monofásico"),VLOOKUP(M42,'Iz''s'!$BC$10:$BJ$27,2,FALSE),IF(AND(J42="Alumínio",F42="Trifásico"),VLOOKUP(M42,'Iz''s'!$BC$10:$BJ$27,3,FALSE)))))</f>
        <v>22</v>
      </c>
      <c r="BH42" s="609" t="str">
        <f>IF(AND(J42="Cobre",F42="Monofásico"),VLOOKUP(M42,'Iz''s'!$AT$10:$BA$28,4,FALSE),IF(AND(J42="Cobre",F42="Trifásico"),VLOOKUP(M42,'Iz''s'!$AT$10:$BA$28,5,FALSE),IF(AND(J42="Alumínio",F42="Monofásico"),VLOOKUP(M42,'Iz''s'!$BC$10:$BJ$27,4,FALSE),IF(AND(J42="Alumínio",F42="Trifásico"),VLOOKUP(M42,'Iz''s'!$BC$10:$BJ$27,5,FALSE)))))</f>
        <v xml:space="preserve"> --- </v>
      </c>
      <c r="BI42" s="609" t="str">
        <f>IF(AND(J42="Cobre",F42="Monofásico"),"N/A",IF(AND(J42="Cobre",F42="Trifásico"),VLOOKUP(M42,'Iz''s'!$AT$10:$BA$28,8,FALSE),IF(AND(J42="Alumínio",F42="Monofásico"),"N/A",IF(AND(J42="Alumínio",F42="Trifásico"),VLOOKUP(M42,'Iz''s'!$BC$10:$BJ$27,8,FALSE)))))</f>
        <v>N/A</v>
      </c>
      <c r="BJ42" s="531">
        <f>IF(AND(J42="Cobre",F42="Monofásico"),VLOOKUP(M42,'Iz''s'!$G$8:$J$23,2,FALSE),IF(AND(J42="Cobre",F42="Trifásico"),VLOOKUP(M42,'Iz''s'!$Q$8:$T$23,2,FALSE),IF(AND(J42="Alumínio",F42="Monofásico"),VLOOKUP(M42,'Iz''s'!$G$25:$J$39,2,FALSE),IF(AND(J42="Alumínio",F42="Trifásico"),VLOOKUP(M42,'Iz''s'!$Q$25:$T$39,2,FALSE)))))</f>
        <v>19</v>
      </c>
      <c r="BK42" s="609">
        <f>IF(AND(J42="Cobre",F42="Monofásico"),VLOOKUP(M42,'Iz''s'!$CJ$9:$CN$24,2,FALSE),IF(AND(J42="Cobre",F42="Trifásico"),VLOOKUP(M42,'Iz''s'!$CJ$9:$CN$24,4,FALSE),IF(AND(J42="Alumínio",F42="Monofásico"),VLOOKUP(M42,'Iz''s'!$CJ$26:$CN$40,2,FALSE),IF(AND(J42="Alumínio",F42="Trifásico"),VLOOKUP(M42,'Iz''s'!$CJ$26:$CN$40,4,FALSE)))))</f>
        <v>18.5</v>
      </c>
      <c r="BL42" s="609">
        <f>IF(AND(J42="Cobre",F42="Monofásico"),VLOOKUP(M42,'Iz''s'!$G$8:$J$23,3,FALSE),IF(AND(J42="Cobre",F42="Trifásico"),VLOOKUP(M42,'Iz''s'!$Q$8:$T$23,3,FALSE),IF(AND(J42="Alumínio",F42="Monofásico"),VLOOKUP(M42,'Iz''s'!$G$25:$J$39,3,FALSE),IF(AND(J42="Alumínio",F42="Trifásico"),VLOOKUP(M42,'Iz''s'!$Q$25:$T$39,3,FALSE)))))</f>
        <v>23</v>
      </c>
      <c r="BM42" s="609">
        <f>IF(AND(J42="Cobre",F42="Monofásico"),VLOOKUP(M42,'Iz''s'!$CJ$9:$CN$24,3,FALSE),IF(AND(J42="Cobre",F42="Trifásico"),VLOOKUP(M42,'Iz''s'!$CJ$9:$CN$24,5,FALSE),IF(AND(J42="Alumínio",F42="Monofásico"),VLOOKUP(M42,'Iz''s'!$CJ$26:$CN$40,3,FALSE),IF(AND(J42="Alumínio",F42="Trifásico"),VLOOKUP(M42,'Iz''s'!$CJ$26:$CN$40,5,FALSE)))))</f>
        <v>22</v>
      </c>
      <c r="BN42" s="609">
        <f>IF(AND(J42="Cobre",F42="Monofásico"),VLOOKUP(M42,'Iz''s'!$G$8:$J$23,4,FALSE),IF(AND(J42="Cobre",F42="Trifásico"),VLOOKUP(M42,'Iz''s'!$Q$8:$T$23,4,FALSE),IF(AND(J42="Alumínio",F42="Monofásico"),VLOOKUP(M42,'Iz''s'!$G$25:$J$39,4,FALSE),IF(AND(J42="Alumínio",F42="Trifásico"),VLOOKUP(M42,'Iz''s'!$Q$25:$T$39,4,FALSE)))))</f>
        <v>24</v>
      </c>
      <c r="BO42" s="609">
        <f>IF(AND(J42="Cobre",F42="Monofásico"),VLOOKUP(M42,'Iz''s'!$CP$9:$CT$24,5,FALSE),IF(AND(J42="Cobre",F42="Trifásico"),VLOOKUP(M42,'Iz''s'!$CP$9:$CT$24,4,FALSE),IF(AND(J42="Alumínio",F42="Monofásico"),VLOOKUP(M42,'Iz''s'!$CP$26:$CT$37,5,FALSE),IF(AND(J42="Alumínio",F42="Trifásico"),VLOOKUP(M42,'Iz''s'!$CP$26:$CT$37,4,FALSE)))))</f>
        <v>37</v>
      </c>
      <c r="BP42" s="609">
        <f>IF(AND(J42="Cobre",F42="Monofásico"),VLOOKUP(M42,'Iz''s'!$BL$10:$BS$28,2,FALSE),IF(AND(J42="Cobre",F42="Trifásico"),VLOOKUP(M42,'Iz''s'!$BL$10:$BS$28,3,FALSE),IF(AND(J42="Alumínio",F42="Monofásico"),VLOOKUP(M42,'Iz''s'!$BU$10:$CB$27,2,FALSE),IF(AND(J42="Alumínio",F42="Trifásico"),VLOOKUP(M42,'Iz''s'!$BU$10:$CB$27,3,FALSE)))))</f>
        <v>26</v>
      </c>
      <c r="BQ42" s="531" t="str">
        <f>IF(AND(J42="Cobre",F42="Monofásico"),VLOOKUP(M42,'Iz''s'!$BL$10:$BS$28,4,FALSE),IF(AND(J42="Cobre",F42="Trifásico"),VLOOKUP(M42,'Iz''s'!$BL$10:$BS$28,5,FALSE),IF(AND(J42="Alumínio",F42="Monofásico"),VLOOKUP(M42,'Iz''s'!$BU$10:$CB$27,4,FALSE),IF(AND(J42="Alumínio",F42="Trifásico"),VLOOKUP(M42,'Iz''s'!$BU$10:$CB$27,5,FALSE)))))</f>
        <v xml:space="preserve"> --- </v>
      </c>
      <c r="BR42" s="609" t="str">
        <f>IF(AND(J42="Cobre",F42="Monofásico"),"N/A",IF(AND(J42="Cobre",F42="Trifásico"),VLOOKUP(M42,'Iz''s'!$BL$10:$BS$28,8,FALSE),IF(AND(J42="Alumínio",F42="Monofásico"),"N/A",IF(AND(J42="Alumínio",F42="Trifásico"),VLOOKUP(M42,'Iz''s'!$BU$10:$CB$27,8,FALSE)))))</f>
        <v>N/A</v>
      </c>
      <c r="BS42" s="609">
        <f>IF(AND(J42="Cobre",F42="Monofásico"),VLOOKUP(M42,'Iz''s'!$V$14:$Y$28,2,FALSE),IF(AND(J42="Cobre",F42="Trifásico"),VLOOKUP(M42,'Iz''s'!$V$14:$Y$28,3,FALSE),IF(AND(J42="Alumínio",F42="Monofásico"),VLOOKUP(M42,"N/A",4,FALSE),IF(AND(J42="Alumínio",F42="Trifásico"),VLOOKUP(M42,"N/A",4,FALSE)))))</f>
        <v>25</v>
      </c>
      <c r="BT42" s="609">
        <f>IF(AND(J42="Cobre",F42="Monofásico"),VLOOKUP(M42,'Iz''s'!$AF$15:$AK$29,2,FALSE),IF(AND(J42="Cobre",F42="Trifásico"),VLOOKUP(M42,'Iz''s'!$AF$15:$AK$29,3,FALSE),IF(AND(J42="Alumínio",F42="Monofásico"),"N/A",IF(AND(J42="Alumínio",F42="Trifásico"),"N/A"))))</f>
        <v>26</v>
      </c>
      <c r="BU42" s="609">
        <f>IF(AND(J42="Cobre",F42="Monofásico"),VLOOKUP(M42,'Iz''s'!$AF$15:$AK$29,2,FALSE),IF(AND(J42="Cobre",F42="Trifásico"),VLOOKUP(M42,'Iz''s'!$AF$15:$AK$29,3,FALSE),IF(AND(J42="Alumínio",F42="Monofásico"),"N/A",IF(AND(J42="Alumínio",F42="Trifásico"),"N/A"))))</f>
        <v>26</v>
      </c>
      <c r="BV42" s="609" t="str">
        <f>IF(AND(J42="Cobre",F42="Monofásico"),"N/A",IF(AND(J42="Cobre",F42="Trifásico"),VLOOKUP(M42,'Iz''s'!$AF$15:$AK$29,6,FALSE),IF(AND(J42="Alumínio",F42="Monofásico"),"N/A",IF(AND(J42="Alumínio",F42="Trifásico"),"N/A"))))</f>
        <v>N/A</v>
      </c>
      <c r="BW42" s="609">
        <v>40</v>
      </c>
      <c r="BX42" s="532"/>
      <c r="BY42" s="592">
        <f>VLOOKUP(M42,Consulta!$W$6:$AB$23,4,FALSE)</f>
        <v>16</v>
      </c>
      <c r="BZ42" s="592">
        <f>VLOOKUP(M42,Consulta!$W$6:$AB$23,6,FALSE)</f>
        <v>20</v>
      </c>
      <c r="CA42" s="592">
        <f>VLOOKUP(M42,Consulta!$AK$6:$AP$23,4,FALSE)</f>
        <v>20</v>
      </c>
      <c r="CB42" s="592">
        <f>VLOOKUP(M42,Consulta!$AK$6:$AP$23,6,FALSE)</f>
        <v>20</v>
      </c>
      <c r="CC42" s="529" t="e">
        <f>VLOOKUP(M42,Consulta!$AD$6:$AI$19,4,FALSE)</f>
        <v>#N/A</v>
      </c>
      <c r="CD42" s="529" t="e">
        <f>VLOOKUP(M42,Consulta!$AD$6:$AI$19,6,FALSE)</f>
        <v>#N/A</v>
      </c>
      <c r="CE42" s="529" t="e">
        <f>VLOOKUP(M42,Consulta!$AR$6:$AW$19,4,FALSE)</f>
        <v>#N/A</v>
      </c>
      <c r="CF42" s="529" t="e">
        <f>VLOOKUP(M42,Consulta!$AR$6:$AW$19,6,FALSE)</f>
        <v>#N/A</v>
      </c>
      <c r="CG42" s="764"/>
      <c r="CH42" s="764"/>
      <c r="CI42" s="764"/>
      <c r="CJ42" s="764"/>
      <c r="CK42" s="764"/>
      <c r="CL42" s="764"/>
      <c r="CM42" s="764"/>
      <c r="CN42" s="764"/>
      <c r="CO42" s="764"/>
      <c r="CP42" s="764"/>
      <c r="CQ42" s="764"/>
      <c r="CR42" s="764"/>
      <c r="CS42" s="764"/>
      <c r="CT42" s="764"/>
      <c r="CU42" s="764"/>
      <c r="CV42" s="764"/>
      <c r="CW42" s="764"/>
      <c r="CX42" s="764"/>
      <c r="CY42" s="764"/>
      <c r="CZ42" s="764"/>
      <c r="DA42" s="764"/>
      <c r="DB42" s="764"/>
      <c r="DC42" s="764"/>
      <c r="DD42" s="764"/>
      <c r="DE42" s="764"/>
      <c r="DF42" s="764"/>
      <c r="DG42" s="764"/>
      <c r="DH42" s="764"/>
      <c r="DI42" s="764"/>
      <c r="DJ42" s="764"/>
      <c r="DK42" s="764"/>
      <c r="DL42" s="764"/>
      <c r="DM42" s="764"/>
      <c r="DN42" s="764"/>
      <c r="DO42" s="764"/>
      <c r="DP42" s="764"/>
      <c r="DQ42" s="764"/>
      <c r="DR42" s="764"/>
      <c r="DS42" s="764"/>
      <c r="DT42" s="764"/>
      <c r="DU42" s="764"/>
      <c r="DV42" s="764"/>
      <c r="DW42" s="764"/>
      <c r="DX42" s="764"/>
      <c r="DY42" s="764"/>
      <c r="DZ42" s="764"/>
      <c r="EA42" s="764"/>
      <c r="EB42" s="764"/>
      <c r="EC42" s="764"/>
      <c r="ED42" s="764"/>
      <c r="EE42" s="764"/>
      <c r="EF42" s="764"/>
      <c r="EG42" s="764"/>
      <c r="EH42" s="764"/>
      <c r="EI42" s="764"/>
      <c r="EJ42" s="764"/>
      <c r="EK42" s="764"/>
      <c r="EL42" s="764"/>
      <c r="EM42" s="764"/>
      <c r="EN42" s="764"/>
      <c r="EO42" s="764"/>
      <c r="EP42" s="764"/>
      <c r="EQ42" s="764"/>
      <c r="ER42" s="764"/>
      <c r="ES42" s="764"/>
      <c r="ET42" s="764"/>
      <c r="EU42" s="764"/>
      <c r="EV42" s="764"/>
      <c r="EW42" s="764"/>
      <c r="EX42" s="764"/>
      <c r="EY42" s="764"/>
      <c r="EZ42" s="764"/>
      <c r="FA42" s="764"/>
      <c r="FB42" s="764"/>
      <c r="FC42" s="764"/>
      <c r="FD42" s="764"/>
      <c r="FE42" s="764"/>
      <c r="FF42" s="764"/>
      <c r="FG42" s="764"/>
      <c r="FH42" s="764"/>
      <c r="FI42" s="764"/>
      <c r="FJ42" s="764"/>
      <c r="FK42" s="764"/>
      <c r="FL42" s="764"/>
      <c r="FM42" s="764"/>
      <c r="FN42" s="764"/>
      <c r="FO42" s="764"/>
      <c r="FP42" s="764"/>
      <c r="FQ42" s="764"/>
      <c r="FR42" s="764"/>
      <c r="FS42" s="764"/>
      <c r="FT42" s="764"/>
      <c r="FU42" s="764"/>
      <c r="FV42" s="764"/>
      <c r="FW42" s="764"/>
      <c r="FX42" s="764"/>
      <c r="FY42" s="764"/>
      <c r="FZ42" s="764"/>
      <c r="GA42" s="764"/>
      <c r="GB42" s="764"/>
      <c r="GC42" s="764"/>
      <c r="GD42" s="764"/>
      <c r="GE42" s="764"/>
      <c r="GF42" s="764"/>
      <c r="GG42" s="764"/>
      <c r="GH42" s="764"/>
      <c r="GI42" s="764"/>
      <c r="GJ42" s="764"/>
      <c r="GK42" s="764"/>
      <c r="GL42" s="764"/>
      <c r="GM42" s="764"/>
      <c r="GN42" s="764"/>
      <c r="GO42" s="764"/>
      <c r="GP42" s="764"/>
      <c r="GQ42" s="764"/>
      <c r="GR42" s="764"/>
      <c r="GS42" s="764"/>
      <c r="GT42" s="764"/>
      <c r="GU42" s="764"/>
      <c r="GV42" s="764"/>
      <c r="GW42" s="764"/>
      <c r="GX42" s="764"/>
      <c r="GY42" s="764"/>
      <c r="GZ42" s="764"/>
      <c r="HA42" s="764"/>
      <c r="HB42" s="764"/>
      <c r="HC42" s="764"/>
      <c r="HD42" s="764"/>
    </row>
    <row r="43" spans="2:212" s="552" customFormat="1" ht="16.5" customHeight="1" x14ac:dyDescent="0.2">
      <c r="B43" s="1126"/>
      <c r="C43" s="820" t="s">
        <v>839</v>
      </c>
      <c r="D43" s="701">
        <f>9*51/1000</f>
        <v>0.45900000000000002</v>
      </c>
      <c r="E43" s="701">
        <f>4.58+0.2+4.17+5.3149+5.3149+5.3149</f>
        <v>24.8947</v>
      </c>
      <c r="F43" s="701" t="s">
        <v>244</v>
      </c>
      <c r="G43" s="701" t="s">
        <v>808</v>
      </c>
      <c r="H43" s="701">
        <v>1</v>
      </c>
      <c r="I43" s="765" t="s">
        <v>13</v>
      </c>
      <c r="J43" s="701" t="s">
        <v>242</v>
      </c>
      <c r="K43" s="701" t="s">
        <v>363</v>
      </c>
      <c r="L43" s="701">
        <v>1</v>
      </c>
      <c r="M43" s="702">
        <v>1.5</v>
      </c>
      <c r="N43" s="701" t="s">
        <v>453</v>
      </c>
      <c r="O43" s="701">
        <v>4</v>
      </c>
      <c r="P43" s="555">
        <f t="shared" si="62"/>
        <v>16.5</v>
      </c>
      <c r="Q43" s="701">
        <v>3</v>
      </c>
      <c r="R43" s="701">
        <v>1</v>
      </c>
      <c r="S43" s="555">
        <f t="shared" si="55"/>
        <v>1.9956521739130435</v>
      </c>
      <c r="T43" s="712">
        <f t="shared" si="56"/>
        <v>16.5</v>
      </c>
      <c r="U43" s="701" t="s">
        <v>499</v>
      </c>
      <c r="V43" s="555">
        <v>10</v>
      </c>
      <c r="W43" s="701">
        <f>IF(U43="C.C.Fusíveis",VLOOKUP(V43,Consulta!$L$5:$N$31,3,FALSE),VLOOKUP(V43,Consulta!$P$5:$R$34,3,FALSE))</f>
        <v>13.5</v>
      </c>
      <c r="X43" s="713">
        <f t="shared" si="10"/>
        <v>24</v>
      </c>
      <c r="Y43" s="766">
        <f t="shared" si="51"/>
        <v>0.12094861660079051</v>
      </c>
      <c r="Z43" s="706" t="str">
        <f t="shared" si="11"/>
        <v>Sim</v>
      </c>
      <c r="AA43" s="767">
        <f t="shared" si="57"/>
        <v>4.4407014575354217E-2</v>
      </c>
      <c r="AB43" s="767">
        <f t="shared" si="12"/>
        <v>0.46677562499999997</v>
      </c>
      <c r="AC43" s="767">
        <f t="shared" si="6"/>
        <v>0</v>
      </c>
      <c r="AD43" s="703">
        <f t="shared" si="58"/>
        <v>0.24479900982315089</v>
      </c>
      <c r="AE43" s="703">
        <f t="shared" si="17"/>
        <v>1.863043581521739</v>
      </c>
      <c r="AF43" s="703">
        <f t="shared" ref="AF43:AF49" si="65">AD43+AE43</f>
        <v>2.1078425913448897</v>
      </c>
      <c r="AG43" s="704">
        <f t="shared" si="34"/>
        <v>8.1001894848771253E-3</v>
      </c>
      <c r="AH43" s="768">
        <f>AF43/230</f>
        <v>9.1645330058473459E-3</v>
      </c>
      <c r="AI43" s="703">
        <f t="shared" si="7"/>
        <v>0.4499370326642233</v>
      </c>
      <c r="AJ43" s="701">
        <v>3</v>
      </c>
      <c r="AK43" s="703">
        <v>0.1</v>
      </c>
      <c r="AL43" s="713">
        <f t="shared" ref="AL43:AL49" si="66">IF(G43="Multicondutor",(IF(AND(J43="Cobre",K43="PVC"),115,IF(AND(J43="Cobre",K43="XLPE"),143,IF(AND(J43="Alumínio",K43="PVC"),76,IF(AND(J43="Alumínio",K43="XLPE"),94))))),(IF(AND(J43="Cobre",K43="PVC"),143,IF(AND(J43="Cobre",K43="XLPE"),176,IF(AND(J43="Alumínio",K43="PVC"),95,IF(AND(J43="Alumínio",K43="XLPE"),116))))))</f>
        <v>115</v>
      </c>
      <c r="AM43" s="703">
        <f t="shared" ref="AM43:AM49" si="67">((AI43*1000)*SQRT(AK43))/AL43</f>
        <v>1.2372398494578467</v>
      </c>
      <c r="AN43" s="706">
        <f t="shared" si="52"/>
        <v>1</v>
      </c>
      <c r="AO43" s="705" t="s">
        <v>563</v>
      </c>
      <c r="AP43" s="706" t="s">
        <v>523</v>
      </c>
      <c r="AQ43" s="706" t="str">
        <f t="shared" si="53"/>
        <v>3G</v>
      </c>
      <c r="AR43" s="706">
        <f t="shared" ref="AR43:AR49" si="68">M43</f>
        <v>1.5</v>
      </c>
      <c r="AS43" s="893" t="str">
        <f t="shared" si="8"/>
        <v/>
      </c>
      <c r="AT43" s="893" t="str">
        <f>IF(OR(AQ43="3G",AQ43="5G"),"",VLOOKUP(AR43,Consulta!$T$5:$U$25,2,FALSE))</f>
        <v/>
      </c>
      <c r="AU43" s="894" t="s">
        <v>565</v>
      </c>
      <c r="AV43" s="706" t="s">
        <v>23</v>
      </c>
      <c r="AW43" s="706" t="s">
        <v>564</v>
      </c>
      <c r="AX43" s="706">
        <f t="shared" si="30"/>
        <v>20</v>
      </c>
      <c r="AY43" s="707" t="s">
        <v>24</v>
      </c>
      <c r="AZ43" s="531"/>
      <c r="BA43" s="531">
        <f>IF(AND(J43="Cobre",F43="Monofásico"),VLOOKUP(M43,'Iz''s'!$B$8:$E$23,2,FALSE),IF(AND(J43="Cobre",F43="Trifásico"),VLOOKUP(M43,'Iz''s'!$L$8:$O$23,2,FALSE),IF(AND(J43="Alumínio",F43="Monofásico"),VLOOKUP(M43,'Iz''s'!$B$25:$E$39,2,FALSE),IF(AND(J43="Alumínio",F43="Trifásico"),VLOOKUP(M43,'Iz''s'!$L$25:$O$39,2,FALSE)))))</f>
        <v>14.5</v>
      </c>
      <c r="BB43" s="531">
        <f>IF(AND(J43="Cobre",F43="Monofásico"),VLOOKUP(M43,'Iz''s'!$CD$9:$CH$24,2,FALSE),IF(AND(J43="Cobre",F43="Trifásico"),VLOOKUP(M43,'Iz''s'!$CD$9:$CH$24,4,FALSE),IF(AND(J43="Alumínio",F43="Monofásico"),VLOOKUP(M43,'Iz''s'!$CD$26:$CH$40,2,FALSE),IF(AND(J43="Alumínio",F43="Trifásico"),VLOOKUP(M43,'Iz''s'!$CD$26:$CH$40,4,FALSE)))))</f>
        <v>14</v>
      </c>
      <c r="BC43" s="531">
        <f>IF(AND(J43="Cobre",F43="Monofásico"),VLOOKUP(M43,'Iz''s'!$B$8:$E$23,3,FALSE),IF(AND(J43="Cobre",F43="Trifásico"),VLOOKUP(M43,'Iz''s'!$L$8:$O$23,3,FALSE),IF(AND(J43="Alumínio",F43="Monofásico"),VLOOKUP(M43,'Iz''s'!$B$25:$E$39,3,FALSE),IF(AND(J43="Alumínio",F43="Trifásico"),VLOOKUP(M43,'Iz''s'!$L$25:$O$39,3,FALSE)))))</f>
        <v>17.5</v>
      </c>
      <c r="BD43" s="531">
        <f>IF(AND(J43="Cobre",F43="Monofásico"),VLOOKUP(M43,'Iz''s'!$CD$9:$CH$24,3,FALSE),IF(AND(J43="Cobre",F43="Trifásico"),VLOOKUP(M43,'Iz''s'!$CD$9:$CH$24,5,FALSE),IF(AND(J43="Alumínio",F43="Monofásico"),VLOOKUP(M43,'Iz''s'!$CD$26:$CH$40,3,FALSE),IF(AND(J43="Alumínio",F43="Trifásico"),VLOOKUP(M43,'Iz''s'!$CD$26:$CH$40,5,FALSE)))))</f>
        <v>16.5</v>
      </c>
      <c r="BE43" s="531">
        <f>IF(AND(J43="Cobre",F43="Monofásico"),VLOOKUP(M43,'Iz''s'!$B$8:$E$23,4,FALSE),IF(AND(J43="Cobre",F43="Trifásico"),VLOOKUP(M43,'Iz''s'!$L$8:$O$23,4,FALSE),IF(AND(J43="Alumínio",F43="Monofásico"),VLOOKUP(M43,'Iz''s'!$B$25:$E$39,4,FALSE),IF(AND(J43="Alumínio",F43="Trifásico"),VLOOKUP(M43,'Iz''s'!$L$25:$O$39,4,FALSE)))))</f>
        <v>19.5</v>
      </c>
      <c r="BF43" s="531">
        <f>IF(AND(J43="Cobre",F43="Monofásico"),VLOOKUP(M43,'Iz''s'!$CP$9:$CT$24,3,FALSE),IF(AND(J43="Cobre",F43="Trifásico"),VLOOKUP(M43,'Iz''s'!$CP$9:$CT$24,2,FALSE),IF(AND(J43="Alumínio",F43="Monofásico"),VLOOKUP(M43,'Iz''s'!$CP$26:$CT$37,3,FALSE),IF(AND(J43="Alumínio",F43="Trifásico"),VLOOKUP(M43,'Iz''s'!$CP$26:$CT$37,2,FALSE)))))</f>
        <v>32</v>
      </c>
      <c r="BG43" s="531">
        <f>IF(AND(J43="Cobre",F43="Monofásico"),VLOOKUP(M43,'Iz''s'!$AT$10:$BA$28,2,FALSE),IF(AND(J43="Cobre",F43="Trifásico"),VLOOKUP(M43,'Iz''s'!$AT$10:$BA$28,3,FALSE),IF(AND(J43="Alumínio",F43="Monofásico"),VLOOKUP(M43,'Iz''s'!$BC$10:$BJ$27,2,FALSE),IF(AND(J43="Alumínio",F43="Trifásico"),VLOOKUP(M43,'Iz''s'!$BC$10:$BJ$27,3,FALSE)))))</f>
        <v>22</v>
      </c>
      <c r="BH43" s="609" t="str">
        <f>IF(AND(J43="Cobre",F43="Monofásico"),VLOOKUP(M43,'Iz''s'!$AT$10:$BA$28,4,FALSE),IF(AND(J43="Cobre",F43="Trifásico"),VLOOKUP(M43,'Iz''s'!$AT$10:$BA$28,5,FALSE),IF(AND(J43="Alumínio",F43="Monofásico"),VLOOKUP(M43,'Iz''s'!$BC$10:$BJ$27,4,FALSE),IF(AND(J43="Alumínio",F43="Trifásico"),VLOOKUP(M43,'Iz''s'!$BC$10:$BJ$27,5,FALSE)))))</f>
        <v xml:space="preserve"> --- </v>
      </c>
      <c r="BI43" s="609" t="str">
        <f>IF(AND(J43="Cobre",F43="Monofásico"),"N/A",IF(AND(J43="Cobre",F43="Trifásico"),VLOOKUP(M43,'Iz''s'!$AT$10:$BA$28,8,FALSE),IF(AND(J43="Alumínio",F43="Monofásico"),"N/A",IF(AND(J43="Alumínio",F43="Trifásico"),VLOOKUP(M43,'Iz''s'!$BC$10:$BJ$27,8,FALSE)))))</f>
        <v>N/A</v>
      </c>
      <c r="BJ43" s="531">
        <f>IF(AND(J43="Cobre",F43="Monofásico"),VLOOKUP(M43,'Iz''s'!$G$8:$J$23,2,FALSE),IF(AND(J43="Cobre",F43="Trifásico"),VLOOKUP(M43,'Iz''s'!$Q$8:$T$23,2,FALSE),IF(AND(J43="Alumínio",F43="Monofásico"),VLOOKUP(M43,'Iz''s'!$G$25:$J$39,2,FALSE),IF(AND(J43="Alumínio",F43="Trifásico"),VLOOKUP(M43,'Iz''s'!$Q$25:$T$39,2,FALSE)))))</f>
        <v>19</v>
      </c>
      <c r="BK43" s="609">
        <f>IF(AND(J43="Cobre",F43="Monofásico"),VLOOKUP(M43,'Iz''s'!$CJ$9:$CN$24,2,FALSE),IF(AND(J43="Cobre",F43="Trifásico"),VLOOKUP(M43,'Iz''s'!$CJ$9:$CN$24,4,FALSE),IF(AND(J43="Alumínio",F43="Monofásico"),VLOOKUP(M43,'Iz''s'!$CJ$26:$CN$40,2,FALSE),IF(AND(J43="Alumínio",F43="Trifásico"),VLOOKUP(M43,'Iz''s'!$CJ$26:$CN$40,4,FALSE)))))</f>
        <v>18.5</v>
      </c>
      <c r="BL43" s="609">
        <f>IF(AND(J43="Cobre",F43="Monofásico"),VLOOKUP(M43,'Iz''s'!$G$8:$J$23,3,FALSE),IF(AND(J43="Cobre",F43="Trifásico"),VLOOKUP(M43,'Iz''s'!$Q$8:$T$23,3,FALSE),IF(AND(J43="Alumínio",F43="Monofásico"),VLOOKUP(M43,'Iz''s'!$G$25:$J$39,3,FALSE),IF(AND(J43="Alumínio",F43="Trifásico"),VLOOKUP(M43,'Iz''s'!$Q$25:$T$39,3,FALSE)))))</f>
        <v>23</v>
      </c>
      <c r="BM43" s="609">
        <f>IF(AND(J43="Cobre",F43="Monofásico"),VLOOKUP(M43,'Iz''s'!$CJ$9:$CN$24,3,FALSE),IF(AND(J43="Cobre",F43="Trifásico"),VLOOKUP(M43,'Iz''s'!$CJ$9:$CN$24,5,FALSE),IF(AND(J43="Alumínio",F43="Monofásico"),VLOOKUP(M43,'Iz''s'!$CJ$26:$CN$40,3,FALSE),IF(AND(J43="Alumínio",F43="Trifásico"),VLOOKUP(M43,'Iz''s'!$CJ$26:$CN$40,5,FALSE)))))</f>
        <v>22</v>
      </c>
      <c r="BN43" s="609">
        <f>IF(AND(J43="Cobre",F43="Monofásico"),VLOOKUP(M43,'Iz''s'!$G$8:$J$23,4,FALSE),IF(AND(J43="Cobre",F43="Trifásico"),VLOOKUP(M43,'Iz''s'!$Q$8:$T$23,4,FALSE),IF(AND(J43="Alumínio",F43="Monofásico"),VLOOKUP(M43,'Iz''s'!$G$25:$J$39,4,FALSE),IF(AND(J43="Alumínio",F43="Trifásico"),VLOOKUP(M43,'Iz''s'!$Q$25:$T$39,4,FALSE)))))</f>
        <v>24</v>
      </c>
      <c r="BO43" s="609">
        <f>IF(AND(J43="Cobre",F43="Monofásico"),VLOOKUP(M43,'Iz''s'!$CP$9:$CT$24,5,FALSE),IF(AND(J43="Cobre",F43="Trifásico"),VLOOKUP(M43,'Iz''s'!$CP$9:$CT$24,4,FALSE),IF(AND(J43="Alumínio",F43="Monofásico"),VLOOKUP(M43,'Iz''s'!$CP$26:$CT$37,5,FALSE),IF(AND(J43="Alumínio",F43="Trifásico"),VLOOKUP(M43,'Iz''s'!$CP$26:$CT$37,4,FALSE)))))</f>
        <v>37</v>
      </c>
      <c r="BP43" s="609">
        <f>IF(AND(J43="Cobre",F43="Monofásico"),VLOOKUP(M43,'Iz''s'!$BL$10:$BS$28,2,FALSE),IF(AND(J43="Cobre",F43="Trifásico"),VLOOKUP(M43,'Iz''s'!$BL$10:$BS$28,3,FALSE),IF(AND(J43="Alumínio",F43="Monofásico"),VLOOKUP(M43,'Iz''s'!$BU$10:$CB$27,2,FALSE),IF(AND(J43="Alumínio",F43="Trifásico"),VLOOKUP(M43,'Iz''s'!$BU$10:$CB$27,3,FALSE)))))</f>
        <v>26</v>
      </c>
      <c r="BQ43" s="531" t="str">
        <f>IF(AND(J43="Cobre",F43="Monofásico"),VLOOKUP(M43,'Iz''s'!$BL$10:$BS$28,4,FALSE),IF(AND(J43="Cobre",F43="Trifásico"),VLOOKUP(M43,'Iz''s'!$BL$10:$BS$28,5,FALSE),IF(AND(J43="Alumínio",F43="Monofásico"),VLOOKUP(M43,'Iz''s'!$BU$10:$CB$27,4,FALSE),IF(AND(J43="Alumínio",F43="Trifásico"),VLOOKUP(M43,'Iz''s'!$BU$10:$CB$27,5,FALSE)))))</f>
        <v xml:space="preserve"> --- </v>
      </c>
      <c r="BR43" s="609" t="str">
        <f>IF(AND(J43="Cobre",F43="Monofásico"),"N/A",IF(AND(J43="Cobre",F43="Trifásico"),VLOOKUP(M43,'Iz''s'!$BL$10:$BS$28,8,FALSE),IF(AND(J43="Alumínio",F43="Monofásico"),"N/A",IF(AND(J43="Alumínio",F43="Trifásico"),VLOOKUP(M43,'Iz''s'!$BU$10:$CB$27,8,FALSE)))))</f>
        <v>N/A</v>
      </c>
      <c r="BS43" s="609">
        <f>IF(AND(J43="Cobre",F43="Monofásico"),VLOOKUP(M43,'Iz''s'!$V$14:$Y$28,2,FALSE),IF(AND(J43="Cobre",F43="Trifásico"),VLOOKUP(M43,'Iz''s'!$V$14:$Y$28,3,FALSE),IF(AND(J43="Alumínio",F43="Monofásico"),VLOOKUP(M43,"N/A",4,FALSE),IF(AND(J43="Alumínio",F43="Trifásico"),VLOOKUP(M43,"N/A",4,FALSE)))))</f>
        <v>25</v>
      </c>
      <c r="BT43" s="609">
        <f>IF(AND(J43="Cobre",F43="Monofásico"),VLOOKUP(M43,'Iz''s'!$AF$15:$AK$29,2,FALSE),IF(AND(J43="Cobre",F43="Trifásico"),VLOOKUP(M43,'Iz''s'!$AF$15:$AK$29,3,FALSE),IF(AND(J43="Alumínio",F43="Monofásico"),"N/A",IF(AND(J43="Alumínio",F43="Trifásico"),"N/A"))))</f>
        <v>26</v>
      </c>
      <c r="BU43" s="609">
        <f>IF(AND(J43="Cobre",F43="Monofásico"),VLOOKUP(M43,'Iz''s'!$AF$15:$AK$29,2,FALSE),IF(AND(J43="Cobre",F43="Trifásico"),VLOOKUP(M43,'Iz''s'!$AF$15:$AK$29,3,FALSE),IF(AND(J43="Alumínio",F43="Monofásico"),"N/A",IF(AND(J43="Alumínio",F43="Trifásico"),"N/A"))))</f>
        <v>26</v>
      </c>
      <c r="BV43" s="609" t="str">
        <f>IF(AND(J43="Cobre",F43="Monofásico"),"N/A",IF(AND(J43="Cobre",F43="Trifásico"),VLOOKUP(M43,'Iz''s'!$AF$15:$AK$29,6,FALSE),IF(AND(J43="Alumínio",F43="Monofásico"),"N/A",IF(AND(J43="Alumínio",F43="Trifásico"),"N/A"))))</f>
        <v>N/A</v>
      </c>
      <c r="BW43" s="609">
        <v>41</v>
      </c>
      <c r="BX43" s="532"/>
      <c r="BY43" s="592">
        <f>VLOOKUP(M43,Consulta!$W$6:$AB$23,4,FALSE)</f>
        <v>16</v>
      </c>
      <c r="BZ43" s="592">
        <f>VLOOKUP(M43,Consulta!$W$6:$AB$23,6,FALSE)</f>
        <v>20</v>
      </c>
      <c r="CA43" s="592">
        <f>VLOOKUP(M43,Consulta!$AK$6:$AP$23,4,FALSE)</f>
        <v>20</v>
      </c>
      <c r="CB43" s="592">
        <f>VLOOKUP(M43,Consulta!$AK$6:$AP$23,6,FALSE)</f>
        <v>20</v>
      </c>
      <c r="CC43" s="529" t="e">
        <f>VLOOKUP(M43,Consulta!$AD$6:$AI$19,4,FALSE)</f>
        <v>#N/A</v>
      </c>
      <c r="CD43" s="529" t="e">
        <f>VLOOKUP(M43,Consulta!$AD$6:$AI$19,6,FALSE)</f>
        <v>#N/A</v>
      </c>
      <c r="CE43" s="529" t="e">
        <f>VLOOKUP(M43,Consulta!$AR$6:$AW$19,4,FALSE)</f>
        <v>#N/A</v>
      </c>
      <c r="CF43" s="529" t="e">
        <f>VLOOKUP(M43,Consulta!$AR$6:$AW$19,6,FALSE)</f>
        <v>#N/A</v>
      </c>
      <c r="CG43" s="764"/>
      <c r="CH43" s="764"/>
      <c r="CI43" s="764"/>
      <c r="CJ43" s="764"/>
      <c r="CK43" s="764"/>
      <c r="CL43" s="764"/>
      <c r="CM43" s="764"/>
      <c r="CN43" s="764"/>
      <c r="CO43" s="764"/>
      <c r="CP43" s="764"/>
      <c r="CQ43" s="764"/>
      <c r="CR43" s="764"/>
      <c r="CS43" s="764"/>
      <c r="CT43" s="764"/>
      <c r="CU43" s="764"/>
      <c r="CV43" s="764"/>
      <c r="CW43" s="764"/>
      <c r="CX43" s="764"/>
      <c r="CY43" s="764"/>
      <c r="CZ43" s="764"/>
      <c r="DA43" s="764"/>
      <c r="DB43" s="764"/>
      <c r="DC43" s="764"/>
      <c r="DD43" s="764"/>
      <c r="DE43" s="764"/>
      <c r="DF43" s="764"/>
      <c r="DG43" s="764"/>
      <c r="DH43" s="764"/>
      <c r="DI43" s="764"/>
      <c r="DJ43" s="764"/>
      <c r="DK43" s="764"/>
      <c r="DL43" s="764"/>
      <c r="DM43" s="764"/>
      <c r="DN43" s="764"/>
      <c r="DO43" s="764"/>
      <c r="DP43" s="764"/>
      <c r="DQ43" s="764"/>
      <c r="DR43" s="764"/>
      <c r="DS43" s="764"/>
      <c r="DT43" s="764"/>
      <c r="DU43" s="764"/>
      <c r="DV43" s="764"/>
      <c r="DW43" s="764"/>
      <c r="DX43" s="764"/>
      <c r="DY43" s="764"/>
      <c r="DZ43" s="764"/>
      <c r="EA43" s="764"/>
      <c r="EB43" s="764"/>
      <c r="EC43" s="764"/>
      <c r="ED43" s="764"/>
      <c r="EE43" s="764"/>
      <c r="EF43" s="764"/>
      <c r="EG43" s="764"/>
      <c r="EH43" s="764"/>
      <c r="EI43" s="764"/>
      <c r="EJ43" s="764"/>
      <c r="EK43" s="764"/>
      <c r="EL43" s="764"/>
      <c r="EM43" s="764"/>
      <c r="EN43" s="764"/>
      <c r="EO43" s="764"/>
      <c r="EP43" s="764"/>
      <c r="EQ43" s="764"/>
      <c r="ER43" s="764"/>
      <c r="ES43" s="764"/>
      <c r="ET43" s="764"/>
      <c r="EU43" s="764"/>
      <c r="EV43" s="764"/>
      <c r="EW43" s="764"/>
      <c r="EX43" s="764"/>
      <c r="EY43" s="764"/>
      <c r="EZ43" s="764"/>
      <c r="FA43" s="764"/>
      <c r="FB43" s="764"/>
      <c r="FC43" s="764"/>
      <c r="FD43" s="764"/>
      <c r="FE43" s="764"/>
      <c r="FF43" s="764"/>
      <c r="FG43" s="764"/>
      <c r="FH43" s="764"/>
      <c r="FI43" s="764"/>
      <c r="FJ43" s="764"/>
      <c r="FK43" s="764"/>
      <c r="FL43" s="764"/>
      <c r="FM43" s="764"/>
      <c r="FN43" s="764"/>
      <c r="FO43" s="764"/>
      <c r="FP43" s="764"/>
      <c r="FQ43" s="764"/>
      <c r="FR43" s="764"/>
      <c r="FS43" s="764"/>
      <c r="FT43" s="764"/>
      <c r="FU43" s="764"/>
      <c r="FV43" s="764"/>
      <c r="FW43" s="764"/>
      <c r="FX43" s="764"/>
      <c r="FY43" s="764"/>
      <c r="FZ43" s="764"/>
      <c r="GA43" s="764"/>
      <c r="GB43" s="764"/>
      <c r="GC43" s="764"/>
      <c r="GD43" s="764"/>
      <c r="GE43" s="764"/>
      <c r="GF43" s="764"/>
      <c r="GG43" s="764"/>
      <c r="GH43" s="764"/>
      <c r="GI43" s="764"/>
      <c r="GJ43" s="764"/>
      <c r="GK43" s="764"/>
      <c r="GL43" s="764"/>
      <c r="GM43" s="764"/>
      <c r="GN43" s="764"/>
      <c r="GO43" s="764"/>
      <c r="GP43" s="764"/>
      <c r="GQ43" s="764"/>
      <c r="GR43" s="764"/>
      <c r="GS43" s="764"/>
      <c r="GT43" s="764"/>
      <c r="GU43" s="764"/>
      <c r="GV43" s="764"/>
      <c r="GW43" s="764"/>
      <c r="GX43" s="764"/>
      <c r="GY43" s="764"/>
      <c r="GZ43" s="764"/>
      <c r="HA43" s="764"/>
      <c r="HB43" s="764"/>
      <c r="HC43" s="764"/>
      <c r="HD43" s="764"/>
    </row>
    <row r="44" spans="2:212" s="552" customFormat="1" ht="16.5" customHeight="1" x14ac:dyDescent="0.2">
      <c r="B44" s="1126"/>
      <c r="C44" s="820" t="s">
        <v>840</v>
      </c>
      <c r="D44" s="701">
        <f>9*74/1000</f>
        <v>0.66600000000000004</v>
      </c>
      <c r="E44" s="701">
        <f>0.7+0.3+4.94+0.45+7.92+1.4+9.5493+9.5493+3.7357</f>
        <v>38.544300000000007</v>
      </c>
      <c r="F44" s="701" t="s">
        <v>244</v>
      </c>
      <c r="G44" s="701" t="s">
        <v>808</v>
      </c>
      <c r="H44" s="701">
        <v>1</v>
      </c>
      <c r="I44" s="765" t="s">
        <v>13</v>
      </c>
      <c r="J44" s="701" t="s">
        <v>242</v>
      </c>
      <c r="K44" s="701" t="s">
        <v>363</v>
      </c>
      <c r="L44" s="701">
        <v>1</v>
      </c>
      <c r="M44" s="702">
        <v>1.5</v>
      </c>
      <c r="N44" s="701" t="s">
        <v>453</v>
      </c>
      <c r="O44" s="701">
        <v>4</v>
      </c>
      <c r="P44" s="555">
        <f t="shared" si="62"/>
        <v>16.5</v>
      </c>
      <c r="Q44" s="701">
        <v>3</v>
      </c>
      <c r="R44" s="701">
        <v>1</v>
      </c>
      <c r="S44" s="555">
        <f t="shared" si="55"/>
        <v>2.8956521739130436</v>
      </c>
      <c r="T44" s="712">
        <f t="shared" si="56"/>
        <v>16.5</v>
      </c>
      <c r="U44" s="701" t="s">
        <v>499</v>
      </c>
      <c r="V44" s="555">
        <v>10</v>
      </c>
      <c r="W44" s="701">
        <f>IF(U44="C.C.Fusíveis",VLOOKUP(V44,Consulta!$L$5:$N$31,3,FALSE),VLOOKUP(V44,Consulta!$P$5:$R$34,3,FALSE))</f>
        <v>13.5</v>
      </c>
      <c r="X44" s="713">
        <f t="shared" si="10"/>
        <v>24</v>
      </c>
      <c r="Y44" s="766">
        <f t="shared" si="51"/>
        <v>0.17549407114624507</v>
      </c>
      <c r="Z44" s="706" t="str">
        <f t="shared" si="11"/>
        <v>Sim</v>
      </c>
      <c r="AA44" s="767">
        <f t="shared" si="57"/>
        <v>4.4407014575354217E-2</v>
      </c>
      <c r="AB44" s="767">
        <f t="shared" si="12"/>
        <v>0.72270562500000002</v>
      </c>
      <c r="AC44" s="767">
        <f t="shared" si="6"/>
        <v>0</v>
      </c>
      <c r="AD44" s="703">
        <f t="shared" si="58"/>
        <v>0.24479900982315089</v>
      </c>
      <c r="AE44" s="703">
        <f t="shared" si="17"/>
        <v>4.1854082282608696</v>
      </c>
      <c r="AF44" s="703">
        <f t="shared" si="65"/>
        <v>4.4302072380840203</v>
      </c>
      <c r="AG44" s="704">
        <f t="shared" si="34"/>
        <v>1.8197427079395086E-2</v>
      </c>
      <c r="AH44" s="768">
        <f t="shared" si="34"/>
        <v>1.9261770600365307E-2</v>
      </c>
      <c r="AI44" s="703">
        <f t="shared" si="7"/>
        <v>0.29982559031659245</v>
      </c>
      <c r="AJ44" s="701">
        <v>3</v>
      </c>
      <c r="AK44" s="703">
        <v>0.1</v>
      </c>
      <c r="AL44" s="713">
        <f t="shared" si="66"/>
        <v>115</v>
      </c>
      <c r="AM44" s="703">
        <f t="shared" si="67"/>
        <v>0.82446240539561488</v>
      </c>
      <c r="AN44" s="706">
        <f t="shared" si="52"/>
        <v>1</v>
      </c>
      <c r="AO44" s="705" t="s">
        <v>563</v>
      </c>
      <c r="AP44" s="706" t="s">
        <v>523</v>
      </c>
      <c r="AQ44" s="706" t="str">
        <f t="shared" si="53"/>
        <v>3G</v>
      </c>
      <c r="AR44" s="706">
        <f t="shared" si="68"/>
        <v>1.5</v>
      </c>
      <c r="AS44" s="893" t="str">
        <f t="shared" si="8"/>
        <v/>
      </c>
      <c r="AT44" s="893" t="str">
        <f>IF(OR(AQ44="3G",AQ44="5G"),"",VLOOKUP(AR44,Consulta!$T$5:$U$25,2,FALSE))</f>
        <v/>
      </c>
      <c r="AU44" s="894" t="s">
        <v>565</v>
      </c>
      <c r="AV44" s="706" t="s">
        <v>23</v>
      </c>
      <c r="AW44" s="706" t="s">
        <v>564</v>
      </c>
      <c r="AX44" s="706">
        <f t="shared" si="30"/>
        <v>20</v>
      </c>
      <c r="AY44" s="707" t="s">
        <v>24</v>
      </c>
      <c r="AZ44" s="531"/>
      <c r="BA44" s="531">
        <f>IF(AND(J44="Cobre",F44="Monofásico"),VLOOKUP(M44,'Iz''s'!$B$8:$E$23,2,FALSE),IF(AND(J44="Cobre",F44="Trifásico"),VLOOKUP(M44,'Iz''s'!$L$8:$O$23,2,FALSE),IF(AND(J44="Alumínio",F44="Monofásico"),VLOOKUP(M44,'Iz''s'!$B$25:$E$39,2,FALSE),IF(AND(J44="Alumínio",F44="Trifásico"),VLOOKUP(M44,'Iz''s'!$L$25:$O$39,2,FALSE)))))</f>
        <v>14.5</v>
      </c>
      <c r="BB44" s="531">
        <f>IF(AND(J44="Cobre",F44="Monofásico"),VLOOKUP(M44,'Iz''s'!$CD$9:$CH$24,2,FALSE),IF(AND(J44="Cobre",F44="Trifásico"),VLOOKUP(M44,'Iz''s'!$CD$9:$CH$24,4,FALSE),IF(AND(J44="Alumínio",F44="Monofásico"),VLOOKUP(M44,'Iz''s'!$CD$26:$CH$40,2,FALSE),IF(AND(J44="Alumínio",F44="Trifásico"),VLOOKUP(M44,'Iz''s'!$CD$26:$CH$40,4,FALSE)))))</f>
        <v>14</v>
      </c>
      <c r="BC44" s="531">
        <f>IF(AND(J44="Cobre",F44="Monofásico"),VLOOKUP(M44,'Iz''s'!$B$8:$E$23,3,FALSE),IF(AND(J44="Cobre",F44="Trifásico"),VLOOKUP(M44,'Iz''s'!$L$8:$O$23,3,FALSE),IF(AND(J44="Alumínio",F44="Monofásico"),VLOOKUP(M44,'Iz''s'!$B$25:$E$39,3,FALSE),IF(AND(J44="Alumínio",F44="Trifásico"),VLOOKUP(M44,'Iz''s'!$L$25:$O$39,3,FALSE)))))</f>
        <v>17.5</v>
      </c>
      <c r="BD44" s="531">
        <f>IF(AND(J44="Cobre",F44="Monofásico"),VLOOKUP(M44,'Iz''s'!$CD$9:$CH$24,3,FALSE),IF(AND(J44="Cobre",F44="Trifásico"),VLOOKUP(M44,'Iz''s'!$CD$9:$CH$24,5,FALSE),IF(AND(J44="Alumínio",F44="Monofásico"),VLOOKUP(M44,'Iz''s'!$CD$26:$CH$40,3,FALSE),IF(AND(J44="Alumínio",F44="Trifásico"),VLOOKUP(M44,'Iz''s'!$CD$26:$CH$40,5,FALSE)))))</f>
        <v>16.5</v>
      </c>
      <c r="BE44" s="531">
        <f>IF(AND(J44="Cobre",F44="Monofásico"),VLOOKUP(M44,'Iz''s'!$B$8:$E$23,4,FALSE),IF(AND(J44="Cobre",F44="Trifásico"),VLOOKUP(M44,'Iz''s'!$L$8:$O$23,4,FALSE),IF(AND(J44="Alumínio",F44="Monofásico"),VLOOKUP(M44,'Iz''s'!$B$25:$E$39,4,FALSE),IF(AND(J44="Alumínio",F44="Trifásico"),VLOOKUP(M44,'Iz''s'!$L$25:$O$39,4,FALSE)))))</f>
        <v>19.5</v>
      </c>
      <c r="BF44" s="531">
        <f>IF(AND(J44="Cobre",F44="Monofásico"),VLOOKUP(M44,'Iz''s'!$CP$9:$CT$24,3,FALSE),IF(AND(J44="Cobre",F44="Trifásico"),VLOOKUP(M44,'Iz''s'!$CP$9:$CT$24,2,FALSE),IF(AND(J44="Alumínio",F44="Monofásico"),VLOOKUP(M44,'Iz''s'!$CP$26:$CT$37,3,FALSE),IF(AND(J44="Alumínio",F44="Trifásico"),VLOOKUP(M44,'Iz''s'!$CP$26:$CT$37,2,FALSE)))))</f>
        <v>32</v>
      </c>
      <c r="BG44" s="531">
        <f>IF(AND(J44="Cobre",F44="Monofásico"),VLOOKUP(M44,'Iz''s'!$AT$10:$BA$28,2,FALSE),IF(AND(J44="Cobre",F44="Trifásico"),VLOOKUP(M44,'Iz''s'!$AT$10:$BA$28,3,FALSE),IF(AND(J44="Alumínio",F44="Monofásico"),VLOOKUP(M44,'Iz''s'!$BC$10:$BJ$27,2,FALSE),IF(AND(J44="Alumínio",F44="Trifásico"),VLOOKUP(M44,'Iz''s'!$BC$10:$BJ$27,3,FALSE)))))</f>
        <v>22</v>
      </c>
      <c r="BH44" s="609" t="str">
        <f>IF(AND(J44="Cobre",F44="Monofásico"),VLOOKUP(M44,'Iz''s'!$AT$10:$BA$28,4,FALSE),IF(AND(J44="Cobre",F44="Trifásico"),VLOOKUP(M44,'Iz''s'!$AT$10:$BA$28,5,FALSE),IF(AND(J44="Alumínio",F44="Monofásico"),VLOOKUP(M44,'Iz''s'!$BC$10:$BJ$27,4,FALSE),IF(AND(J44="Alumínio",F44="Trifásico"),VLOOKUP(M44,'Iz''s'!$BC$10:$BJ$27,5,FALSE)))))</f>
        <v xml:space="preserve"> --- </v>
      </c>
      <c r="BI44" s="609" t="str">
        <f>IF(AND(J44="Cobre",F44="Monofásico"),"N/A",IF(AND(J44="Cobre",F44="Trifásico"),VLOOKUP(M44,'Iz''s'!$AT$10:$BA$28,8,FALSE),IF(AND(J44="Alumínio",F44="Monofásico"),"N/A",IF(AND(J44="Alumínio",F44="Trifásico"),VLOOKUP(M44,'Iz''s'!$BC$10:$BJ$27,8,FALSE)))))</f>
        <v>N/A</v>
      </c>
      <c r="BJ44" s="531">
        <f>IF(AND(J44="Cobre",F44="Monofásico"),VLOOKUP(M44,'Iz''s'!$G$8:$J$23,2,FALSE),IF(AND(J44="Cobre",F44="Trifásico"),VLOOKUP(M44,'Iz''s'!$Q$8:$T$23,2,FALSE),IF(AND(J44="Alumínio",F44="Monofásico"),VLOOKUP(M44,'Iz''s'!$G$25:$J$39,2,FALSE),IF(AND(J44="Alumínio",F44="Trifásico"),VLOOKUP(M44,'Iz''s'!$Q$25:$T$39,2,FALSE)))))</f>
        <v>19</v>
      </c>
      <c r="BK44" s="609">
        <f>IF(AND(J44="Cobre",F44="Monofásico"),VLOOKUP(M44,'Iz''s'!$CJ$9:$CN$24,2,FALSE),IF(AND(J44="Cobre",F44="Trifásico"),VLOOKUP(M44,'Iz''s'!$CJ$9:$CN$24,4,FALSE),IF(AND(J44="Alumínio",F44="Monofásico"),VLOOKUP(M44,'Iz''s'!$CJ$26:$CN$40,2,FALSE),IF(AND(J44="Alumínio",F44="Trifásico"),VLOOKUP(M44,'Iz''s'!$CJ$26:$CN$40,4,FALSE)))))</f>
        <v>18.5</v>
      </c>
      <c r="BL44" s="609">
        <f>IF(AND(J44="Cobre",F44="Monofásico"),VLOOKUP(M44,'Iz''s'!$G$8:$J$23,3,FALSE),IF(AND(J44="Cobre",F44="Trifásico"),VLOOKUP(M44,'Iz''s'!$Q$8:$T$23,3,FALSE),IF(AND(J44="Alumínio",F44="Monofásico"),VLOOKUP(M44,'Iz''s'!$G$25:$J$39,3,FALSE),IF(AND(J44="Alumínio",F44="Trifásico"),VLOOKUP(M44,'Iz''s'!$Q$25:$T$39,3,FALSE)))))</f>
        <v>23</v>
      </c>
      <c r="BM44" s="609">
        <f>IF(AND(J44="Cobre",F44="Monofásico"),VLOOKUP(M44,'Iz''s'!$CJ$9:$CN$24,3,FALSE),IF(AND(J44="Cobre",F44="Trifásico"),VLOOKUP(M44,'Iz''s'!$CJ$9:$CN$24,5,FALSE),IF(AND(J44="Alumínio",F44="Monofásico"),VLOOKUP(M44,'Iz''s'!$CJ$26:$CN$40,3,FALSE),IF(AND(J44="Alumínio",F44="Trifásico"),VLOOKUP(M44,'Iz''s'!$CJ$26:$CN$40,5,FALSE)))))</f>
        <v>22</v>
      </c>
      <c r="BN44" s="609">
        <f>IF(AND(J44="Cobre",F44="Monofásico"),VLOOKUP(M44,'Iz''s'!$G$8:$J$23,4,FALSE),IF(AND(J44="Cobre",F44="Trifásico"),VLOOKUP(M44,'Iz''s'!$Q$8:$T$23,4,FALSE),IF(AND(J44="Alumínio",F44="Monofásico"),VLOOKUP(M44,'Iz''s'!$G$25:$J$39,4,FALSE),IF(AND(J44="Alumínio",F44="Trifásico"),VLOOKUP(M44,'Iz''s'!$Q$25:$T$39,4,FALSE)))))</f>
        <v>24</v>
      </c>
      <c r="BO44" s="609">
        <f>IF(AND(J44="Cobre",F44="Monofásico"),VLOOKUP(M44,'Iz''s'!$CP$9:$CT$24,5,FALSE),IF(AND(J44="Cobre",F44="Trifásico"),VLOOKUP(M44,'Iz''s'!$CP$9:$CT$24,4,FALSE),IF(AND(J44="Alumínio",F44="Monofásico"),VLOOKUP(M44,'Iz''s'!$CP$26:$CT$37,5,FALSE),IF(AND(J44="Alumínio",F44="Trifásico"),VLOOKUP(M44,'Iz''s'!$CP$26:$CT$37,4,FALSE)))))</f>
        <v>37</v>
      </c>
      <c r="BP44" s="609">
        <f>IF(AND(J44="Cobre",F44="Monofásico"),VLOOKUP(M44,'Iz''s'!$BL$10:$BS$28,2,FALSE),IF(AND(J44="Cobre",F44="Trifásico"),VLOOKUP(M44,'Iz''s'!$BL$10:$BS$28,3,FALSE),IF(AND(J44="Alumínio",F44="Monofásico"),VLOOKUP(M44,'Iz''s'!$BU$10:$CB$27,2,FALSE),IF(AND(J44="Alumínio",F44="Trifásico"),VLOOKUP(M44,'Iz''s'!$BU$10:$CB$27,3,FALSE)))))</f>
        <v>26</v>
      </c>
      <c r="BQ44" s="531" t="str">
        <f>IF(AND(J44="Cobre",F44="Monofásico"),VLOOKUP(M44,'Iz''s'!$BL$10:$BS$28,4,FALSE),IF(AND(J44="Cobre",F44="Trifásico"),VLOOKUP(M44,'Iz''s'!$BL$10:$BS$28,5,FALSE),IF(AND(J44="Alumínio",F44="Monofásico"),VLOOKUP(M44,'Iz''s'!$BU$10:$CB$27,4,FALSE),IF(AND(J44="Alumínio",F44="Trifásico"),VLOOKUP(M44,'Iz''s'!$BU$10:$CB$27,5,FALSE)))))</f>
        <v xml:space="preserve"> --- </v>
      </c>
      <c r="BR44" s="609" t="str">
        <f>IF(AND(J44="Cobre",F44="Monofásico"),"N/A",IF(AND(J44="Cobre",F44="Trifásico"),VLOOKUP(M44,'Iz''s'!$BL$10:$BS$28,8,FALSE),IF(AND(J44="Alumínio",F44="Monofásico"),"N/A",IF(AND(J44="Alumínio",F44="Trifásico"),VLOOKUP(M44,'Iz''s'!$BU$10:$CB$27,8,FALSE)))))</f>
        <v>N/A</v>
      </c>
      <c r="BS44" s="609">
        <f>IF(AND(J44="Cobre",F44="Monofásico"),VLOOKUP(M44,'Iz''s'!$V$14:$Y$28,2,FALSE),IF(AND(J44="Cobre",F44="Trifásico"),VLOOKUP(M44,'Iz''s'!$V$14:$Y$28,3,FALSE),IF(AND(J44="Alumínio",F44="Monofásico"),VLOOKUP(M44,"N/A",4,FALSE),IF(AND(J44="Alumínio",F44="Trifásico"),VLOOKUP(M44,"N/A",4,FALSE)))))</f>
        <v>25</v>
      </c>
      <c r="BT44" s="609">
        <f>IF(AND(J44="Cobre",F44="Monofásico"),VLOOKUP(M44,'Iz''s'!$AF$15:$AK$29,2,FALSE),IF(AND(J44="Cobre",F44="Trifásico"),VLOOKUP(M44,'Iz''s'!$AF$15:$AK$29,3,FALSE),IF(AND(J44="Alumínio",F44="Monofásico"),"N/A",IF(AND(J44="Alumínio",F44="Trifásico"),"N/A"))))</f>
        <v>26</v>
      </c>
      <c r="BU44" s="609">
        <f>IF(AND(J44="Cobre",F44="Monofásico"),VLOOKUP(M44,'Iz''s'!$AF$15:$AK$29,2,FALSE),IF(AND(J44="Cobre",F44="Trifásico"),VLOOKUP(M44,'Iz''s'!$AF$15:$AK$29,3,FALSE),IF(AND(J44="Alumínio",F44="Monofásico"),"N/A",IF(AND(J44="Alumínio",F44="Trifásico"),"N/A"))))</f>
        <v>26</v>
      </c>
      <c r="BV44" s="609" t="str">
        <f>IF(AND(J44="Cobre",F44="Monofásico"),"N/A",IF(AND(J44="Cobre",F44="Trifásico"),VLOOKUP(M44,'Iz''s'!$AF$15:$AK$29,6,FALSE),IF(AND(J44="Alumínio",F44="Monofásico"),"N/A",IF(AND(J44="Alumínio",F44="Trifásico"),"N/A"))))</f>
        <v>N/A</v>
      </c>
      <c r="BW44" s="609">
        <v>42</v>
      </c>
      <c r="BX44" s="532"/>
      <c r="BY44" s="592">
        <f>VLOOKUP(M44,Consulta!$W$6:$AB$23,4,FALSE)</f>
        <v>16</v>
      </c>
      <c r="BZ44" s="592">
        <f>VLOOKUP(M44,Consulta!$W$6:$AB$23,6,FALSE)</f>
        <v>20</v>
      </c>
      <c r="CA44" s="592">
        <f>VLOOKUP(M44,Consulta!$AK$6:$AP$23,4,FALSE)</f>
        <v>20</v>
      </c>
      <c r="CB44" s="592">
        <f>VLOOKUP(M44,Consulta!$AK$6:$AP$23,6,FALSE)</f>
        <v>20</v>
      </c>
      <c r="CC44" s="529" t="e">
        <f>VLOOKUP(M44,Consulta!$AD$6:$AI$19,4,FALSE)</f>
        <v>#N/A</v>
      </c>
      <c r="CD44" s="529" t="e">
        <f>VLOOKUP(M44,Consulta!$AD$6:$AI$19,6,FALSE)</f>
        <v>#N/A</v>
      </c>
      <c r="CE44" s="529" t="e">
        <f>VLOOKUP(M44,Consulta!$AR$6:$AW$19,4,FALSE)</f>
        <v>#N/A</v>
      </c>
      <c r="CF44" s="529" t="e">
        <f>VLOOKUP(M44,Consulta!$AR$6:$AW$19,6,FALSE)</f>
        <v>#N/A</v>
      </c>
      <c r="CG44" s="764"/>
      <c r="CH44" s="764"/>
      <c r="CI44" s="764"/>
      <c r="CJ44" s="764"/>
      <c r="CK44" s="764"/>
      <c r="CL44" s="764"/>
      <c r="CM44" s="764"/>
      <c r="CN44" s="764"/>
      <c r="CO44" s="764"/>
      <c r="CP44" s="764"/>
      <c r="CQ44" s="764"/>
      <c r="CR44" s="764"/>
      <c r="CS44" s="764"/>
      <c r="CT44" s="764"/>
      <c r="CU44" s="764"/>
      <c r="CV44" s="764"/>
      <c r="CW44" s="764"/>
      <c r="CX44" s="764"/>
      <c r="CY44" s="764"/>
      <c r="CZ44" s="764"/>
      <c r="DA44" s="764"/>
      <c r="DB44" s="764"/>
      <c r="DC44" s="764"/>
      <c r="DD44" s="764"/>
      <c r="DE44" s="764"/>
      <c r="DF44" s="764"/>
      <c r="DG44" s="764"/>
      <c r="DH44" s="764"/>
      <c r="DI44" s="764"/>
      <c r="DJ44" s="764"/>
      <c r="DK44" s="764"/>
      <c r="DL44" s="764"/>
      <c r="DM44" s="764"/>
      <c r="DN44" s="764"/>
      <c r="DO44" s="764"/>
      <c r="DP44" s="764"/>
      <c r="DQ44" s="764"/>
      <c r="DR44" s="764"/>
      <c r="DS44" s="764"/>
      <c r="DT44" s="764"/>
      <c r="DU44" s="764"/>
      <c r="DV44" s="764"/>
      <c r="DW44" s="764"/>
      <c r="DX44" s="764"/>
      <c r="DY44" s="764"/>
      <c r="DZ44" s="764"/>
      <c r="EA44" s="764"/>
      <c r="EB44" s="764"/>
      <c r="EC44" s="764"/>
      <c r="ED44" s="764"/>
      <c r="EE44" s="764"/>
      <c r="EF44" s="764"/>
      <c r="EG44" s="764"/>
      <c r="EH44" s="764"/>
      <c r="EI44" s="764"/>
      <c r="EJ44" s="764"/>
      <c r="EK44" s="764"/>
      <c r="EL44" s="764"/>
      <c r="EM44" s="764"/>
      <c r="EN44" s="764"/>
      <c r="EO44" s="764"/>
      <c r="EP44" s="764"/>
      <c r="EQ44" s="764"/>
      <c r="ER44" s="764"/>
      <c r="ES44" s="764"/>
      <c r="ET44" s="764"/>
      <c r="EU44" s="764"/>
      <c r="EV44" s="764"/>
      <c r="EW44" s="764"/>
      <c r="EX44" s="764"/>
      <c r="EY44" s="764"/>
      <c r="EZ44" s="764"/>
      <c r="FA44" s="764"/>
      <c r="FB44" s="764"/>
      <c r="FC44" s="764"/>
      <c r="FD44" s="764"/>
      <c r="FE44" s="764"/>
      <c r="FF44" s="764"/>
      <c r="FG44" s="764"/>
      <c r="FH44" s="764"/>
      <c r="FI44" s="764"/>
      <c r="FJ44" s="764"/>
      <c r="FK44" s="764"/>
      <c r="FL44" s="764"/>
      <c r="FM44" s="764"/>
      <c r="FN44" s="764"/>
      <c r="FO44" s="764"/>
      <c r="FP44" s="764"/>
      <c r="FQ44" s="764"/>
      <c r="FR44" s="764"/>
      <c r="FS44" s="764"/>
      <c r="FT44" s="764"/>
      <c r="FU44" s="764"/>
      <c r="FV44" s="764"/>
      <c r="FW44" s="764"/>
      <c r="FX44" s="764"/>
      <c r="FY44" s="764"/>
      <c r="FZ44" s="764"/>
      <c r="GA44" s="764"/>
      <c r="GB44" s="764"/>
      <c r="GC44" s="764"/>
      <c r="GD44" s="764"/>
      <c r="GE44" s="764"/>
      <c r="GF44" s="764"/>
      <c r="GG44" s="764"/>
      <c r="GH44" s="764"/>
      <c r="GI44" s="764"/>
      <c r="GJ44" s="764"/>
      <c r="GK44" s="764"/>
      <c r="GL44" s="764"/>
      <c r="GM44" s="764"/>
      <c r="GN44" s="764"/>
      <c r="GO44" s="764"/>
      <c r="GP44" s="764"/>
      <c r="GQ44" s="764"/>
      <c r="GR44" s="764"/>
      <c r="GS44" s="764"/>
      <c r="GT44" s="764"/>
      <c r="GU44" s="764"/>
      <c r="GV44" s="764"/>
      <c r="GW44" s="764"/>
      <c r="GX44" s="764"/>
      <c r="GY44" s="764"/>
      <c r="GZ44" s="764"/>
      <c r="HA44" s="764"/>
      <c r="HB44" s="764"/>
      <c r="HC44" s="764"/>
      <c r="HD44" s="764"/>
    </row>
    <row r="45" spans="2:212" s="552" customFormat="1" ht="16.5" customHeight="1" x14ac:dyDescent="0.2">
      <c r="B45" s="1126"/>
      <c r="C45" s="820" t="s">
        <v>841</v>
      </c>
      <c r="D45" s="701">
        <f>9*51/1000</f>
        <v>0.45900000000000002</v>
      </c>
      <c r="E45" s="701">
        <f>0.7+0.3+4.94+0.7+4.06+3.9+4.21+4.21+4.21</f>
        <v>27.23</v>
      </c>
      <c r="F45" s="701" t="s">
        <v>244</v>
      </c>
      <c r="G45" s="701" t="s">
        <v>808</v>
      </c>
      <c r="H45" s="701">
        <v>1</v>
      </c>
      <c r="I45" s="765" t="s">
        <v>13</v>
      </c>
      <c r="J45" s="701" t="s">
        <v>242</v>
      </c>
      <c r="K45" s="701" t="s">
        <v>363</v>
      </c>
      <c r="L45" s="701">
        <v>1</v>
      </c>
      <c r="M45" s="702">
        <v>1.5</v>
      </c>
      <c r="N45" s="701" t="s">
        <v>453</v>
      </c>
      <c r="O45" s="701">
        <v>4</v>
      </c>
      <c r="P45" s="555">
        <f t="shared" si="62"/>
        <v>16.5</v>
      </c>
      <c r="Q45" s="701">
        <v>3</v>
      </c>
      <c r="R45" s="701">
        <v>1</v>
      </c>
      <c r="S45" s="555">
        <f t="shared" si="55"/>
        <v>1.9956521739130435</v>
      </c>
      <c r="T45" s="712">
        <f t="shared" si="56"/>
        <v>16.5</v>
      </c>
      <c r="U45" s="701" t="s">
        <v>499</v>
      </c>
      <c r="V45" s="555">
        <v>10</v>
      </c>
      <c r="W45" s="701">
        <f>IF(U45="C.C.Fusíveis",VLOOKUP(V45,Consulta!$L$5:$N$31,3,FALSE),VLOOKUP(V45,Consulta!$P$5:$R$34,3,FALSE))</f>
        <v>13.5</v>
      </c>
      <c r="X45" s="713">
        <f t="shared" si="10"/>
        <v>24</v>
      </c>
      <c r="Y45" s="766">
        <f t="shared" si="51"/>
        <v>0.12094861660079051</v>
      </c>
      <c r="Z45" s="706" t="str">
        <f t="shared" si="11"/>
        <v>Sim</v>
      </c>
      <c r="AA45" s="767">
        <f t="shared" si="57"/>
        <v>4.4407014575354217E-2</v>
      </c>
      <c r="AB45" s="767">
        <f t="shared" si="12"/>
        <v>0.51056249999999992</v>
      </c>
      <c r="AC45" s="767">
        <f t="shared" si="6"/>
        <v>0</v>
      </c>
      <c r="AD45" s="703">
        <f t="shared" si="58"/>
        <v>0.24479900982315089</v>
      </c>
      <c r="AE45" s="703">
        <f t="shared" si="17"/>
        <v>2.037810326086956</v>
      </c>
      <c r="AF45" s="703">
        <f t="shared" si="65"/>
        <v>2.2826093359101067</v>
      </c>
      <c r="AG45" s="704">
        <f t="shared" si="34"/>
        <v>8.860044896030244E-3</v>
      </c>
      <c r="AH45" s="768">
        <f t="shared" si="34"/>
        <v>9.9243884170004647E-3</v>
      </c>
      <c r="AI45" s="703">
        <f t="shared" si="7"/>
        <v>0.41443717890700543</v>
      </c>
      <c r="AJ45" s="701">
        <v>3</v>
      </c>
      <c r="AK45" s="703">
        <v>0.1</v>
      </c>
      <c r="AL45" s="713">
        <f t="shared" si="66"/>
        <v>115</v>
      </c>
      <c r="AM45" s="703">
        <f t="shared" si="67"/>
        <v>1.1396221151311559</v>
      </c>
      <c r="AN45" s="706">
        <f t="shared" si="52"/>
        <v>1</v>
      </c>
      <c r="AO45" s="705" t="s">
        <v>563</v>
      </c>
      <c r="AP45" s="706" t="s">
        <v>523</v>
      </c>
      <c r="AQ45" s="706" t="str">
        <f t="shared" si="53"/>
        <v>3G</v>
      </c>
      <c r="AR45" s="706">
        <f t="shared" si="68"/>
        <v>1.5</v>
      </c>
      <c r="AS45" s="893" t="str">
        <f t="shared" si="8"/>
        <v/>
      </c>
      <c r="AT45" s="893" t="str">
        <f>IF(OR(AQ45="3G",AQ45="5G"),"",VLOOKUP(AR45,Consulta!$T$5:$U$25,2,FALSE))</f>
        <v/>
      </c>
      <c r="AU45" s="894" t="s">
        <v>565</v>
      </c>
      <c r="AV45" s="706" t="s">
        <v>23</v>
      </c>
      <c r="AW45" s="706" t="s">
        <v>564</v>
      </c>
      <c r="AX45" s="706">
        <f t="shared" si="30"/>
        <v>20</v>
      </c>
      <c r="AY45" s="707" t="s">
        <v>24</v>
      </c>
      <c r="AZ45" s="531"/>
      <c r="BA45" s="531">
        <f>IF(AND(J45="Cobre",F45="Monofásico"),VLOOKUP(M45,'Iz''s'!$B$8:$E$23,2,FALSE),IF(AND(J45="Cobre",F45="Trifásico"),VLOOKUP(M45,'Iz''s'!$L$8:$O$23,2,FALSE),IF(AND(J45="Alumínio",F45="Monofásico"),VLOOKUP(M45,'Iz''s'!$B$25:$E$39,2,FALSE),IF(AND(J45="Alumínio",F45="Trifásico"),VLOOKUP(M45,'Iz''s'!$L$25:$O$39,2,FALSE)))))</f>
        <v>14.5</v>
      </c>
      <c r="BB45" s="531">
        <f>IF(AND(J45="Cobre",F45="Monofásico"),VLOOKUP(M45,'Iz''s'!$CD$9:$CH$24,2,FALSE),IF(AND(J45="Cobre",F45="Trifásico"),VLOOKUP(M45,'Iz''s'!$CD$9:$CH$24,4,FALSE),IF(AND(J45="Alumínio",F45="Monofásico"),VLOOKUP(M45,'Iz''s'!$CD$26:$CH$40,2,FALSE),IF(AND(J45="Alumínio",F45="Trifásico"),VLOOKUP(M45,'Iz''s'!$CD$26:$CH$40,4,FALSE)))))</f>
        <v>14</v>
      </c>
      <c r="BC45" s="531">
        <f>IF(AND(J45="Cobre",F45="Monofásico"),VLOOKUP(M45,'Iz''s'!$B$8:$E$23,3,FALSE),IF(AND(J45="Cobre",F45="Trifásico"),VLOOKUP(M45,'Iz''s'!$L$8:$O$23,3,FALSE),IF(AND(J45="Alumínio",F45="Monofásico"),VLOOKUP(M45,'Iz''s'!$B$25:$E$39,3,FALSE),IF(AND(J45="Alumínio",F45="Trifásico"),VLOOKUP(M45,'Iz''s'!$L$25:$O$39,3,FALSE)))))</f>
        <v>17.5</v>
      </c>
      <c r="BD45" s="531">
        <f>IF(AND(J45="Cobre",F45="Monofásico"),VLOOKUP(M45,'Iz''s'!$CD$9:$CH$24,3,FALSE),IF(AND(J45="Cobre",F45="Trifásico"),VLOOKUP(M45,'Iz''s'!$CD$9:$CH$24,5,FALSE),IF(AND(J45="Alumínio",F45="Monofásico"),VLOOKUP(M45,'Iz''s'!$CD$26:$CH$40,3,FALSE),IF(AND(J45="Alumínio",F45="Trifásico"),VLOOKUP(M45,'Iz''s'!$CD$26:$CH$40,5,FALSE)))))</f>
        <v>16.5</v>
      </c>
      <c r="BE45" s="531">
        <f>IF(AND(J45="Cobre",F45="Monofásico"),VLOOKUP(M45,'Iz''s'!$B$8:$E$23,4,FALSE),IF(AND(J45="Cobre",F45="Trifásico"),VLOOKUP(M45,'Iz''s'!$L$8:$O$23,4,FALSE),IF(AND(J45="Alumínio",F45="Monofásico"),VLOOKUP(M45,'Iz''s'!$B$25:$E$39,4,FALSE),IF(AND(J45="Alumínio",F45="Trifásico"),VLOOKUP(M45,'Iz''s'!$L$25:$O$39,4,FALSE)))))</f>
        <v>19.5</v>
      </c>
      <c r="BF45" s="531">
        <f>IF(AND(J45="Cobre",F45="Monofásico"),VLOOKUP(M45,'Iz''s'!$CP$9:$CT$24,3,FALSE),IF(AND(J45="Cobre",F45="Trifásico"),VLOOKUP(M45,'Iz''s'!$CP$9:$CT$24,2,FALSE),IF(AND(J45="Alumínio",F45="Monofásico"),VLOOKUP(M45,'Iz''s'!$CP$26:$CT$37,3,FALSE),IF(AND(J45="Alumínio",F45="Trifásico"),VLOOKUP(M45,'Iz''s'!$CP$26:$CT$37,2,FALSE)))))</f>
        <v>32</v>
      </c>
      <c r="BG45" s="531">
        <f>IF(AND(J45="Cobre",F45="Monofásico"),VLOOKUP(M45,'Iz''s'!$AT$10:$BA$28,2,FALSE),IF(AND(J45="Cobre",F45="Trifásico"),VLOOKUP(M45,'Iz''s'!$AT$10:$BA$28,3,FALSE),IF(AND(J45="Alumínio",F45="Monofásico"),VLOOKUP(M45,'Iz''s'!$BC$10:$BJ$27,2,FALSE),IF(AND(J45="Alumínio",F45="Trifásico"),VLOOKUP(M45,'Iz''s'!$BC$10:$BJ$27,3,FALSE)))))</f>
        <v>22</v>
      </c>
      <c r="BH45" s="609" t="str">
        <f>IF(AND(J45="Cobre",F45="Monofásico"),VLOOKUP(M45,'Iz''s'!$AT$10:$BA$28,4,FALSE),IF(AND(J45="Cobre",F45="Trifásico"),VLOOKUP(M45,'Iz''s'!$AT$10:$BA$28,5,FALSE),IF(AND(J45="Alumínio",F45="Monofásico"),VLOOKUP(M45,'Iz''s'!$BC$10:$BJ$27,4,FALSE),IF(AND(J45="Alumínio",F45="Trifásico"),VLOOKUP(M45,'Iz''s'!$BC$10:$BJ$27,5,FALSE)))))</f>
        <v xml:space="preserve"> --- </v>
      </c>
      <c r="BI45" s="609" t="str">
        <f>IF(AND(J45="Cobre",F45="Monofásico"),"N/A",IF(AND(J45="Cobre",F45="Trifásico"),VLOOKUP(M45,'Iz''s'!$AT$10:$BA$28,8,FALSE),IF(AND(J45="Alumínio",F45="Monofásico"),"N/A",IF(AND(J45="Alumínio",F45="Trifásico"),VLOOKUP(M45,'Iz''s'!$BC$10:$BJ$27,8,FALSE)))))</f>
        <v>N/A</v>
      </c>
      <c r="BJ45" s="531">
        <f>IF(AND(J45="Cobre",F45="Monofásico"),VLOOKUP(M45,'Iz''s'!$G$8:$J$23,2,FALSE),IF(AND(J45="Cobre",F45="Trifásico"),VLOOKUP(M45,'Iz''s'!$Q$8:$T$23,2,FALSE),IF(AND(J45="Alumínio",F45="Monofásico"),VLOOKUP(M45,'Iz''s'!$G$25:$J$39,2,FALSE),IF(AND(J45="Alumínio",F45="Trifásico"),VLOOKUP(M45,'Iz''s'!$Q$25:$T$39,2,FALSE)))))</f>
        <v>19</v>
      </c>
      <c r="BK45" s="609">
        <f>IF(AND(J45="Cobre",F45="Monofásico"),VLOOKUP(M45,'Iz''s'!$CJ$9:$CN$24,2,FALSE),IF(AND(J45="Cobre",F45="Trifásico"),VLOOKUP(M45,'Iz''s'!$CJ$9:$CN$24,4,FALSE),IF(AND(J45="Alumínio",F45="Monofásico"),VLOOKUP(M45,'Iz''s'!$CJ$26:$CN$40,2,FALSE),IF(AND(J45="Alumínio",F45="Trifásico"),VLOOKUP(M45,'Iz''s'!$CJ$26:$CN$40,4,FALSE)))))</f>
        <v>18.5</v>
      </c>
      <c r="BL45" s="609">
        <f>IF(AND(J45="Cobre",F45="Monofásico"),VLOOKUP(M45,'Iz''s'!$G$8:$J$23,3,FALSE),IF(AND(J45="Cobre",F45="Trifásico"),VLOOKUP(M45,'Iz''s'!$Q$8:$T$23,3,FALSE),IF(AND(J45="Alumínio",F45="Monofásico"),VLOOKUP(M45,'Iz''s'!$G$25:$J$39,3,FALSE),IF(AND(J45="Alumínio",F45="Trifásico"),VLOOKUP(M45,'Iz''s'!$Q$25:$T$39,3,FALSE)))))</f>
        <v>23</v>
      </c>
      <c r="BM45" s="609">
        <f>IF(AND(J45="Cobre",F45="Monofásico"),VLOOKUP(M45,'Iz''s'!$CJ$9:$CN$24,3,FALSE),IF(AND(J45="Cobre",F45="Trifásico"),VLOOKUP(M45,'Iz''s'!$CJ$9:$CN$24,5,FALSE),IF(AND(J45="Alumínio",F45="Monofásico"),VLOOKUP(M45,'Iz''s'!$CJ$26:$CN$40,3,FALSE),IF(AND(J45="Alumínio",F45="Trifásico"),VLOOKUP(M45,'Iz''s'!$CJ$26:$CN$40,5,FALSE)))))</f>
        <v>22</v>
      </c>
      <c r="BN45" s="609">
        <f>IF(AND(J45="Cobre",F45="Monofásico"),VLOOKUP(M45,'Iz''s'!$G$8:$J$23,4,FALSE),IF(AND(J45="Cobre",F45="Trifásico"),VLOOKUP(M45,'Iz''s'!$Q$8:$T$23,4,FALSE),IF(AND(J45="Alumínio",F45="Monofásico"),VLOOKUP(M45,'Iz''s'!$G$25:$J$39,4,FALSE),IF(AND(J45="Alumínio",F45="Trifásico"),VLOOKUP(M45,'Iz''s'!$Q$25:$T$39,4,FALSE)))))</f>
        <v>24</v>
      </c>
      <c r="BO45" s="609">
        <f>IF(AND(J45="Cobre",F45="Monofásico"),VLOOKUP(M45,'Iz''s'!$CP$9:$CT$24,5,FALSE),IF(AND(J45="Cobre",F45="Trifásico"),VLOOKUP(M45,'Iz''s'!$CP$9:$CT$24,4,FALSE),IF(AND(J45="Alumínio",F45="Monofásico"),VLOOKUP(M45,'Iz''s'!$CP$26:$CT$37,5,FALSE),IF(AND(J45="Alumínio",F45="Trifásico"),VLOOKUP(M45,'Iz''s'!$CP$26:$CT$37,4,FALSE)))))</f>
        <v>37</v>
      </c>
      <c r="BP45" s="609">
        <f>IF(AND(J45="Cobre",F45="Monofásico"),VLOOKUP(M45,'Iz''s'!$BL$10:$BS$28,2,FALSE),IF(AND(J45="Cobre",F45="Trifásico"),VLOOKUP(M45,'Iz''s'!$BL$10:$BS$28,3,FALSE),IF(AND(J45="Alumínio",F45="Monofásico"),VLOOKUP(M45,'Iz''s'!$BU$10:$CB$27,2,FALSE),IF(AND(J45="Alumínio",F45="Trifásico"),VLOOKUP(M45,'Iz''s'!$BU$10:$CB$27,3,FALSE)))))</f>
        <v>26</v>
      </c>
      <c r="BQ45" s="531" t="str">
        <f>IF(AND(J45="Cobre",F45="Monofásico"),VLOOKUP(M45,'Iz''s'!$BL$10:$BS$28,4,FALSE),IF(AND(J45="Cobre",F45="Trifásico"),VLOOKUP(M45,'Iz''s'!$BL$10:$BS$28,5,FALSE),IF(AND(J45="Alumínio",F45="Monofásico"),VLOOKUP(M45,'Iz''s'!$BU$10:$CB$27,4,FALSE),IF(AND(J45="Alumínio",F45="Trifásico"),VLOOKUP(M45,'Iz''s'!$BU$10:$CB$27,5,FALSE)))))</f>
        <v xml:space="preserve"> --- </v>
      </c>
      <c r="BR45" s="609" t="str">
        <f>IF(AND(J45="Cobre",F45="Monofásico"),"N/A",IF(AND(J45="Cobre",F45="Trifásico"),VLOOKUP(M45,'Iz''s'!$BL$10:$BS$28,8,FALSE),IF(AND(J45="Alumínio",F45="Monofásico"),"N/A",IF(AND(J45="Alumínio",F45="Trifásico"),VLOOKUP(M45,'Iz''s'!$BU$10:$CB$27,8,FALSE)))))</f>
        <v>N/A</v>
      </c>
      <c r="BS45" s="609">
        <f>IF(AND(J45="Cobre",F45="Monofásico"),VLOOKUP(M45,'Iz''s'!$V$14:$Y$28,2,FALSE),IF(AND(J45="Cobre",F45="Trifásico"),VLOOKUP(M45,'Iz''s'!$V$14:$Y$28,3,FALSE),IF(AND(J45="Alumínio",F45="Monofásico"),VLOOKUP(M45,"N/A",4,FALSE),IF(AND(J45="Alumínio",F45="Trifásico"),VLOOKUP(M45,"N/A",4,FALSE)))))</f>
        <v>25</v>
      </c>
      <c r="BT45" s="609">
        <f>IF(AND(J45="Cobre",F45="Monofásico"),VLOOKUP(M45,'Iz''s'!$AF$15:$AK$29,2,FALSE),IF(AND(J45="Cobre",F45="Trifásico"),VLOOKUP(M45,'Iz''s'!$AF$15:$AK$29,3,FALSE),IF(AND(J45="Alumínio",F45="Monofásico"),"N/A",IF(AND(J45="Alumínio",F45="Trifásico"),"N/A"))))</f>
        <v>26</v>
      </c>
      <c r="BU45" s="609">
        <f>IF(AND(J45="Cobre",F45="Monofásico"),VLOOKUP(M45,'Iz''s'!$AF$15:$AK$29,2,FALSE),IF(AND(J45="Cobre",F45="Trifásico"),VLOOKUP(M45,'Iz''s'!$AF$15:$AK$29,3,FALSE),IF(AND(J45="Alumínio",F45="Monofásico"),"N/A",IF(AND(J45="Alumínio",F45="Trifásico"),"N/A"))))</f>
        <v>26</v>
      </c>
      <c r="BV45" s="609" t="str">
        <f>IF(AND(J45="Cobre",F45="Monofásico"),"N/A",IF(AND(J45="Cobre",F45="Trifásico"),VLOOKUP(M45,'Iz''s'!$AF$15:$AK$29,6,FALSE),IF(AND(J45="Alumínio",F45="Monofásico"),"N/A",IF(AND(J45="Alumínio",F45="Trifásico"),"N/A"))))</f>
        <v>N/A</v>
      </c>
      <c r="BW45" s="609">
        <v>43</v>
      </c>
      <c r="BX45" s="532"/>
      <c r="BY45" s="592">
        <f>VLOOKUP(M45,Consulta!$W$6:$AB$23,4,FALSE)</f>
        <v>16</v>
      </c>
      <c r="BZ45" s="592">
        <f>VLOOKUP(M45,Consulta!$W$6:$AB$23,6,FALSE)</f>
        <v>20</v>
      </c>
      <c r="CA45" s="592">
        <f>VLOOKUP(M45,Consulta!$AK$6:$AP$23,4,FALSE)</f>
        <v>20</v>
      </c>
      <c r="CB45" s="592">
        <f>VLOOKUP(M45,Consulta!$AK$6:$AP$23,6,FALSE)</f>
        <v>20</v>
      </c>
      <c r="CC45" s="529" t="e">
        <f>VLOOKUP(M45,Consulta!$AD$6:$AI$19,4,FALSE)</f>
        <v>#N/A</v>
      </c>
      <c r="CD45" s="529" t="e">
        <f>VLOOKUP(M45,Consulta!$AD$6:$AI$19,6,FALSE)</f>
        <v>#N/A</v>
      </c>
      <c r="CE45" s="529" t="e">
        <f>VLOOKUP(M45,Consulta!$AR$6:$AW$19,4,FALSE)</f>
        <v>#N/A</v>
      </c>
      <c r="CF45" s="529" t="e">
        <f>VLOOKUP(M45,Consulta!$AR$6:$AW$19,6,FALSE)</f>
        <v>#N/A</v>
      </c>
      <c r="CG45" s="764"/>
      <c r="CH45" s="764"/>
      <c r="CI45" s="764"/>
      <c r="CJ45" s="764"/>
      <c r="CK45" s="764"/>
      <c r="CL45" s="764"/>
      <c r="CM45" s="764"/>
      <c r="CN45" s="764"/>
      <c r="CO45" s="764"/>
      <c r="CP45" s="764"/>
      <c r="CQ45" s="764"/>
      <c r="CR45" s="764"/>
      <c r="CS45" s="764"/>
      <c r="CT45" s="764"/>
      <c r="CU45" s="764"/>
      <c r="CV45" s="764"/>
      <c r="CW45" s="764"/>
      <c r="CX45" s="764"/>
      <c r="CY45" s="764"/>
      <c r="CZ45" s="764"/>
      <c r="DA45" s="764"/>
      <c r="DB45" s="764"/>
      <c r="DC45" s="764"/>
      <c r="DD45" s="764"/>
      <c r="DE45" s="764"/>
      <c r="DF45" s="764"/>
      <c r="DG45" s="764"/>
      <c r="DH45" s="764"/>
      <c r="DI45" s="764"/>
      <c r="DJ45" s="764"/>
      <c r="DK45" s="764"/>
      <c r="DL45" s="764"/>
      <c r="DM45" s="764"/>
      <c r="DN45" s="764"/>
      <c r="DO45" s="764"/>
      <c r="DP45" s="764"/>
      <c r="DQ45" s="764"/>
      <c r="DR45" s="764"/>
      <c r="DS45" s="764"/>
      <c r="DT45" s="764"/>
      <c r="DU45" s="764"/>
      <c r="DV45" s="764"/>
      <c r="DW45" s="764"/>
      <c r="DX45" s="764"/>
      <c r="DY45" s="764"/>
      <c r="DZ45" s="764"/>
      <c r="EA45" s="764"/>
      <c r="EB45" s="764"/>
      <c r="EC45" s="764"/>
      <c r="ED45" s="764"/>
      <c r="EE45" s="764"/>
      <c r="EF45" s="764"/>
      <c r="EG45" s="764"/>
      <c r="EH45" s="764"/>
      <c r="EI45" s="764"/>
      <c r="EJ45" s="764"/>
      <c r="EK45" s="764"/>
      <c r="EL45" s="764"/>
      <c r="EM45" s="764"/>
      <c r="EN45" s="764"/>
      <c r="EO45" s="764"/>
      <c r="EP45" s="764"/>
      <c r="EQ45" s="764"/>
      <c r="ER45" s="764"/>
      <c r="ES45" s="764"/>
      <c r="ET45" s="764"/>
      <c r="EU45" s="764"/>
      <c r="EV45" s="764"/>
      <c r="EW45" s="764"/>
      <c r="EX45" s="764"/>
      <c r="EY45" s="764"/>
      <c r="EZ45" s="764"/>
      <c r="FA45" s="764"/>
      <c r="FB45" s="764"/>
      <c r="FC45" s="764"/>
      <c r="FD45" s="764"/>
      <c r="FE45" s="764"/>
      <c r="FF45" s="764"/>
      <c r="FG45" s="764"/>
      <c r="FH45" s="764"/>
      <c r="FI45" s="764"/>
      <c r="FJ45" s="764"/>
      <c r="FK45" s="764"/>
      <c r="FL45" s="764"/>
      <c r="FM45" s="764"/>
      <c r="FN45" s="764"/>
      <c r="FO45" s="764"/>
      <c r="FP45" s="764"/>
      <c r="FQ45" s="764"/>
      <c r="FR45" s="764"/>
      <c r="FS45" s="764"/>
      <c r="FT45" s="764"/>
      <c r="FU45" s="764"/>
      <c r="FV45" s="764"/>
      <c r="FW45" s="764"/>
      <c r="FX45" s="764"/>
      <c r="FY45" s="764"/>
      <c r="FZ45" s="764"/>
      <c r="GA45" s="764"/>
      <c r="GB45" s="764"/>
      <c r="GC45" s="764"/>
      <c r="GD45" s="764"/>
      <c r="GE45" s="764"/>
      <c r="GF45" s="764"/>
      <c r="GG45" s="764"/>
      <c r="GH45" s="764"/>
      <c r="GI45" s="764"/>
      <c r="GJ45" s="764"/>
      <c r="GK45" s="764"/>
      <c r="GL45" s="764"/>
      <c r="GM45" s="764"/>
      <c r="GN45" s="764"/>
      <c r="GO45" s="764"/>
      <c r="GP45" s="764"/>
      <c r="GQ45" s="764"/>
      <c r="GR45" s="764"/>
      <c r="GS45" s="764"/>
      <c r="GT45" s="764"/>
      <c r="GU45" s="764"/>
      <c r="GV45" s="764"/>
      <c r="GW45" s="764"/>
      <c r="GX45" s="764"/>
      <c r="GY45" s="764"/>
      <c r="GZ45" s="764"/>
      <c r="HA45" s="764"/>
      <c r="HB45" s="764"/>
      <c r="HC45" s="764"/>
      <c r="HD45" s="764"/>
    </row>
    <row r="46" spans="2:212" s="552" customFormat="1" ht="16.5" customHeight="1" x14ac:dyDescent="0.2">
      <c r="B46" s="1126"/>
      <c r="C46" s="820" t="s">
        <v>842</v>
      </c>
      <c r="D46" s="701">
        <f>9*13/1000</f>
        <v>0.11700000000000001</v>
      </c>
      <c r="E46" s="701">
        <f>11.72+4.0472+2.8862+0.3+2.83+0.5+1.21+2.83+2.83+1.2</f>
        <v>30.353399999999997</v>
      </c>
      <c r="F46" s="701" t="s">
        <v>244</v>
      </c>
      <c r="G46" s="701" t="s">
        <v>808</v>
      </c>
      <c r="H46" s="701">
        <v>1</v>
      </c>
      <c r="I46" s="765" t="s">
        <v>13</v>
      </c>
      <c r="J46" s="701" t="s">
        <v>242</v>
      </c>
      <c r="K46" s="701" t="s">
        <v>363</v>
      </c>
      <c r="L46" s="701">
        <v>1</v>
      </c>
      <c r="M46" s="702">
        <v>1.5</v>
      </c>
      <c r="N46" s="701" t="s">
        <v>453</v>
      </c>
      <c r="O46" s="701">
        <v>4</v>
      </c>
      <c r="P46" s="555">
        <f t="shared" si="62"/>
        <v>16.5</v>
      </c>
      <c r="Q46" s="701">
        <v>3</v>
      </c>
      <c r="R46" s="701">
        <v>1</v>
      </c>
      <c r="S46" s="555">
        <f t="shared" si="55"/>
        <v>0.50869565217391299</v>
      </c>
      <c r="T46" s="712">
        <f t="shared" si="56"/>
        <v>16.5</v>
      </c>
      <c r="U46" s="701" t="s">
        <v>499</v>
      </c>
      <c r="V46" s="555">
        <v>10</v>
      </c>
      <c r="W46" s="701">
        <f>IF(U46="C.C.Fusíveis",VLOOKUP(V46,Consulta!$L$5:$N$31,3,FALSE),VLOOKUP(V46,Consulta!$P$5:$R$34,3,FALSE))</f>
        <v>13.5</v>
      </c>
      <c r="X46" s="713">
        <f t="shared" si="10"/>
        <v>24</v>
      </c>
      <c r="Y46" s="766">
        <f t="shared" si="51"/>
        <v>3.0830039525691695E-2</v>
      </c>
      <c r="Z46" s="706" t="str">
        <f t="shared" si="11"/>
        <v>Sim</v>
      </c>
      <c r="AA46" s="767">
        <f t="shared" si="57"/>
        <v>4.4407014575354217E-2</v>
      </c>
      <c r="AB46" s="767">
        <f>(IF(J46="Cobre",(1.25*0.0225),(1.25*0.036)))*((E46/M46)/L46)</f>
        <v>0.56912624999999983</v>
      </c>
      <c r="AC46" s="767">
        <f t="shared" si="6"/>
        <v>0</v>
      </c>
      <c r="AD46" s="703">
        <f t="shared" si="58"/>
        <v>0.24479900982315089</v>
      </c>
      <c r="AE46" s="703">
        <f t="shared" si="17"/>
        <v>0.57902409782608677</v>
      </c>
      <c r="AF46" s="703">
        <f t="shared" si="65"/>
        <v>0.82382310764923772</v>
      </c>
      <c r="AG46" s="704">
        <f t="shared" si="34"/>
        <v>2.517496077504725E-3</v>
      </c>
      <c r="AH46" s="768">
        <f t="shared" si="34"/>
        <v>3.5818395984749465E-3</v>
      </c>
      <c r="AI46" s="703">
        <f t="shared" si="7"/>
        <v>0.37487779926519604</v>
      </c>
      <c r="AJ46" s="701">
        <v>3</v>
      </c>
      <c r="AK46" s="703">
        <v>0.1</v>
      </c>
      <c r="AL46" s="713">
        <f t="shared" si="66"/>
        <v>115</v>
      </c>
      <c r="AM46" s="703">
        <f t="shared" si="67"/>
        <v>1.0308414694864483</v>
      </c>
      <c r="AN46" s="706">
        <f t="shared" si="52"/>
        <v>1</v>
      </c>
      <c r="AO46" s="705" t="s">
        <v>563</v>
      </c>
      <c r="AP46" s="706" t="s">
        <v>523</v>
      </c>
      <c r="AQ46" s="706" t="str">
        <f t="shared" si="53"/>
        <v>3G</v>
      </c>
      <c r="AR46" s="706">
        <f t="shared" si="68"/>
        <v>1.5</v>
      </c>
      <c r="AS46" s="893" t="str">
        <f t="shared" si="8"/>
        <v/>
      </c>
      <c r="AT46" s="893" t="str">
        <f>IF(OR(AQ46="3G",AQ46="5G"),"",VLOOKUP(AR46,Consulta!$T$5:$U$25,2,FALSE))</f>
        <v/>
      </c>
      <c r="AU46" s="894" t="s">
        <v>565</v>
      </c>
      <c r="AV46" s="706" t="s">
        <v>23</v>
      </c>
      <c r="AW46" s="706" t="s">
        <v>564</v>
      </c>
      <c r="AX46" s="706">
        <f t="shared" si="30"/>
        <v>20</v>
      </c>
      <c r="AY46" s="707" t="s">
        <v>24</v>
      </c>
      <c r="AZ46" s="531"/>
      <c r="BA46" s="531">
        <f>IF(AND(J46="Cobre",F46="Monofásico"),VLOOKUP(M46,'Iz''s'!$B$8:$E$23,2,FALSE),IF(AND(J46="Cobre",F46="Trifásico"),VLOOKUP(M46,'Iz''s'!$L$8:$O$23,2,FALSE),IF(AND(J46="Alumínio",F46="Monofásico"),VLOOKUP(M46,'Iz''s'!$B$25:$E$39,2,FALSE),IF(AND(J46="Alumínio",F46="Trifásico"),VLOOKUP(M46,'Iz''s'!$L$25:$O$39,2,FALSE)))))</f>
        <v>14.5</v>
      </c>
      <c r="BB46" s="531">
        <f>IF(AND(J46="Cobre",F46="Monofásico"),VLOOKUP(M46,'Iz''s'!$CD$9:$CH$24,2,FALSE),IF(AND(J46="Cobre",F46="Trifásico"),VLOOKUP(M46,'Iz''s'!$CD$9:$CH$24,4,FALSE),IF(AND(J46="Alumínio",F46="Monofásico"),VLOOKUP(M46,'Iz''s'!$CD$26:$CH$40,2,FALSE),IF(AND(J46="Alumínio",F46="Trifásico"),VLOOKUP(M46,'Iz''s'!$CD$26:$CH$40,4,FALSE)))))</f>
        <v>14</v>
      </c>
      <c r="BC46" s="531">
        <f>IF(AND(J46="Cobre",F46="Monofásico"),VLOOKUP(M46,'Iz''s'!$B$8:$E$23,3,FALSE),IF(AND(J46="Cobre",F46="Trifásico"),VLOOKUP(M46,'Iz''s'!$L$8:$O$23,3,FALSE),IF(AND(J46="Alumínio",F46="Monofásico"),VLOOKUP(M46,'Iz''s'!$B$25:$E$39,3,FALSE),IF(AND(J46="Alumínio",F46="Trifásico"),VLOOKUP(M46,'Iz''s'!$L$25:$O$39,3,FALSE)))))</f>
        <v>17.5</v>
      </c>
      <c r="BD46" s="531">
        <f>IF(AND(J46="Cobre",F46="Monofásico"),VLOOKUP(M46,'Iz''s'!$CD$9:$CH$24,3,FALSE),IF(AND(J46="Cobre",F46="Trifásico"),VLOOKUP(M46,'Iz''s'!$CD$9:$CH$24,5,FALSE),IF(AND(J46="Alumínio",F46="Monofásico"),VLOOKUP(M46,'Iz''s'!$CD$26:$CH$40,3,FALSE),IF(AND(J46="Alumínio",F46="Trifásico"),VLOOKUP(M46,'Iz''s'!$CD$26:$CH$40,5,FALSE)))))</f>
        <v>16.5</v>
      </c>
      <c r="BE46" s="531">
        <f>IF(AND(J46="Cobre",F46="Monofásico"),VLOOKUP(M46,'Iz''s'!$B$8:$E$23,4,FALSE),IF(AND(J46="Cobre",F46="Trifásico"),VLOOKUP(M46,'Iz''s'!$L$8:$O$23,4,FALSE),IF(AND(J46="Alumínio",F46="Monofásico"),VLOOKUP(M46,'Iz''s'!$B$25:$E$39,4,FALSE),IF(AND(J46="Alumínio",F46="Trifásico"),VLOOKUP(M46,'Iz''s'!$L$25:$O$39,4,FALSE)))))</f>
        <v>19.5</v>
      </c>
      <c r="BF46" s="531">
        <f>IF(AND(J46="Cobre",F46="Monofásico"),VLOOKUP(M46,'Iz''s'!$CP$9:$CT$24,3,FALSE),IF(AND(J46="Cobre",F46="Trifásico"),VLOOKUP(M46,'Iz''s'!$CP$9:$CT$24,2,FALSE),IF(AND(J46="Alumínio",F46="Monofásico"),VLOOKUP(M46,'Iz''s'!$CP$26:$CT$37,3,FALSE),IF(AND(J46="Alumínio",F46="Trifásico"),VLOOKUP(M46,'Iz''s'!$CP$26:$CT$37,2,FALSE)))))</f>
        <v>32</v>
      </c>
      <c r="BG46" s="531">
        <f>IF(AND(J46="Cobre",F46="Monofásico"),VLOOKUP(M46,'Iz''s'!$AT$10:$BA$28,2,FALSE),IF(AND(J46="Cobre",F46="Trifásico"),VLOOKUP(M46,'Iz''s'!$AT$10:$BA$28,3,FALSE),IF(AND(J46="Alumínio",F46="Monofásico"),VLOOKUP(M46,'Iz''s'!$BC$10:$BJ$27,2,FALSE),IF(AND(J46="Alumínio",F46="Trifásico"),VLOOKUP(M46,'Iz''s'!$BC$10:$BJ$27,3,FALSE)))))</f>
        <v>22</v>
      </c>
      <c r="BH46" s="609" t="str">
        <f>IF(AND(J46="Cobre",F46="Monofásico"),VLOOKUP(M46,'Iz''s'!$AT$10:$BA$28,4,FALSE),IF(AND(J46="Cobre",F46="Trifásico"),VLOOKUP(M46,'Iz''s'!$AT$10:$BA$28,5,FALSE),IF(AND(J46="Alumínio",F46="Monofásico"),VLOOKUP(M46,'Iz''s'!$BC$10:$BJ$27,4,FALSE),IF(AND(J46="Alumínio",F46="Trifásico"),VLOOKUP(M46,'Iz''s'!$BC$10:$BJ$27,5,FALSE)))))</f>
        <v xml:space="preserve"> --- </v>
      </c>
      <c r="BI46" s="609" t="str">
        <f>IF(AND(J46="Cobre",F46="Monofásico"),"N/A",IF(AND(J46="Cobre",F46="Trifásico"),VLOOKUP(M46,'Iz''s'!$AT$10:$BA$28,8,FALSE),IF(AND(J46="Alumínio",F46="Monofásico"),"N/A",IF(AND(J46="Alumínio",F46="Trifásico"),VLOOKUP(M46,'Iz''s'!$BC$10:$BJ$27,8,FALSE)))))</f>
        <v>N/A</v>
      </c>
      <c r="BJ46" s="531">
        <f>IF(AND(J46="Cobre",F46="Monofásico"),VLOOKUP(M46,'Iz''s'!$G$8:$J$23,2,FALSE),IF(AND(J46="Cobre",F46="Trifásico"),VLOOKUP(M46,'Iz''s'!$Q$8:$T$23,2,FALSE),IF(AND(J46="Alumínio",F46="Monofásico"),VLOOKUP(M46,'Iz''s'!$G$25:$J$39,2,FALSE),IF(AND(J46="Alumínio",F46="Trifásico"),VLOOKUP(M46,'Iz''s'!$Q$25:$T$39,2,FALSE)))))</f>
        <v>19</v>
      </c>
      <c r="BK46" s="609">
        <f>IF(AND(J46="Cobre",F46="Monofásico"),VLOOKUP(M46,'Iz''s'!$CJ$9:$CN$24,2,FALSE),IF(AND(J46="Cobre",F46="Trifásico"),VLOOKUP(M46,'Iz''s'!$CJ$9:$CN$24,4,FALSE),IF(AND(J46="Alumínio",F46="Monofásico"),VLOOKUP(M46,'Iz''s'!$CJ$26:$CN$40,2,FALSE),IF(AND(J46="Alumínio",F46="Trifásico"),VLOOKUP(M46,'Iz''s'!$CJ$26:$CN$40,4,FALSE)))))</f>
        <v>18.5</v>
      </c>
      <c r="BL46" s="609">
        <f>IF(AND(J46="Cobre",F46="Monofásico"),VLOOKUP(M46,'Iz''s'!$G$8:$J$23,3,FALSE),IF(AND(J46="Cobre",F46="Trifásico"),VLOOKUP(M46,'Iz''s'!$Q$8:$T$23,3,FALSE),IF(AND(J46="Alumínio",F46="Monofásico"),VLOOKUP(M46,'Iz''s'!$G$25:$J$39,3,FALSE),IF(AND(J46="Alumínio",F46="Trifásico"),VLOOKUP(M46,'Iz''s'!$Q$25:$T$39,3,FALSE)))))</f>
        <v>23</v>
      </c>
      <c r="BM46" s="609">
        <f>IF(AND(J46="Cobre",F46="Monofásico"),VLOOKUP(M46,'Iz''s'!$CJ$9:$CN$24,3,FALSE),IF(AND(J46="Cobre",F46="Trifásico"),VLOOKUP(M46,'Iz''s'!$CJ$9:$CN$24,5,FALSE),IF(AND(J46="Alumínio",F46="Monofásico"),VLOOKUP(M46,'Iz''s'!$CJ$26:$CN$40,3,FALSE),IF(AND(J46="Alumínio",F46="Trifásico"),VLOOKUP(M46,'Iz''s'!$CJ$26:$CN$40,5,FALSE)))))</f>
        <v>22</v>
      </c>
      <c r="BN46" s="609">
        <f>IF(AND(J46="Cobre",F46="Monofásico"),VLOOKUP(M46,'Iz''s'!$G$8:$J$23,4,FALSE),IF(AND(J46="Cobre",F46="Trifásico"),VLOOKUP(M46,'Iz''s'!$Q$8:$T$23,4,FALSE),IF(AND(J46="Alumínio",F46="Monofásico"),VLOOKUP(M46,'Iz''s'!$G$25:$J$39,4,FALSE),IF(AND(J46="Alumínio",F46="Trifásico"),VLOOKUP(M46,'Iz''s'!$Q$25:$T$39,4,FALSE)))))</f>
        <v>24</v>
      </c>
      <c r="BO46" s="609">
        <f>IF(AND(J46="Cobre",F46="Monofásico"),VLOOKUP(M46,'Iz''s'!$CP$9:$CT$24,5,FALSE),IF(AND(J46="Cobre",F46="Trifásico"),VLOOKUP(M46,'Iz''s'!$CP$9:$CT$24,4,FALSE),IF(AND(J46="Alumínio",F46="Monofásico"),VLOOKUP(M46,'Iz''s'!$CP$26:$CT$37,5,FALSE),IF(AND(J46="Alumínio",F46="Trifásico"),VLOOKUP(M46,'Iz''s'!$CP$26:$CT$37,4,FALSE)))))</f>
        <v>37</v>
      </c>
      <c r="BP46" s="609">
        <f>IF(AND(J46="Cobre",F46="Monofásico"),VLOOKUP(M46,'Iz''s'!$BL$10:$BS$28,2,FALSE),IF(AND(J46="Cobre",F46="Trifásico"),VLOOKUP(M46,'Iz''s'!$BL$10:$BS$28,3,FALSE),IF(AND(J46="Alumínio",F46="Monofásico"),VLOOKUP(M46,'Iz''s'!$BU$10:$CB$27,2,FALSE),IF(AND(J46="Alumínio",F46="Trifásico"),VLOOKUP(M46,'Iz''s'!$BU$10:$CB$27,3,FALSE)))))</f>
        <v>26</v>
      </c>
      <c r="BQ46" s="531" t="str">
        <f>IF(AND(J46="Cobre",F46="Monofásico"),VLOOKUP(M46,'Iz''s'!$BL$10:$BS$28,4,FALSE),IF(AND(J46="Cobre",F46="Trifásico"),VLOOKUP(M46,'Iz''s'!$BL$10:$BS$28,5,FALSE),IF(AND(J46="Alumínio",F46="Monofásico"),VLOOKUP(M46,'Iz''s'!$BU$10:$CB$27,4,FALSE),IF(AND(J46="Alumínio",F46="Trifásico"),VLOOKUP(M46,'Iz''s'!$BU$10:$CB$27,5,FALSE)))))</f>
        <v xml:space="preserve"> --- </v>
      </c>
      <c r="BR46" s="609" t="str">
        <f>IF(AND(J46="Cobre",F46="Monofásico"),"N/A",IF(AND(J46="Cobre",F46="Trifásico"),VLOOKUP(M46,'Iz''s'!$BL$10:$BS$28,8,FALSE),IF(AND(J46="Alumínio",F46="Monofásico"),"N/A",IF(AND(J46="Alumínio",F46="Trifásico"),VLOOKUP(M46,'Iz''s'!$BU$10:$CB$27,8,FALSE)))))</f>
        <v>N/A</v>
      </c>
      <c r="BS46" s="609">
        <f>IF(AND(J46="Cobre",F46="Monofásico"),VLOOKUP(M46,'Iz''s'!$V$14:$Y$28,2,FALSE),IF(AND(J46="Cobre",F46="Trifásico"),VLOOKUP(M46,'Iz''s'!$V$14:$Y$28,3,FALSE),IF(AND(J46="Alumínio",F46="Monofásico"),VLOOKUP(M46,"N/A",4,FALSE),IF(AND(J46="Alumínio",F46="Trifásico"),VLOOKUP(M46,"N/A",4,FALSE)))))</f>
        <v>25</v>
      </c>
      <c r="BT46" s="609">
        <f>IF(AND(J46="Cobre",F46="Monofásico"),VLOOKUP(M46,'Iz''s'!$AF$15:$AK$29,2,FALSE),IF(AND(J46="Cobre",F46="Trifásico"),VLOOKUP(M46,'Iz''s'!$AF$15:$AK$29,3,FALSE),IF(AND(J46="Alumínio",F46="Monofásico"),"N/A",IF(AND(J46="Alumínio",F46="Trifásico"),"N/A"))))</f>
        <v>26</v>
      </c>
      <c r="BU46" s="609">
        <f>IF(AND(J46="Cobre",F46="Monofásico"),VLOOKUP(M46,'Iz''s'!$AF$15:$AK$29,2,FALSE),IF(AND(J46="Cobre",F46="Trifásico"),VLOOKUP(M46,'Iz''s'!$AF$15:$AK$29,3,FALSE),IF(AND(J46="Alumínio",F46="Monofásico"),"N/A",IF(AND(J46="Alumínio",F46="Trifásico"),"N/A"))))</f>
        <v>26</v>
      </c>
      <c r="BV46" s="609" t="str">
        <f>IF(AND(J46="Cobre",F46="Monofásico"),"N/A",IF(AND(J46="Cobre",F46="Trifásico"),VLOOKUP(M46,'Iz''s'!$AF$15:$AK$29,6,FALSE),IF(AND(J46="Alumínio",F46="Monofásico"),"N/A",IF(AND(J46="Alumínio",F46="Trifásico"),"N/A"))))</f>
        <v>N/A</v>
      </c>
      <c r="BW46" s="609">
        <v>44</v>
      </c>
      <c r="BX46" s="532"/>
      <c r="BY46" s="592">
        <f>VLOOKUP(M46,Consulta!$W$6:$AB$23,4,FALSE)</f>
        <v>16</v>
      </c>
      <c r="BZ46" s="592">
        <f>VLOOKUP(M46,Consulta!$W$6:$AB$23,6,FALSE)</f>
        <v>20</v>
      </c>
      <c r="CA46" s="592">
        <f>VLOOKUP(M46,Consulta!$AK$6:$AP$23,4,FALSE)</f>
        <v>20</v>
      </c>
      <c r="CB46" s="592">
        <f>VLOOKUP(M46,Consulta!$AK$6:$AP$23,6,FALSE)</f>
        <v>20</v>
      </c>
      <c r="CC46" s="529" t="e">
        <f>VLOOKUP(M46,Consulta!$AD$6:$AI$19,4,FALSE)</f>
        <v>#N/A</v>
      </c>
      <c r="CD46" s="529" t="e">
        <f>VLOOKUP(M46,Consulta!$AD$6:$AI$19,6,FALSE)</f>
        <v>#N/A</v>
      </c>
      <c r="CE46" s="529" t="e">
        <f>VLOOKUP(M46,Consulta!$AR$6:$AW$19,4,FALSE)</f>
        <v>#N/A</v>
      </c>
      <c r="CF46" s="529" t="e">
        <f>VLOOKUP(M46,Consulta!$AR$6:$AW$19,6,FALSE)</f>
        <v>#N/A</v>
      </c>
      <c r="CG46" s="764"/>
      <c r="CH46" s="764"/>
      <c r="CI46" s="764"/>
      <c r="CJ46" s="764"/>
      <c r="CK46" s="764"/>
      <c r="CL46" s="764"/>
      <c r="CM46" s="764"/>
      <c r="CN46" s="764"/>
      <c r="CO46" s="764"/>
      <c r="CP46" s="764"/>
      <c r="CQ46" s="764"/>
      <c r="CR46" s="764"/>
      <c r="CS46" s="764"/>
      <c r="CT46" s="764"/>
      <c r="CU46" s="764"/>
      <c r="CV46" s="764"/>
      <c r="CW46" s="764"/>
      <c r="CX46" s="764"/>
      <c r="CY46" s="764"/>
      <c r="CZ46" s="764"/>
      <c r="DA46" s="764"/>
      <c r="DB46" s="764"/>
      <c r="DC46" s="764"/>
      <c r="DD46" s="764"/>
      <c r="DE46" s="764"/>
      <c r="DF46" s="764"/>
      <c r="DG46" s="764"/>
      <c r="DH46" s="764"/>
      <c r="DI46" s="764"/>
      <c r="DJ46" s="764"/>
      <c r="DK46" s="764"/>
      <c r="DL46" s="764"/>
      <c r="DM46" s="764"/>
      <c r="DN46" s="764"/>
      <c r="DO46" s="764"/>
      <c r="DP46" s="764"/>
      <c r="DQ46" s="764"/>
      <c r="DR46" s="764"/>
      <c r="DS46" s="764"/>
      <c r="DT46" s="764"/>
      <c r="DU46" s="764"/>
      <c r="DV46" s="764"/>
      <c r="DW46" s="764"/>
      <c r="DX46" s="764"/>
      <c r="DY46" s="764"/>
      <c r="DZ46" s="764"/>
      <c r="EA46" s="764"/>
      <c r="EB46" s="764"/>
      <c r="EC46" s="764"/>
      <c r="ED46" s="764"/>
      <c r="EE46" s="764"/>
      <c r="EF46" s="764"/>
      <c r="EG46" s="764"/>
      <c r="EH46" s="764"/>
      <c r="EI46" s="764"/>
      <c r="EJ46" s="764"/>
      <c r="EK46" s="764"/>
      <c r="EL46" s="764"/>
      <c r="EM46" s="764"/>
      <c r="EN46" s="764"/>
      <c r="EO46" s="764"/>
      <c r="EP46" s="764"/>
      <c r="EQ46" s="764"/>
      <c r="ER46" s="764"/>
      <c r="ES46" s="764"/>
      <c r="ET46" s="764"/>
      <c r="EU46" s="764"/>
      <c r="EV46" s="764"/>
      <c r="EW46" s="764"/>
      <c r="EX46" s="764"/>
      <c r="EY46" s="764"/>
      <c r="EZ46" s="764"/>
      <c r="FA46" s="764"/>
      <c r="FB46" s="764"/>
      <c r="FC46" s="764"/>
      <c r="FD46" s="764"/>
      <c r="FE46" s="764"/>
      <c r="FF46" s="764"/>
      <c r="FG46" s="764"/>
      <c r="FH46" s="764"/>
      <c r="FI46" s="764"/>
      <c r="FJ46" s="764"/>
      <c r="FK46" s="764"/>
      <c r="FL46" s="764"/>
      <c r="FM46" s="764"/>
      <c r="FN46" s="764"/>
      <c r="FO46" s="764"/>
      <c r="FP46" s="764"/>
      <c r="FQ46" s="764"/>
      <c r="FR46" s="764"/>
      <c r="FS46" s="764"/>
      <c r="FT46" s="764"/>
      <c r="FU46" s="764"/>
      <c r="FV46" s="764"/>
      <c r="FW46" s="764"/>
      <c r="FX46" s="764"/>
      <c r="FY46" s="764"/>
      <c r="FZ46" s="764"/>
      <c r="GA46" s="764"/>
      <c r="GB46" s="764"/>
      <c r="GC46" s="764"/>
      <c r="GD46" s="764"/>
      <c r="GE46" s="764"/>
      <c r="GF46" s="764"/>
      <c r="GG46" s="764"/>
      <c r="GH46" s="764"/>
      <c r="GI46" s="764"/>
      <c r="GJ46" s="764"/>
      <c r="GK46" s="764"/>
      <c r="GL46" s="764"/>
      <c r="GM46" s="764"/>
      <c r="GN46" s="764"/>
      <c r="GO46" s="764"/>
      <c r="GP46" s="764"/>
      <c r="GQ46" s="764"/>
      <c r="GR46" s="764"/>
      <c r="GS46" s="764"/>
      <c r="GT46" s="764"/>
      <c r="GU46" s="764"/>
      <c r="GV46" s="764"/>
      <c r="GW46" s="764"/>
      <c r="GX46" s="764"/>
      <c r="GY46" s="764"/>
      <c r="GZ46" s="764"/>
      <c r="HA46" s="764"/>
      <c r="HB46" s="764"/>
      <c r="HC46" s="764"/>
      <c r="HD46" s="764"/>
    </row>
    <row r="47" spans="2:212" s="552" customFormat="1" ht="16.5" customHeight="1" x14ac:dyDescent="0.2">
      <c r="B47" s="1126"/>
      <c r="C47" s="816" t="s">
        <v>804</v>
      </c>
      <c r="D47" s="722">
        <v>1.6</v>
      </c>
      <c r="E47" s="722">
        <f>0.8+2.7+1+0.3</f>
        <v>4.8</v>
      </c>
      <c r="F47" s="722" t="s">
        <v>244</v>
      </c>
      <c r="G47" s="722" t="s">
        <v>808</v>
      </c>
      <c r="H47" s="722">
        <v>0.8</v>
      </c>
      <c r="I47" s="723" t="s">
        <v>13</v>
      </c>
      <c r="J47" s="722" t="s">
        <v>242</v>
      </c>
      <c r="K47" s="722" t="s">
        <v>363</v>
      </c>
      <c r="L47" s="722">
        <v>1</v>
      </c>
      <c r="M47" s="724">
        <v>1.5</v>
      </c>
      <c r="N47" s="722" t="s">
        <v>453</v>
      </c>
      <c r="O47" s="722">
        <v>4</v>
      </c>
      <c r="P47" s="555">
        <f t="shared" si="62"/>
        <v>16.5</v>
      </c>
      <c r="Q47" s="722">
        <v>3</v>
      </c>
      <c r="R47" s="722">
        <v>0.7</v>
      </c>
      <c r="S47" s="555">
        <f t="shared" si="55"/>
        <v>8.695652173913043</v>
      </c>
      <c r="T47" s="725">
        <f t="shared" si="56"/>
        <v>11.549999999999999</v>
      </c>
      <c r="U47" s="722" t="s">
        <v>499</v>
      </c>
      <c r="V47" s="555">
        <v>10</v>
      </c>
      <c r="W47" s="722">
        <f>IF(U47="C.C.Fusíveis",VLOOKUP(V47,Consulta!$L$5:$N$31,3,FALSE),VLOOKUP(V47,Consulta!$P$5:$R$34,3,FALSE))</f>
        <v>13.5</v>
      </c>
      <c r="X47" s="736">
        <f t="shared" si="10"/>
        <v>24</v>
      </c>
      <c r="Y47" s="769">
        <f t="shared" si="51"/>
        <v>0.75287031808770943</v>
      </c>
      <c r="Z47" s="737" t="str">
        <f t="shared" si="11"/>
        <v>Sim</v>
      </c>
      <c r="AA47" s="770">
        <f t="shared" si="57"/>
        <v>4.4407014575354217E-2</v>
      </c>
      <c r="AB47" s="770">
        <f t="shared" ref="AB47:AB48" si="69">(IF(J47="Cobre",(1.25*0.0225),(1.25*0.036)))*((E47/M47)/L47)</f>
        <v>8.9999999999999983E-2</v>
      </c>
      <c r="AC47" s="770">
        <f t="shared" si="6"/>
        <v>0</v>
      </c>
      <c r="AD47" s="726">
        <f t="shared" si="58"/>
        <v>0.24479900982315089</v>
      </c>
      <c r="AE47" s="726">
        <f t="shared" si="17"/>
        <v>1.2521739130434781</v>
      </c>
      <c r="AF47" s="726">
        <f t="shared" si="65"/>
        <v>1.4969729228666291</v>
      </c>
      <c r="AG47" s="727">
        <f t="shared" si="34"/>
        <v>5.4442344045368615E-3</v>
      </c>
      <c r="AH47" s="771">
        <f t="shared" si="34"/>
        <v>6.5085779255070831E-3</v>
      </c>
      <c r="AI47" s="726">
        <f t="shared" si="7"/>
        <v>1.7112202121791225</v>
      </c>
      <c r="AJ47" s="722">
        <v>3</v>
      </c>
      <c r="AK47" s="726">
        <v>0.1</v>
      </c>
      <c r="AL47" s="736">
        <f t="shared" si="66"/>
        <v>115</v>
      </c>
      <c r="AM47" s="726">
        <f t="shared" si="67"/>
        <v>4.7055247379153329</v>
      </c>
      <c r="AN47" s="737">
        <f t="shared" si="52"/>
        <v>1</v>
      </c>
      <c r="AO47" s="818" t="s">
        <v>563</v>
      </c>
      <c r="AP47" s="737" t="s">
        <v>523</v>
      </c>
      <c r="AQ47" s="737" t="str">
        <f t="shared" si="53"/>
        <v>3G</v>
      </c>
      <c r="AR47" s="737">
        <f t="shared" si="68"/>
        <v>1.5</v>
      </c>
      <c r="AS47" s="889" t="str">
        <f t="shared" si="8"/>
        <v/>
      </c>
      <c r="AT47" s="889" t="str">
        <f>IF(OR(AQ47="3G",AQ47="5G"),"",VLOOKUP(AR47,Consulta!$T$5:$U$25,2,FALSE))</f>
        <v/>
      </c>
      <c r="AU47" s="890" t="s">
        <v>565</v>
      </c>
      <c r="AV47" s="737" t="s">
        <v>23</v>
      </c>
      <c r="AW47" s="737" t="s">
        <v>564</v>
      </c>
      <c r="AX47" s="737">
        <f t="shared" si="30"/>
        <v>20</v>
      </c>
      <c r="AY47" s="738" t="s">
        <v>24</v>
      </c>
      <c r="AZ47" s="531"/>
      <c r="BA47" s="531">
        <f>IF(AND(J47="Cobre",F47="Monofásico"),VLOOKUP(M47,'Iz''s'!$B$8:$E$23,2,FALSE),IF(AND(J47="Cobre",F47="Trifásico"),VLOOKUP(M47,'Iz''s'!$L$8:$O$23,2,FALSE),IF(AND(J47="Alumínio",F47="Monofásico"),VLOOKUP(M47,'Iz''s'!$B$25:$E$39,2,FALSE),IF(AND(J47="Alumínio",F47="Trifásico"),VLOOKUP(M47,'Iz''s'!$L$25:$O$39,2,FALSE)))))</f>
        <v>14.5</v>
      </c>
      <c r="BB47" s="531">
        <f>IF(AND(J47="Cobre",F47="Monofásico"),VLOOKUP(M47,'Iz''s'!$CD$9:$CH$24,2,FALSE),IF(AND(J47="Cobre",F47="Trifásico"),VLOOKUP(M47,'Iz''s'!$CD$9:$CH$24,4,FALSE),IF(AND(J47="Alumínio",F47="Monofásico"),VLOOKUP(M47,'Iz''s'!$CD$26:$CH$40,2,FALSE),IF(AND(J47="Alumínio",F47="Trifásico"),VLOOKUP(M47,'Iz''s'!$CD$26:$CH$40,4,FALSE)))))</f>
        <v>14</v>
      </c>
      <c r="BC47" s="531">
        <f>IF(AND(J47="Cobre",F47="Monofásico"),VLOOKUP(M47,'Iz''s'!$B$8:$E$23,3,FALSE),IF(AND(J47="Cobre",F47="Trifásico"),VLOOKUP(M47,'Iz''s'!$L$8:$O$23,3,FALSE),IF(AND(J47="Alumínio",F47="Monofásico"),VLOOKUP(M47,'Iz''s'!$B$25:$E$39,3,FALSE),IF(AND(J47="Alumínio",F47="Trifásico"),VLOOKUP(M47,'Iz''s'!$L$25:$O$39,3,FALSE)))))</f>
        <v>17.5</v>
      </c>
      <c r="BD47" s="531">
        <f>IF(AND(J47="Cobre",F47="Monofásico"),VLOOKUP(M47,'Iz''s'!$CD$9:$CH$24,3,FALSE),IF(AND(J47="Cobre",F47="Trifásico"),VLOOKUP(M47,'Iz''s'!$CD$9:$CH$24,5,FALSE),IF(AND(J47="Alumínio",F47="Monofásico"),VLOOKUP(M47,'Iz''s'!$CD$26:$CH$40,3,FALSE),IF(AND(J47="Alumínio",F47="Trifásico"),VLOOKUP(M47,'Iz''s'!$CD$26:$CH$40,5,FALSE)))))</f>
        <v>16.5</v>
      </c>
      <c r="BE47" s="531">
        <f>IF(AND(J47="Cobre",F47="Monofásico"),VLOOKUP(M47,'Iz''s'!$B$8:$E$23,4,FALSE),IF(AND(J47="Cobre",F47="Trifásico"),VLOOKUP(M47,'Iz''s'!$L$8:$O$23,4,FALSE),IF(AND(J47="Alumínio",F47="Monofásico"),VLOOKUP(M47,'Iz''s'!$B$25:$E$39,4,FALSE),IF(AND(J47="Alumínio",F47="Trifásico"),VLOOKUP(M47,'Iz''s'!$L$25:$O$39,4,FALSE)))))</f>
        <v>19.5</v>
      </c>
      <c r="BF47" s="531">
        <f>IF(AND(J47="Cobre",F47="Monofásico"),VLOOKUP(M47,'Iz''s'!$CP$9:$CT$24,3,FALSE),IF(AND(J47="Cobre",F47="Trifásico"),VLOOKUP(M47,'Iz''s'!$CP$9:$CT$24,2,FALSE),IF(AND(J47="Alumínio",F47="Monofásico"),VLOOKUP(M47,'Iz''s'!$CP$26:$CT$37,3,FALSE),IF(AND(J47="Alumínio",F47="Trifásico"),VLOOKUP(M47,'Iz''s'!$CP$26:$CT$37,2,FALSE)))))</f>
        <v>32</v>
      </c>
      <c r="BG47" s="531">
        <f>IF(AND(J47="Cobre",F47="Monofásico"),VLOOKUP(M47,'Iz''s'!$AT$10:$BA$28,2,FALSE),IF(AND(J47="Cobre",F47="Trifásico"),VLOOKUP(M47,'Iz''s'!$AT$10:$BA$28,3,FALSE),IF(AND(J47="Alumínio",F47="Monofásico"),VLOOKUP(M47,'Iz''s'!$BC$10:$BJ$27,2,FALSE),IF(AND(J47="Alumínio",F47="Trifásico"),VLOOKUP(M47,'Iz''s'!$BC$10:$BJ$27,3,FALSE)))))</f>
        <v>22</v>
      </c>
      <c r="BH47" s="609" t="str">
        <f>IF(AND(J47="Cobre",F47="Monofásico"),VLOOKUP(M47,'Iz''s'!$AT$10:$BA$28,4,FALSE),IF(AND(J47="Cobre",F47="Trifásico"),VLOOKUP(M47,'Iz''s'!$AT$10:$BA$28,5,FALSE),IF(AND(J47="Alumínio",F47="Monofásico"),VLOOKUP(M47,'Iz''s'!$BC$10:$BJ$27,4,FALSE),IF(AND(J47="Alumínio",F47="Trifásico"),VLOOKUP(M47,'Iz''s'!$BC$10:$BJ$27,5,FALSE)))))</f>
        <v xml:space="preserve"> --- </v>
      </c>
      <c r="BI47" s="609" t="str">
        <f>IF(AND(J47="Cobre",F47="Monofásico"),"N/A",IF(AND(J47="Cobre",F47="Trifásico"),VLOOKUP(M47,'Iz''s'!$AT$10:$BA$28,8,FALSE),IF(AND(J47="Alumínio",F47="Monofásico"),"N/A",IF(AND(J47="Alumínio",F47="Trifásico"),VLOOKUP(M47,'Iz''s'!$BC$10:$BJ$27,8,FALSE)))))</f>
        <v>N/A</v>
      </c>
      <c r="BJ47" s="531">
        <f>IF(AND(J47="Cobre",F47="Monofásico"),VLOOKUP(M47,'Iz''s'!$G$8:$J$23,2,FALSE),IF(AND(J47="Cobre",F47="Trifásico"),VLOOKUP(M47,'Iz''s'!$Q$8:$T$23,2,FALSE),IF(AND(J47="Alumínio",F47="Monofásico"),VLOOKUP(M47,'Iz''s'!$G$25:$J$39,2,FALSE),IF(AND(J47="Alumínio",F47="Trifásico"),VLOOKUP(M47,'Iz''s'!$Q$25:$T$39,2,FALSE)))))</f>
        <v>19</v>
      </c>
      <c r="BK47" s="609">
        <f>IF(AND(J47="Cobre",F47="Monofásico"),VLOOKUP(M47,'Iz''s'!$CJ$9:$CN$24,2,FALSE),IF(AND(J47="Cobre",F47="Trifásico"),VLOOKUP(M47,'Iz''s'!$CJ$9:$CN$24,4,FALSE),IF(AND(J47="Alumínio",F47="Monofásico"),VLOOKUP(M47,'Iz''s'!$CJ$26:$CN$40,2,FALSE),IF(AND(J47="Alumínio",F47="Trifásico"),VLOOKUP(M47,'Iz''s'!$CJ$26:$CN$40,4,FALSE)))))</f>
        <v>18.5</v>
      </c>
      <c r="BL47" s="609">
        <f>IF(AND(J47="Cobre",F47="Monofásico"),VLOOKUP(M47,'Iz''s'!$G$8:$J$23,3,FALSE),IF(AND(J47="Cobre",F47="Trifásico"),VLOOKUP(M47,'Iz''s'!$Q$8:$T$23,3,FALSE),IF(AND(J47="Alumínio",F47="Monofásico"),VLOOKUP(M47,'Iz''s'!$G$25:$J$39,3,FALSE),IF(AND(J47="Alumínio",F47="Trifásico"),VLOOKUP(M47,'Iz''s'!$Q$25:$T$39,3,FALSE)))))</f>
        <v>23</v>
      </c>
      <c r="BM47" s="609">
        <f>IF(AND(J47="Cobre",F47="Monofásico"),VLOOKUP(M47,'Iz''s'!$CJ$9:$CN$24,3,FALSE),IF(AND(J47="Cobre",F47="Trifásico"),VLOOKUP(M47,'Iz''s'!$CJ$9:$CN$24,5,FALSE),IF(AND(J47="Alumínio",F47="Monofásico"),VLOOKUP(M47,'Iz''s'!$CJ$26:$CN$40,3,FALSE),IF(AND(J47="Alumínio",F47="Trifásico"),VLOOKUP(M47,'Iz''s'!$CJ$26:$CN$40,5,FALSE)))))</f>
        <v>22</v>
      </c>
      <c r="BN47" s="609">
        <f>IF(AND(J47="Cobre",F47="Monofásico"),VLOOKUP(M47,'Iz''s'!$G$8:$J$23,4,FALSE),IF(AND(J47="Cobre",F47="Trifásico"),VLOOKUP(M47,'Iz''s'!$Q$8:$T$23,4,FALSE),IF(AND(J47="Alumínio",F47="Monofásico"),VLOOKUP(M47,'Iz''s'!$G$25:$J$39,4,FALSE),IF(AND(J47="Alumínio",F47="Trifásico"),VLOOKUP(M47,'Iz''s'!$Q$25:$T$39,4,FALSE)))))</f>
        <v>24</v>
      </c>
      <c r="BO47" s="609">
        <f>IF(AND(J47="Cobre",F47="Monofásico"),VLOOKUP(M47,'Iz''s'!$CP$9:$CT$24,5,FALSE),IF(AND(J47="Cobre",F47="Trifásico"),VLOOKUP(M47,'Iz''s'!$CP$9:$CT$24,4,FALSE),IF(AND(J47="Alumínio",F47="Monofásico"),VLOOKUP(M47,'Iz''s'!$CP$26:$CT$37,5,FALSE),IF(AND(J47="Alumínio",F47="Trifásico"),VLOOKUP(M47,'Iz''s'!$CP$26:$CT$37,4,FALSE)))))</f>
        <v>37</v>
      </c>
      <c r="BP47" s="609">
        <f>IF(AND(J47="Cobre",F47="Monofásico"),VLOOKUP(M47,'Iz''s'!$BL$10:$BS$28,2,FALSE),IF(AND(J47="Cobre",F47="Trifásico"),VLOOKUP(M47,'Iz''s'!$BL$10:$BS$28,3,FALSE),IF(AND(J47="Alumínio",F47="Monofásico"),VLOOKUP(M47,'Iz''s'!$BU$10:$CB$27,2,FALSE),IF(AND(J47="Alumínio",F47="Trifásico"),VLOOKUP(M47,'Iz''s'!$BU$10:$CB$27,3,FALSE)))))</f>
        <v>26</v>
      </c>
      <c r="BQ47" s="531" t="str">
        <f>IF(AND(J47="Cobre",F47="Monofásico"),VLOOKUP(M47,'Iz''s'!$BL$10:$BS$28,4,FALSE),IF(AND(J47="Cobre",F47="Trifásico"),VLOOKUP(M47,'Iz''s'!$BL$10:$BS$28,5,FALSE),IF(AND(J47="Alumínio",F47="Monofásico"),VLOOKUP(M47,'Iz''s'!$BU$10:$CB$27,4,FALSE),IF(AND(J47="Alumínio",F47="Trifásico"),VLOOKUP(M47,'Iz''s'!$BU$10:$CB$27,5,FALSE)))))</f>
        <v xml:space="preserve"> --- </v>
      </c>
      <c r="BR47" s="609" t="str">
        <f>IF(AND(J47="Cobre",F47="Monofásico"),"N/A",IF(AND(J47="Cobre",F47="Trifásico"),VLOOKUP(M47,'Iz''s'!$BL$10:$BS$28,8,FALSE),IF(AND(J47="Alumínio",F47="Monofásico"),"N/A",IF(AND(J47="Alumínio",F47="Trifásico"),VLOOKUP(M47,'Iz''s'!$BU$10:$CB$27,8,FALSE)))))</f>
        <v>N/A</v>
      </c>
      <c r="BS47" s="609">
        <f>IF(AND(J47="Cobre",F47="Monofásico"),VLOOKUP(M47,'Iz''s'!$V$14:$Y$28,2,FALSE),IF(AND(J47="Cobre",F47="Trifásico"),VLOOKUP(M47,'Iz''s'!$V$14:$Y$28,3,FALSE),IF(AND(J47="Alumínio",F47="Monofásico"),VLOOKUP(M47,"N/A",4,FALSE),IF(AND(J47="Alumínio",F47="Trifásico"),VLOOKUP(M47,"N/A",4,FALSE)))))</f>
        <v>25</v>
      </c>
      <c r="BT47" s="609">
        <f>IF(AND(J47="Cobre",F47="Monofásico"),VLOOKUP(M47,'Iz''s'!$AF$15:$AK$29,2,FALSE),IF(AND(J47="Cobre",F47="Trifásico"),VLOOKUP(M47,'Iz''s'!$AF$15:$AK$29,3,FALSE),IF(AND(J47="Alumínio",F47="Monofásico"),"N/A",IF(AND(J47="Alumínio",F47="Trifásico"),"N/A"))))</f>
        <v>26</v>
      </c>
      <c r="BU47" s="609">
        <f>IF(AND(J47="Cobre",F47="Monofásico"),VLOOKUP(M47,'Iz''s'!$AF$15:$AK$29,2,FALSE),IF(AND(J47="Cobre",F47="Trifásico"),VLOOKUP(M47,'Iz''s'!$AF$15:$AK$29,3,FALSE),IF(AND(J47="Alumínio",F47="Monofásico"),"N/A",IF(AND(J47="Alumínio",F47="Trifásico"),"N/A"))))</f>
        <v>26</v>
      </c>
      <c r="BV47" s="609" t="str">
        <f>IF(AND(J47="Cobre",F47="Monofásico"),"N/A",IF(AND(J47="Cobre",F47="Trifásico"),VLOOKUP(M47,'Iz''s'!$AF$15:$AK$29,6,FALSE),IF(AND(J47="Alumínio",F47="Monofásico"),"N/A",IF(AND(J47="Alumínio",F47="Trifásico"),"N/A"))))</f>
        <v>N/A</v>
      </c>
      <c r="BW47" s="609">
        <v>45</v>
      </c>
      <c r="BX47" s="532"/>
      <c r="BY47" s="592">
        <f>VLOOKUP(M47,Consulta!$W$6:$AB$23,4,FALSE)</f>
        <v>16</v>
      </c>
      <c r="BZ47" s="592">
        <f>VLOOKUP(M47,Consulta!$W$6:$AB$23,6,FALSE)</f>
        <v>20</v>
      </c>
      <c r="CA47" s="592">
        <f>VLOOKUP(M47,Consulta!$AK$6:$AP$23,4,FALSE)</f>
        <v>20</v>
      </c>
      <c r="CB47" s="592">
        <f>VLOOKUP(M47,Consulta!$AK$6:$AP$23,6,FALSE)</f>
        <v>20</v>
      </c>
      <c r="CC47" s="529" t="e">
        <f>VLOOKUP(M47,Consulta!$AD$6:$AI$19,4,FALSE)</f>
        <v>#N/A</v>
      </c>
      <c r="CD47" s="529" t="e">
        <f>VLOOKUP(M47,Consulta!$AD$6:$AI$19,6,FALSE)</f>
        <v>#N/A</v>
      </c>
      <c r="CE47" s="529" t="e">
        <f>VLOOKUP(M47,Consulta!$AR$6:$AW$19,4,FALSE)</f>
        <v>#N/A</v>
      </c>
      <c r="CF47" s="529" t="e">
        <f>VLOOKUP(M47,Consulta!$AR$6:$AW$19,6,FALSE)</f>
        <v>#N/A</v>
      </c>
      <c r="CG47" s="764"/>
      <c r="CH47" s="764"/>
      <c r="CI47" s="764"/>
      <c r="CJ47" s="764"/>
      <c r="CK47" s="764"/>
      <c r="CL47" s="764"/>
      <c r="CM47" s="764"/>
      <c r="CN47" s="764"/>
      <c r="CO47" s="764"/>
      <c r="CP47" s="764"/>
      <c r="CQ47" s="764"/>
      <c r="CR47" s="764"/>
      <c r="CS47" s="764"/>
      <c r="CT47" s="764"/>
      <c r="CU47" s="764"/>
      <c r="CV47" s="764"/>
      <c r="CW47" s="764"/>
      <c r="CX47" s="764"/>
      <c r="CY47" s="764"/>
      <c r="CZ47" s="764"/>
      <c r="DA47" s="764"/>
      <c r="DB47" s="764"/>
      <c r="DC47" s="764"/>
      <c r="DD47" s="764"/>
      <c r="DE47" s="764"/>
      <c r="DF47" s="764"/>
      <c r="DG47" s="764"/>
      <c r="DH47" s="764"/>
      <c r="DI47" s="764"/>
      <c r="DJ47" s="764"/>
      <c r="DK47" s="764"/>
      <c r="DL47" s="764"/>
      <c r="DM47" s="764"/>
      <c r="DN47" s="764"/>
      <c r="DO47" s="764"/>
      <c r="DP47" s="764"/>
      <c r="DQ47" s="764"/>
      <c r="DR47" s="764"/>
      <c r="DS47" s="764"/>
      <c r="DT47" s="764"/>
      <c r="DU47" s="764"/>
      <c r="DV47" s="764"/>
      <c r="DW47" s="764"/>
      <c r="DX47" s="764"/>
      <c r="DY47" s="764"/>
      <c r="DZ47" s="764"/>
      <c r="EA47" s="764"/>
      <c r="EB47" s="764"/>
      <c r="EC47" s="764"/>
      <c r="ED47" s="764"/>
      <c r="EE47" s="764"/>
      <c r="EF47" s="764"/>
      <c r="EG47" s="764"/>
      <c r="EH47" s="764"/>
      <c r="EI47" s="764"/>
      <c r="EJ47" s="764"/>
      <c r="EK47" s="764"/>
      <c r="EL47" s="764"/>
      <c r="EM47" s="764"/>
      <c r="EN47" s="764"/>
      <c r="EO47" s="764"/>
      <c r="EP47" s="764"/>
      <c r="EQ47" s="764"/>
      <c r="ER47" s="764"/>
      <c r="ES47" s="764"/>
      <c r="ET47" s="764"/>
      <c r="EU47" s="764"/>
      <c r="EV47" s="764"/>
      <c r="EW47" s="764"/>
      <c r="EX47" s="764"/>
      <c r="EY47" s="764"/>
      <c r="EZ47" s="764"/>
      <c r="FA47" s="764"/>
      <c r="FB47" s="764"/>
      <c r="FC47" s="764"/>
      <c r="FD47" s="764"/>
      <c r="FE47" s="764"/>
      <c r="FF47" s="764"/>
      <c r="FG47" s="764"/>
      <c r="FH47" s="764"/>
      <c r="FI47" s="764"/>
      <c r="FJ47" s="764"/>
      <c r="FK47" s="764"/>
      <c r="FL47" s="764"/>
      <c r="FM47" s="764"/>
      <c r="FN47" s="764"/>
      <c r="FO47" s="764"/>
      <c r="FP47" s="764"/>
      <c r="FQ47" s="764"/>
      <c r="FR47" s="764"/>
      <c r="FS47" s="764"/>
      <c r="FT47" s="764"/>
      <c r="FU47" s="764"/>
      <c r="FV47" s="764"/>
      <c r="FW47" s="764"/>
      <c r="FX47" s="764"/>
      <c r="FY47" s="764"/>
      <c r="FZ47" s="764"/>
      <c r="GA47" s="764"/>
      <c r="GB47" s="764"/>
      <c r="GC47" s="764"/>
      <c r="GD47" s="764"/>
      <c r="GE47" s="764"/>
      <c r="GF47" s="764"/>
      <c r="GG47" s="764"/>
      <c r="GH47" s="764"/>
      <c r="GI47" s="764"/>
      <c r="GJ47" s="764"/>
      <c r="GK47" s="764"/>
      <c r="GL47" s="764"/>
      <c r="GM47" s="764"/>
      <c r="GN47" s="764"/>
      <c r="GO47" s="764"/>
      <c r="GP47" s="764"/>
      <c r="GQ47" s="764"/>
      <c r="GR47" s="764"/>
      <c r="GS47" s="764"/>
      <c r="GT47" s="764"/>
      <c r="GU47" s="764"/>
      <c r="GV47" s="764"/>
      <c r="GW47" s="764"/>
      <c r="GX47" s="764"/>
      <c r="GY47" s="764"/>
      <c r="GZ47" s="764"/>
      <c r="HA47" s="764"/>
      <c r="HB47" s="764"/>
      <c r="HC47" s="764"/>
      <c r="HD47" s="764"/>
    </row>
    <row r="48" spans="2:212" s="552" customFormat="1" ht="16.5" customHeight="1" x14ac:dyDescent="0.2">
      <c r="B48" s="1126"/>
      <c r="C48" s="816" t="s">
        <v>804</v>
      </c>
      <c r="D48" s="722">
        <v>1.6</v>
      </c>
      <c r="E48" s="722">
        <f>0.3+0.6+9+1.1</f>
        <v>11</v>
      </c>
      <c r="F48" s="722" t="s">
        <v>244</v>
      </c>
      <c r="G48" s="722" t="s">
        <v>808</v>
      </c>
      <c r="H48" s="722">
        <v>0.8</v>
      </c>
      <c r="I48" s="723" t="s">
        <v>13</v>
      </c>
      <c r="J48" s="722" t="s">
        <v>242</v>
      </c>
      <c r="K48" s="722" t="s">
        <v>363</v>
      </c>
      <c r="L48" s="722">
        <v>1</v>
      </c>
      <c r="M48" s="724">
        <v>1.5</v>
      </c>
      <c r="N48" s="722" t="s">
        <v>453</v>
      </c>
      <c r="O48" s="722">
        <v>4</v>
      </c>
      <c r="P48" s="555">
        <f t="shared" si="62"/>
        <v>16.5</v>
      </c>
      <c r="Q48" s="722">
        <v>3</v>
      </c>
      <c r="R48" s="722">
        <v>0.7</v>
      </c>
      <c r="S48" s="555">
        <f>IF(F48="Monofásico",(((D49*10^3)/H48)/230),(((D49*10^3)/H48)/(SQRT(3)*400)))</f>
        <v>8.695652173913043</v>
      </c>
      <c r="T48" s="725">
        <f t="shared" si="56"/>
        <v>11.549999999999999</v>
      </c>
      <c r="U48" s="722" t="s">
        <v>499</v>
      </c>
      <c r="V48" s="555">
        <v>10</v>
      </c>
      <c r="W48" s="722">
        <f>IF(U48="C.C.Fusíveis",VLOOKUP(V48,Consulta!$L$5:$N$31,3,FALSE),VLOOKUP(V48,Consulta!$P$5:$R$34,3,FALSE))</f>
        <v>13.5</v>
      </c>
      <c r="X48" s="736">
        <f t="shared" si="10"/>
        <v>24</v>
      </c>
      <c r="Y48" s="769">
        <f t="shared" si="51"/>
        <v>0.75287031808770943</v>
      </c>
      <c r="Z48" s="737" t="str">
        <f t="shared" si="11"/>
        <v>Sim</v>
      </c>
      <c r="AA48" s="770">
        <f t="shared" si="57"/>
        <v>4.4407014575354217E-2</v>
      </c>
      <c r="AB48" s="770">
        <f t="shared" si="69"/>
        <v>0.20624999999999996</v>
      </c>
      <c r="AC48" s="770">
        <f t="shared" si="6"/>
        <v>0</v>
      </c>
      <c r="AD48" s="726">
        <f t="shared" si="58"/>
        <v>0.24479900982315089</v>
      </c>
      <c r="AE48" s="726">
        <f t="shared" si="17"/>
        <v>2.8695652173913038</v>
      </c>
      <c r="AF48" s="726">
        <f t="shared" si="65"/>
        <v>3.1143642272144545</v>
      </c>
      <c r="AG48" s="727">
        <f t="shared" si="34"/>
        <v>1.2476370510396973E-2</v>
      </c>
      <c r="AH48" s="771">
        <f t="shared" si="34"/>
        <v>1.3540714031367194E-2</v>
      </c>
      <c r="AI48" s="726">
        <f t="shared" si="7"/>
        <v>0.91758852386257839</v>
      </c>
      <c r="AJ48" s="722">
        <v>3</v>
      </c>
      <c r="AK48" s="726">
        <v>0.1</v>
      </c>
      <c r="AL48" s="736">
        <f t="shared" si="66"/>
        <v>115</v>
      </c>
      <c r="AM48" s="726">
        <f t="shared" si="67"/>
        <v>2.5231910349891407</v>
      </c>
      <c r="AN48" s="737">
        <f t="shared" si="52"/>
        <v>1</v>
      </c>
      <c r="AO48" s="818" t="s">
        <v>563</v>
      </c>
      <c r="AP48" s="737" t="s">
        <v>523</v>
      </c>
      <c r="AQ48" s="737" t="str">
        <f t="shared" si="53"/>
        <v>3G</v>
      </c>
      <c r="AR48" s="737">
        <f t="shared" si="68"/>
        <v>1.5</v>
      </c>
      <c r="AS48" s="889" t="str">
        <f t="shared" si="8"/>
        <v/>
      </c>
      <c r="AT48" s="889" t="str">
        <f>IF(OR(AQ48="3G",AQ48="5G"),"",VLOOKUP(AR48,Consulta!$T$5:$U$25,2,FALSE))</f>
        <v/>
      </c>
      <c r="AU48" s="890" t="s">
        <v>565</v>
      </c>
      <c r="AV48" s="737" t="s">
        <v>23</v>
      </c>
      <c r="AW48" s="737" t="s">
        <v>564</v>
      </c>
      <c r="AX48" s="737">
        <f t="shared" si="30"/>
        <v>20</v>
      </c>
      <c r="AY48" s="738" t="s">
        <v>24</v>
      </c>
      <c r="AZ48" s="531"/>
      <c r="BA48" s="531">
        <f>IF(AND(J48="Cobre",F48="Monofásico"),VLOOKUP(M48,'Iz''s'!$B$8:$E$23,2,FALSE),IF(AND(J48="Cobre",F48="Trifásico"),VLOOKUP(M48,'Iz''s'!$L$8:$O$23,2,FALSE),IF(AND(J48="Alumínio",F48="Monofásico"),VLOOKUP(M48,'Iz''s'!$B$25:$E$39,2,FALSE),IF(AND(J48="Alumínio",F48="Trifásico"),VLOOKUP(M48,'Iz''s'!$L$25:$O$39,2,FALSE)))))</f>
        <v>14.5</v>
      </c>
      <c r="BB48" s="531">
        <f>IF(AND(J48="Cobre",F48="Monofásico"),VLOOKUP(M48,'Iz''s'!$CD$9:$CH$24,2,FALSE),IF(AND(J48="Cobre",F48="Trifásico"),VLOOKUP(M48,'Iz''s'!$CD$9:$CH$24,4,FALSE),IF(AND(J48="Alumínio",F48="Monofásico"),VLOOKUP(M48,'Iz''s'!$CD$26:$CH$40,2,FALSE),IF(AND(J48="Alumínio",F48="Trifásico"),VLOOKUP(M48,'Iz''s'!$CD$26:$CH$40,4,FALSE)))))</f>
        <v>14</v>
      </c>
      <c r="BC48" s="531">
        <f>IF(AND(J48="Cobre",F48="Monofásico"),VLOOKUP(M48,'Iz''s'!$B$8:$E$23,3,FALSE),IF(AND(J48="Cobre",F48="Trifásico"),VLOOKUP(M48,'Iz''s'!$L$8:$O$23,3,FALSE),IF(AND(J48="Alumínio",F48="Monofásico"),VLOOKUP(M48,'Iz''s'!$B$25:$E$39,3,FALSE),IF(AND(J48="Alumínio",F48="Trifásico"),VLOOKUP(M48,'Iz''s'!$L$25:$O$39,3,FALSE)))))</f>
        <v>17.5</v>
      </c>
      <c r="BD48" s="531">
        <f>IF(AND(J48="Cobre",F48="Monofásico"),VLOOKUP(M48,'Iz''s'!$CD$9:$CH$24,3,FALSE),IF(AND(J48="Cobre",F48="Trifásico"),VLOOKUP(M48,'Iz''s'!$CD$9:$CH$24,5,FALSE),IF(AND(J48="Alumínio",F48="Monofásico"),VLOOKUP(M48,'Iz''s'!$CD$26:$CH$40,3,FALSE),IF(AND(J48="Alumínio",F48="Trifásico"),VLOOKUP(M48,'Iz''s'!$CD$26:$CH$40,5,FALSE)))))</f>
        <v>16.5</v>
      </c>
      <c r="BE48" s="531">
        <f>IF(AND(J48="Cobre",F48="Monofásico"),VLOOKUP(M48,'Iz''s'!$B$8:$E$23,4,FALSE),IF(AND(J48="Cobre",F48="Trifásico"),VLOOKUP(M48,'Iz''s'!$L$8:$O$23,4,FALSE),IF(AND(J48="Alumínio",F48="Monofásico"),VLOOKUP(M48,'Iz''s'!$B$25:$E$39,4,FALSE),IF(AND(J48="Alumínio",F48="Trifásico"),VLOOKUP(M48,'Iz''s'!$L$25:$O$39,4,FALSE)))))</f>
        <v>19.5</v>
      </c>
      <c r="BF48" s="531">
        <f>IF(AND(J48="Cobre",F48="Monofásico"),VLOOKUP(M48,'Iz''s'!$CP$9:$CT$24,3,FALSE),IF(AND(J48="Cobre",F48="Trifásico"),VLOOKUP(M48,'Iz''s'!$CP$9:$CT$24,2,FALSE),IF(AND(J48="Alumínio",F48="Monofásico"),VLOOKUP(M48,'Iz''s'!$CP$26:$CT$37,3,FALSE),IF(AND(J48="Alumínio",F48="Trifásico"),VLOOKUP(M48,'Iz''s'!$CP$26:$CT$37,2,FALSE)))))</f>
        <v>32</v>
      </c>
      <c r="BG48" s="531">
        <f>IF(AND(J48="Cobre",F48="Monofásico"),VLOOKUP(M48,'Iz''s'!$AT$10:$BA$28,2,FALSE),IF(AND(J48="Cobre",F48="Trifásico"),VLOOKUP(M48,'Iz''s'!$AT$10:$BA$28,3,FALSE),IF(AND(J48="Alumínio",F48="Monofásico"),VLOOKUP(M48,'Iz''s'!$BC$10:$BJ$27,2,FALSE),IF(AND(J48="Alumínio",F48="Trifásico"),VLOOKUP(M48,'Iz''s'!$BC$10:$BJ$27,3,FALSE)))))</f>
        <v>22</v>
      </c>
      <c r="BH48" s="609" t="str">
        <f>IF(AND(J48="Cobre",F48="Monofásico"),VLOOKUP(M48,'Iz''s'!$AT$10:$BA$28,4,FALSE),IF(AND(J48="Cobre",F48="Trifásico"),VLOOKUP(M48,'Iz''s'!$AT$10:$BA$28,5,FALSE),IF(AND(J48="Alumínio",F48="Monofásico"),VLOOKUP(M48,'Iz''s'!$BC$10:$BJ$27,4,FALSE),IF(AND(J48="Alumínio",F48="Trifásico"),VLOOKUP(M48,'Iz''s'!$BC$10:$BJ$27,5,FALSE)))))</f>
        <v xml:space="preserve"> --- </v>
      </c>
      <c r="BI48" s="609" t="str">
        <f>IF(AND(J48="Cobre",F48="Monofásico"),"N/A",IF(AND(J48="Cobre",F48="Trifásico"),VLOOKUP(M48,'Iz''s'!$AT$10:$BA$28,8,FALSE),IF(AND(J48="Alumínio",F48="Monofásico"),"N/A",IF(AND(J48="Alumínio",F48="Trifásico"),VLOOKUP(M48,'Iz''s'!$BC$10:$BJ$27,8,FALSE)))))</f>
        <v>N/A</v>
      </c>
      <c r="BJ48" s="531">
        <f>IF(AND(J48="Cobre",F48="Monofásico"),VLOOKUP(M48,'Iz''s'!$G$8:$J$23,2,FALSE),IF(AND(J48="Cobre",F48="Trifásico"),VLOOKUP(M48,'Iz''s'!$Q$8:$T$23,2,FALSE),IF(AND(J48="Alumínio",F48="Monofásico"),VLOOKUP(M48,'Iz''s'!$G$25:$J$39,2,FALSE),IF(AND(J48="Alumínio",F48="Trifásico"),VLOOKUP(M48,'Iz''s'!$Q$25:$T$39,2,FALSE)))))</f>
        <v>19</v>
      </c>
      <c r="BK48" s="609">
        <f>IF(AND(J48="Cobre",F48="Monofásico"),VLOOKUP(M48,'Iz''s'!$CJ$9:$CN$24,2,FALSE),IF(AND(J48="Cobre",F48="Trifásico"),VLOOKUP(M48,'Iz''s'!$CJ$9:$CN$24,4,FALSE),IF(AND(J48="Alumínio",F48="Monofásico"),VLOOKUP(M48,'Iz''s'!$CJ$26:$CN$40,2,FALSE),IF(AND(J48="Alumínio",F48="Trifásico"),VLOOKUP(M48,'Iz''s'!$CJ$26:$CN$40,4,FALSE)))))</f>
        <v>18.5</v>
      </c>
      <c r="BL48" s="609">
        <f>IF(AND(J48="Cobre",F48="Monofásico"),VLOOKUP(M48,'Iz''s'!$G$8:$J$23,3,FALSE),IF(AND(J48="Cobre",F48="Trifásico"),VLOOKUP(M48,'Iz''s'!$Q$8:$T$23,3,FALSE),IF(AND(J48="Alumínio",F48="Monofásico"),VLOOKUP(M48,'Iz''s'!$G$25:$J$39,3,FALSE),IF(AND(J48="Alumínio",F48="Trifásico"),VLOOKUP(M48,'Iz''s'!$Q$25:$T$39,3,FALSE)))))</f>
        <v>23</v>
      </c>
      <c r="BM48" s="609">
        <f>IF(AND(J48="Cobre",F48="Monofásico"),VLOOKUP(M48,'Iz''s'!$CJ$9:$CN$24,3,FALSE),IF(AND(J48="Cobre",F48="Trifásico"),VLOOKUP(M48,'Iz''s'!$CJ$9:$CN$24,5,FALSE),IF(AND(J48="Alumínio",F48="Monofásico"),VLOOKUP(M48,'Iz''s'!$CJ$26:$CN$40,3,FALSE),IF(AND(J48="Alumínio",F48="Trifásico"),VLOOKUP(M48,'Iz''s'!$CJ$26:$CN$40,5,FALSE)))))</f>
        <v>22</v>
      </c>
      <c r="BN48" s="609">
        <f>IF(AND(J48="Cobre",F48="Monofásico"),VLOOKUP(M48,'Iz''s'!$G$8:$J$23,4,FALSE),IF(AND(J48="Cobre",F48="Trifásico"),VLOOKUP(M48,'Iz''s'!$Q$8:$T$23,4,FALSE),IF(AND(J48="Alumínio",F48="Monofásico"),VLOOKUP(M48,'Iz''s'!$G$25:$J$39,4,FALSE),IF(AND(J48="Alumínio",F48="Trifásico"),VLOOKUP(M48,'Iz''s'!$Q$25:$T$39,4,FALSE)))))</f>
        <v>24</v>
      </c>
      <c r="BO48" s="609">
        <f>IF(AND(J48="Cobre",F48="Monofásico"),VLOOKUP(M48,'Iz''s'!$CP$9:$CT$24,5,FALSE),IF(AND(J48="Cobre",F48="Trifásico"),VLOOKUP(M48,'Iz''s'!$CP$9:$CT$24,4,FALSE),IF(AND(J48="Alumínio",F48="Monofásico"),VLOOKUP(M48,'Iz''s'!$CP$26:$CT$37,5,FALSE),IF(AND(J48="Alumínio",F48="Trifásico"),VLOOKUP(M48,'Iz''s'!$CP$26:$CT$37,4,FALSE)))))</f>
        <v>37</v>
      </c>
      <c r="BP48" s="609">
        <f>IF(AND(J48="Cobre",F48="Monofásico"),VLOOKUP(M48,'Iz''s'!$BL$10:$BS$28,2,FALSE),IF(AND(J48="Cobre",F48="Trifásico"),VLOOKUP(M48,'Iz''s'!$BL$10:$BS$28,3,FALSE),IF(AND(J48="Alumínio",F48="Monofásico"),VLOOKUP(M48,'Iz''s'!$BU$10:$CB$27,2,FALSE),IF(AND(J48="Alumínio",F48="Trifásico"),VLOOKUP(M48,'Iz''s'!$BU$10:$CB$27,3,FALSE)))))</f>
        <v>26</v>
      </c>
      <c r="BQ48" s="531" t="str">
        <f>IF(AND(J48="Cobre",F48="Monofásico"),VLOOKUP(M48,'Iz''s'!$BL$10:$BS$28,4,FALSE),IF(AND(J48="Cobre",F48="Trifásico"),VLOOKUP(M48,'Iz''s'!$BL$10:$BS$28,5,FALSE),IF(AND(J48="Alumínio",F48="Monofásico"),VLOOKUP(M48,'Iz''s'!$BU$10:$CB$27,4,FALSE),IF(AND(J48="Alumínio",F48="Trifásico"),VLOOKUP(M48,'Iz''s'!$BU$10:$CB$27,5,FALSE)))))</f>
        <v xml:space="preserve"> --- </v>
      </c>
      <c r="BR48" s="609" t="str">
        <f>IF(AND(J48="Cobre",F48="Monofásico"),"N/A",IF(AND(J48="Cobre",F48="Trifásico"),VLOOKUP(M48,'Iz''s'!$BL$10:$BS$28,8,FALSE),IF(AND(J48="Alumínio",F48="Monofásico"),"N/A",IF(AND(J48="Alumínio",F48="Trifásico"),VLOOKUP(M48,'Iz''s'!$BU$10:$CB$27,8,FALSE)))))</f>
        <v>N/A</v>
      </c>
      <c r="BS48" s="609">
        <f>IF(AND(J48="Cobre",F48="Monofásico"),VLOOKUP(M48,'Iz''s'!$V$14:$Y$28,2,FALSE),IF(AND(J48="Cobre",F48="Trifásico"),VLOOKUP(M48,'Iz''s'!$V$14:$Y$28,3,FALSE),IF(AND(J48="Alumínio",F48="Monofásico"),VLOOKUP(M48,"N/A",4,FALSE),IF(AND(J48="Alumínio",F48="Trifásico"),VLOOKUP(M48,"N/A",4,FALSE)))))</f>
        <v>25</v>
      </c>
      <c r="BT48" s="609">
        <f>IF(AND(J48="Cobre",F48="Monofásico"),VLOOKUP(M48,'Iz''s'!$AF$15:$AK$29,2,FALSE),IF(AND(J48="Cobre",F48="Trifásico"),VLOOKUP(M48,'Iz''s'!$AF$15:$AK$29,3,FALSE),IF(AND(J48="Alumínio",F48="Monofásico"),"N/A",IF(AND(J48="Alumínio",F48="Trifásico"),"N/A"))))</f>
        <v>26</v>
      </c>
      <c r="BU48" s="609">
        <f>IF(AND(J48="Cobre",F48="Monofásico"),VLOOKUP(M48,'Iz''s'!$AF$15:$AK$29,2,FALSE),IF(AND(J48="Cobre",F48="Trifásico"),VLOOKUP(M48,'Iz''s'!$AF$15:$AK$29,3,FALSE),IF(AND(J48="Alumínio",F48="Monofásico"),"N/A",IF(AND(J48="Alumínio",F48="Trifásico"),"N/A"))))</f>
        <v>26</v>
      </c>
      <c r="BV48" s="609" t="str">
        <f>IF(AND(J48="Cobre",F48="Monofásico"),"N/A",IF(AND(J48="Cobre",F48="Trifásico"),VLOOKUP(M48,'Iz''s'!$AF$15:$AK$29,6,FALSE),IF(AND(J48="Alumínio",F48="Monofásico"),"N/A",IF(AND(J48="Alumínio",F48="Trifásico"),"N/A"))))</f>
        <v>N/A</v>
      </c>
      <c r="BW48" s="609">
        <v>46</v>
      </c>
      <c r="BX48" s="532"/>
      <c r="BY48" s="592">
        <f>VLOOKUP(M48,Consulta!$W$6:$AB$23,4,FALSE)</f>
        <v>16</v>
      </c>
      <c r="BZ48" s="592">
        <f>VLOOKUP(M48,Consulta!$W$6:$AB$23,6,FALSE)</f>
        <v>20</v>
      </c>
      <c r="CA48" s="592">
        <f>VLOOKUP(M48,Consulta!$AK$6:$AP$23,4,FALSE)</f>
        <v>20</v>
      </c>
      <c r="CB48" s="592">
        <f>VLOOKUP(M48,Consulta!$AK$6:$AP$23,6,FALSE)</f>
        <v>20</v>
      </c>
      <c r="CC48" s="529" t="e">
        <f>VLOOKUP(M48,Consulta!$AD$6:$AI$19,4,FALSE)</f>
        <v>#N/A</v>
      </c>
      <c r="CD48" s="529" t="e">
        <f>VLOOKUP(M48,Consulta!$AD$6:$AI$19,6,FALSE)</f>
        <v>#N/A</v>
      </c>
      <c r="CE48" s="529" t="e">
        <f>VLOOKUP(M48,Consulta!$AR$6:$AW$19,4,FALSE)</f>
        <v>#N/A</v>
      </c>
      <c r="CF48" s="529" t="e">
        <f>VLOOKUP(M48,Consulta!$AR$6:$AW$19,6,FALSE)</f>
        <v>#N/A</v>
      </c>
      <c r="CG48" s="764"/>
      <c r="CH48" s="764"/>
      <c r="CI48" s="764"/>
      <c r="CJ48" s="764"/>
      <c r="CK48" s="764"/>
      <c r="CL48" s="764"/>
      <c r="CM48" s="764"/>
      <c r="CN48" s="764"/>
      <c r="CO48" s="764"/>
      <c r="CP48" s="764"/>
      <c r="CQ48" s="764"/>
      <c r="CR48" s="764"/>
      <c r="CS48" s="764"/>
      <c r="CT48" s="764"/>
      <c r="CU48" s="764"/>
      <c r="CV48" s="764"/>
      <c r="CW48" s="764"/>
      <c r="CX48" s="764"/>
      <c r="CY48" s="764"/>
      <c r="CZ48" s="764"/>
      <c r="DA48" s="764"/>
      <c r="DB48" s="764"/>
      <c r="DC48" s="764"/>
      <c r="DD48" s="764"/>
      <c r="DE48" s="764"/>
      <c r="DF48" s="764"/>
      <c r="DG48" s="764"/>
      <c r="DH48" s="764"/>
      <c r="DI48" s="764"/>
      <c r="DJ48" s="764"/>
      <c r="DK48" s="764"/>
      <c r="DL48" s="764"/>
      <c r="DM48" s="764"/>
      <c r="DN48" s="764"/>
      <c r="DO48" s="764"/>
      <c r="DP48" s="764"/>
      <c r="DQ48" s="764"/>
      <c r="DR48" s="764"/>
      <c r="DS48" s="764"/>
      <c r="DT48" s="764"/>
      <c r="DU48" s="764"/>
      <c r="DV48" s="764"/>
      <c r="DW48" s="764"/>
      <c r="DX48" s="764"/>
      <c r="DY48" s="764"/>
      <c r="DZ48" s="764"/>
      <c r="EA48" s="764"/>
      <c r="EB48" s="764"/>
      <c r="EC48" s="764"/>
      <c r="ED48" s="764"/>
      <c r="EE48" s="764"/>
      <c r="EF48" s="764"/>
      <c r="EG48" s="764"/>
      <c r="EH48" s="764"/>
      <c r="EI48" s="764"/>
      <c r="EJ48" s="764"/>
      <c r="EK48" s="764"/>
      <c r="EL48" s="764"/>
      <c r="EM48" s="764"/>
      <c r="EN48" s="764"/>
      <c r="EO48" s="764"/>
      <c r="EP48" s="764"/>
      <c r="EQ48" s="764"/>
      <c r="ER48" s="764"/>
      <c r="ES48" s="764"/>
      <c r="ET48" s="764"/>
      <c r="EU48" s="764"/>
      <c r="EV48" s="764"/>
      <c r="EW48" s="764"/>
      <c r="EX48" s="764"/>
      <c r="EY48" s="764"/>
      <c r="EZ48" s="764"/>
      <c r="FA48" s="764"/>
      <c r="FB48" s="764"/>
      <c r="FC48" s="764"/>
      <c r="FD48" s="764"/>
      <c r="FE48" s="764"/>
      <c r="FF48" s="764"/>
      <c r="FG48" s="764"/>
      <c r="FH48" s="764"/>
      <c r="FI48" s="764"/>
      <c r="FJ48" s="764"/>
      <c r="FK48" s="764"/>
      <c r="FL48" s="764"/>
      <c r="FM48" s="764"/>
      <c r="FN48" s="764"/>
      <c r="FO48" s="764"/>
      <c r="FP48" s="764"/>
      <c r="FQ48" s="764"/>
      <c r="FR48" s="764"/>
      <c r="FS48" s="764"/>
      <c r="FT48" s="764"/>
      <c r="FU48" s="764"/>
      <c r="FV48" s="764"/>
      <c r="FW48" s="764"/>
      <c r="FX48" s="764"/>
      <c r="FY48" s="764"/>
      <c r="FZ48" s="764"/>
      <c r="GA48" s="764"/>
      <c r="GB48" s="764"/>
      <c r="GC48" s="764"/>
      <c r="GD48" s="764"/>
      <c r="GE48" s="764"/>
      <c r="GF48" s="764"/>
      <c r="GG48" s="764"/>
      <c r="GH48" s="764"/>
      <c r="GI48" s="764"/>
      <c r="GJ48" s="764"/>
      <c r="GK48" s="764"/>
      <c r="GL48" s="764"/>
      <c r="GM48" s="764"/>
      <c r="GN48" s="764"/>
      <c r="GO48" s="764"/>
      <c r="GP48" s="764"/>
      <c r="GQ48" s="764"/>
      <c r="GR48" s="764"/>
      <c r="GS48" s="764"/>
      <c r="GT48" s="764"/>
      <c r="GU48" s="764"/>
      <c r="GV48" s="764"/>
      <c r="GW48" s="764"/>
      <c r="GX48" s="764"/>
      <c r="GY48" s="764"/>
      <c r="GZ48" s="764"/>
      <c r="HA48" s="764"/>
      <c r="HB48" s="764"/>
      <c r="HC48" s="764"/>
      <c r="HD48" s="764"/>
    </row>
    <row r="49" spans="1:212" s="553" customFormat="1" ht="16.5" customHeight="1" thickBot="1" x14ac:dyDescent="0.25">
      <c r="B49" s="1127"/>
      <c r="C49" s="823" t="s">
        <v>804</v>
      </c>
      <c r="D49" s="728">
        <v>1.6</v>
      </c>
      <c r="E49" s="728">
        <f>1.2+13.6+0.3+0.54</f>
        <v>15.64</v>
      </c>
      <c r="F49" s="728" t="s">
        <v>244</v>
      </c>
      <c r="G49" s="728" t="s">
        <v>808</v>
      </c>
      <c r="H49" s="728">
        <v>0.8</v>
      </c>
      <c r="I49" s="729" t="s">
        <v>13</v>
      </c>
      <c r="J49" s="728" t="s">
        <v>242</v>
      </c>
      <c r="K49" s="728" t="s">
        <v>363</v>
      </c>
      <c r="L49" s="728">
        <v>1</v>
      </c>
      <c r="M49" s="730">
        <v>6</v>
      </c>
      <c r="N49" s="728" t="s">
        <v>453</v>
      </c>
      <c r="O49" s="728">
        <v>4</v>
      </c>
      <c r="P49" s="573">
        <f t="shared" si="62"/>
        <v>38</v>
      </c>
      <c r="Q49" s="728">
        <v>3</v>
      </c>
      <c r="R49" s="728">
        <v>0.7</v>
      </c>
      <c r="S49" s="573">
        <f>IF(F49="Monofásico",(((D50*10^3)/H49)/230),(((D50*10^3)/H49)/(SQRT(3)*400)))</f>
        <v>19.565217391304348</v>
      </c>
      <c r="T49" s="731">
        <f t="shared" si="56"/>
        <v>26.599999999999998</v>
      </c>
      <c r="U49" s="728" t="s">
        <v>499</v>
      </c>
      <c r="V49" s="573">
        <v>25</v>
      </c>
      <c r="W49" s="728">
        <f>IF(U49="C.C.Fusíveis",VLOOKUP(V49,Consulta!$L$5:$N$31,3,FALSE),VLOOKUP(V49,Consulta!$P$5:$R$34,3,FALSE))</f>
        <v>33.799999999999997</v>
      </c>
      <c r="X49" s="739">
        <f t="shared" si="10"/>
        <v>56</v>
      </c>
      <c r="Y49" s="772">
        <f t="shared" si="51"/>
        <v>0.73553448839490032</v>
      </c>
      <c r="Z49" s="734" t="str">
        <f t="shared" si="11"/>
        <v>Sim</v>
      </c>
      <c r="AA49" s="773">
        <f t="shared" si="57"/>
        <v>4.4407014575354217E-2</v>
      </c>
      <c r="AB49" s="773">
        <f>(IF(J49="Cobre",(1.25*0.0225),(1.25*0.036)))*((E49/M49)/L49)</f>
        <v>7.3312500000000003E-2</v>
      </c>
      <c r="AC49" s="773">
        <f t="shared" si="6"/>
        <v>0</v>
      </c>
      <c r="AD49" s="732">
        <f t="shared" si="58"/>
        <v>0.24479900982315089</v>
      </c>
      <c r="AE49" s="732">
        <f t="shared" si="17"/>
        <v>2.2950000000000004</v>
      </c>
      <c r="AF49" s="732">
        <f t="shared" si="65"/>
        <v>2.5397990098231511</v>
      </c>
      <c r="AG49" s="733">
        <f t="shared" si="34"/>
        <v>9.9782608695652194E-3</v>
      </c>
      <c r="AH49" s="826">
        <f t="shared" si="34"/>
        <v>1.104260439053544E-2</v>
      </c>
      <c r="AI49" s="732">
        <f t="shared" si="7"/>
        <v>1.9537967076204106</v>
      </c>
      <c r="AJ49" s="728">
        <v>3</v>
      </c>
      <c r="AK49" s="732">
        <v>0.1</v>
      </c>
      <c r="AL49" s="739">
        <f t="shared" si="66"/>
        <v>115</v>
      </c>
      <c r="AM49" s="732">
        <f t="shared" si="67"/>
        <v>5.3725632008856996</v>
      </c>
      <c r="AN49" s="734">
        <f t="shared" si="52"/>
        <v>1</v>
      </c>
      <c r="AO49" s="863" t="s">
        <v>563</v>
      </c>
      <c r="AP49" s="734" t="s">
        <v>523</v>
      </c>
      <c r="AQ49" s="734" t="str">
        <f t="shared" si="53"/>
        <v>3G</v>
      </c>
      <c r="AR49" s="734">
        <f t="shared" si="68"/>
        <v>6</v>
      </c>
      <c r="AS49" s="891" t="str">
        <f t="shared" si="8"/>
        <v/>
      </c>
      <c r="AT49" s="891" t="str">
        <f>IF(OR(AQ49="3G",AQ49="5G"),"",VLOOKUP(AR49,Consulta!$T$5:$U$25,2,FALSE))</f>
        <v/>
      </c>
      <c r="AU49" s="892" t="s">
        <v>565</v>
      </c>
      <c r="AV49" s="734" t="s">
        <v>23</v>
      </c>
      <c r="AW49" s="734" t="s">
        <v>564</v>
      </c>
      <c r="AX49" s="734">
        <f t="shared" si="30"/>
        <v>20</v>
      </c>
      <c r="AY49" s="735" t="s">
        <v>24</v>
      </c>
      <c r="AZ49" s="672"/>
      <c r="BA49" s="672">
        <f>IF(AND(J49="Cobre",F49="Monofásico"),VLOOKUP(M49,'Iz''s'!$B$8:$E$23,2,FALSE),IF(AND(J49="Cobre",F49="Trifásico"),VLOOKUP(M49,'Iz''s'!$L$8:$O$23,2,FALSE),IF(AND(J49="Alumínio",F49="Monofásico"),VLOOKUP(M49,'Iz''s'!$B$25:$E$39,2,FALSE),IF(AND(J49="Alumínio",F49="Trifásico"),VLOOKUP(M49,'Iz''s'!$L$25:$O$39,2,FALSE)))))</f>
        <v>34</v>
      </c>
      <c r="BB49" s="672">
        <f>IF(AND(J49="Cobre",F49="Monofásico"),VLOOKUP(M49,'Iz''s'!$CD$9:$CH$24,2,FALSE),IF(AND(J49="Cobre",F49="Trifásico"),VLOOKUP(M49,'Iz''s'!$CD$9:$CH$24,4,FALSE),IF(AND(J49="Alumínio",F49="Monofásico"),VLOOKUP(M49,'Iz''s'!$CD$26:$CH$40,2,FALSE),IF(AND(J49="Alumínio",F49="Trifásico"),VLOOKUP(M49,'Iz''s'!$CD$26:$CH$40,4,FALSE)))))</f>
        <v>32</v>
      </c>
      <c r="BC49" s="672">
        <f>IF(AND(J49="Cobre",F49="Monofásico"),VLOOKUP(M49,'Iz''s'!$B$8:$E$23,3,FALSE),IF(AND(J49="Cobre",F49="Trifásico"),VLOOKUP(M49,'Iz''s'!$L$8:$O$23,3,FALSE),IF(AND(J49="Alumínio",F49="Monofásico"),VLOOKUP(M49,'Iz''s'!$B$25:$E$39,3,FALSE),IF(AND(J49="Alumínio",F49="Trifásico"),VLOOKUP(M49,'Iz''s'!$L$25:$O$39,3,FALSE)))))</f>
        <v>41</v>
      </c>
      <c r="BD49" s="672">
        <f>IF(AND(J49="Cobre",F49="Monofásico"),VLOOKUP(M49,'Iz''s'!$CD$9:$CH$24,3,FALSE),IF(AND(J49="Cobre",F49="Trifásico"),VLOOKUP(M49,'Iz''s'!$CD$9:$CH$24,5,FALSE),IF(AND(J49="Alumínio",F49="Monofásico"),VLOOKUP(M49,'Iz''s'!$CD$26:$CH$40,3,FALSE),IF(AND(J49="Alumínio",F49="Trifásico"),VLOOKUP(M49,'Iz''s'!$CD$26:$CH$40,5,FALSE)))))</f>
        <v>38</v>
      </c>
      <c r="BE49" s="672">
        <f>IF(AND(J49="Cobre",F49="Monofásico"),VLOOKUP(M49,'Iz''s'!$B$8:$E$23,4,FALSE),IF(AND(J49="Cobre",F49="Trifásico"),VLOOKUP(M49,'Iz''s'!$L$8:$O$23,4,FALSE),IF(AND(J49="Alumínio",F49="Monofásico"),VLOOKUP(M49,'Iz''s'!$B$25:$E$39,4,FALSE),IF(AND(J49="Alumínio",F49="Trifásico"),VLOOKUP(M49,'Iz''s'!$L$25:$O$39,4,FALSE)))))</f>
        <v>46</v>
      </c>
      <c r="BF49" s="672">
        <f>IF(AND(J49="Cobre",F49="Monofásico"),VLOOKUP(M49,'Iz''s'!$CP$9:$CT$24,3,FALSE),IF(AND(J49="Cobre",F49="Trifásico"),VLOOKUP(M49,'Iz''s'!$CP$9:$CT$24,2,FALSE),IF(AND(J49="Alumínio",F49="Monofásico"),VLOOKUP(M49,'Iz''s'!$CP$26:$CT$37,3,FALSE),IF(AND(J49="Alumínio",F49="Trifásico"),VLOOKUP(M49,'Iz''s'!$CP$26:$CT$37,2,FALSE)))))</f>
        <v>67</v>
      </c>
      <c r="BG49" s="672">
        <f>IF(AND(J49="Cobre",F49="Monofásico"),VLOOKUP(M49,'Iz''s'!$AT$10:$BA$28,2,FALSE),IF(AND(J49="Cobre",F49="Trifásico"),VLOOKUP(M49,'Iz''s'!$AT$10:$BA$28,3,FALSE),IF(AND(J49="Alumínio",F49="Monofásico"),VLOOKUP(M49,'Iz''s'!$BC$10:$BJ$27,2,FALSE),IF(AND(J49="Alumínio",F49="Trifásico"),VLOOKUP(M49,'Iz''s'!$BC$10:$BJ$27,3,FALSE)))))</f>
        <v>51</v>
      </c>
      <c r="BH49" s="664" t="str">
        <f>IF(AND(J49="Cobre",F49="Monofásico"),VLOOKUP(M49,'Iz''s'!$AT$10:$BA$28,4,FALSE),IF(AND(J49="Cobre",F49="Trifásico"),VLOOKUP(M49,'Iz''s'!$AT$10:$BA$28,5,FALSE),IF(AND(J49="Alumínio",F49="Monofásico"),VLOOKUP(M49,'Iz''s'!$BC$10:$BJ$27,4,FALSE),IF(AND(J49="Alumínio",F49="Trifásico"),VLOOKUP(M49,'Iz''s'!$BC$10:$BJ$27,5,FALSE)))))</f>
        <v xml:space="preserve"> --- </v>
      </c>
      <c r="BI49" s="664" t="str">
        <f>IF(AND(J49="Cobre",F49="Monofásico"),"N/A",IF(AND(J49="Cobre",F49="Trifásico"),VLOOKUP(M49,'Iz''s'!$AT$10:$BA$28,8,FALSE),IF(AND(J49="Alumínio",F49="Monofásico"),"N/A",IF(AND(J49="Alumínio",F49="Trifásico"),VLOOKUP(M49,'Iz''s'!$BC$10:$BJ$27,8,FALSE)))))</f>
        <v>N/A</v>
      </c>
      <c r="BJ49" s="672">
        <f>IF(AND(J49="Cobre",F49="Monofásico"),VLOOKUP(M49,'Iz''s'!$G$8:$J$23,2,FALSE),IF(AND(J49="Cobre",F49="Trifásico"),VLOOKUP(M49,'Iz''s'!$Q$8:$T$23,2,FALSE),IF(AND(J49="Alumínio",F49="Monofásico"),VLOOKUP(M49,'Iz''s'!$G$25:$J$39,2,FALSE),IF(AND(J49="Alumínio",F49="Trifásico"),VLOOKUP(M49,'Iz''s'!$Q$25:$T$39,2,FALSE)))))</f>
        <v>45</v>
      </c>
      <c r="BK49" s="664">
        <f>IF(AND(J49="Cobre",F49="Monofásico"),VLOOKUP(M49,'Iz''s'!$CJ$9:$CN$24,2,FALSE),IF(AND(J49="Cobre",F49="Trifásico"),VLOOKUP(M49,'Iz''s'!$CJ$9:$CN$24,4,FALSE),IF(AND(J49="Alumínio",F49="Monofásico"),VLOOKUP(M49,'Iz''s'!$CJ$26:$CN$40,2,FALSE),IF(AND(J49="Alumínio",F49="Trifásico"),VLOOKUP(M49,'Iz''s'!$CJ$26:$CN$40,4,FALSE)))))</f>
        <v>42</v>
      </c>
      <c r="BL49" s="664">
        <f>IF(AND(J49="Cobre",F49="Monofásico"),VLOOKUP(M49,'Iz''s'!$G$8:$J$23,3,FALSE),IF(AND(J49="Cobre",F49="Trifásico"),VLOOKUP(M49,'Iz''s'!$Q$8:$T$23,3,FALSE),IF(AND(J49="Alumínio",F49="Monofásico"),VLOOKUP(M49,'Iz''s'!$G$25:$J$39,3,FALSE),IF(AND(J49="Alumínio",F49="Trifásico"),VLOOKUP(M49,'Iz''s'!$Q$25:$T$39,3,FALSE)))))</f>
        <v>54</v>
      </c>
      <c r="BM49" s="664">
        <f>IF(AND(J49="Cobre",F49="Monofásico"),VLOOKUP(M49,'Iz''s'!$CJ$9:$CN$24,3,FALSE),IF(AND(J49="Cobre",F49="Trifásico"),VLOOKUP(M49,'Iz''s'!$CJ$9:$CN$24,5,FALSE),IF(AND(J49="Alumínio",F49="Monofásico"),VLOOKUP(M49,'Iz''s'!$CJ$26:$CN$40,3,FALSE),IF(AND(J49="Alumínio",F49="Trifásico"),VLOOKUP(M49,'Iz''s'!$CJ$26:$CN$40,5,FALSE)))))</f>
        <v>51</v>
      </c>
      <c r="BN49" s="664">
        <f>IF(AND(J49="Cobre",F49="Monofásico"),VLOOKUP(M49,'Iz''s'!$G$8:$J$23,4,FALSE),IF(AND(J49="Cobre",F49="Trifásico"),VLOOKUP(M49,'Iz''s'!$Q$8:$T$23,4,FALSE),IF(AND(J49="Alumínio",F49="Monofásico"),VLOOKUP(M49,'Iz''s'!$G$25:$J$39,4,FALSE),IF(AND(J49="Alumínio",F49="Trifásico"),VLOOKUP(M49,'Iz''s'!$Q$25:$T$39,4,FALSE)))))</f>
        <v>58</v>
      </c>
      <c r="BO49" s="664">
        <f>IF(AND(J49="Cobre",F49="Monofásico"),VLOOKUP(M49,'Iz''s'!$CP$9:$CT$24,5,FALSE),IF(AND(J49="Cobre",F49="Trifásico"),VLOOKUP(M49,'Iz''s'!$CP$9:$CT$24,4,FALSE),IF(AND(J49="Alumínio",F49="Monofásico"),VLOOKUP(M49,'Iz''s'!$CP$26:$CT$37,5,FALSE),IF(AND(J49="Alumínio",F49="Trifásico"),VLOOKUP(M49,'Iz''s'!$CP$26:$CT$37,4,FALSE)))))</f>
        <v>80</v>
      </c>
      <c r="BP49" s="664">
        <f>IF(AND(J49="Cobre",F49="Monofásico"),VLOOKUP(M49,'Iz''s'!$BL$10:$BS$28,2,FALSE),IF(AND(J49="Cobre",F49="Trifásico"),VLOOKUP(M49,'Iz''s'!$BL$10:$BS$28,3,FALSE),IF(AND(J49="Alumínio",F49="Monofásico"),VLOOKUP(M49,'Iz''s'!$BU$10:$CB$27,2,FALSE),IF(AND(J49="Alumínio",F49="Trifásico"),VLOOKUP(M49,'Iz''s'!$BU$10:$CB$27,3,FALSE)))))</f>
        <v>63</v>
      </c>
      <c r="BQ49" s="672" t="str">
        <f>IF(AND(J49="Cobre",F49="Monofásico"),VLOOKUP(M49,'Iz''s'!$BL$10:$BS$28,4,FALSE),IF(AND(J49="Cobre",F49="Trifásico"),VLOOKUP(M49,'Iz''s'!$BL$10:$BS$28,5,FALSE),IF(AND(J49="Alumínio",F49="Monofásico"),VLOOKUP(M49,'Iz''s'!$BU$10:$CB$27,4,FALSE),IF(AND(J49="Alumínio",F49="Trifásico"),VLOOKUP(M49,'Iz''s'!$BU$10:$CB$27,5,FALSE)))))</f>
        <v xml:space="preserve"> --- </v>
      </c>
      <c r="BR49" s="664" t="str">
        <f>IF(AND(J49="Cobre",F49="Monofásico"),"N/A",IF(AND(J49="Cobre",F49="Trifásico"),VLOOKUP(M49,'Iz''s'!$BL$10:$BS$28,8,FALSE),IF(AND(J49="Alumínio",F49="Monofásico"),"N/A",IF(AND(J49="Alumínio",F49="Trifásico"),VLOOKUP(M49,'Iz''s'!$BU$10:$CB$27,8,FALSE)))))</f>
        <v>N/A</v>
      </c>
      <c r="BS49" s="664">
        <f>IF(AND(J49="Cobre",F49="Monofásico"),VLOOKUP(M49,'Iz''s'!$V$14:$Y$28,2,FALSE),IF(AND(J49="Cobre",F49="Trifásico"),VLOOKUP(M49,'Iz''s'!$V$14:$Y$28,3,FALSE),IF(AND(J49="Alumínio",F49="Monofásico"),VLOOKUP(M49,"N/A",4,FALSE),IF(AND(J49="Alumínio",F49="Trifásico"),VLOOKUP(M49,"N/A",4,FALSE)))))</f>
        <v>57</v>
      </c>
      <c r="BT49" s="664">
        <f>IF(AND(J49="Cobre",F49="Monofásico"),VLOOKUP(M49,'Iz''s'!$AF$15:$AK$29,2,FALSE),IF(AND(J49="Cobre",F49="Trifásico"),VLOOKUP(M49,'Iz''s'!$AF$15:$AK$29,3,FALSE),IF(AND(J49="Alumínio",F49="Monofásico"),"N/A",IF(AND(J49="Alumínio",F49="Trifásico"),"N/A"))))</f>
        <v>60</v>
      </c>
      <c r="BU49" s="664">
        <f>IF(AND(J49="Cobre",F49="Monofásico"),VLOOKUP(M49,'Iz''s'!$AF$15:$AK$29,2,FALSE),IF(AND(J49="Cobre",F49="Trifásico"),VLOOKUP(M49,'Iz''s'!$AF$15:$AK$29,3,FALSE),IF(AND(J49="Alumínio",F49="Monofásico"),"N/A",IF(AND(J49="Alumínio",F49="Trifásico"),"N/A"))))</f>
        <v>60</v>
      </c>
      <c r="BV49" s="664" t="str">
        <f>IF(AND(J49="Cobre",F49="Monofásico"),"N/A",IF(AND(J49="Cobre",F49="Trifásico"),VLOOKUP(M49,'Iz''s'!$AF$15:$AK$29,6,FALSE),IF(AND(J49="Alumínio",F49="Monofásico"),"N/A",IF(AND(J49="Alumínio",F49="Trifásico"),"N/A"))))</f>
        <v>N/A</v>
      </c>
      <c r="BW49" s="664">
        <v>47</v>
      </c>
      <c r="BX49" s="774"/>
      <c r="BY49" s="597">
        <f>VLOOKUP(M49,Consulta!$W$6:$AB$23,4,FALSE)</f>
        <v>20</v>
      </c>
      <c r="BZ49" s="597">
        <f>VLOOKUP(M49,Consulta!$W$6:$AB$23,6,FALSE)</f>
        <v>25</v>
      </c>
      <c r="CA49" s="597">
        <f>VLOOKUP(M49,Consulta!$AK$6:$AP$23,4,FALSE)</f>
        <v>25</v>
      </c>
      <c r="CB49" s="597">
        <f>VLOOKUP(M49,Consulta!$AK$6:$AP$23,6,FALSE)</f>
        <v>32</v>
      </c>
      <c r="CC49" s="533" t="e">
        <f>VLOOKUP(M49,Consulta!$AD$6:$AI$19,4,FALSE)</f>
        <v>#N/A</v>
      </c>
      <c r="CD49" s="533" t="e">
        <f>VLOOKUP(M49,Consulta!$AD$6:$AI$19,6,FALSE)</f>
        <v>#N/A</v>
      </c>
      <c r="CE49" s="533" t="e">
        <f>VLOOKUP(M49,Consulta!$AR$6:$AW$19,4,FALSE)</f>
        <v>#N/A</v>
      </c>
      <c r="CF49" s="533" t="e">
        <f>VLOOKUP(M49,Consulta!$AR$6:$AW$19,6,FALSE)</f>
        <v>#N/A</v>
      </c>
      <c r="CG49" s="775"/>
      <c r="CH49" s="775"/>
      <c r="CI49" s="775"/>
      <c r="CJ49" s="775"/>
      <c r="CK49" s="775"/>
      <c r="CL49" s="775"/>
      <c r="CM49" s="775"/>
      <c r="CN49" s="775"/>
      <c r="CO49" s="775"/>
      <c r="CP49" s="775"/>
      <c r="CQ49" s="775"/>
      <c r="CR49" s="775"/>
      <c r="CS49" s="775"/>
      <c r="CT49" s="775"/>
      <c r="CU49" s="775"/>
      <c r="CV49" s="775"/>
      <c r="CW49" s="775"/>
      <c r="CX49" s="775"/>
      <c r="CY49" s="775"/>
      <c r="CZ49" s="775"/>
      <c r="DA49" s="775"/>
      <c r="DB49" s="775"/>
      <c r="DC49" s="775"/>
      <c r="DD49" s="775"/>
      <c r="DE49" s="775"/>
      <c r="DF49" s="775"/>
      <c r="DG49" s="775"/>
      <c r="DH49" s="775"/>
      <c r="DI49" s="775"/>
      <c r="DJ49" s="775"/>
      <c r="DK49" s="775"/>
      <c r="DL49" s="775"/>
      <c r="DM49" s="775"/>
      <c r="DN49" s="775"/>
      <c r="DO49" s="775"/>
      <c r="DP49" s="775"/>
      <c r="DQ49" s="775"/>
      <c r="DR49" s="775"/>
      <c r="DS49" s="775"/>
      <c r="DT49" s="775"/>
      <c r="DU49" s="775"/>
      <c r="DV49" s="775"/>
      <c r="DW49" s="775"/>
      <c r="DX49" s="775"/>
      <c r="DY49" s="775"/>
      <c r="DZ49" s="775"/>
      <c r="EA49" s="775"/>
      <c r="EB49" s="775"/>
      <c r="EC49" s="775"/>
      <c r="ED49" s="775"/>
      <c r="EE49" s="775"/>
      <c r="EF49" s="775"/>
      <c r="EG49" s="775"/>
      <c r="EH49" s="775"/>
      <c r="EI49" s="775"/>
      <c r="EJ49" s="775"/>
      <c r="EK49" s="775"/>
      <c r="EL49" s="775"/>
      <c r="EM49" s="775"/>
      <c r="EN49" s="775"/>
      <c r="EO49" s="775"/>
      <c r="EP49" s="775"/>
      <c r="EQ49" s="775"/>
      <c r="ER49" s="775"/>
      <c r="ES49" s="775"/>
      <c r="ET49" s="775"/>
      <c r="EU49" s="775"/>
      <c r="EV49" s="775"/>
      <c r="EW49" s="775"/>
      <c r="EX49" s="775"/>
      <c r="EY49" s="775"/>
      <c r="EZ49" s="775"/>
      <c r="FA49" s="775"/>
      <c r="FB49" s="775"/>
      <c r="FC49" s="775"/>
      <c r="FD49" s="775"/>
      <c r="FE49" s="775"/>
      <c r="FF49" s="775"/>
      <c r="FG49" s="775"/>
      <c r="FH49" s="775"/>
      <c r="FI49" s="775"/>
      <c r="FJ49" s="775"/>
      <c r="FK49" s="775"/>
      <c r="FL49" s="775"/>
      <c r="FM49" s="775"/>
      <c r="FN49" s="775"/>
      <c r="FO49" s="775"/>
      <c r="FP49" s="775"/>
      <c r="FQ49" s="775"/>
      <c r="FR49" s="775"/>
      <c r="FS49" s="775"/>
      <c r="FT49" s="775"/>
      <c r="FU49" s="775"/>
      <c r="FV49" s="775"/>
      <c r="FW49" s="775"/>
      <c r="FX49" s="775"/>
      <c r="FY49" s="775"/>
      <c r="FZ49" s="775"/>
      <c r="GA49" s="775"/>
      <c r="GB49" s="775"/>
      <c r="GC49" s="775"/>
      <c r="GD49" s="775"/>
      <c r="GE49" s="775"/>
      <c r="GF49" s="775"/>
      <c r="GG49" s="775"/>
      <c r="GH49" s="775"/>
      <c r="GI49" s="775"/>
      <c r="GJ49" s="775"/>
      <c r="GK49" s="775"/>
      <c r="GL49" s="775"/>
      <c r="GM49" s="775"/>
      <c r="GN49" s="775"/>
      <c r="GO49" s="775"/>
      <c r="GP49" s="775"/>
      <c r="GQ49" s="775"/>
      <c r="GR49" s="775"/>
      <c r="GS49" s="775"/>
      <c r="GT49" s="775"/>
      <c r="GU49" s="775"/>
      <c r="GV49" s="775"/>
      <c r="GW49" s="775"/>
      <c r="GX49" s="775"/>
      <c r="GY49" s="775"/>
      <c r="GZ49" s="775"/>
      <c r="HA49" s="775"/>
      <c r="HB49" s="775"/>
      <c r="HC49" s="775"/>
      <c r="HD49" s="775"/>
    </row>
    <row r="50" spans="1:212" s="748" customFormat="1" ht="16.5" customHeight="1" x14ac:dyDescent="0.2">
      <c r="A50" s="747"/>
      <c r="B50" s="1114" t="s">
        <v>812</v>
      </c>
      <c r="C50" s="865" t="s">
        <v>806</v>
      </c>
      <c r="D50" s="691">
        <v>3.6</v>
      </c>
      <c r="E50" s="691">
        <v>18.440000000000001</v>
      </c>
      <c r="F50" s="691" t="s">
        <v>244</v>
      </c>
      <c r="G50" s="691" t="s">
        <v>808</v>
      </c>
      <c r="H50" s="691">
        <v>1</v>
      </c>
      <c r="I50" s="692" t="s">
        <v>13</v>
      </c>
      <c r="J50" s="691" t="s">
        <v>242</v>
      </c>
      <c r="K50" s="691" t="s">
        <v>363</v>
      </c>
      <c r="L50" s="691">
        <v>1</v>
      </c>
      <c r="M50" s="693">
        <v>2.5</v>
      </c>
      <c r="N50" s="691" t="s">
        <v>453</v>
      </c>
      <c r="O50" s="691">
        <v>4</v>
      </c>
      <c r="P50" s="616">
        <f t="shared" si="62"/>
        <v>23</v>
      </c>
      <c r="Q50" s="691">
        <v>3</v>
      </c>
      <c r="R50" s="691">
        <v>0.8</v>
      </c>
      <c r="S50" s="616">
        <f t="shared" si="55"/>
        <v>15.652173913043478</v>
      </c>
      <c r="T50" s="694">
        <f t="shared" si="56"/>
        <v>18.400000000000002</v>
      </c>
      <c r="U50" s="691" t="s">
        <v>499</v>
      </c>
      <c r="V50" s="616">
        <v>16</v>
      </c>
      <c r="W50" s="691">
        <f>IF(U50="C.C.Fusíveis",VLOOKUP(V50,Consulta!$L$5:$N$31,3,FALSE),VLOOKUP(V50,Consulta!$P$5:$R$34,3,FALSE))</f>
        <v>21.6</v>
      </c>
      <c r="X50" s="695">
        <f t="shared" si="10"/>
        <v>34</v>
      </c>
      <c r="Y50" s="749">
        <f t="shared" si="51"/>
        <v>0.85066162570888459</v>
      </c>
      <c r="Z50" s="750" t="str">
        <f t="shared" si="11"/>
        <v>Sim</v>
      </c>
      <c r="AA50" s="751">
        <f>$AA$8+SQRT($AB$8^2+$AC$8^2)</f>
        <v>9.4596077075354223E-2</v>
      </c>
      <c r="AB50" s="751">
        <f t="shared" si="12"/>
        <v>0.20745</v>
      </c>
      <c r="AC50" s="751">
        <f t="shared" si="6"/>
        <v>0</v>
      </c>
      <c r="AD50" s="752">
        <f>$AF$8</f>
        <v>2.8079149244625139</v>
      </c>
      <c r="AE50" s="752">
        <f t="shared" si="17"/>
        <v>6.4940869565217394</v>
      </c>
      <c r="AF50" s="752">
        <f t="shared" si="18"/>
        <v>9.3020018809842533</v>
      </c>
      <c r="AG50" s="753">
        <f t="shared" si="34"/>
        <v>2.8235160680529302E-2</v>
      </c>
      <c r="AH50" s="754">
        <f t="shared" si="34"/>
        <v>4.0443486439061968E-2</v>
      </c>
      <c r="AI50" s="752">
        <f t="shared" si="7"/>
        <v>0.76147322364534387</v>
      </c>
      <c r="AJ50" s="691">
        <v>3</v>
      </c>
      <c r="AK50" s="752">
        <v>0.1</v>
      </c>
      <c r="AL50" s="695">
        <f t="shared" ref="AL50:AL59" si="70">IF(G50="Multicondutor",(IF(AND(J50="Cobre",K50="PVC"),115,IF(AND(J50="Cobre",K50="XLPE"),143,IF(AND(J50="Alumínio",K50="PVC"),76,IF(AND(J50="Alumínio",K50="XLPE"),94))))),(IF(AND(J50="Cobre",K50="PVC"),143,IF(AND(J50="Cobre",K50="XLPE"),176,IF(AND(J50="Alumínio",K50="PVC"),95,IF(AND(J50="Alumínio",K50="XLPE"),116))))))</f>
        <v>115</v>
      </c>
      <c r="AM50" s="752">
        <f>((AI50*1000)*SQRT(AK50))/AL50</f>
        <v>2.0939041425652793</v>
      </c>
      <c r="AN50" s="750">
        <f t="shared" si="52"/>
        <v>1</v>
      </c>
      <c r="AO50" s="755" t="s">
        <v>563</v>
      </c>
      <c r="AP50" s="750" t="s">
        <v>523</v>
      </c>
      <c r="AQ50" s="750" t="str">
        <f t="shared" si="53"/>
        <v>3G</v>
      </c>
      <c r="AR50" s="750">
        <f>M50</f>
        <v>2.5</v>
      </c>
      <c r="AS50" s="901" t="str">
        <f t="shared" si="8"/>
        <v/>
      </c>
      <c r="AT50" s="901" t="str">
        <f>IF(OR(AQ50="3G",AQ50="5G"),"",VLOOKUP(AR50,Consulta!$T$5:$U$25,2,FALSE))</f>
        <v/>
      </c>
      <c r="AU50" s="902" t="s">
        <v>565</v>
      </c>
      <c r="AV50" s="750" t="s">
        <v>23</v>
      </c>
      <c r="AW50" s="750" t="s">
        <v>564</v>
      </c>
      <c r="AX50" s="750">
        <f t="shared" si="30"/>
        <v>25</v>
      </c>
      <c r="AY50" s="866" t="s">
        <v>24</v>
      </c>
      <c r="AZ50" s="564"/>
      <c r="BA50" s="654">
        <f>IF(AND(J50="Cobre",F50="Monofásico"),VLOOKUP(M50,'Iz''s'!$B$8:$E$23,2,FALSE),IF(AND(J50="Cobre",F50="Trifásico"),VLOOKUP(M50,'Iz''s'!$L$8:$O$23,2,FALSE),IF(AND(J50="Alumínio",F50="Monofásico"),VLOOKUP(M50,'Iz''s'!$B$25:$E$39,2,FALSE),IF(AND(J50="Alumínio",F50="Trifásico"),VLOOKUP(M50,'Iz''s'!$L$25:$O$39,2,FALSE)))))</f>
        <v>19.5</v>
      </c>
      <c r="BB50" s="655">
        <f>IF(AND(J50="Cobre",F50="Monofásico"),VLOOKUP(M50,'Iz''s'!$CD$9:$CH$24,2,FALSE),IF(AND(J50="Cobre",F50="Trifásico"),VLOOKUP(M50,'Iz''s'!$CD$9:$CH$24,4,FALSE),IF(AND(J50="Alumínio",F50="Monofásico"),VLOOKUP(M50,'Iz''s'!$CD$26:$CH$40,2,FALSE),IF(AND(J50="Alumínio",F50="Trifásico"),VLOOKUP(M50,'Iz''s'!$CD$26:$CH$40,4,FALSE)))))</f>
        <v>18.5</v>
      </c>
      <c r="BC50" s="655">
        <f>IF(AND(J50="Cobre",F50="Monofásico"),VLOOKUP(M50,'Iz''s'!$B$8:$E$23,3,FALSE),IF(AND(J50="Cobre",F50="Trifásico"),VLOOKUP(M50,'Iz''s'!$L$8:$O$23,3,FALSE),IF(AND(J50="Alumínio",F50="Monofásico"),VLOOKUP(M50,'Iz''s'!$B$25:$E$39,3,FALSE),IF(AND(J50="Alumínio",F50="Trifásico"),VLOOKUP(M50,'Iz''s'!$L$25:$O$39,3,FALSE)))))</f>
        <v>24</v>
      </c>
      <c r="BD50" s="655">
        <f>IF(AND(J50="Cobre",F50="Monofásico"),VLOOKUP(M50,'Iz''s'!$CD$9:$CH$24,3,FALSE),IF(AND(J50="Cobre",F50="Trifásico"),VLOOKUP(M50,'Iz''s'!$CD$9:$CH$24,5,FALSE),IF(AND(J50="Alumínio",F50="Monofásico"),VLOOKUP(M50,'Iz''s'!$CD$26:$CH$40,3,FALSE),IF(AND(J50="Alumínio",F50="Trifásico"),VLOOKUP(M50,'Iz''s'!$CD$26:$CH$40,5,FALSE)))))</f>
        <v>23</v>
      </c>
      <c r="BE50" s="655">
        <f>IF(AND(J50="Cobre",F50="Monofásico"),VLOOKUP(M50,'Iz''s'!$B$8:$E$23,4,FALSE),IF(AND(J50="Cobre",F50="Trifásico"),VLOOKUP(M50,'Iz''s'!$L$8:$O$23,4,FALSE),IF(AND(J50="Alumínio",F50="Monofásico"),VLOOKUP(M50,'Iz''s'!$B$25:$E$39,4,FALSE),IF(AND(J50="Alumínio",F50="Trifásico"),VLOOKUP(M50,'Iz''s'!$L$25:$O$39,4,FALSE)))))</f>
        <v>27</v>
      </c>
      <c r="BF50" s="655">
        <f>IF(AND(J50="Cobre",F50="Monofásico"),VLOOKUP(M50,'Iz''s'!$CP$9:$CT$24,3,FALSE),IF(AND(J50="Cobre",F50="Trifásico"),VLOOKUP(M50,'Iz''s'!$CP$9:$CT$24,2,FALSE),IF(AND(J50="Alumínio",F50="Monofásico"),VLOOKUP(M50,'Iz''s'!$CP$26:$CT$37,3,FALSE),IF(AND(J50="Alumínio",F50="Trifásico"),VLOOKUP(M50,'Iz''s'!$CP$26:$CT$37,2,FALSE)))))</f>
        <v>42</v>
      </c>
      <c r="BG50" s="655">
        <f>IF(AND(J50="Cobre",F50="Monofásico"),VLOOKUP(M50,'Iz''s'!$AT$10:$BA$28,2,FALSE),IF(AND(J50="Cobre",F50="Trifásico"),VLOOKUP(M50,'Iz''s'!$AT$10:$BA$28,3,FALSE),IF(AND(J50="Alumínio",F50="Monofásico"),VLOOKUP(M50,'Iz''s'!$BC$10:$BJ$27,2,FALSE),IF(AND(J50="Alumínio",F50="Trifásico"),VLOOKUP(M50,'Iz''s'!$BC$10:$BJ$27,3,FALSE)))))</f>
        <v>30</v>
      </c>
      <c r="BH50" s="656" t="str">
        <f>IF(AND(J50="Cobre",F50="Monofásico"),VLOOKUP(M50,'Iz''s'!$AT$10:$BA$28,4,FALSE),IF(AND(J50="Cobre",F50="Trifásico"),VLOOKUP(M50,'Iz''s'!$AT$10:$BA$28,5,FALSE),IF(AND(J50="Alumínio",F50="Monofásico"),VLOOKUP(M50,'Iz''s'!$BC$10:$BJ$27,4,FALSE),IF(AND(J50="Alumínio",F50="Trifásico"),VLOOKUP(M50,'Iz''s'!$BC$10:$BJ$27,5,FALSE)))))</f>
        <v xml:space="preserve"> --- </v>
      </c>
      <c r="BI50" s="656" t="str">
        <f>IF(AND(J50="Cobre",F50="Monofásico"),"N/A",IF(AND(J50="Cobre",F50="Trifásico"),VLOOKUP(M50,'Iz''s'!$AT$10:$BA$28,8,FALSE),IF(AND(J50="Alumínio",F50="Monofásico"),"N/A",IF(AND(J50="Alumínio",F50="Trifásico"),VLOOKUP(M50,'Iz''s'!$BC$10:$BJ$27,8,FALSE)))))</f>
        <v>N/A</v>
      </c>
      <c r="BJ50" s="655">
        <f>IF(AND(J50="Cobre",F50="Monofásico"),VLOOKUP(M50,'Iz''s'!$G$8:$J$23,2,FALSE),IF(AND(J50="Cobre",F50="Trifásico"),VLOOKUP(M50,'Iz''s'!$Q$8:$T$23,2,FALSE),IF(AND(J50="Alumínio",F50="Monofásico"),VLOOKUP(M50,'Iz''s'!$G$25:$J$39,2,FALSE),IF(AND(J50="Alumínio",F50="Trifásico"),VLOOKUP(M50,'Iz''s'!$Q$25:$T$39,2,FALSE)))))</f>
        <v>26</v>
      </c>
      <c r="BK50" s="656">
        <f>IF(AND(J50="Cobre",F50="Monofásico"),VLOOKUP(M50,'Iz''s'!$CJ$9:$CN$24,2,FALSE),IF(AND(J50="Cobre",F50="Trifásico"),VLOOKUP(M50,'Iz''s'!$CJ$9:$CN$24,4,FALSE),IF(AND(J50="Alumínio",F50="Monofásico"),VLOOKUP(M50,'Iz''s'!$CJ$26:$CN$40,2,FALSE),IF(AND(J50="Alumínio",F50="Trifásico"),VLOOKUP(M50,'Iz''s'!$CJ$26:$CN$40,4,FALSE)))))</f>
        <v>25</v>
      </c>
      <c r="BL50" s="656">
        <f>IF(AND(J50="Cobre",F50="Monofásico"),VLOOKUP(M50,'Iz''s'!$G$8:$J$23,3,FALSE),IF(AND(J50="Cobre",F50="Trifásico"),VLOOKUP(M50,'Iz''s'!$Q$8:$T$23,3,FALSE),IF(AND(J50="Alumínio",F50="Monofásico"),VLOOKUP(M50,'Iz''s'!$G$25:$J$39,3,FALSE),IF(AND(J50="Alumínio",F50="Trifásico"),VLOOKUP(M50,'Iz''s'!$Q$25:$T$39,3,FALSE)))))</f>
        <v>31</v>
      </c>
      <c r="BM50" s="656">
        <f>IF(AND(J50="Cobre",F50="Monofásico"),VLOOKUP(M50,'Iz''s'!$CJ$9:$CN$24,3,FALSE),IF(AND(J50="Cobre",F50="Trifásico"),VLOOKUP(M50,'Iz''s'!$CJ$9:$CN$24,5,FALSE),IF(AND(J50="Alumínio",F50="Monofásico"),VLOOKUP(M50,'Iz''s'!$CJ$26:$CN$40,3,FALSE),IF(AND(J50="Alumínio",F50="Trifásico"),VLOOKUP(M50,'Iz''s'!$CJ$26:$CN$40,5,FALSE)))))</f>
        <v>30</v>
      </c>
      <c r="BN50" s="656">
        <f>IF(AND(J50="Cobre",F50="Monofásico"),VLOOKUP(M50,'Iz''s'!$G$8:$J$23,4,FALSE),IF(AND(J50="Cobre",F50="Trifásico"),VLOOKUP(M50,'Iz''s'!$Q$8:$T$23,4,FALSE),IF(AND(J50="Alumínio",F50="Monofásico"),VLOOKUP(M50,'Iz''s'!$G$25:$J$39,4,FALSE),IF(AND(J50="Alumínio",F50="Trifásico"),VLOOKUP(M50,'Iz''s'!$Q$25:$T$39,4,FALSE)))))</f>
        <v>33</v>
      </c>
      <c r="BO50" s="656">
        <f>IF(AND(J50="Cobre",F50="Monofásico"),VLOOKUP(M50,'Iz''s'!$CP$9:$CT$24,5,FALSE),IF(AND(J50="Cobre",F50="Trifásico"),VLOOKUP(M50,'Iz''s'!$CP$9:$CT$24,4,FALSE),IF(AND(J50="Alumínio",F50="Monofásico"),VLOOKUP(M50,'Iz''s'!$CP$26:$CT$37,5,FALSE),IF(AND(J50="Alumínio",F50="Trifásico"),VLOOKUP(M50,'Iz''s'!$CP$26:$CT$37,4,FALSE)))))</f>
        <v>48</v>
      </c>
      <c r="BP50" s="656">
        <f>IF(AND(J50="Cobre",F50="Monofásico"),VLOOKUP(M50,'Iz''s'!$BL$10:$BS$28,2,FALSE),IF(AND(J50="Cobre",F50="Trifásico"),VLOOKUP(M50,'Iz''s'!$BL$10:$BS$28,3,FALSE),IF(AND(J50="Alumínio",F50="Monofásico"),VLOOKUP(M50,'Iz''s'!$BU$10:$CB$27,2,FALSE),IF(AND(J50="Alumínio",F50="Trifásico"),VLOOKUP(M50,'Iz''s'!$BU$10:$CB$27,3,FALSE)))))</f>
        <v>36</v>
      </c>
      <c r="BQ50" s="655" t="str">
        <f>IF(AND(J50="Cobre",F50="Monofásico"),VLOOKUP(M50,'Iz''s'!$BL$10:$BS$28,4,FALSE),IF(AND(J50="Cobre",F50="Trifásico"),VLOOKUP(M50,'Iz''s'!$BL$10:$BS$28,5,FALSE),IF(AND(J50="Alumínio",F50="Monofásico"),VLOOKUP(M50,'Iz''s'!$BU$10:$CB$27,4,FALSE),IF(AND(J50="Alumínio",F50="Trifásico"),VLOOKUP(M50,'Iz''s'!$BU$10:$CB$27,5,FALSE)))))</f>
        <v xml:space="preserve"> --- </v>
      </c>
      <c r="BR50" s="656" t="str">
        <f>IF(AND(J50="Cobre",F50="Monofásico"),"N/A",IF(AND(J50="Cobre",F50="Trifásico"),VLOOKUP(M50,'Iz''s'!$BL$10:$BS$28,8,FALSE),IF(AND(J50="Alumínio",F50="Monofásico"),"N/A",IF(AND(J50="Alumínio",F50="Trifásico"),VLOOKUP(M50,'Iz''s'!$BU$10:$CB$27,8,FALSE)))))</f>
        <v>N/A</v>
      </c>
      <c r="BS50" s="656">
        <f>IF(AND(J50="Cobre",F50="Monofásico"),VLOOKUP(M50,'Iz''s'!$V$14:$Y$28,2,FALSE),IF(AND(J50="Cobre",F50="Trifásico"),VLOOKUP(M50,'Iz''s'!$V$14:$Y$28,3,FALSE),IF(AND(J50="Alumínio",F50="Monofásico"),VLOOKUP(M50,"N/A",4,FALSE),IF(AND(J50="Alumínio",F50="Trifásico"),VLOOKUP(M50,"N/A",4,FALSE)))))</f>
        <v>34</v>
      </c>
      <c r="BT50" s="656">
        <f>IF(AND(J50="Cobre",F50="Monofásico"),VLOOKUP(M50,'Iz''s'!$AF$15:$AK$29,2,FALSE),IF(AND(J50="Cobre",F50="Trifásico"),VLOOKUP(M50,'Iz''s'!$AF$15:$AK$29,3,FALSE),IF(AND(J50="Alumínio",F50="Monofásico"),"N/A",IF(AND(J50="Alumínio",F50="Trifásico"),"N/A"))))</f>
        <v>36</v>
      </c>
      <c r="BU50" s="656">
        <f>IF(AND(J50="Cobre",F50="Monofásico"),VLOOKUP(M50,'Iz''s'!$AF$15:$AK$29,2,FALSE),IF(AND(J50="Cobre",F50="Trifásico"),VLOOKUP(M50,'Iz''s'!$AF$15:$AK$29,3,FALSE),IF(AND(J50="Alumínio",F50="Monofásico"),"N/A",IF(AND(J50="Alumínio",F50="Trifásico"),"N/A"))))</f>
        <v>36</v>
      </c>
      <c r="BV50" s="657" t="str">
        <f>IF(AND(J50="Cobre",F50="Monofásico"),"N/A",IF(AND(J50="Cobre",F50="Trifásico"),VLOOKUP(M50,'Iz''s'!$AF$15:$AK$29,6,FALSE),IF(AND(J50="Alumínio",F50="Monofásico"),"N/A",IF(AND(J50="Alumínio",F50="Trifásico"),"N/A"))))</f>
        <v>N/A</v>
      </c>
      <c r="BW50" s="658">
        <v>48</v>
      </c>
      <c r="BX50" s="583"/>
      <c r="BY50" s="659">
        <f>VLOOKUP(M50,Consulta!$W$6:$AB$23,4,FALSE)</f>
        <v>16</v>
      </c>
      <c r="BZ50" s="659">
        <f>VLOOKUP(M50,Consulta!$W$6:$AB$23,6,FALSE)</f>
        <v>20</v>
      </c>
      <c r="CA50" s="659">
        <f>VLOOKUP(M50,Consulta!$AK$6:$AP$23,4,FALSE)</f>
        <v>20</v>
      </c>
      <c r="CB50" s="659">
        <f>VLOOKUP(M50,Consulta!$AK$6:$AP$23,6,FALSE)</f>
        <v>25</v>
      </c>
      <c r="CC50" s="660" t="e">
        <f>VLOOKUP(M50,Consulta!$AD$6:$AI$19,4,FALSE)</f>
        <v>#N/A</v>
      </c>
      <c r="CD50" s="660" t="e">
        <f>VLOOKUP(M50,Consulta!$AD$6:$AI$19,6,FALSE)</f>
        <v>#N/A</v>
      </c>
      <c r="CE50" s="660" t="e">
        <f>VLOOKUP(M50,Consulta!$AR$6:$AW$19,4,FALSE)</f>
        <v>#N/A</v>
      </c>
      <c r="CF50" s="661" t="e">
        <f>VLOOKUP(M50,Consulta!$AR$6:$AW$19,6,FALSE)</f>
        <v>#N/A</v>
      </c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</row>
    <row r="51" spans="1:212" s="560" customFormat="1" ht="16.5" customHeight="1" x14ac:dyDescent="0.2">
      <c r="A51" s="559"/>
      <c r="B51" s="1117"/>
      <c r="C51" s="819" t="s">
        <v>793</v>
      </c>
      <c r="D51" s="684">
        <v>3.6</v>
      </c>
      <c r="E51" s="684">
        <v>13.62</v>
      </c>
      <c r="F51" s="684" t="s">
        <v>244</v>
      </c>
      <c r="G51" s="684" t="s">
        <v>808</v>
      </c>
      <c r="H51" s="684">
        <v>1</v>
      </c>
      <c r="I51" s="760" t="s">
        <v>13</v>
      </c>
      <c r="J51" s="684" t="s">
        <v>242</v>
      </c>
      <c r="K51" s="684" t="s">
        <v>363</v>
      </c>
      <c r="L51" s="684">
        <v>1</v>
      </c>
      <c r="M51" s="685">
        <v>2.5</v>
      </c>
      <c r="N51" s="684" t="s">
        <v>453</v>
      </c>
      <c r="O51" s="684">
        <v>4</v>
      </c>
      <c r="P51" s="555">
        <f t="shared" si="62"/>
        <v>23</v>
      </c>
      <c r="Q51" s="684">
        <v>3</v>
      </c>
      <c r="R51" s="684">
        <v>0.8</v>
      </c>
      <c r="S51" s="555">
        <f t="shared" si="55"/>
        <v>15.652173913043478</v>
      </c>
      <c r="T51" s="696">
        <f t="shared" si="56"/>
        <v>18.400000000000002</v>
      </c>
      <c r="U51" s="684" t="s">
        <v>499</v>
      </c>
      <c r="V51" s="555">
        <v>16</v>
      </c>
      <c r="W51" s="684">
        <f>IF(U51="C.C.Fusíveis",VLOOKUP(V51,Consulta!$L$5:$N$31,3,FALSE),VLOOKUP(V51,Consulta!$P$5:$R$34,3,FALSE))</f>
        <v>21.6</v>
      </c>
      <c r="X51" s="698">
        <f t="shared" si="10"/>
        <v>34</v>
      </c>
      <c r="Y51" s="761">
        <f t="shared" si="51"/>
        <v>0.85066162570888459</v>
      </c>
      <c r="Z51" s="689" t="str">
        <f t="shared" si="11"/>
        <v>Sim</v>
      </c>
      <c r="AA51" s="762">
        <f t="shared" ref="AA51:AA53" si="71">$AA$8+SQRT($AB$8^2+$AC$8^2)</f>
        <v>9.4596077075354223E-2</v>
      </c>
      <c r="AB51" s="762">
        <f t="shared" si="12"/>
        <v>0.15322499999999997</v>
      </c>
      <c r="AC51" s="762">
        <f t="shared" si="6"/>
        <v>0</v>
      </c>
      <c r="AD51" s="686">
        <f t="shared" ref="AD51:AD59" si="72">$AF$8</f>
        <v>2.8079149244625139</v>
      </c>
      <c r="AE51" s="686">
        <f t="shared" si="17"/>
        <v>4.7966086956521732</v>
      </c>
      <c r="AF51" s="686">
        <f t="shared" si="18"/>
        <v>7.6045236201146871</v>
      </c>
      <c r="AG51" s="687">
        <f t="shared" si="34"/>
        <v>2.0854820415879015E-2</v>
      </c>
      <c r="AH51" s="763">
        <f t="shared" si="34"/>
        <v>3.3063146174411681E-2</v>
      </c>
      <c r="AI51" s="686">
        <f t="shared" si="7"/>
        <v>0.92808893704414264</v>
      </c>
      <c r="AJ51" s="684">
        <v>3</v>
      </c>
      <c r="AK51" s="686">
        <v>0.1</v>
      </c>
      <c r="AL51" s="698">
        <f t="shared" si="70"/>
        <v>115</v>
      </c>
      <c r="AM51" s="686">
        <f t="shared" ref="AM51:AM59" si="73">((AI51*1000)*SQRT(AK51))/AL51</f>
        <v>2.5520651410992263</v>
      </c>
      <c r="AN51" s="689">
        <f t="shared" si="52"/>
        <v>1</v>
      </c>
      <c r="AO51" s="688" t="s">
        <v>563</v>
      </c>
      <c r="AP51" s="689" t="s">
        <v>523</v>
      </c>
      <c r="AQ51" s="689" t="str">
        <f t="shared" si="53"/>
        <v>3G</v>
      </c>
      <c r="AR51" s="689">
        <f t="shared" ref="AR51:AR59" si="74">M51</f>
        <v>2.5</v>
      </c>
      <c r="AS51" s="897" t="str">
        <f t="shared" si="8"/>
        <v/>
      </c>
      <c r="AT51" s="897" t="str">
        <f>IF(OR(AQ51="3G",AQ51="5G"),"",VLOOKUP(AR51,Consulta!$T$5:$U$25,2,FALSE))</f>
        <v/>
      </c>
      <c r="AU51" s="898" t="s">
        <v>565</v>
      </c>
      <c r="AV51" s="689" t="s">
        <v>23</v>
      </c>
      <c r="AW51" s="689" t="s">
        <v>564</v>
      </c>
      <c r="AX51" s="689">
        <f t="shared" si="30"/>
        <v>20</v>
      </c>
      <c r="AY51" s="690" t="s">
        <v>24</v>
      </c>
      <c r="AZ51" s="564"/>
      <c r="BA51" s="584">
        <f>IF(AND(J51="Cobre",F51="Monofásico"),VLOOKUP(M51,'Iz''s'!$B$8:$E$23,2,FALSE),IF(AND(J51="Cobre",F51="Trifásico"),VLOOKUP(M51,'Iz''s'!$L$8:$O$23,2,FALSE),IF(AND(J51="Alumínio",F51="Monofásico"),VLOOKUP(M51,'Iz''s'!$B$25:$E$39,2,FALSE),IF(AND(J51="Alumínio",F51="Trifásico"),VLOOKUP(M51,'Iz''s'!$L$25:$O$39,2,FALSE)))))</f>
        <v>19.5</v>
      </c>
      <c r="BB51" s="531">
        <f>IF(AND(J51="Cobre",F51="Monofásico"),VLOOKUP(M51,'Iz''s'!$CD$9:$CH$24,2,FALSE),IF(AND(J51="Cobre",F51="Trifásico"),VLOOKUP(M51,'Iz''s'!$CD$9:$CH$24,4,FALSE),IF(AND(J51="Alumínio",F51="Monofásico"),VLOOKUP(M51,'Iz''s'!$CD$26:$CH$40,2,FALSE),IF(AND(J51="Alumínio",F51="Trifásico"),VLOOKUP(M51,'Iz''s'!$CD$26:$CH$40,4,FALSE)))))</f>
        <v>18.5</v>
      </c>
      <c r="BC51" s="531">
        <f>IF(AND(J51="Cobre",F51="Monofásico"),VLOOKUP(M51,'Iz''s'!$B$8:$E$23,3,FALSE),IF(AND(J51="Cobre",F51="Trifásico"),VLOOKUP(M51,'Iz''s'!$L$8:$O$23,3,FALSE),IF(AND(J51="Alumínio",F51="Monofásico"),VLOOKUP(M51,'Iz''s'!$B$25:$E$39,3,FALSE),IF(AND(J51="Alumínio",F51="Trifásico"),VLOOKUP(M51,'Iz''s'!$L$25:$O$39,3,FALSE)))))</f>
        <v>24</v>
      </c>
      <c r="BD51" s="531">
        <f>IF(AND(J51="Cobre",F51="Monofásico"),VLOOKUP(M51,'Iz''s'!$CD$9:$CH$24,3,FALSE),IF(AND(J51="Cobre",F51="Trifásico"),VLOOKUP(M51,'Iz''s'!$CD$9:$CH$24,5,FALSE),IF(AND(J51="Alumínio",F51="Monofásico"),VLOOKUP(M51,'Iz''s'!$CD$26:$CH$40,3,FALSE),IF(AND(J51="Alumínio",F51="Trifásico"),VLOOKUP(M51,'Iz''s'!$CD$26:$CH$40,5,FALSE)))))</f>
        <v>23</v>
      </c>
      <c r="BE51" s="531">
        <f>IF(AND(J51="Cobre",F51="Monofásico"),VLOOKUP(M51,'Iz''s'!$B$8:$E$23,4,FALSE),IF(AND(J51="Cobre",F51="Trifásico"),VLOOKUP(M51,'Iz''s'!$L$8:$O$23,4,FALSE),IF(AND(J51="Alumínio",F51="Monofásico"),VLOOKUP(M51,'Iz''s'!$B$25:$E$39,4,FALSE),IF(AND(J51="Alumínio",F51="Trifásico"),VLOOKUP(M51,'Iz''s'!$L$25:$O$39,4,FALSE)))))</f>
        <v>27</v>
      </c>
      <c r="BF51" s="531">
        <f>IF(AND(J51="Cobre",F51="Monofásico"),VLOOKUP(M51,'Iz''s'!$CP$9:$CT$24,3,FALSE),IF(AND(J51="Cobre",F51="Trifásico"),VLOOKUP(M51,'Iz''s'!$CP$9:$CT$24,2,FALSE),IF(AND(J51="Alumínio",F51="Monofásico"),VLOOKUP(M51,'Iz''s'!$CP$26:$CT$37,3,FALSE),IF(AND(J51="Alumínio",F51="Trifásico"),VLOOKUP(M51,'Iz''s'!$CP$26:$CT$37,2,FALSE)))))</f>
        <v>42</v>
      </c>
      <c r="BG51" s="531">
        <f>IF(AND(J51="Cobre",F51="Monofásico"),VLOOKUP(M51,'Iz''s'!$AT$10:$BA$28,2,FALSE),IF(AND(J51="Cobre",F51="Trifásico"),VLOOKUP(M51,'Iz''s'!$AT$10:$BA$28,3,FALSE),IF(AND(J51="Alumínio",F51="Monofásico"),VLOOKUP(M51,'Iz''s'!$BC$10:$BJ$27,2,FALSE),IF(AND(J51="Alumínio",F51="Trifásico"),VLOOKUP(M51,'Iz''s'!$BC$10:$BJ$27,3,FALSE)))))</f>
        <v>30</v>
      </c>
      <c r="BH51" s="609" t="str">
        <f>IF(AND(J51="Cobre",F51="Monofásico"),VLOOKUP(M51,'Iz''s'!$AT$10:$BA$28,4,FALSE),IF(AND(J51="Cobre",F51="Trifásico"),VLOOKUP(M51,'Iz''s'!$AT$10:$BA$28,5,FALSE),IF(AND(J51="Alumínio",F51="Monofásico"),VLOOKUP(M51,'Iz''s'!$BC$10:$BJ$27,4,FALSE),IF(AND(J51="Alumínio",F51="Trifásico"),VLOOKUP(M51,'Iz''s'!$BC$10:$BJ$27,5,FALSE)))))</f>
        <v xml:space="preserve"> --- </v>
      </c>
      <c r="BI51" s="609" t="str">
        <f>IF(AND(J51="Cobre",F51="Monofásico"),"N/A",IF(AND(J51="Cobre",F51="Trifásico"),VLOOKUP(M51,'Iz''s'!$AT$10:$BA$28,8,FALSE),IF(AND(J51="Alumínio",F51="Monofásico"),"N/A",IF(AND(J51="Alumínio",F51="Trifásico"),VLOOKUP(M51,'Iz''s'!$BC$10:$BJ$27,8,FALSE)))))</f>
        <v>N/A</v>
      </c>
      <c r="BJ51" s="531">
        <f>IF(AND(J51="Cobre",F51="Monofásico"),VLOOKUP(M51,'Iz''s'!$G$8:$J$23,2,FALSE),IF(AND(J51="Cobre",F51="Trifásico"),VLOOKUP(M51,'Iz''s'!$Q$8:$T$23,2,FALSE),IF(AND(J51="Alumínio",F51="Monofásico"),VLOOKUP(M51,'Iz''s'!$G$25:$J$39,2,FALSE),IF(AND(J51="Alumínio",F51="Trifásico"),VLOOKUP(M51,'Iz''s'!$Q$25:$T$39,2,FALSE)))))</f>
        <v>26</v>
      </c>
      <c r="BK51" s="609">
        <f>IF(AND(J51="Cobre",F51="Monofásico"),VLOOKUP(M51,'Iz''s'!$CJ$9:$CN$24,2,FALSE),IF(AND(J51="Cobre",F51="Trifásico"),VLOOKUP(M51,'Iz''s'!$CJ$9:$CN$24,4,FALSE),IF(AND(J51="Alumínio",F51="Monofásico"),VLOOKUP(M51,'Iz''s'!$CJ$26:$CN$40,2,FALSE),IF(AND(J51="Alumínio",F51="Trifásico"),VLOOKUP(M51,'Iz''s'!$CJ$26:$CN$40,4,FALSE)))))</f>
        <v>25</v>
      </c>
      <c r="BL51" s="609">
        <f>IF(AND(J51="Cobre",F51="Monofásico"),VLOOKUP(M51,'Iz''s'!$G$8:$J$23,3,FALSE),IF(AND(J51="Cobre",F51="Trifásico"),VLOOKUP(M51,'Iz''s'!$Q$8:$T$23,3,FALSE),IF(AND(J51="Alumínio",F51="Monofásico"),VLOOKUP(M51,'Iz''s'!$G$25:$J$39,3,FALSE),IF(AND(J51="Alumínio",F51="Trifásico"),VLOOKUP(M51,'Iz''s'!$Q$25:$T$39,3,FALSE)))))</f>
        <v>31</v>
      </c>
      <c r="BM51" s="609">
        <f>IF(AND(J51="Cobre",F51="Monofásico"),VLOOKUP(M51,'Iz''s'!$CJ$9:$CN$24,3,FALSE),IF(AND(J51="Cobre",F51="Trifásico"),VLOOKUP(M51,'Iz''s'!$CJ$9:$CN$24,5,FALSE),IF(AND(J51="Alumínio",F51="Monofásico"),VLOOKUP(M51,'Iz''s'!$CJ$26:$CN$40,3,FALSE),IF(AND(J51="Alumínio",F51="Trifásico"),VLOOKUP(M51,'Iz''s'!$CJ$26:$CN$40,5,FALSE)))))</f>
        <v>30</v>
      </c>
      <c r="BN51" s="609">
        <f>IF(AND(J51="Cobre",F51="Monofásico"),VLOOKUP(M51,'Iz''s'!$G$8:$J$23,4,FALSE),IF(AND(J51="Cobre",F51="Trifásico"),VLOOKUP(M51,'Iz''s'!$Q$8:$T$23,4,FALSE),IF(AND(J51="Alumínio",F51="Monofásico"),VLOOKUP(M51,'Iz''s'!$G$25:$J$39,4,FALSE),IF(AND(J51="Alumínio",F51="Trifásico"),VLOOKUP(M51,'Iz''s'!$Q$25:$T$39,4,FALSE)))))</f>
        <v>33</v>
      </c>
      <c r="BO51" s="609">
        <f>IF(AND(J51="Cobre",F51="Monofásico"),VLOOKUP(M51,'Iz''s'!$CP$9:$CT$24,5,FALSE),IF(AND(J51="Cobre",F51="Trifásico"),VLOOKUP(M51,'Iz''s'!$CP$9:$CT$24,4,FALSE),IF(AND(J51="Alumínio",F51="Monofásico"),VLOOKUP(M51,'Iz''s'!$CP$26:$CT$37,5,FALSE),IF(AND(J51="Alumínio",F51="Trifásico"),VLOOKUP(M51,'Iz''s'!$CP$26:$CT$37,4,FALSE)))))</f>
        <v>48</v>
      </c>
      <c r="BP51" s="609">
        <f>IF(AND(J51="Cobre",F51="Monofásico"),VLOOKUP(M51,'Iz''s'!$BL$10:$BS$28,2,FALSE),IF(AND(J51="Cobre",F51="Trifásico"),VLOOKUP(M51,'Iz''s'!$BL$10:$BS$28,3,FALSE),IF(AND(J51="Alumínio",F51="Monofásico"),VLOOKUP(M51,'Iz''s'!$BU$10:$CB$27,2,FALSE),IF(AND(J51="Alumínio",F51="Trifásico"),VLOOKUP(M51,'Iz''s'!$BU$10:$CB$27,3,FALSE)))))</f>
        <v>36</v>
      </c>
      <c r="BQ51" s="531" t="str">
        <f>IF(AND(J51="Cobre",F51="Monofásico"),VLOOKUP(M51,'Iz''s'!$BL$10:$BS$28,4,FALSE),IF(AND(J51="Cobre",F51="Trifásico"),VLOOKUP(M51,'Iz''s'!$BL$10:$BS$28,5,FALSE),IF(AND(J51="Alumínio",F51="Monofásico"),VLOOKUP(M51,'Iz''s'!$BU$10:$CB$27,4,FALSE),IF(AND(J51="Alumínio",F51="Trifásico"),VLOOKUP(M51,'Iz''s'!$BU$10:$CB$27,5,FALSE)))))</f>
        <v xml:space="preserve"> --- </v>
      </c>
      <c r="BR51" s="609" t="str">
        <f>IF(AND(J51="Cobre",F51="Monofásico"),"N/A",IF(AND(J51="Cobre",F51="Trifásico"),VLOOKUP(M51,'Iz''s'!$BL$10:$BS$28,8,FALSE),IF(AND(J51="Alumínio",F51="Monofásico"),"N/A",IF(AND(J51="Alumínio",F51="Trifásico"),VLOOKUP(M51,'Iz''s'!$BU$10:$CB$27,8,FALSE)))))</f>
        <v>N/A</v>
      </c>
      <c r="BS51" s="609">
        <f>IF(AND(J51="Cobre",F51="Monofásico"),VLOOKUP(M51,'Iz''s'!$V$14:$Y$28,2,FALSE),IF(AND(J51="Cobre",F51="Trifásico"),VLOOKUP(M51,'Iz''s'!$V$14:$Y$28,3,FALSE),IF(AND(J51="Alumínio",F51="Monofásico"),VLOOKUP(M51,"N/A",4,FALSE),IF(AND(J51="Alumínio",F51="Trifásico"),VLOOKUP(M51,"N/A",4,FALSE)))))</f>
        <v>34</v>
      </c>
      <c r="BT51" s="609">
        <f>IF(AND(J51="Cobre",F51="Monofásico"),VLOOKUP(M51,'Iz''s'!$AF$15:$AK$29,2,FALSE),IF(AND(J51="Cobre",F51="Trifásico"),VLOOKUP(M51,'Iz''s'!$AF$15:$AK$29,3,FALSE),IF(AND(J51="Alumínio",F51="Monofásico"),"N/A",IF(AND(J51="Alumínio",F51="Trifásico"),"N/A"))))</f>
        <v>36</v>
      </c>
      <c r="BU51" s="609">
        <f>IF(AND(J51="Cobre",F51="Monofásico"),VLOOKUP(M51,'Iz''s'!$AF$15:$AK$29,2,FALSE),IF(AND(J51="Cobre",F51="Trifásico"),VLOOKUP(M51,'Iz''s'!$AF$15:$AK$29,3,FALSE),IF(AND(J51="Alumínio",F51="Monofásico"),"N/A",IF(AND(J51="Alumínio",F51="Trifásico"),"N/A"))))</f>
        <v>36</v>
      </c>
      <c r="BV51" s="610" t="str">
        <f>IF(AND(J51="Cobre",F51="Monofásico"),"N/A",IF(AND(J51="Cobre",F51="Trifásico"),VLOOKUP(M51,'Iz''s'!$AF$15:$AK$29,6,FALSE),IF(AND(J51="Alumínio",F51="Monofásico"),"N/A",IF(AND(J51="Alumínio",F51="Trifásico"),"N/A"))))</f>
        <v>N/A</v>
      </c>
      <c r="BW51" s="611">
        <v>49</v>
      </c>
      <c r="BX51" s="583"/>
      <c r="BY51" s="612">
        <f>VLOOKUP(M51,Consulta!$W$6:$AB$23,4,FALSE)</f>
        <v>16</v>
      </c>
      <c r="BZ51" s="612">
        <f>VLOOKUP(M51,Consulta!$W$6:$AB$23,6,FALSE)</f>
        <v>20</v>
      </c>
      <c r="CA51" s="612">
        <f>VLOOKUP(M51,Consulta!$AK$6:$AP$23,4,FALSE)</f>
        <v>20</v>
      </c>
      <c r="CB51" s="612">
        <f>VLOOKUP(M51,Consulta!$AK$6:$AP$23,6,FALSE)</f>
        <v>25</v>
      </c>
      <c r="CC51" s="585" t="e">
        <f>VLOOKUP(M51,Consulta!$AD$6:$AI$19,4,FALSE)</f>
        <v>#N/A</v>
      </c>
      <c r="CD51" s="585" t="e">
        <f>VLOOKUP(M51,Consulta!$AD$6:$AI$19,6,FALSE)</f>
        <v>#N/A</v>
      </c>
      <c r="CE51" s="585" t="e">
        <f>VLOOKUP(M51,Consulta!$AR$6:$AW$19,4,FALSE)</f>
        <v>#N/A</v>
      </c>
      <c r="CF51" s="586" t="e">
        <f>VLOOKUP(M51,Consulta!$AR$6:$AW$19,6,FALSE)</f>
        <v>#N/A</v>
      </c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</row>
    <row r="52" spans="1:212" s="560" customFormat="1" ht="16.5" customHeight="1" x14ac:dyDescent="0.2">
      <c r="A52" s="559"/>
      <c r="B52" s="1117"/>
      <c r="C52" s="819" t="s">
        <v>794</v>
      </c>
      <c r="D52" s="684">
        <v>3.6</v>
      </c>
      <c r="E52" s="684">
        <v>10.78</v>
      </c>
      <c r="F52" s="684" t="s">
        <v>244</v>
      </c>
      <c r="G52" s="684" t="s">
        <v>808</v>
      </c>
      <c r="H52" s="684">
        <v>1</v>
      </c>
      <c r="I52" s="760" t="s">
        <v>13</v>
      </c>
      <c r="J52" s="684" t="s">
        <v>242</v>
      </c>
      <c r="K52" s="684" t="s">
        <v>363</v>
      </c>
      <c r="L52" s="684">
        <v>1</v>
      </c>
      <c r="M52" s="685">
        <v>2.5</v>
      </c>
      <c r="N52" s="684" t="s">
        <v>453</v>
      </c>
      <c r="O52" s="684">
        <v>4</v>
      </c>
      <c r="P52" s="555">
        <f t="shared" si="62"/>
        <v>23</v>
      </c>
      <c r="Q52" s="684">
        <v>3</v>
      </c>
      <c r="R52" s="684">
        <v>0.8</v>
      </c>
      <c r="S52" s="555">
        <f t="shared" si="55"/>
        <v>15.652173913043478</v>
      </c>
      <c r="T52" s="696">
        <f t="shared" ref="T52:T59" si="75">P52*R52</f>
        <v>18.400000000000002</v>
      </c>
      <c r="U52" s="684" t="s">
        <v>499</v>
      </c>
      <c r="V52" s="555">
        <v>16</v>
      </c>
      <c r="W52" s="684">
        <f>IF(U52="C.C.Fusíveis",VLOOKUP(V52,Consulta!$L$5:$N$31,3,FALSE),VLOOKUP(V52,Consulta!$P$5:$R$34,3,FALSE))</f>
        <v>21.6</v>
      </c>
      <c r="X52" s="698">
        <f t="shared" si="10"/>
        <v>34</v>
      </c>
      <c r="Y52" s="761">
        <f t="shared" si="51"/>
        <v>0.85066162570888459</v>
      </c>
      <c r="Z52" s="689" t="str">
        <f t="shared" si="11"/>
        <v>Sim</v>
      </c>
      <c r="AA52" s="762">
        <f>$AA$8+SQRT($AB$8^2+$AC$8^2)</f>
        <v>9.4596077075354223E-2</v>
      </c>
      <c r="AB52" s="762">
        <f t="shared" si="12"/>
        <v>0.12127499999999997</v>
      </c>
      <c r="AC52" s="762">
        <f t="shared" si="6"/>
        <v>0</v>
      </c>
      <c r="AD52" s="686">
        <f t="shared" si="72"/>
        <v>2.8079149244625139</v>
      </c>
      <c r="AE52" s="686">
        <f t="shared" si="17"/>
        <v>3.7964347826086948</v>
      </c>
      <c r="AF52" s="686">
        <f t="shared" si="18"/>
        <v>6.6043497070712087</v>
      </c>
      <c r="AG52" s="687">
        <f t="shared" si="34"/>
        <v>1.6506238185255196E-2</v>
      </c>
      <c r="AH52" s="763">
        <f t="shared" si="34"/>
        <v>2.8714563943787862E-2</v>
      </c>
      <c r="AI52" s="686">
        <f t="shared" si="7"/>
        <v>1.0654507454915503</v>
      </c>
      <c r="AJ52" s="684">
        <v>3</v>
      </c>
      <c r="AK52" s="686">
        <v>0.1</v>
      </c>
      <c r="AL52" s="698">
        <f t="shared" si="70"/>
        <v>115</v>
      </c>
      <c r="AM52" s="686">
        <f t="shared" si="73"/>
        <v>2.9297835569371089</v>
      </c>
      <c r="AN52" s="689">
        <f t="shared" si="52"/>
        <v>1</v>
      </c>
      <c r="AO52" s="688" t="s">
        <v>563</v>
      </c>
      <c r="AP52" s="689" t="s">
        <v>523</v>
      </c>
      <c r="AQ52" s="689" t="str">
        <f t="shared" si="53"/>
        <v>3G</v>
      </c>
      <c r="AR52" s="689">
        <f t="shared" si="74"/>
        <v>2.5</v>
      </c>
      <c r="AS52" s="897" t="str">
        <f t="shared" si="8"/>
        <v/>
      </c>
      <c r="AT52" s="897" t="str">
        <f>IF(OR(AQ52="3G",AQ52="5G"),"",VLOOKUP(AR52,Consulta!$T$5:$U$25,2,FALSE))</f>
        <v/>
      </c>
      <c r="AU52" s="898" t="s">
        <v>565</v>
      </c>
      <c r="AV52" s="689" t="s">
        <v>23</v>
      </c>
      <c r="AW52" s="689" t="s">
        <v>564</v>
      </c>
      <c r="AX52" s="689">
        <f t="shared" si="30"/>
        <v>20</v>
      </c>
      <c r="AY52" s="690" t="s">
        <v>24</v>
      </c>
      <c r="AZ52" s="564"/>
      <c r="BA52" s="584">
        <f>IF(AND(J52="Cobre",F52="Monofásico"),VLOOKUP(M52,'Iz''s'!$B$8:$E$23,2,FALSE),IF(AND(J52="Cobre",F52="Trifásico"),VLOOKUP(M52,'Iz''s'!$L$8:$O$23,2,FALSE),IF(AND(J52="Alumínio",F52="Monofásico"),VLOOKUP(M52,'Iz''s'!$B$25:$E$39,2,FALSE),IF(AND(J52="Alumínio",F52="Trifásico"),VLOOKUP(M52,'Iz''s'!$L$25:$O$39,2,FALSE)))))</f>
        <v>19.5</v>
      </c>
      <c r="BB52" s="531">
        <f>IF(AND(J52="Cobre",F52="Monofásico"),VLOOKUP(M52,'Iz''s'!$CD$9:$CH$24,2,FALSE),IF(AND(J52="Cobre",F52="Trifásico"),VLOOKUP(M52,'Iz''s'!$CD$9:$CH$24,4,FALSE),IF(AND(J52="Alumínio",F52="Monofásico"),VLOOKUP(M52,'Iz''s'!$CD$26:$CH$40,2,FALSE),IF(AND(J52="Alumínio",F52="Trifásico"),VLOOKUP(M52,'Iz''s'!$CD$26:$CH$40,4,FALSE)))))</f>
        <v>18.5</v>
      </c>
      <c r="BC52" s="531">
        <f>IF(AND(J52="Cobre",F52="Monofásico"),VLOOKUP(M52,'Iz''s'!$B$8:$E$23,3,FALSE),IF(AND(J52="Cobre",F52="Trifásico"),VLOOKUP(M52,'Iz''s'!$L$8:$O$23,3,FALSE),IF(AND(J52="Alumínio",F52="Monofásico"),VLOOKUP(M52,'Iz''s'!$B$25:$E$39,3,FALSE),IF(AND(J52="Alumínio",F52="Trifásico"),VLOOKUP(M52,'Iz''s'!$L$25:$O$39,3,FALSE)))))</f>
        <v>24</v>
      </c>
      <c r="BD52" s="531">
        <f>IF(AND(J52="Cobre",F52="Monofásico"),VLOOKUP(M52,'Iz''s'!$CD$9:$CH$24,3,FALSE),IF(AND(J52="Cobre",F52="Trifásico"),VLOOKUP(M52,'Iz''s'!$CD$9:$CH$24,5,FALSE),IF(AND(J52="Alumínio",F52="Monofásico"),VLOOKUP(M52,'Iz''s'!$CD$26:$CH$40,3,FALSE),IF(AND(J52="Alumínio",F52="Trifásico"),VLOOKUP(M52,'Iz''s'!$CD$26:$CH$40,5,FALSE)))))</f>
        <v>23</v>
      </c>
      <c r="BE52" s="531">
        <f>IF(AND(J52="Cobre",F52="Monofásico"),VLOOKUP(M52,'Iz''s'!$B$8:$E$23,4,FALSE),IF(AND(J52="Cobre",F52="Trifásico"),VLOOKUP(M52,'Iz''s'!$L$8:$O$23,4,FALSE),IF(AND(J52="Alumínio",F52="Monofásico"),VLOOKUP(M52,'Iz''s'!$B$25:$E$39,4,FALSE),IF(AND(J52="Alumínio",F52="Trifásico"),VLOOKUP(M52,'Iz''s'!$L$25:$O$39,4,FALSE)))))</f>
        <v>27</v>
      </c>
      <c r="BF52" s="531">
        <f>IF(AND(J52="Cobre",F52="Monofásico"),VLOOKUP(M52,'Iz''s'!$CP$9:$CT$24,3,FALSE),IF(AND(J52="Cobre",F52="Trifásico"),VLOOKUP(M52,'Iz''s'!$CP$9:$CT$24,2,FALSE),IF(AND(J52="Alumínio",F52="Monofásico"),VLOOKUP(M52,'Iz''s'!$CP$26:$CT$37,3,FALSE),IF(AND(J52="Alumínio",F52="Trifásico"),VLOOKUP(M52,'Iz''s'!$CP$26:$CT$37,2,FALSE)))))</f>
        <v>42</v>
      </c>
      <c r="BG52" s="531">
        <f>IF(AND(J52="Cobre",F52="Monofásico"),VLOOKUP(M52,'Iz''s'!$AT$10:$BA$28,2,FALSE),IF(AND(J52="Cobre",F52="Trifásico"),VLOOKUP(M52,'Iz''s'!$AT$10:$BA$28,3,FALSE),IF(AND(J52="Alumínio",F52="Monofásico"),VLOOKUP(M52,'Iz''s'!$BC$10:$BJ$27,2,FALSE),IF(AND(J52="Alumínio",F52="Trifásico"),VLOOKUP(M52,'Iz''s'!$BC$10:$BJ$27,3,FALSE)))))</f>
        <v>30</v>
      </c>
      <c r="BH52" s="609" t="str">
        <f>IF(AND(J52="Cobre",F52="Monofásico"),VLOOKUP(M52,'Iz''s'!$AT$10:$BA$28,4,FALSE),IF(AND(J52="Cobre",F52="Trifásico"),VLOOKUP(M52,'Iz''s'!$AT$10:$BA$28,5,FALSE),IF(AND(J52="Alumínio",F52="Monofásico"),VLOOKUP(M52,'Iz''s'!$BC$10:$BJ$27,4,FALSE),IF(AND(J52="Alumínio",F52="Trifásico"),VLOOKUP(M52,'Iz''s'!$BC$10:$BJ$27,5,FALSE)))))</f>
        <v xml:space="preserve"> --- </v>
      </c>
      <c r="BI52" s="609" t="str">
        <f>IF(AND(J52="Cobre",F52="Monofásico"),"N/A",IF(AND(J52="Cobre",F52="Trifásico"),VLOOKUP(M52,'Iz''s'!$AT$10:$BA$28,8,FALSE),IF(AND(J52="Alumínio",F52="Monofásico"),"N/A",IF(AND(J52="Alumínio",F52="Trifásico"),VLOOKUP(M52,'Iz''s'!$BC$10:$BJ$27,8,FALSE)))))</f>
        <v>N/A</v>
      </c>
      <c r="BJ52" s="531">
        <f>IF(AND(J52="Cobre",F52="Monofásico"),VLOOKUP(M52,'Iz''s'!$G$8:$J$23,2,FALSE),IF(AND(J52="Cobre",F52="Trifásico"),VLOOKUP(M52,'Iz''s'!$Q$8:$T$23,2,FALSE),IF(AND(J52="Alumínio",F52="Monofásico"),VLOOKUP(M52,'Iz''s'!$G$25:$J$39,2,FALSE),IF(AND(J52="Alumínio",F52="Trifásico"),VLOOKUP(M52,'Iz''s'!$Q$25:$T$39,2,FALSE)))))</f>
        <v>26</v>
      </c>
      <c r="BK52" s="609">
        <f>IF(AND(J52="Cobre",F52="Monofásico"),VLOOKUP(M52,'Iz''s'!$CJ$9:$CN$24,2,FALSE),IF(AND(J52="Cobre",F52="Trifásico"),VLOOKUP(M52,'Iz''s'!$CJ$9:$CN$24,4,FALSE),IF(AND(J52="Alumínio",F52="Monofásico"),VLOOKUP(M52,'Iz''s'!$CJ$26:$CN$40,2,FALSE),IF(AND(J52="Alumínio",F52="Trifásico"),VLOOKUP(M52,'Iz''s'!$CJ$26:$CN$40,4,FALSE)))))</f>
        <v>25</v>
      </c>
      <c r="BL52" s="609">
        <f>IF(AND(J52="Cobre",F52="Monofásico"),VLOOKUP(M52,'Iz''s'!$G$8:$J$23,3,FALSE),IF(AND(J52="Cobre",F52="Trifásico"),VLOOKUP(M52,'Iz''s'!$Q$8:$T$23,3,FALSE),IF(AND(J52="Alumínio",F52="Monofásico"),VLOOKUP(M52,'Iz''s'!$G$25:$J$39,3,FALSE),IF(AND(J52="Alumínio",F52="Trifásico"),VLOOKUP(M52,'Iz''s'!$Q$25:$T$39,3,FALSE)))))</f>
        <v>31</v>
      </c>
      <c r="BM52" s="609">
        <f>IF(AND(J52="Cobre",F52="Monofásico"),VLOOKUP(M52,'Iz''s'!$CJ$9:$CN$24,3,FALSE),IF(AND(J52="Cobre",F52="Trifásico"),VLOOKUP(M52,'Iz''s'!$CJ$9:$CN$24,5,FALSE),IF(AND(J52="Alumínio",F52="Monofásico"),VLOOKUP(M52,'Iz''s'!$CJ$26:$CN$40,3,FALSE),IF(AND(J52="Alumínio",F52="Trifásico"),VLOOKUP(M52,'Iz''s'!$CJ$26:$CN$40,5,FALSE)))))</f>
        <v>30</v>
      </c>
      <c r="BN52" s="609">
        <f>IF(AND(J52="Cobre",F52="Monofásico"),VLOOKUP(M52,'Iz''s'!$G$8:$J$23,4,FALSE),IF(AND(J52="Cobre",F52="Trifásico"),VLOOKUP(M52,'Iz''s'!$Q$8:$T$23,4,FALSE),IF(AND(J52="Alumínio",F52="Monofásico"),VLOOKUP(M52,'Iz''s'!$G$25:$J$39,4,FALSE),IF(AND(J52="Alumínio",F52="Trifásico"),VLOOKUP(M52,'Iz''s'!$Q$25:$T$39,4,FALSE)))))</f>
        <v>33</v>
      </c>
      <c r="BO52" s="609">
        <f>IF(AND(J52="Cobre",F52="Monofásico"),VLOOKUP(M52,'Iz''s'!$CP$9:$CT$24,5,FALSE),IF(AND(J52="Cobre",F52="Trifásico"),VLOOKUP(M52,'Iz''s'!$CP$9:$CT$24,4,FALSE),IF(AND(J52="Alumínio",F52="Monofásico"),VLOOKUP(M52,'Iz''s'!$CP$26:$CT$37,5,FALSE),IF(AND(J52="Alumínio",F52="Trifásico"),VLOOKUP(M52,'Iz''s'!$CP$26:$CT$37,4,FALSE)))))</f>
        <v>48</v>
      </c>
      <c r="BP52" s="609">
        <f>IF(AND(J52="Cobre",F52="Monofásico"),VLOOKUP(M52,'Iz''s'!$BL$10:$BS$28,2,FALSE),IF(AND(J52="Cobre",F52="Trifásico"),VLOOKUP(M52,'Iz''s'!$BL$10:$BS$28,3,FALSE),IF(AND(J52="Alumínio",F52="Monofásico"),VLOOKUP(M52,'Iz''s'!$BU$10:$CB$27,2,FALSE),IF(AND(J52="Alumínio",F52="Trifásico"),VLOOKUP(M52,'Iz''s'!$BU$10:$CB$27,3,FALSE)))))</f>
        <v>36</v>
      </c>
      <c r="BQ52" s="531" t="str">
        <f>IF(AND(J52="Cobre",F52="Monofásico"),VLOOKUP(M52,'Iz''s'!$BL$10:$BS$28,4,FALSE),IF(AND(J52="Cobre",F52="Trifásico"),VLOOKUP(M52,'Iz''s'!$BL$10:$BS$28,5,FALSE),IF(AND(J52="Alumínio",F52="Monofásico"),VLOOKUP(M52,'Iz''s'!$BU$10:$CB$27,4,FALSE),IF(AND(J52="Alumínio",F52="Trifásico"),VLOOKUP(M52,'Iz''s'!$BU$10:$CB$27,5,FALSE)))))</f>
        <v xml:space="preserve"> --- </v>
      </c>
      <c r="BR52" s="609" t="str">
        <f>IF(AND(J52="Cobre",F52="Monofásico"),"N/A",IF(AND(J52="Cobre",F52="Trifásico"),VLOOKUP(M52,'Iz''s'!$BL$10:$BS$28,8,FALSE),IF(AND(J52="Alumínio",F52="Monofásico"),"N/A",IF(AND(J52="Alumínio",F52="Trifásico"),VLOOKUP(M52,'Iz''s'!$BU$10:$CB$27,8,FALSE)))))</f>
        <v>N/A</v>
      </c>
      <c r="BS52" s="609">
        <f>IF(AND(J52="Cobre",F52="Monofásico"),VLOOKUP(M52,'Iz''s'!$V$14:$Y$28,2,FALSE),IF(AND(J52="Cobre",F52="Trifásico"),VLOOKUP(M52,'Iz''s'!$V$14:$Y$28,3,FALSE),IF(AND(J52="Alumínio",F52="Monofásico"),VLOOKUP(M52,"N/A",4,FALSE),IF(AND(J52="Alumínio",F52="Trifásico"),VLOOKUP(M52,"N/A",4,FALSE)))))</f>
        <v>34</v>
      </c>
      <c r="BT52" s="609">
        <f>IF(AND(J52="Cobre",F52="Monofásico"),VLOOKUP(M52,'Iz''s'!$AF$15:$AK$29,2,FALSE),IF(AND(J52="Cobre",F52="Trifásico"),VLOOKUP(M52,'Iz''s'!$AF$15:$AK$29,3,FALSE),IF(AND(J52="Alumínio",F52="Monofásico"),"N/A",IF(AND(J52="Alumínio",F52="Trifásico"),"N/A"))))</f>
        <v>36</v>
      </c>
      <c r="BU52" s="609">
        <f>IF(AND(J52="Cobre",F52="Monofásico"),VLOOKUP(M52,'Iz''s'!$AF$15:$AK$29,2,FALSE),IF(AND(J52="Cobre",F52="Trifásico"),VLOOKUP(M52,'Iz''s'!$AF$15:$AK$29,3,FALSE),IF(AND(J52="Alumínio",F52="Monofásico"),"N/A",IF(AND(J52="Alumínio",F52="Trifásico"),"N/A"))))</f>
        <v>36</v>
      </c>
      <c r="BV52" s="610" t="str">
        <f>IF(AND(J52="Cobre",F52="Monofásico"),"N/A",IF(AND(J52="Cobre",F52="Trifásico"),VLOOKUP(M52,'Iz''s'!$AF$15:$AK$29,6,FALSE),IF(AND(J52="Alumínio",F52="Monofásico"),"N/A",IF(AND(J52="Alumínio",F52="Trifásico"),"N/A"))))</f>
        <v>N/A</v>
      </c>
      <c r="BW52" s="611">
        <v>50</v>
      </c>
      <c r="BX52" s="583"/>
      <c r="BY52" s="612">
        <f>VLOOKUP(M52,Consulta!$W$6:$AB$23,4,FALSE)</f>
        <v>16</v>
      </c>
      <c r="BZ52" s="612">
        <f>VLOOKUP(M52,Consulta!$W$6:$AB$23,6,FALSE)</f>
        <v>20</v>
      </c>
      <c r="CA52" s="612">
        <f>VLOOKUP(M52,Consulta!$AK$6:$AP$23,4,FALSE)</f>
        <v>20</v>
      </c>
      <c r="CB52" s="612">
        <f>VLOOKUP(M52,Consulta!$AK$6:$AP$23,6,FALSE)</f>
        <v>25</v>
      </c>
      <c r="CC52" s="585" t="e">
        <f>VLOOKUP(M52,Consulta!$AD$6:$AI$19,4,FALSE)</f>
        <v>#N/A</v>
      </c>
      <c r="CD52" s="585" t="e">
        <f>VLOOKUP(M52,Consulta!$AD$6:$AI$19,6,FALSE)</f>
        <v>#N/A</v>
      </c>
      <c r="CE52" s="585" t="e">
        <f>VLOOKUP(M52,Consulta!$AR$6:$AW$19,4,FALSE)</f>
        <v>#N/A</v>
      </c>
      <c r="CF52" s="586" t="e">
        <f>VLOOKUP(M52,Consulta!$AR$6:$AW$19,6,FALSE)</f>
        <v>#N/A</v>
      </c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</row>
    <row r="53" spans="1:212" s="560" customFormat="1" ht="16.5" customHeight="1" x14ac:dyDescent="0.2">
      <c r="A53" s="559"/>
      <c r="B53" s="1117"/>
      <c r="C53" s="819" t="s">
        <v>791</v>
      </c>
      <c r="D53" s="684">
        <v>3.6</v>
      </c>
      <c r="E53" s="684">
        <v>11.1</v>
      </c>
      <c r="F53" s="684" t="s">
        <v>244</v>
      </c>
      <c r="G53" s="684" t="s">
        <v>808</v>
      </c>
      <c r="H53" s="684">
        <v>1</v>
      </c>
      <c r="I53" s="760" t="s">
        <v>13</v>
      </c>
      <c r="J53" s="684" t="s">
        <v>242</v>
      </c>
      <c r="K53" s="684" t="s">
        <v>363</v>
      </c>
      <c r="L53" s="684">
        <v>1</v>
      </c>
      <c r="M53" s="685">
        <v>2.5</v>
      </c>
      <c r="N53" s="684" t="s">
        <v>453</v>
      </c>
      <c r="O53" s="684">
        <v>4</v>
      </c>
      <c r="P53" s="555">
        <f t="shared" si="62"/>
        <v>23</v>
      </c>
      <c r="Q53" s="684">
        <v>3</v>
      </c>
      <c r="R53" s="684">
        <v>0.8</v>
      </c>
      <c r="S53" s="555">
        <f t="shared" si="55"/>
        <v>15.652173913043478</v>
      </c>
      <c r="T53" s="696">
        <f t="shared" si="75"/>
        <v>18.400000000000002</v>
      </c>
      <c r="U53" s="684" t="s">
        <v>499</v>
      </c>
      <c r="V53" s="555">
        <v>16</v>
      </c>
      <c r="W53" s="684">
        <f>IF(U53="C.C.Fusíveis",VLOOKUP(V53,Consulta!$L$5:$N$31,3,FALSE),VLOOKUP(V53,Consulta!$P$5:$R$34,3,FALSE))</f>
        <v>21.6</v>
      </c>
      <c r="X53" s="698">
        <f t="shared" si="10"/>
        <v>34</v>
      </c>
      <c r="Y53" s="761">
        <f t="shared" si="51"/>
        <v>0.85066162570888459</v>
      </c>
      <c r="Z53" s="689" t="str">
        <f t="shared" si="11"/>
        <v>Sim</v>
      </c>
      <c r="AA53" s="762">
        <f t="shared" si="71"/>
        <v>9.4596077075354223E-2</v>
      </c>
      <c r="AB53" s="762">
        <f t="shared" si="12"/>
        <v>0.12487499999999997</v>
      </c>
      <c r="AC53" s="762">
        <f t="shared" si="6"/>
        <v>0</v>
      </c>
      <c r="AD53" s="686">
        <f t="shared" si="72"/>
        <v>2.8079149244625139</v>
      </c>
      <c r="AE53" s="686">
        <f t="shared" si="17"/>
        <v>3.9091304347826079</v>
      </c>
      <c r="AF53" s="686">
        <f t="shared" si="18"/>
        <v>6.7170453592451214</v>
      </c>
      <c r="AG53" s="687">
        <f t="shared" si="34"/>
        <v>1.6996219281663512E-2</v>
      </c>
      <c r="AH53" s="763">
        <f t="shared" si="34"/>
        <v>2.9204545040196178E-2</v>
      </c>
      <c r="AI53" s="686">
        <f t="shared" si="7"/>
        <v>1.0479740796142847</v>
      </c>
      <c r="AJ53" s="684">
        <v>3</v>
      </c>
      <c r="AK53" s="686">
        <v>0.1</v>
      </c>
      <c r="AL53" s="698">
        <f t="shared" si="70"/>
        <v>115</v>
      </c>
      <c r="AM53" s="686">
        <f t="shared" si="73"/>
        <v>2.8817261046954528</v>
      </c>
      <c r="AN53" s="689">
        <f t="shared" si="52"/>
        <v>1</v>
      </c>
      <c r="AO53" s="688" t="s">
        <v>563</v>
      </c>
      <c r="AP53" s="689" t="s">
        <v>523</v>
      </c>
      <c r="AQ53" s="689" t="str">
        <f t="shared" si="53"/>
        <v>3G</v>
      </c>
      <c r="AR53" s="689">
        <f t="shared" si="74"/>
        <v>2.5</v>
      </c>
      <c r="AS53" s="897" t="str">
        <f t="shared" si="8"/>
        <v/>
      </c>
      <c r="AT53" s="897" t="str">
        <f>IF(OR(AQ53="3G",AQ53="5G"),"",VLOOKUP(AR53,Consulta!$T$5:$U$25,2,FALSE))</f>
        <v/>
      </c>
      <c r="AU53" s="898" t="s">
        <v>565</v>
      </c>
      <c r="AV53" s="689" t="s">
        <v>23</v>
      </c>
      <c r="AW53" s="689" t="s">
        <v>564</v>
      </c>
      <c r="AX53" s="689">
        <f t="shared" si="30"/>
        <v>20</v>
      </c>
      <c r="AY53" s="690" t="s">
        <v>24</v>
      </c>
      <c r="AZ53" s="564"/>
      <c r="BA53" s="584">
        <f>IF(AND(J53="Cobre",F53="Monofásico"),VLOOKUP(M53,'Iz''s'!$B$8:$E$23,2,FALSE),IF(AND(J53="Cobre",F53="Trifásico"),VLOOKUP(M53,'Iz''s'!$L$8:$O$23,2,FALSE),IF(AND(J53="Alumínio",F53="Monofásico"),VLOOKUP(M53,'Iz''s'!$B$25:$E$39,2,FALSE),IF(AND(J53="Alumínio",F53="Trifásico"),VLOOKUP(M53,'Iz''s'!$L$25:$O$39,2,FALSE)))))</f>
        <v>19.5</v>
      </c>
      <c r="BB53" s="531">
        <f>IF(AND(J53="Cobre",F53="Monofásico"),VLOOKUP(M53,'Iz''s'!$CD$9:$CH$24,2,FALSE),IF(AND(J53="Cobre",F53="Trifásico"),VLOOKUP(M53,'Iz''s'!$CD$9:$CH$24,4,FALSE),IF(AND(J53="Alumínio",F53="Monofásico"),VLOOKUP(M53,'Iz''s'!$CD$26:$CH$40,2,FALSE),IF(AND(J53="Alumínio",F53="Trifásico"),VLOOKUP(M53,'Iz''s'!$CD$26:$CH$40,4,FALSE)))))</f>
        <v>18.5</v>
      </c>
      <c r="BC53" s="531">
        <f>IF(AND(J53="Cobre",F53="Monofásico"),VLOOKUP(M53,'Iz''s'!$B$8:$E$23,3,FALSE),IF(AND(J53="Cobre",F53="Trifásico"),VLOOKUP(M53,'Iz''s'!$L$8:$O$23,3,FALSE),IF(AND(J53="Alumínio",F53="Monofásico"),VLOOKUP(M53,'Iz''s'!$B$25:$E$39,3,FALSE),IF(AND(J53="Alumínio",F53="Trifásico"),VLOOKUP(M53,'Iz''s'!$L$25:$O$39,3,FALSE)))))</f>
        <v>24</v>
      </c>
      <c r="BD53" s="531">
        <f>IF(AND(J53="Cobre",F53="Monofásico"),VLOOKUP(M53,'Iz''s'!$CD$9:$CH$24,3,FALSE),IF(AND(J53="Cobre",F53="Trifásico"),VLOOKUP(M53,'Iz''s'!$CD$9:$CH$24,5,FALSE),IF(AND(J53="Alumínio",F53="Monofásico"),VLOOKUP(M53,'Iz''s'!$CD$26:$CH$40,3,FALSE),IF(AND(J53="Alumínio",F53="Trifásico"),VLOOKUP(M53,'Iz''s'!$CD$26:$CH$40,5,FALSE)))))</f>
        <v>23</v>
      </c>
      <c r="BE53" s="531">
        <f>IF(AND(J53="Cobre",F53="Monofásico"),VLOOKUP(M53,'Iz''s'!$B$8:$E$23,4,FALSE),IF(AND(J53="Cobre",F53="Trifásico"),VLOOKUP(M53,'Iz''s'!$L$8:$O$23,4,FALSE),IF(AND(J53="Alumínio",F53="Monofásico"),VLOOKUP(M53,'Iz''s'!$B$25:$E$39,4,FALSE),IF(AND(J53="Alumínio",F53="Trifásico"),VLOOKUP(M53,'Iz''s'!$L$25:$O$39,4,FALSE)))))</f>
        <v>27</v>
      </c>
      <c r="BF53" s="531">
        <f>IF(AND(J53="Cobre",F53="Monofásico"),VLOOKUP(M53,'Iz''s'!$CP$9:$CT$24,3,FALSE),IF(AND(J53="Cobre",F53="Trifásico"),VLOOKUP(M53,'Iz''s'!$CP$9:$CT$24,2,FALSE),IF(AND(J53="Alumínio",F53="Monofásico"),VLOOKUP(M53,'Iz''s'!$CP$26:$CT$37,3,FALSE),IF(AND(J53="Alumínio",F53="Trifásico"),VLOOKUP(M53,'Iz''s'!$CP$26:$CT$37,2,FALSE)))))</f>
        <v>42</v>
      </c>
      <c r="BG53" s="531">
        <f>IF(AND(J53="Cobre",F53="Monofásico"),VLOOKUP(M53,'Iz''s'!$AT$10:$BA$28,2,FALSE),IF(AND(J53="Cobre",F53="Trifásico"),VLOOKUP(M53,'Iz''s'!$AT$10:$BA$28,3,FALSE),IF(AND(J53="Alumínio",F53="Monofásico"),VLOOKUP(M53,'Iz''s'!$BC$10:$BJ$27,2,FALSE),IF(AND(J53="Alumínio",F53="Trifásico"),VLOOKUP(M53,'Iz''s'!$BC$10:$BJ$27,3,FALSE)))))</f>
        <v>30</v>
      </c>
      <c r="BH53" s="609" t="str">
        <f>IF(AND(J53="Cobre",F53="Monofásico"),VLOOKUP(M53,'Iz''s'!$AT$10:$BA$28,4,FALSE),IF(AND(J53="Cobre",F53="Trifásico"),VLOOKUP(M53,'Iz''s'!$AT$10:$BA$28,5,FALSE),IF(AND(J53="Alumínio",F53="Monofásico"),VLOOKUP(M53,'Iz''s'!$BC$10:$BJ$27,4,FALSE),IF(AND(J53="Alumínio",F53="Trifásico"),VLOOKUP(M53,'Iz''s'!$BC$10:$BJ$27,5,FALSE)))))</f>
        <v xml:space="preserve"> --- </v>
      </c>
      <c r="BI53" s="609" t="str">
        <f>IF(AND(J53="Cobre",F53="Monofásico"),"N/A",IF(AND(J53="Cobre",F53="Trifásico"),VLOOKUP(M53,'Iz''s'!$AT$10:$BA$28,8,FALSE),IF(AND(J53="Alumínio",F53="Monofásico"),"N/A",IF(AND(J53="Alumínio",F53="Trifásico"),VLOOKUP(M53,'Iz''s'!$BC$10:$BJ$27,8,FALSE)))))</f>
        <v>N/A</v>
      </c>
      <c r="BJ53" s="531">
        <f>IF(AND(J53="Cobre",F53="Monofásico"),VLOOKUP(M53,'Iz''s'!$G$8:$J$23,2,FALSE),IF(AND(J53="Cobre",F53="Trifásico"),VLOOKUP(M53,'Iz''s'!$Q$8:$T$23,2,FALSE),IF(AND(J53="Alumínio",F53="Monofásico"),VLOOKUP(M53,'Iz''s'!$G$25:$J$39,2,FALSE),IF(AND(J53="Alumínio",F53="Trifásico"),VLOOKUP(M53,'Iz''s'!$Q$25:$T$39,2,FALSE)))))</f>
        <v>26</v>
      </c>
      <c r="BK53" s="609">
        <f>IF(AND(J53="Cobre",F53="Monofásico"),VLOOKUP(M53,'Iz''s'!$CJ$9:$CN$24,2,FALSE),IF(AND(J53="Cobre",F53="Trifásico"),VLOOKUP(M53,'Iz''s'!$CJ$9:$CN$24,4,FALSE),IF(AND(J53="Alumínio",F53="Monofásico"),VLOOKUP(M53,'Iz''s'!$CJ$26:$CN$40,2,FALSE),IF(AND(J53="Alumínio",F53="Trifásico"),VLOOKUP(M53,'Iz''s'!$CJ$26:$CN$40,4,FALSE)))))</f>
        <v>25</v>
      </c>
      <c r="BL53" s="609">
        <f>IF(AND(J53="Cobre",F53="Monofásico"),VLOOKUP(M53,'Iz''s'!$G$8:$J$23,3,FALSE),IF(AND(J53="Cobre",F53="Trifásico"),VLOOKUP(M53,'Iz''s'!$Q$8:$T$23,3,FALSE),IF(AND(J53="Alumínio",F53="Monofásico"),VLOOKUP(M53,'Iz''s'!$G$25:$J$39,3,FALSE),IF(AND(J53="Alumínio",F53="Trifásico"),VLOOKUP(M53,'Iz''s'!$Q$25:$T$39,3,FALSE)))))</f>
        <v>31</v>
      </c>
      <c r="BM53" s="609">
        <f>IF(AND(J53="Cobre",F53="Monofásico"),VLOOKUP(M53,'Iz''s'!$CJ$9:$CN$24,3,FALSE),IF(AND(J53="Cobre",F53="Trifásico"),VLOOKUP(M53,'Iz''s'!$CJ$9:$CN$24,5,FALSE),IF(AND(J53="Alumínio",F53="Monofásico"),VLOOKUP(M53,'Iz''s'!$CJ$26:$CN$40,3,FALSE),IF(AND(J53="Alumínio",F53="Trifásico"),VLOOKUP(M53,'Iz''s'!$CJ$26:$CN$40,5,FALSE)))))</f>
        <v>30</v>
      </c>
      <c r="BN53" s="609">
        <f>IF(AND(J53="Cobre",F53="Monofásico"),VLOOKUP(M53,'Iz''s'!$G$8:$J$23,4,FALSE),IF(AND(J53="Cobre",F53="Trifásico"),VLOOKUP(M53,'Iz''s'!$Q$8:$T$23,4,FALSE),IF(AND(J53="Alumínio",F53="Monofásico"),VLOOKUP(M53,'Iz''s'!$G$25:$J$39,4,FALSE),IF(AND(J53="Alumínio",F53="Trifásico"),VLOOKUP(M53,'Iz''s'!$Q$25:$T$39,4,FALSE)))))</f>
        <v>33</v>
      </c>
      <c r="BO53" s="609">
        <f>IF(AND(J53="Cobre",F53="Monofásico"),VLOOKUP(M53,'Iz''s'!$CP$9:$CT$24,5,FALSE),IF(AND(J53="Cobre",F53="Trifásico"),VLOOKUP(M53,'Iz''s'!$CP$9:$CT$24,4,FALSE),IF(AND(J53="Alumínio",F53="Monofásico"),VLOOKUP(M53,'Iz''s'!$CP$26:$CT$37,5,FALSE),IF(AND(J53="Alumínio",F53="Trifásico"),VLOOKUP(M53,'Iz''s'!$CP$26:$CT$37,4,FALSE)))))</f>
        <v>48</v>
      </c>
      <c r="BP53" s="609">
        <f>IF(AND(J53="Cobre",F53="Monofásico"),VLOOKUP(M53,'Iz''s'!$BL$10:$BS$28,2,FALSE),IF(AND(J53="Cobre",F53="Trifásico"),VLOOKUP(M53,'Iz''s'!$BL$10:$BS$28,3,FALSE),IF(AND(J53="Alumínio",F53="Monofásico"),VLOOKUP(M53,'Iz''s'!$BU$10:$CB$27,2,FALSE),IF(AND(J53="Alumínio",F53="Trifásico"),VLOOKUP(M53,'Iz''s'!$BU$10:$CB$27,3,FALSE)))))</f>
        <v>36</v>
      </c>
      <c r="BQ53" s="531" t="str">
        <f>IF(AND(J53="Cobre",F53="Monofásico"),VLOOKUP(M53,'Iz''s'!$BL$10:$BS$28,4,FALSE),IF(AND(J53="Cobre",F53="Trifásico"),VLOOKUP(M53,'Iz''s'!$BL$10:$BS$28,5,FALSE),IF(AND(J53="Alumínio",F53="Monofásico"),VLOOKUP(M53,'Iz''s'!$BU$10:$CB$27,4,FALSE),IF(AND(J53="Alumínio",F53="Trifásico"),VLOOKUP(M53,'Iz''s'!$BU$10:$CB$27,5,FALSE)))))</f>
        <v xml:space="preserve"> --- </v>
      </c>
      <c r="BR53" s="609" t="str">
        <f>IF(AND(J53="Cobre",F53="Monofásico"),"N/A",IF(AND(J53="Cobre",F53="Trifásico"),VLOOKUP(M53,'Iz''s'!$BL$10:$BS$28,8,FALSE),IF(AND(J53="Alumínio",F53="Monofásico"),"N/A",IF(AND(J53="Alumínio",F53="Trifásico"),VLOOKUP(M53,'Iz''s'!$BU$10:$CB$27,8,FALSE)))))</f>
        <v>N/A</v>
      </c>
      <c r="BS53" s="609">
        <f>IF(AND(J53="Cobre",F53="Monofásico"),VLOOKUP(M53,'Iz''s'!$V$14:$Y$28,2,FALSE),IF(AND(J53="Cobre",F53="Trifásico"),VLOOKUP(M53,'Iz''s'!$V$14:$Y$28,3,FALSE),IF(AND(J53="Alumínio",F53="Monofásico"),VLOOKUP(M53,"N/A",4,FALSE),IF(AND(J53="Alumínio",F53="Trifásico"),VLOOKUP(M53,"N/A",4,FALSE)))))</f>
        <v>34</v>
      </c>
      <c r="BT53" s="609">
        <f>IF(AND(J53="Cobre",F53="Monofásico"),VLOOKUP(M53,'Iz''s'!$AF$15:$AK$29,2,FALSE),IF(AND(J53="Cobre",F53="Trifásico"),VLOOKUP(M53,'Iz''s'!$AF$15:$AK$29,3,FALSE),IF(AND(J53="Alumínio",F53="Monofásico"),"N/A",IF(AND(J53="Alumínio",F53="Trifásico"),"N/A"))))</f>
        <v>36</v>
      </c>
      <c r="BU53" s="609">
        <f>IF(AND(J53="Cobre",F53="Monofásico"),VLOOKUP(M53,'Iz''s'!$AF$15:$AK$29,2,FALSE),IF(AND(J53="Cobre",F53="Trifásico"),VLOOKUP(M53,'Iz''s'!$AF$15:$AK$29,3,FALSE),IF(AND(J53="Alumínio",F53="Monofásico"),"N/A",IF(AND(J53="Alumínio",F53="Trifásico"),"N/A"))))</f>
        <v>36</v>
      </c>
      <c r="BV53" s="610" t="str">
        <f>IF(AND(J53="Cobre",F53="Monofásico"),"N/A",IF(AND(J53="Cobre",F53="Trifásico"),VLOOKUP(M53,'Iz''s'!$AF$15:$AK$29,6,FALSE),IF(AND(J53="Alumínio",F53="Monofásico"),"N/A",IF(AND(J53="Alumínio",F53="Trifásico"),"N/A"))))</f>
        <v>N/A</v>
      </c>
      <c r="BW53" s="611">
        <v>51</v>
      </c>
      <c r="BX53" s="583"/>
      <c r="BY53" s="612">
        <f>VLOOKUP(M53,Consulta!$W$6:$AB$23,4,FALSE)</f>
        <v>16</v>
      </c>
      <c r="BZ53" s="612">
        <f>VLOOKUP(M53,Consulta!$W$6:$AB$23,6,FALSE)</f>
        <v>20</v>
      </c>
      <c r="CA53" s="612">
        <f>VLOOKUP(M53,Consulta!$AK$6:$AP$23,4,FALSE)</f>
        <v>20</v>
      </c>
      <c r="CB53" s="612">
        <f>VLOOKUP(M53,Consulta!$AK$6:$AP$23,6,FALSE)</f>
        <v>25</v>
      </c>
      <c r="CC53" s="585" t="e">
        <f>VLOOKUP(M53,Consulta!$AD$6:$AI$19,4,FALSE)</f>
        <v>#N/A</v>
      </c>
      <c r="CD53" s="585" t="e">
        <f>VLOOKUP(M53,Consulta!$AD$6:$AI$19,6,FALSE)</f>
        <v>#N/A</v>
      </c>
      <c r="CE53" s="585" t="e">
        <f>VLOOKUP(M53,Consulta!$AR$6:$AW$19,4,FALSE)</f>
        <v>#N/A</v>
      </c>
      <c r="CF53" s="586" t="e">
        <f>VLOOKUP(M53,Consulta!$AR$6:$AW$19,6,FALSE)</f>
        <v>#N/A</v>
      </c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</row>
    <row r="54" spans="1:212" s="560" customFormat="1" ht="16.5" customHeight="1" x14ac:dyDescent="0.2">
      <c r="A54" s="559"/>
      <c r="B54" s="1117"/>
      <c r="C54" s="820" t="s">
        <v>803</v>
      </c>
      <c r="D54" s="701">
        <f>2*13/1000</f>
        <v>2.5999999999999999E-2</v>
      </c>
      <c r="E54" s="701">
        <f>4.55+4.4+0.2483+2.8495+0.5</f>
        <v>12.547799999999999</v>
      </c>
      <c r="F54" s="701" t="s">
        <v>244</v>
      </c>
      <c r="G54" s="701" t="s">
        <v>808</v>
      </c>
      <c r="H54" s="701">
        <v>1</v>
      </c>
      <c r="I54" s="765" t="s">
        <v>13</v>
      </c>
      <c r="J54" s="701" t="s">
        <v>242</v>
      </c>
      <c r="K54" s="701" t="s">
        <v>363</v>
      </c>
      <c r="L54" s="701">
        <v>1</v>
      </c>
      <c r="M54" s="702">
        <v>1.5</v>
      </c>
      <c r="N54" s="701" t="s">
        <v>453</v>
      </c>
      <c r="O54" s="701">
        <v>4</v>
      </c>
      <c r="P54" s="555">
        <f t="shared" si="62"/>
        <v>16.5</v>
      </c>
      <c r="Q54" s="701">
        <v>3</v>
      </c>
      <c r="R54" s="701">
        <v>0.8</v>
      </c>
      <c r="S54" s="555">
        <f t="shared" si="55"/>
        <v>0.11304347826086956</v>
      </c>
      <c r="T54" s="712">
        <f>P54*R54</f>
        <v>13.200000000000001</v>
      </c>
      <c r="U54" s="701" t="s">
        <v>499</v>
      </c>
      <c r="V54" s="555">
        <v>10</v>
      </c>
      <c r="W54" s="701">
        <f>IF(U54="C.C.Fusíveis",VLOOKUP(V54,Consulta!$L$5:$N$31,3,FALSE),VLOOKUP(V54,Consulta!$P$5:$R$34,3,FALSE))</f>
        <v>13.5</v>
      </c>
      <c r="X54" s="713">
        <f t="shared" si="10"/>
        <v>24</v>
      </c>
      <c r="Y54" s="766">
        <f t="shared" si="51"/>
        <v>8.563899868247694E-3</v>
      </c>
      <c r="Z54" s="706" t="str">
        <f t="shared" si="11"/>
        <v>Sim</v>
      </c>
      <c r="AA54" s="767">
        <f t="shared" ref="AA54:AA59" si="76">$AA$8+SQRT($AB$8^2+$AC$8^2)</f>
        <v>9.4596077075354223E-2</v>
      </c>
      <c r="AB54" s="767">
        <f t="shared" si="12"/>
        <v>0.23527124999999996</v>
      </c>
      <c r="AC54" s="767">
        <f t="shared" si="6"/>
        <v>0</v>
      </c>
      <c r="AD54" s="703">
        <f t="shared" si="72"/>
        <v>2.8079149244625139</v>
      </c>
      <c r="AE54" s="703">
        <f t="shared" si="17"/>
        <v>5.3191760869565209E-2</v>
      </c>
      <c r="AF54" s="703">
        <f t="shared" si="18"/>
        <v>2.861106685332079</v>
      </c>
      <c r="AG54" s="704">
        <f t="shared" si="34"/>
        <v>2.3126852551984874E-4</v>
      </c>
      <c r="AH54" s="768">
        <f t="shared" si="34"/>
        <v>1.2439594284052518E-2</v>
      </c>
      <c r="AI54" s="703">
        <f t="shared" si="7"/>
        <v>0.69725001878545956</v>
      </c>
      <c r="AJ54" s="701">
        <v>3</v>
      </c>
      <c r="AK54" s="703">
        <v>0.1</v>
      </c>
      <c r="AL54" s="713">
        <f t="shared" si="70"/>
        <v>115</v>
      </c>
      <c r="AM54" s="703">
        <f t="shared" si="73"/>
        <v>1.9173027460497756</v>
      </c>
      <c r="AN54" s="706">
        <f t="shared" si="52"/>
        <v>1</v>
      </c>
      <c r="AO54" s="705" t="s">
        <v>563</v>
      </c>
      <c r="AP54" s="706" t="s">
        <v>523</v>
      </c>
      <c r="AQ54" s="706" t="str">
        <f t="shared" si="53"/>
        <v>3G</v>
      </c>
      <c r="AR54" s="706">
        <f t="shared" si="74"/>
        <v>1.5</v>
      </c>
      <c r="AS54" s="893" t="str">
        <f t="shared" si="8"/>
        <v/>
      </c>
      <c r="AT54" s="893" t="str">
        <f>IF(OR(AQ54="3G",AQ54="5G"),"",VLOOKUP(AR54,Consulta!$T$5:$U$25,2,FALSE))</f>
        <v/>
      </c>
      <c r="AU54" s="894" t="s">
        <v>565</v>
      </c>
      <c r="AV54" s="706" t="s">
        <v>23</v>
      </c>
      <c r="AW54" s="706" t="s">
        <v>564</v>
      </c>
      <c r="AX54" s="706">
        <f t="shared" si="30"/>
        <v>20</v>
      </c>
      <c r="AY54" s="707" t="s">
        <v>24</v>
      </c>
      <c r="AZ54" s="564"/>
      <c r="BA54" s="584">
        <f>IF(AND(J54="Cobre",F54="Monofásico"),VLOOKUP(M54,'Iz''s'!$B$8:$E$23,2,FALSE),IF(AND(J54="Cobre",F54="Trifásico"),VLOOKUP(M54,'Iz''s'!$L$8:$O$23,2,FALSE),IF(AND(J54="Alumínio",F54="Monofásico"),VLOOKUP(M54,'Iz''s'!$B$25:$E$39,2,FALSE),IF(AND(J54="Alumínio",F54="Trifásico"),VLOOKUP(M54,'Iz''s'!$L$25:$O$39,2,FALSE)))))</f>
        <v>14.5</v>
      </c>
      <c r="BB54" s="531">
        <f>IF(AND(J54="Cobre",F54="Monofásico"),VLOOKUP(M54,'Iz''s'!$CD$9:$CH$24,2,FALSE),IF(AND(J54="Cobre",F54="Trifásico"),VLOOKUP(M54,'Iz''s'!$CD$9:$CH$24,4,FALSE),IF(AND(J54="Alumínio",F54="Monofásico"),VLOOKUP(M54,'Iz''s'!$CD$26:$CH$40,2,FALSE),IF(AND(J54="Alumínio",F54="Trifásico"),VLOOKUP(M54,'Iz''s'!$CD$26:$CH$40,4,FALSE)))))</f>
        <v>14</v>
      </c>
      <c r="BC54" s="531">
        <f>IF(AND(J54="Cobre",F54="Monofásico"),VLOOKUP(M54,'Iz''s'!$B$8:$E$23,3,FALSE),IF(AND(J54="Cobre",F54="Trifásico"),VLOOKUP(M54,'Iz''s'!$L$8:$O$23,3,FALSE),IF(AND(J54="Alumínio",F54="Monofásico"),VLOOKUP(M54,'Iz''s'!$B$25:$E$39,3,FALSE),IF(AND(J54="Alumínio",F54="Trifásico"),VLOOKUP(M54,'Iz''s'!$L$25:$O$39,3,FALSE)))))</f>
        <v>17.5</v>
      </c>
      <c r="BD54" s="531">
        <f>IF(AND(J54="Cobre",F54="Monofásico"),VLOOKUP(M54,'Iz''s'!$CD$9:$CH$24,3,FALSE),IF(AND(J54="Cobre",F54="Trifásico"),VLOOKUP(M54,'Iz''s'!$CD$9:$CH$24,5,FALSE),IF(AND(J54="Alumínio",F54="Monofásico"),VLOOKUP(M54,'Iz''s'!$CD$26:$CH$40,3,FALSE),IF(AND(J54="Alumínio",F54="Trifásico"),VLOOKUP(M54,'Iz''s'!$CD$26:$CH$40,5,FALSE)))))</f>
        <v>16.5</v>
      </c>
      <c r="BE54" s="531">
        <f>IF(AND(J54="Cobre",F54="Monofásico"),VLOOKUP(M54,'Iz''s'!$B$8:$E$23,4,FALSE),IF(AND(J54="Cobre",F54="Trifásico"),VLOOKUP(M54,'Iz''s'!$L$8:$O$23,4,FALSE),IF(AND(J54="Alumínio",F54="Monofásico"),VLOOKUP(M54,'Iz''s'!$B$25:$E$39,4,FALSE),IF(AND(J54="Alumínio",F54="Trifásico"),VLOOKUP(M54,'Iz''s'!$L$25:$O$39,4,FALSE)))))</f>
        <v>19.5</v>
      </c>
      <c r="BF54" s="531">
        <f>IF(AND(J54="Cobre",F54="Monofásico"),VLOOKUP(M54,'Iz''s'!$CP$9:$CT$24,3,FALSE),IF(AND(J54="Cobre",F54="Trifásico"),VLOOKUP(M54,'Iz''s'!$CP$9:$CT$24,2,FALSE),IF(AND(J54="Alumínio",F54="Monofásico"),VLOOKUP(M54,'Iz''s'!$CP$26:$CT$37,3,FALSE),IF(AND(J54="Alumínio",F54="Trifásico"),VLOOKUP(M54,'Iz''s'!$CP$26:$CT$37,2,FALSE)))))</f>
        <v>32</v>
      </c>
      <c r="BG54" s="531">
        <f>IF(AND(J54="Cobre",F54="Monofásico"),VLOOKUP(M54,'Iz''s'!$AT$10:$BA$28,2,FALSE),IF(AND(J54="Cobre",F54="Trifásico"),VLOOKUP(M54,'Iz''s'!$AT$10:$BA$28,3,FALSE),IF(AND(J54="Alumínio",F54="Monofásico"),VLOOKUP(M54,'Iz''s'!$BC$10:$BJ$27,2,FALSE),IF(AND(J54="Alumínio",F54="Trifásico"),VLOOKUP(M54,'Iz''s'!$BC$10:$BJ$27,3,FALSE)))))</f>
        <v>22</v>
      </c>
      <c r="BH54" s="609" t="str">
        <f>IF(AND(J54="Cobre",F54="Monofásico"),VLOOKUP(M54,'Iz''s'!$AT$10:$BA$28,4,FALSE),IF(AND(J54="Cobre",F54="Trifásico"),VLOOKUP(M54,'Iz''s'!$AT$10:$BA$28,5,FALSE),IF(AND(J54="Alumínio",F54="Monofásico"),VLOOKUP(M54,'Iz''s'!$BC$10:$BJ$27,4,FALSE),IF(AND(J54="Alumínio",F54="Trifásico"),VLOOKUP(M54,'Iz''s'!$BC$10:$BJ$27,5,FALSE)))))</f>
        <v xml:space="preserve"> --- </v>
      </c>
      <c r="BI54" s="609" t="str">
        <f>IF(AND(J54="Cobre",F54="Monofásico"),"N/A",IF(AND(J54="Cobre",F54="Trifásico"),VLOOKUP(M54,'Iz''s'!$AT$10:$BA$28,8,FALSE),IF(AND(J54="Alumínio",F54="Monofásico"),"N/A",IF(AND(J54="Alumínio",F54="Trifásico"),VLOOKUP(M54,'Iz''s'!$BC$10:$BJ$27,8,FALSE)))))</f>
        <v>N/A</v>
      </c>
      <c r="BJ54" s="531">
        <f>IF(AND(J54="Cobre",F54="Monofásico"),VLOOKUP(M54,'Iz''s'!$G$8:$J$23,2,FALSE),IF(AND(J54="Cobre",F54="Trifásico"),VLOOKUP(M54,'Iz''s'!$Q$8:$T$23,2,FALSE),IF(AND(J54="Alumínio",F54="Monofásico"),VLOOKUP(M54,'Iz''s'!$G$25:$J$39,2,FALSE),IF(AND(J54="Alumínio",F54="Trifásico"),VLOOKUP(M54,'Iz''s'!$Q$25:$T$39,2,FALSE)))))</f>
        <v>19</v>
      </c>
      <c r="BK54" s="609">
        <f>IF(AND(J54="Cobre",F54="Monofásico"),VLOOKUP(M54,'Iz''s'!$CJ$9:$CN$24,2,FALSE),IF(AND(J54="Cobre",F54="Trifásico"),VLOOKUP(M54,'Iz''s'!$CJ$9:$CN$24,4,FALSE),IF(AND(J54="Alumínio",F54="Monofásico"),VLOOKUP(M54,'Iz''s'!$CJ$26:$CN$40,2,FALSE),IF(AND(J54="Alumínio",F54="Trifásico"),VLOOKUP(M54,'Iz''s'!$CJ$26:$CN$40,4,FALSE)))))</f>
        <v>18.5</v>
      </c>
      <c r="BL54" s="609">
        <f>IF(AND(J54="Cobre",F54="Monofásico"),VLOOKUP(M54,'Iz''s'!$G$8:$J$23,3,FALSE),IF(AND(J54="Cobre",F54="Trifásico"),VLOOKUP(M54,'Iz''s'!$Q$8:$T$23,3,FALSE),IF(AND(J54="Alumínio",F54="Monofásico"),VLOOKUP(M54,'Iz''s'!$G$25:$J$39,3,FALSE),IF(AND(J54="Alumínio",F54="Trifásico"),VLOOKUP(M54,'Iz''s'!$Q$25:$T$39,3,FALSE)))))</f>
        <v>23</v>
      </c>
      <c r="BM54" s="609">
        <f>IF(AND(J54="Cobre",F54="Monofásico"),VLOOKUP(M54,'Iz''s'!$CJ$9:$CN$24,3,FALSE),IF(AND(J54="Cobre",F54="Trifásico"),VLOOKUP(M54,'Iz''s'!$CJ$9:$CN$24,5,FALSE),IF(AND(J54="Alumínio",F54="Monofásico"),VLOOKUP(M54,'Iz''s'!$CJ$26:$CN$40,3,FALSE),IF(AND(J54="Alumínio",F54="Trifásico"),VLOOKUP(M54,'Iz''s'!$CJ$26:$CN$40,5,FALSE)))))</f>
        <v>22</v>
      </c>
      <c r="BN54" s="609">
        <f>IF(AND(J54="Cobre",F54="Monofásico"),VLOOKUP(M54,'Iz''s'!$G$8:$J$23,4,FALSE),IF(AND(J54="Cobre",F54="Trifásico"),VLOOKUP(M54,'Iz''s'!$Q$8:$T$23,4,FALSE),IF(AND(J54="Alumínio",F54="Monofásico"),VLOOKUP(M54,'Iz''s'!$G$25:$J$39,4,FALSE),IF(AND(J54="Alumínio",F54="Trifásico"),VLOOKUP(M54,'Iz''s'!$Q$25:$T$39,4,FALSE)))))</f>
        <v>24</v>
      </c>
      <c r="BO54" s="609">
        <f>IF(AND(J54="Cobre",F54="Monofásico"),VLOOKUP(M54,'Iz''s'!$CP$9:$CT$24,5,FALSE),IF(AND(J54="Cobre",F54="Trifásico"),VLOOKUP(M54,'Iz''s'!$CP$9:$CT$24,4,FALSE),IF(AND(J54="Alumínio",F54="Monofásico"),VLOOKUP(M54,'Iz''s'!$CP$26:$CT$37,5,FALSE),IF(AND(J54="Alumínio",F54="Trifásico"),VLOOKUP(M54,'Iz''s'!$CP$26:$CT$37,4,FALSE)))))</f>
        <v>37</v>
      </c>
      <c r="BP54" s="609">
        <f>IF(AND(J54="Cobre",F54="Monofásico"),VLOOKUP(M54,'Iz''s'!$BL$10:$BS$28,2,FALSE),IF(AND(J54="Cobre",F54="Trifásico"),VLOOKUP(M54,'Iz''s'!$BL$10:$BS$28,3,FALSE),IF(AND(J54="Alumínio",F54="Monofásico"),VLOOKUP(M54,'Iz''s'!$BU$10:$CB$27,2,FALSE),IF(AND(J54="Alumínio",F54="Trifásico"),VLOOKUP(M54,'Iz''s'!$BU$10:$CB$27,3,FALSE)))))</f>
        <v>26</v>
      </c>
      <c r="BQ54" s="531" t="str">
        <f>IF(AND(J54="Cobre",F54="Monofásico"),VLOOKUP(M54,'Iz''s'!$BL$10:$BS$28,4,FALSE),IF(AND(J54="Cobre",F54="Trifásico"),VLOOKUP(M54,'Iz''s'!$BL$10:$BS$28,5,FALSE),IF(AND(J54="Alumínio",F54="Monofásico"),VLOOKUP(M54,'Iz''s'!$BU$10:$CB$27,4,FALSE),IF(AND(J54="Alumínio",F54="Trifásico"),VLOOKUP(M54,'Iz''s'!$BU$10:$CB$27,5,FALSE)))))</f>
        <v xml:space="preserve"> --- </v>
      </c>
      <c r="BR54" s="609" t="str">
        <f>IF(AND(J54="Cobre",F54="Monofásico"),"N/A",IF(AND(J54="Cobre",F54="Trifásico"),VLOOKUP(M54,'Iz''s'!$BL$10:$BS$28,8,FALSE),IF(AND(J54="Alumínio",F54="Monofásico"),"N/A",IF(AND(J54="Alumínio",F54="Trifásico"),VLOOKUP(M54,'Iz''s'!$BU$10:$CB$27,8,FALSE)))))</f>
        <v>N/A</v>
      </c>
      <c r="BS54" s="609">
        <f>IF(AND(J54="Cobre",F54="Monofásico"),VLOOKUP(M54,'Iz''s'!$V$14:$Y$28,2,FALSE),IF(AND(J54="Cobre",F54="Trifásico"),VLOOKUP(M54,'Iz''s'!$V$14:$Y$28,3,FALSE),IF(AND(J54="Alumínio",F54="Monofásico"),VLOOKUP(M54,"N/A",4,FALSE),IF(AND(J54="Alumínio",F54="Trifásico"),VLOOKUP(M54,"N/A",4,FALSE)))))</f>
        <v>25</v>
      </c>
      <c r="BT54" s="609">
        <f>IF(AND(J54="Cobre",F54="Monofásico"),VLOOKUP(M54,'Iz''s'!$AF$15:$AK$29,2,FALSE),IF(AND(J54="Cobre",F54="Trifásico"),VLOOKUP(M54,'Iz''s'!$AF$15:$AK$29,3,FALSE),IF(AND(J54="Alumínio",F54="Monofásico"),"N/A",IF(AND(J54="Alumínio",F54="Trifásico"),"N/A"))))</f>
        <v>26</v>
      </c>
      <c r="BU54" s="609">
        <f>IF(AND(J54="Cobre",F54="Monofásico"),VLOOKUP(M54,'Iz''s'!$AF$15:$AK$29,2,FALSE),IF(AND(J54="Cobre",F54="Trifásico"),VLOOKUP(M54,'Iz''s'!$AF$15:$AK$29,3,FALSE),IF(AND(J54="Alumínio",F54="Monofásico"),"N/A",IF(AND(J54="Alumínio",F54="Trifásico"),"N/A"))))</f>
        <v>26</v>
      </c>
      <c r="BV54" s="610" t="str">
        <f>IF(AND(J54="Cobre",F54="Monofásico"),"N/A",IF(AND(J54="Cobre",F54="Trifásico"),VLOOKUP(M54,'Iz''s'!$AF$15:$AK$29,6,FALSE),IF(AND(J54="Alumínio",F54="Monofásico"),"N/A",IF(AND(J54="Alumínio",F54="Trifásico"),"N/A"))))</f>
        <v>N/A</v>
      </c>
      <c r="BW54" s="611">
        <v>52</v>
      </c>
      <c r="BX54" s="583"/>
      <c r="BY54" s="612">
        <f>VLOOKUP(M54,Consulta!$W$6:$AB$23,4,FALSE)</f>
        <v>16</v>
      </c>
      <c r="BZ54" s="612">
        <f>VLOOKUP(M54,Consulta!$W$6:$AB$23,6,FALSE)</f>
        <v>20</v>
      </c>
      <c r="CA54" s="612">
        <f>VLOOKUP(M54,Consulta!$AK$6:$AP$23,4,FALSE)</f>
        <v>20</v>
      </c>
      <c r="CB54" s="612">
        <f>VLOOKUP(M54,Consulta!$AK$6:$AP$23,6,FALSE)</f>
        <v>20</v>
      </c>
      <c r="CC54" s="585" t="e">
        <f>VLOOKUP(M54,Consulta!$AD$6:$AI$19,4,FALSE)</f>
        <v>#N/A</v>
      </c>
      <c r="CD54" s="585" t="e">
        <f>VLOOKUP(M54,Consulta!$AD$6:$AI$19,6,FALSE)</f>
        <v>#N/A</v>
      </c>
      <c r="CE54" s="585" t="e">
        <f>VLOOKUP(M54,Consulta!$AR$6:$AW$19,4,FALSE)</f>
        <v>#N/A</v>
      </c>
      <c r="CF54" s="586" t="e">
        <f>VLOOKUP(M54,Consulta!$AR$6:$AW$19,6,FALSE)</f>
        <v>#N/A</v>
      </c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</row>
    <row r="55" spans="1:212" s="560" customFormat="1" ht="16.5" customHeight="1" x14ac:dyDescent="0.2">
      <c r="A55" s="559"/>
      <c r="B55" s="1117"/>
      <c r="C55" s="820" t="s">
        <v>803</v>
      </c>
      <c r="D55" s="701">
        <f>18*13/1000</f>
        <v>0.23400000000000001</v>
      </c>
      <c r="E55" s="701">
        <f>3.7699+4.875+1.567+4.875+4.875+1.567</f>
        <v>21.5289</v>
      </c>
      <c r="F55" s="701" t="s">
        <v>244</v>
      </c>
      <c r="G55" s="701" t="s">
        <v>808</v>
      </c>
      <c r="H55" s="701">
        <v>1</v>
      </c>
      <c r="I55" s="765" t="s">
        <v>13</v>
      </c>
      <c r="J55" s="701" t="s">
        <v>242</v>
      </c>
      <c r="K55" s="701" t="s">
        <v>363</v>
      </c>
      <c r="L55" s="701">
        <v>1</v>
      </c>
      <c r="M55" s="702">
        <v>1.5</v>
      </c>
      <c r="N55" s="701" t="s">
        <v>453</v>
      </c>
      <c r="O55" s="701">
        <v>4</v>
      </c>
      <c r="P55" s="555">
        <f t="shared" si="62"/>
        <v>16.5</v>
      </c>
      <c r="Q55" s="701">
        <v>3</v>
      </c>
      <c r="R55" s="701">
        <v>0.8</v>
      </c>
      <c r="S55" s="555">
        <f t="shared" si="55"/>
        <v>1.017391304347826</v>
      </c>
      <c r="T55" s="712">
        <f t="shared" ref="T55:T58" si="77">P55*R55</f>
        <v>13.200000000000001</v>
      </c>
      <c r="U55" s="701" t="s">
        <v>499</v>
      </c>
      <c r="V55" s="555">
        <v>10</v>
      </c>
      <c r="W55" s="701">
        <f>IF(U55="C.C.Fusíveis",VLOOKUP(V55,Consulta!$L$5:$N$31,3,FALSE),VLOOKUP(V55,Consulta!$P$5:$R$34,3,FALSE))</f>
        <v>13.5</v>
      </c>
      <c r="X55" s="713">
        <f t="shared" si="10"/>
        <v>24</v>
      </c>
      <c r="Y55" s="766">
        <f t="shared" si="51"/>
        <v>7.7075098814229234E-2</v>
      </c>
      <c r="Z55" s="706" t="str">
        <f t="shared" si="11"/>
        <v>Sim</v>
      </c>
      <c r="AA55" s="767">
        <f t="shared" si="76"/>
        <v>9.4596077075354223E-2</v>
      </c>
      <c r="AB55" s="767">
        <f t="shared" si="12"/>
        <v>0.40366687499999998</v>
      </c>
      <c r="AC55" s="767">
        <f t="shared" si="6"/>
        <v>0</v>
      </c>
      <c r="AD55" s="703">
        <f t="shared" si="72"/>
        <v>2.8079149244625139</v>
      </c>
      <c r="AE55" s="703">
        <f t="shared" si="17"/>
        <v>0.82137433695652162</v>
      </c>
      <c r="AF55" s="703">
        <f t="shared" si="18"/>
        <v>3.6292892614190357</v>
      </c>
      <c r="AG55" s="704">
        <f t="shared" si="34"/>
        <v>3.5711927693761808E-3</v>
      </c>
      <c r="AH55" s="768">
        <f t="shared" si="34"/>
        <v>1.5779518527908851E-2</v>
      </c>
      <c r="AI55" s="703">
        <f t="shared" si="7"/>
        <v>0.46160365534304509</v>
      </c>
      <c r="AJ55" s="701">
        <v>3</v>
      </c>
      <c r="AK55" s="703">
        <v>0.1</v>
      </c>
      <c r="AL55" s="713">
        <f t="shared" si="70"/>
        <v>115</v>
      </c>
      <c r="AM55" s="703">
        <f t="shared" si="73"/>
        <v>1.269320806211631</v>
      </c>
      <c r="AN55" s="706">
        <f t="shared" si="52"/>
        <v>1</v>
      </c>
      <c r="AO55" s="705" t="s">
        <v>563</v>
      </c>
      <c r="AP55" s="706" t="s">
        <v>523</v>
      </c>
      <c r="AQ55" s="706" t="str">
        <f t="shared" si="53"/>
        <v>3G</v>
      </c>
      <c r="AR55" s="706">
        <f t="shared" si="74"/>
        <v>1.5</v>
      </c>
      <c r="AS55" s="893" t="str">
        <f t="shared" si="8"/>
        <v/>
      </c>
      <c r="AT55" s="893" t="str">
        <f>IF(OR(AQ55="3G",AQ55="5G"),"",VLOOKUP(AR55,Consulta!$T$5:$U$25,2,FALSE))</f>
        <v/>
      </c>
      <c r="AU55" s="894" t="s">
        <v>565</v>
      </c>
      <c r="AV55" s="706" t="s">
        <v>23</v>
      </c>
      <c r="AW55" s="706" t="s">
        <v>564</v>
      </c>
      <c r="AX55" s="706">
        <f t="shared" si="30"/>
        <v>20</v>
      </c>
      <c r="AY55" s="707" t="s">
        <v>24</v>
      </c>
      <c r="AZ55" s="564"/>
      <c r="BA55" s="584">
        <f>IF(AND(J55="Cobre",F55="Monofásico"),VLOOKUP(M55,'Iz''s'!$B$8:$E$23,2,FALSE),IF(AND(J55="Cobre",F55="Trifásico"),VLOOKUP(M55,'Iz''s'!$L$8:$O$23,2,FALSE),IF(AND(J55="Alumínio",F55="Monofásico"),VLOOKUP(M55,'Iz''s'!$B$25:$E$39,2,FALSE),IF(AND(J55="Alumínio",F55="Trifásico"),VLOOKUP(M55,'Iz''s'!$L$25:$O$39,2,FALSE)))))</f>
        <v>14.5</v>
      </c>
      <c r="BB55" s="531">
        <f>IF(AND(J55="Cobre",F55="Monofásico"),VLOOKUP(M55,'Iz''s'!$CD$9:$CH$24,2,FALSE),IF(AND(J55="Cobre",F55="Trifásico"),VLOOKUP(M55,'Iz''s'!$CD$9:$CH$24,4,FALSE),IF(AND(J55="Alumínio",F55="Monofásico"),VLOOKUP(M55,'Iz''s'!$CD$26:$CH$40,2,FALSE),IF(AND(J55="Alumínio",F55="Trifásico"),VLOOKUP(M55,'Iz''s'!$CD$26:$CH$40,4,FALSE)))))</f>
        <v>14</v>
      </c>
      <c r="BC55" s="531">
        <f>IF(AND(J55="Cobre",F55="Monofásico"),VLOOKUP(M55,'Iz''s'!$B$8:$E$23,3,FALSE),IF(AND(J55="Cobre",F55="Trifásico"),VLOOKUP(M55,'Iz''s'!$L$8:$O$23,3,FALSE),IF(AND(J55="Alumínio",F55="Monofásico"),VLOOKUP(M55,'Iz''s'!$B$25:$E$39,3,FALSE),IF(AND(J55="Alumínio",F55="Trifásico"),VLOOKUP(M55,'Iz''s'!$L$25:$O$39,3,FALSE)))))</f>
        <v>17.5</v>
      </c>
      <c r="BD55" s="531">
        <f>IF(AND(J55="Cobre",F55="Monofásico"),VLOOKUP(M55,'Iz''s'!$CD$9:$CH$24,3,FALSE),IF(AND(J55="Cobre",F55="Trifásico"),VLOOKUP(M55,'Iz''s'!$CD$9:$CH$24,5,FALSE),IF(AND(J55="Alumínio",F55="Monofásico"),VLOOKUP(M55,'Iz''s'!$CD$26:$CH$40,3,FALSE),IF(AND(J55="Alumínio",F55="Trifásico"),VLOOKUP(M55,'Iz''s'!$CD$26:$CH$40,5,FALSE)))))</f>
        <v>16.5</v>
      </c>
      <c r="BE55" s="531">
        <f>IF(AND(J55="Cobre",F55="Monofásico"),VLOOKUP(M55,'Iz''s'!$B$8:$E$23,4,FALSE),IF(AND(J55="Cobre",F55="Trifásico"),VLOOKUP(M55,'Iz''s'!$L$8:$O$23,4,FALSE),IF(AND(J55="Alumínio",F55="Monofásico"),VLOOKUP(M55,'Iz''s'!$B$25:$E$39,4,FALSE),IF(AND(J55="Alumínio",F55="Trifásico"),VLOOKUP(M55,'Iz''s'!$L$25:$O$39,4,FALSE)))))</f>
        <v>19.5</v>
      </c>
      <c r="BF55" s="531">
        <f>IF(AND(J55="Cobre",F55="Monofásico"),VLOOKUP(M55,'Iz''s'!$CP$9:$CT$24,3,FALSE),IF(AND(J55="Cobre",F55="Trifásico"),VLOOKUP(M55,'Iz''s'!$CP$9:$CT$24,2,FALSE),IF(AND(J55="Alumínio",F55="Monofásico"),VLOOKUP(M55,'Iz''s'!$CP$26:$CT$37,3,FALSE),IF(AND(J55="Alumínio",F55="Trifásico"),VLOOKUP(M55,'Iz''s'!$CP$26:$CT$37,2,FALSE)))))</f>
        <v>32</v>
      </c>
      <c r="BG55" s="531">
        <f>IF(AND(J55="Cobre",F55="Monofásico"),VLOOKUP(M55,'Iz''s'!$AT$10:$BA$28,2,FALSE),IF(AND(J55="Cobre",F55="Trifásico"),VLOOKUP(M55,'Iz''s'!$AT$10:$BA$28,3,FALSE),IF(AND(J55="Alumínio",F55="Monofásico"),VLOOKUP(M55,'Iz''s'!$BC$10:$BJ$27,2,FALSE),IF(AND(J55="Alumínio",F55="Trifásico"),VLOOKUP(M55,'Iz''s'!$BC$10:$BJ$27,3,FALSE)))))</f>
        <v>22</v>
      </c>
      <c r="BH55" s="609" t="str">
        <f>IF(AND(J55="Cobre",F55="Monofásico"),VLOOKUP(M55,'Iz''s'!$AT$10:$BA$28,4,FALSE),IF(AND(J55="Cobre",F55="Trifásico"),VLOOKUP(M55,'Iz''s'!$AT$10:$BA$28,5,FALSE),IF(AND(J55="Alumínio",F55="Monofásico"),VLOOKUP(M55,'Iz''s'!$BC$10:$BJ$27,4,FALSE),IF(AND(J55="Alumínio",F55="Trifásico"),VLOOKUP(M55,'Iz''s'!$BC$10:$BJ$27,5,FALSE)))))</f>
        <v xml:space="preserve"> --- </v>
      </c>
      <c r="BI55" s="609" t="str">
        <f>IF(AND(J55="Cobre",F55="Monofásico"),"N/A",IF(AND(J55="Cobre",F55="Trifásico"),VLOOKUP(M55,'Iz''s'!$AT$10:$BA$28,8,FALSE),IF(AND(J55="Alumínio",F55="Monofásico"),"N/A",IF(AND(J55="Alumínio",F55="Trifásico"),VLOOKUP(M55,'Iz''s'!$BC$10:$BJ$27,8,FALSE)))))</f>
        <v>N/A</v>
      </c>
      <c r="BJ55" s="531">
        <f>IF(AND(J55="Cobre",F55="Monofásico"),VLOOKUP(M55,'Iz''s'!$G$8:$J$23,2,FALSE),IF(AND(J55="Cobre",F55="Trifásico"),VLOOKUP(M55,'Iz''s'!$Q$8:$T$23,2,FALSE),IF(AND(J55="Alumínio",F55="Monofásico"),VLOOKUP(M55,'Iz''s'!$G$25:$J$39,2,FALSE),IF(AND(J55="Alumínio",F55="Trifásico"),VLOOKUP(M55,'Iz''s'!$Q$25:$T$39,2,FALSE)))))</f>
        <v>19</v>
      </c>
      <c r="BK55" s="609">
        <f>IF(AND(J55="Cobre",F55="Monofásico"),VLOOKUP(M55,'Iz''s'!$CJ$9:$CN$24,2,FALSE),IF(AND(J55="Cobre",F55="Trifásico"),VLOOKUP(M55,'Iz''s'!$CJ$9:$CN$24,4,FALSE),IF(AND(J55="Alumínio",F55="Monofásico"),VLOOKUP(M55,'Iz''s'!$CJ$26:$CN$40,2,FALSE),IF(AND(J55="Alumínio",F55="Trifásico"),VLOOKUP(M55,'Iz''s'!$CJ$26:$CN$40,4,FALSE)))))</f>
        <v>18.5</v>
      </c>
      <c r="BL55" s="609">
        <f>IF(AND(J55="Cobre",F55="Monofásico"),VLOOKUP(M55,'Iz''s'!$G$8:$J$23,3,FALSE),IF(AND(J55="Cobre",F55="Trifásico"),VLOOKUP(M55,'Iz''s'!$Q$8:$T$23,3,FALSE),IF(AND(J55="Alumínio",F55="Monofásico"),VLOOKUP(M55,'Iz''s'!$G$25:$J$39,3,FALSE),IF(AND(J55="Alumínio",F55="Trifásico"),VLOOKUP(M55,'Iz''s'!$Q$25:$T$39,3,FALSE)))))</f>
        <v>23</v>
      </c>
      <c r="BM55" s="609">
        <f>IF(AND(J55="Cobre",F55="Monofásico"),VLOOKUP(M55,'Iz''s'!$CJ$9:$CN$24,3,FALSE),IF(AND(J55="Cobre",F55="Trifásico"),VLOOKUP(M55,'Iz''s'!$CJ$9:$CN$24,5,FALSE),IF(AND(J55="Alumínio",F55="Monofásico"),VLOOKUP(M55,'Iz''s'!$CJ$26:$CN$40,3,FALSE),IF(AND(J55="Alumínio",F55="Trifásico"),VLOOKUP(M55,'Iz''s'!$CJ$26:$CN$40,5,FALSE)))))</f>
        <v>22</v>
      </c>
      <c r="BN55" s="609">
        <f>IF(AND(J55="Cobre",F55="Monofásico"),VLOOKUP(M55,'Iz''s'!$G$8:$J$23,4,FALSE),IF(AND(J55="Cobre",F55="Trifásico"),VLOOKUP(M55,'Iz''s'!$Q$8:$T$23,4,FALSE),IF(AND(J55="Alumínio",F55="Monofásico"),VLOOKUP(M55,'Iz''s'!$G$25:$J$39,4,FALSE),IF(AND(J55="Alumínio",F55="Trifásico"),VLOOKUP(M55,'Iz''s'!$Q$25:$T$39,4,FALSE)))))</f>
        <v>24</v>
      </c>
      <c r="BO55" s="609">
        <f>IF(AND(J55="Cobre",F55="Monofásico"),VLOOKUP(M55,'Iz''s'!$CP$9:$CT$24,5,FALSE),IF(AND(J55="Cobre",F55="Trifásico"),VLOOKUP(M55,'Iz''s'!$CP$9:$CT$24,4,FALSE),IF(AND(J55="Alumínio",F55="Monofásico"),VLOOKUP(M55,'Iz''s'!$CP$26:$CT$37,5,FALSE),IF(AND(J55="Alumínio",F55="Trifásico"),VLOOKUP(M55,'Iz''s'!$CP$26:$CT$37,4,FALSE)))))</f>
        <v>37</v>
      </c>
      <c r="BP55" s="609">
        <f>IF(AND(J55="Cobre",F55="Monofásico"),VLOOKUP(M55,'Iz''s'!$BL$10:$BS$28,2,FALSE),IF(AND(J55="Cobre",F55="Trifásico"),VLOOKUP(M55,'Iz''s'!$BL$10:$BS$28,3,FALSE),IF(AND(J55="Alumínio",F55="Monofásico"),VLOOKUP(M55,'Iz''s'!$BU$10:$CB$27,2,FALSE),IF(AND(J55="Alumínio",F55="Trifásico"),VLOOKUP(M55,'Iz''s'!$BU$10:$CB$27,3,FALSE)))))</f>
        <v>26</v>
      </c>
      <c r="BQ55" s="531" t="str">
        <f>IF(AND(J55="Cobre",F55="Monofásico"),VLOOKUP(M55,'Iz''s'!$BL$10:$BS$28,4,FALSE),IF(AND(J55="Cobre",F55="Trifásico"),VLOOKUP(M55,'Iz''s'!$BL$10:$BS$28,5,FALSE),IF(AND(J55="Alumínio",F55="Monofásico"),VLOOKUP(M55,'Iz''s'!$BU$10:$CB$27,4,FALSE),IF(AND(J55="Alumínio",F55="Trifásico"),VLOOKUP(M55,'Iz''s'!$BU$10:$CB$27,5,FALSE)))))</f>
        <v xml:space="preserve"> --- </v>
      </c>
      <c r="BR55" s="609" t="str">
        <f>IF(AND(J55="Cobre",F55="Monofásico"),"N/A",IF(AND(J55="Cobre",F55="Trifásico"),VLOOKUP(M55,'Iz''s'!$BL$10:$BS$28,8,FALSE),IF(AND(J55="Alumínio",F55="Monofásico"),"N/A",IF(AND(J55="Alumínio",F55="Trifásico"),VLOOKUP(M55,'Iz''s'!$BU$10:$CB$27,8,FALSE)))))</f>
        <v>N/A</v>
      </c>
      <c r="BS55" s="609">
        <f>IF(AND(J55="Cobre",F55="Monofásico"),VLOOKUP(M55,'Iz''s'!$V$14:$Y$28,2,FALSE),IF(AND(J55="Cobre",F55="Trifásico"),VLOOKUP(M55,'Iz''s'!$V$14:$Y$28,3,FALSE),IF(AND(J55="Alumínio",F55="Monofásico"),VLOOKUP(M55,"N/A",4,FALSE),IF(AND(J55="Alumínio",F55="Trifásico"),VLOOKUP(M55,"N/A",4,FALSE)))))</f>
        <v>25</v>
      </c>
      <c r="BT55" s="609">
        <f>IF(AND(J55="Cobre",F55="Monofásico"),VLOOKUP(M55,'Iz''s'!$AF$15:$AK$29,2,FALSE),IF(AND(J55="Cobre",F55="Trifásico"),VLOOKUP(M55,'Iz''s'!$AF$15:$AK$29,3,FALSE),IF(AND(J55="Alumínio",F55="Monofásico"),"N/A",IF(AND(J55="Alumínio",F55="Trifásico"),"N/A"))))</f>
        <v>26</v>
      </c>
      <c r="BU55" s="609">
        <f>IF(AND(J55="Cobre",F55="Monofásico"),VLOOKUP(M55,'Iz''s'!$AF$15:$AK$29,2,FALSE),IF(AND(J55="Cobre",F55="Trifásico"),VLOOKUP(M55,'Iz''s'!$AF$15:$AK$29,3,FALSE),IF(AND(J55="Alumínio",F55="Monofásico"),"N/A",IF(AND(J55="Alumínio",F55="Trifásico"),"N/A"))))</f>
        <v>26</v>
      </c>
      <c r="BV55" s="610" t="str">
        <f>IF(AND(J55="Cobre",F55="Monofásico"),"N/A",IF(AND(J55="Cobre",F55="Trifásico"),VLOOKUP(M55,'Iz''s'!$AF$15:$AK$29,6,FALSE),IF(AND(J55="Alumínio",F55="Monofásico"),"N/A",IF(AND(J55="Alumínio",F55="Trifásico"),"N/A"))))</f>
        <v>N/A</v>
      </c>
      <c r="BW55" s="611">
        <v>53</v>
      </c>
      <c r="BX55" s="583"/>
      <c r="BY55" s="612">
        <f>VLOOKUP(M55,Consulta!$W$6:$AB$23,4,FALSE)</f>
        <v>16</v>
      </c>
      <c r="BZ55" s="612">
        <f>VLOOKUP(M55,Consulta!$W$6:$AB$23,6,FALSE)</f>
        <v>20</v>
      </c>
      <c r="CA55" s="612">
        <f>VLOOKUP(M55,Consulta!$AK$6:$AP$23,4,FALSE)</f>
        <v>20</v>
      </c>
      <c r="CB55" s="612">
        <f>VLOOKUP(M55,Consulta!$AK$6:$AP$23,6,FALSE)</f>
        <v>20</v>
      </c>
      <c r="CC55" s="585" t="e">
        <f>VLOOKUP(M55,Consulta!$AD$6:$AI$19,4,FALSE)</f>
        <v>#N/A</v>
      </c>
      <c r="CD55" s="585" t="e">
        <f>VLOOKUP(M55,Consulta!$AD$6:$AI$19,6,FALSE)</f>
        <v>#N/A</v>
      </c>
      <c r="CE55" s="585" t="e">
        <f>VLOOKUP(M55,Consulta!$AR$6:$AW$19,4,FALSE)</f>
        <v>#N/A</v>
      </c>
      <c r="CF55" s="586" t="e">
        <f>VLOOKUP(M55,Consulta!$AR$6:$AW$19,6,FALSE)</f>
        <v>#N/A</v>
      </c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</row>
    <row r="56" spans="1:212" s="560" customFormat="1" ht="16.5" customHeight="1" x14ac:dyDescent="0.2">
      <c r="A56" s="559"/>
      <c r="B56" s="1117"/>
      <c r="C56" s="820" t="s">
        <v>803</v>
      </c>
      <c r="D56" s="701">
        <f>13*13/1000</f>
        <v>0.16900000000000001</v>
      </c>
      <c r="E56" s="701">
        <f>0.3+0.1+0.925+0.1+0.71+3.12+0.23+3.12+0.23+0.68+1.38+2.8717+2.8321</f>
        <v>16.598800000000001</v>
      </c>
      <c r="F56" s="701" t="s">
        <v>244</v>
      </c>
      <c r="G56" s="701" t="s">
        <v>808</v>
      </c>
      <c r="H56" s="701">
        <v>1</v>
      </c>
      <c r="I56" s="765" t="s">
        <v>13</v>
      </c>
      <c r="J56" s="701" t="s">
        <v>242</v>
      </c>
      <c r="K56" s="701" t="s">
        <v>363</v>
      </c>
      <c r="L56" s="701">
        <v>1</v>
      </c>
      <c r="M56" s="702">
        <v>1.5</v>
      </c>
      <c r="N56" s="701" t="s">
        <v>453</v>
      </c>
      <c r="O56" s="701">
        <v>4</v>
      </c>
      <c r="P56" s="555">
        <f t="shared" si="62"/>
        <v>16.5</v>
      </c>
      <c r="Q56" s="701">
        <v>3</v>
      </c>
      <c r="R56" s="701">
        <v>0.8</v>
      </c>
      <c r="S56" s="555">
        <f t="shared" si="55"/>
        <v>0.73478260869565215</v>
      </c>
      <c r="T56" s="712">
        <f t="shared" si="77"/>
        <v>13.200000000000001</v>
      </c>
      <c r="U56" s="701" t="s">
        <v>499</v>
      </c>
      <c r="V56" s="555">
        <v>10</v>
      </c>
      <c r="W56" s="701">
        <f>IF(U56="C.C.Fusíveis",VLOOKUP(V56,Consulta!$L$5:$N$31,3,FALSE),VLOOKUP(V56,Consulta!$P$5:$R$34,3,FALSE))</f>
        <v>13.5</v>
      </c>
      <c r="X56" s="713">
        <f t="shared" si="10"/>
        <v>24</v>
      </c>
      <c r="Y56" s="766">
        <f t="shared" si="51"/>
        <v>5.5665349143610009E-2</v>
      </c>
      <c r="Z56" s="706" t="str">
        <f t="shared" si="11"/>
        <v>Sim</v>
      </c>
      <c r="AA56" s="767">
        <f t="shared" si="76"/>
        <v>9.4596077075354223E-2</v>
      </c>
      <c r="AB56" s="767">
        <f t="shared" si="12"/>
        <v>0.31122749999999999</v>
      </c>
      <c r="AC56" s="767">
        <f t="shared" si="6"/>
        <v>0</v>
      </c>
      <c r="AD56" s="703">
        <f t="shared" si="72"/>
        <v>2.8079149244625139</v>
      </c>
      <c r="AE56" s="703">
        <f t="shared" si="17"/>
        <v>0.45736910869565217</v>
      </c>
      <c r="AF56" s="703">
        <f t="shared" si="18"/>
        <v>3.2652840331581663</v>
      </c>
      <c r="AG56" s="704">
        <f t="shared" si="34"/>
        <v>1.9885613421550094E-3</v>
      </c>
      <c r="AH56" s="768">
        <f t="shared" si="34"/>
        <v>1.4196887100687679E-2</v>
      </c>
      <c r="AI56" s="703">
        <f t="shared" si="7"/>
        <v>0.56674873761041511</v>
      </c>
      <c r="AJ56" s="701">
        <v>3</v>
      </c>
      <c r="AK56" s="703">
        <v>0.1</v>
      </c>
      <c r="AL56" s="713">
        <f t="shared" si="70"/>
        <v>115</v>
      </c>
      <c r="AM56" s="703">
        <f t="shared" si="73"/>
        <v>1.5584494538035185</v>
      </c>
      <c r="AN56" s="706">
        <f t="shared" si="52"/>
        <v>1</v>
      </c>
      <c r="AO56" s="705" t="s">
        <v>563</v>
      </c>
      <c r="AP56" s="706" t="s">
        <v>523</v>
      </c>
      <c r="AQ56" s="706" t="str">
        <f t="shared" si="53"/>
        <v>3G</v>
      </c>
      <c r="AR56" s="706">
        <f t="shared" si="74"/>
        <v>1.5</v>
      </c>
      <c r="AS56" s="893" t="str">
        <f t="shared" si="8"/>
        <v/>
      </c>
      <c r="AT56" s="893" t="str">
        <f>IF(OR(AQ56="3G",AQ56="5G"),"",VLOOKUP(AR56,Consulta!$T$5:$U$25,2,FALSE))</f>
        <v/>
      </c>
      <c r="AU56" s="894" t="s">
        <v>565</v>
      </c>
      <c r="AV56" s="706" t="s">
        <v>23</v>
      </c>
      <c r="AW56" s="706" t="s">
        <v>564</v>
      </c>
      <c r="AX56" s="706">
        <f t="shared" si="30"/>
        <v>20</v>
      </c>
      <c r="AY56" s="707" t="s">
        <v>24</v>
      </c>
      <c r="AZ56" s="564"/>
      <c r="BA56" s="584">
        <f>IF(AND(J56="Cobre",F56="Monofásico"),VLOOKUP(M56,'Iz''s'!$B$8:$E$23,2,FALSE),IF(AND(J56="Cobre",F56="Trifásico"),VLOOKUP(M56,'Iz''s'!$L$8:$O$23,2,FALSE),IF(AND(J56="Alumínio",F56="Monofásico"),VLOOKUP(M56,'Iz''s'!$B$25:$E$39,2,FALSE),IF(AND(J56="Alumínio",F56="Trifásico"),VLOOKUP(M56,'Iz''s'!$L$25:$O$39,2,FALSE)))))</f>
        <v>14.5</v>
      </c>
      <c r="BB56" s="531">
        <f>IF(AND(J56="Cobre",F56="Monofásico"),VLOOKUP(M56,'Iz''s'!$CD$9:$CH$24,2,FALSE),IF(AND(J56="Cobre",F56="Trifásico"),VLOOKUP(M56,'Iz''s'!$CD$9:$CH$24,4,FALSE),IF(AND(J56="Alumínio",F56="Monofásico"),VLOOKUP(M56,'Iz''s'!$CD$26:$CH$40,2,FALSE),IF(AND(J56="Alumínio",F56="Trifásico"),VLOOKUP(M56,'Iz''s'!$CD$26:$CH$40,4,FALSE)))))</f>
        <v>14</v>
      </c>
      <c r="BC56" s="531">
        <f>IF(AND(J56="Cobre",F56="Monofásico"),VLOOKUP(M56,'Iz''s'!$B$8:$E$23,3,FALSE),IF(AND(J56="Cobre",F56="Trifásico"),VLOOKUP(M56,'Iz''s'!$L$8:$O$23,3,FALSE),IF(AND(J56="Alumínio",F56="Monofásico"),VLOOKUP(M56,'Iz''s'!$B$25:$E$39,3,FALSE),IF(AND(J56="Alumínio",F56="Trifásico"),VLOOKUP(M56,'Iz''s'!$L$25:$O$39,3,FALSE)))))</f>
        <v>17.5</v>
      </c>
      <c r="BD56" s="531">
        <f>IF(AND(J56="Cobre",F56="Monofásico"),VLOOKUP(M56,'Iz''s'!$CD$9:$CH$24,3,FALSE),IF(AND(J56="Cobre",F56="Trifásico"),VLOOKUP(M56,'Iz''s'!$CD$9:$CH$24,5,FALSE),IF(AND(J56="Alumínio",F56="Monofásico"),VLOOKUP(M56,'Iz''s'!$CD$26:$CH$40,3,FALSE),IF(AND(J56="Alumínio",F56="Trifásico"),VLOOKUP(M56,'Iz''s'!$CD$26:$CH$40,5,FALSE)))))</f>
        <v>16.5</v>
      </c>
      <c r="BE56" s="531">
        <f>IF(AND(J56="Cobre",F56="Monofásico"),VLOOKUP(M56,'Iz''s'!$B$8:$E$23,4,FALSE),IF(AND(J56="Cobre",F56="Trifásico"),VLOOKUP(M56,'Iz''s'!$L$8:$O$23,4,FALSE),IF(AND(J56="Alumínio",F56="Monofásico"),VLOOKUP(M56,'Iz''s'!$B$25:$E$39,4,FALSE),IF(AND(J56="Alumínio",F56="Trifásico"),VLOOKUP(M56,'Iz''s'!$L$25:$O$39,4,FALSE)))))</f>
        <v>19.5</v>
      </c>
      <c r="BF56" s="531">
        <f>IF(AND(J56="Cobre",F56="Monofásico"),VLOOKUP(M56,'Iz''s'!$CP$9:$CT$24,3,FALSE),IF(AND(J56="Cobre",F56="Trifásico"),VLOOKUP(M56,'Iz''s'!$CP$9:$CT$24,2,FALSE),IF(AND(J56="Alumínio",F56="Monofásico"),VLOOKUP(M56,'Iz''s'!$CP$26:$CT$37,3,FALSE),IF(AND(J56="Alumínio",F56="Trifásico"),VLOOKUP(M56,'Iz''s'!$CP$26:$CT$37,2,FALSE)))))</f>
        <v>32</v>
      </c>
      <c r="BG56" s="531">
        <f>IF(AND(J56="Cobre",F56="Monofásico"),VLOOKUP(M56,'Iz''s'!$AT$10:$BA$28,2,FALSE),IF(AND(J56="Cobre",F56="Trifásico"),VLOOKUP(M56,'Iz''s'!$AT$10:$BA$28,3,FALSE),IF(AND(J56="Alumínio",F56="Monofásico"),VLOOKUP(M56,'Iz''s'!$BC$10:$BJ$27,2,FALSE),IF(AND(J56="Alumínio",F56="Trifásico"),VLOOKUP(M56,'Iz''s'!$BC$10:$BJ$27,3,FALSE)))))</f>
        <v>22</v>
      </c>
      <c r="BH56" s="609" t="str">
        <f>IF(AND(J56="Cobre",F56="Monofásico"),VLOOKUP(M56,'Iz''s'!$AT$10:$BA$28,4,FALSE),IF(AND(J56="Cobre",F56="Trifásico"),VLOOKUP(M56,'Iz''s'!$AT$10:$BA$28,5,FALSE),IF(AND(J56="Alumínio",F56="Monofásico"),VLOOKUP(M56,'Iz''s'!$BC$10:$BJ$27,4,FALSE),IF(AND(J56="Alumínio",F56="Trifásico"),VLOOKUP(M56,'Iz''s'!$BC$10:$BJ$27,5,FALSE)))))</f>
        <v xml:space="preserve"> --- </v>
      </c>
      <c r="BI56" s="609" t="str">
        <f>IF(AND(J56="Cobre",F56="Monofásico"),"N/A",IF(AND(J56="Cobre",F56="Trifásico"),VLOOKUP(M56,'Iz''s'!$AT$10:$BA$28,8,FALSE),IF(AND(J56="Alumínio",F56="Monofásico"),"N/A",IF(AND(J56="Alumínio",F56="Trifásico"),VLOOKUP(M56,'Iz''s'!$BC$10:$BJ$27,8,FALSE)))))</f>
        <v>N/A</v>
      </c>
      <c r="BJ56" s="531">
        <f>IF(AND(J56="Cobre",F56="Monofásico"),VLOOKUP(M56,'Iz''s'!$G$8:$J$23,2,FALSE),IF(AND(J56="Cobre",F56="Trifásico"),VLOOKUP(M56,'Iz''s'!$Q$8:$T$23,2,FALSE),IF(AND(J56="Alumínio",F56="Monofásico"),VLOOKUP(M56,'Iz''s'!$G$25:$J$39,2,FALSE),IF(AND(J56="Alumínio",F56="Trifásico"),VLOOKUP(M56,'Iz''s'!$Q$25:$T$39,2,FALSE)))))</f>
        <v>19</v>
      </c>
      <c r="BK56" s="609">
        <f>IF(AND(J56="Cobre",F56="Monofásico"),VLOOKUP(M56,'Iz''s'!$CJ$9:$CN$24,2,FALSE),IF(AND(J56="Cobre",F56="Trifásico"),VLOOKUP(M56,'Iz''s'!$CJ$9:$CN$24,4,FALSE),IF(AND(J56="Alumínio",F56="Monofásico"),VLOOKUP(M56,'Iz''s'!$CJ$26:$CN$40,2,FALSE),IF(AND(J56="Alumínio",F56="Trifásico"),VLOOKUP(M56,'Iz''s'!$CJ$26:$CN$40,4,FALSE)))))</f>
        <v>18.5</v>
      </c>
      <c r="BL56" s="609">
        <f>IF(AND(J56="Cobre",F56="Monofásico"),VLOOKUP(M56,'Iz''s'!$G$8:$J$23,3,FALSE),IF(AND(J56="Cobre",F56="Trifásico"),VLOOKUP(M56,'Iz''s'!$Q$8:$T$23,3,FALSE),IF(AND(J56="Alumínio",F56="Monofásico"),VLOOKUP(M56,'Iz''s'!$G$25:$J$39,3,FALSE),IF(AND(J56="Alumínio",F56="Trifásico"),VLOOKUP(M56,'Iz''s'!$Q$25:$T$39,3,FALSE)))))</f>
        <v>23</v>
      </c>
      <c r="BM56" s="609">
        <f>IF(AND(J56="Cobre",F56="Monofásico"),VLOOKUP(M56,'Iz''s'!$CJ$9:$CN$24,3,FALSE),IF(AND(J56="Cobre",F56="Trifásico"),VLOOKUP(M56,'Iz''s'!$CJ$9:$CN$24,5,FALSE),IF(AND(J56="Alumínio",F56="Monofásico"),VLOOKUP(M56,'Iz''s'!$CJ$26:$CN$40,3,FALSE),IF(AND(J56="Alumínio",F56="Trifásico"),VLOOKUP(M56,'Iz''s'!$CJ$26:$CN$40,5,FALSE)))))</f>
        <v>22</v>
      </c>
      <c r="BN56" s="609">
        <f>IF(AND(J56="Cobre",F56="Monofásico"),VLOOKUP(M56,'Iz''s'!$G$8:$J$23,4,FALSE),IF(AND(J56="Cobre",F56="Trifásico"),VLOOKUP(M56,'Iz''s'!$Q$8:$T$23,4,FALSE),IF(AND(J56="Alumínio",F56="Monofásico"),VLOOKUP(M56,'Iz''s'!$G$25:$J$39,4,FALSE),IF(AND(J56="Alumínio",F56="Trifásico"),VLOOKUP(M56,'Iz''s'!$Q$25:$T$39,4,FALSE)))))</f>
        <v>24</v>
      </c>
      <c r="BO56" s="609">
        <f>IF(AND(J56="Cobre",F56="Monofásico"),VLOOKUP(M56,'Iz''s'!$CP$9:$CT$24,5,FALSE),IF(AND(J56="Cobre",F56="Trifásico"),VLOOKUP(M56,'Iz''s'!$CP$9:$CT$24,4,FALSE),IF(AND(J56="Alumínio",F56="Monofásico"),VLOOKUP(M56,'Iz''s'!$CP$26:$CT$37,5,FALSE),IF(AND(J56="Alumínio",F56="Trifásico"),VLOOKUP(M56,'Iz''s'!$CP$26:$CT$37,4,FALSE)))))</f>
        <v>37</v>
      </c>
      <c r="BP56" s="609">
        <f>IF(AND(J56="Cobre",F56="Monofásico"),VLOOKUP(M56,'Iz''s'!$BL$10:$BS$28,2,FALSE),IF(AND(J56="Cobre",F56="Trifásico"),VLOOKUP(M56,'Iz''s'!$BL$10:$BS$28,3,FALSE),IF(AND(J56="Alumínio",F56="Monofásico"),VLOOKUP(M56,'Iz''s'!$BU$10:$CB$27,2,FALSE),IF(AND(J56="Alumínio",F56="Trifásico"),VLOOKUP(M56,'Iz''s'!$BU$10:$CB$27,3,FALSE)))))</f>
        <v>26</v>
      </c>
      <c r="BQ56" s="531" t="str">
        <f>IF(AND(J56="Cobre",F56="Monofásico"),VLOOKUP(M56,'Iz''s'!$BL$10:$BS$28,4,FALSE),IF(AND(J56="Cobre",F56="Trifásico"),VLOOKUP(M56,'Iz''s'!$BL$10:$BS$28,5,FALSE),IF(AND(J56="Alumínio",F56="Monofásico"),VLOOKUP(M56,'Iz''s'!$BU$10:$CB$27,4,FALSE),IF(AND(J56="Alumínio",F56="Trifásico"),VLOOKUP(M56,'Iz''s'!$BU$10:$CB$27,5,FALSE)))))</f>
        <v xml:space="preserve"> --- </v>
      </c>
      <c r="BR56" s="609" t="str">
        <f>IF(AND(J56="Cobre",F56="Monofásico"),"N/A",IF(AND(J56="Cobre",F56="Trifásico"),VLOOKUP(M56,'Iz''s'!$BL$10:$BS$28,8,FALSE),IF(AND(J56="Alumínio",F56="Monofásico"),"N/A",IF(AND(J56="Alumínio",F56="Trifásico"),VLOOKUP(M56,'Iz''s'!$BU$10:$CB$27,8,FALSE)))))</f>
        <v>N/A</v>
      </c>
      <c r="BS56" s="609">
        <f>IF(AND(J56="Cobre",F56="Monofásico"),VLOOKUP(M56,'Iz''s'!$V$14:$Y$28,2,FALSE),IF(AND(J56="Cobre",F56="Trifásico"),VLOOKUP(M56,'Iz''s'!$V$14:$Y$28,3,FALSE),IF(AND(J56="Alumínio",F56="Monofásico"),VLOOKUP(M56,"N/A",4,FALSE),IF(AND(J56="Alumínio",F56="Trifásico"),VLOOKUP(M56,"N/A",4,FALSE)))))</f>
        <v>25</v>
      </c>
      <c r="BT56" s="609">
        <f>IF(AND(J56="Cobre",F56="Monofásico"),VLOOKUP(M56,'Iz''s'!$AF$15:$AK$29,2,FALSE),IF(AND(J56="Cobre",F56="Trifásico"),VLOOKUP(M56,'Iz''s'!$AF$15:$AK$29,3,FALSE),IF(AND(J56="Alumínio",F56="Monofásico"),"N/A",IF(AND(J56="Alumínio",F56="Trifásico"),"N/A"))))</f>
        <v>26</v>
      </c>
      <c r="BU56" s="609">
        <f>IF(AND(J56="Cobre",F56="Monofásico"),VLOOKUP(M56,'Iz''s'!$AF$15:$AK$29,2,FALSE),IF(AND(J56="Cobre",F56="Trifásico"),VLOOKUP(M56,'Iz''s'!$AF$15:$AK$29,3,FALSE),IF(AND(J56="Alumínio",F56="Monofásico"),"N/A",IF(AND(J56="Alumínio",F56="Trifásico"),"N/A"))))</f>
        <v>26</v>
      </c>
      <c r="BV56" s="610" t="str">
        <f>IF(AND(J56="Cobre",F56="Monofásico"),"N/A",IF(AND(J56="Cobre",F56="Trifásico"),VLOOKUP(M56,'Iz''s'!$AF$15:$AK$29,6,FALSE),IF(AND(J56="Alumínio",F56="Monofásico"),"N/A",IF(AND(J56="Alumínio",F56="Trifásico"),"N/A"))))</f>
        <v>N/A</v>
      </c>
      <c r="BW56" s="611">
        <v>54</v>
      </c>
      <c r="BX56" s="583"/>
      <c r="BY56" s="612">
        <f>VLOOKUP(M56,Consulta!$W$6:$AB$23,4,FALSE)</f>
        <v>16</v>
      </c>
      <c r="BZ56" s="612">
        <f>VLOOKUP(M56,Consulta!$W$6:$AB$23,6,FALSE)</f>
        <v>20</v>
      </c>
      <c r="CA56" s="612">
        <f>VLOOKUP(M56,Consulta!$AK$6:$AP$23,4,FALSE)</f>
        <v>20</v>
      </c>
      <c r="CB56" s="612">
        <f>VLOOKUP(M56,Consulta!$AK$6:$AP$23,6,FALSE)</f>
        <v>20</v>
      </c>
      <c r="CC56" s="585" t="e">
        <f>VLOOKUP(M56,Consulta!$AD$6:$AI$19,4,FALSE)</f>
        <v>#N/A</v>
      </c>
      <c r="CD56" s="585" t="e">
        <f>VLOOKUP(M56,Consulta!$AD$6:$AI$19,6,FALSE)</f>
        <v>#N/A</v>
      </c>
      <c r="CE56" s="585" t="e">
        <f>VLOOKUP(M56,Consulta!$AR$6:$AW$19,4,FALSE)</f>
        <v>#N/A</v>
      </c>
      <c r="CF56" s="586" t="e">
        <f>VLOOKUP(M56,Consulta!$AR$6:$AW$19,6,FALSE)</f>
        <v>#N/A</v>
      </c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</row>
    <row r="57" spans="1:212" s="560" customFormat="1" ht="16.5" customHeight="1" x14ac:dyDescent="0.2">
      <c r="A57" s="559"/>
      <c r="B57" s="1117"/>
      <c r="C57" s="820" t="s">
        <v>803</v>
      </c>
      <c r="D57" s="701">
        <f>12*13/1000</f>
        <v>0.156</v>
      </c>
      <c r="E57" s="701">
        <f>0.175+0.1+0.925+2.21+0.62+1.68+0.95+0.3438+0.47+2.39+3.075+1.6+1.537+0.8+3.075+1.6</f>
        <v>21.550800000000002</v>
      </c>
      <c r="F57" s="701" t="s">
        <v>244</v>
      </c>
      <c r="G57" s="701" t="s">
        <v>808</v>
      </c>
      <c r="H57" s="701">
        <v>1</v>
      </c>
      <c r="I57" s="765" t="s">
        <v>13</v>
      </c>
      <c r="J57" s="701" t="s">
        <v>242</v>
      </c>
      <c r="K57" s="701" t="s">
        <v>363</v>
      </c>
      <c r="L57" s="701">
        <v>1</v>
      </c>
      <c r="M57" s="702">
        <v>1.5</v>
      </c>
      <c r="N57" s="701" t="s">
        <v>453</v>
      </c>
      <c r="O57" s="701">
        <v>4</v>
      </c>
      <c r="P57" s="555">
        <f t="shared" si="62"/>
        <v>16.5</v>
      </c>
      <c r="Q57" s="701">
        <v>3</v>
      </c>
      <c r="R57" s="701">
        <v>0.8</v>
      </c>
      <c r="S57" s="555">
        <f t="shared" si="55"/>
        <v>0.67826086956521736</v>
      </c>
      <c r="T57" s="712">
        <f t="shared" si="77"/>
        <v>13.200000000000001</v>
      </c>
      <c r="U57" s="701" t="s">
        <v>499</v>
      </c>
      <c r="V57" s="555">
        <v>10</v>
      </c>
      <c r="W57" s="701">
        <f>IF(U57="C.C.Fusíveis",VLOOKUP(V57,Consulta!$L$5:$N$31,3,FALSE),VLOOKUP(V57,Consulta!$P$5:$R$34,3,FALSE))</f>
        <v>13.5</v>
      </c>
      <c r="X57" s="713">
        <f t="shared" si="10"/>
        <v>24</v>
      </c>
      <c r="Y57" s="766">
        <f t="shared" si="51"/>
        <v>5.1383399209486161E-2</v>
      </c>
      <c r="Z57" s="706" t="str">
        <f t="shared" si="11"/>
        <v>Sim</v>
      </c>
      <c r="AA57" s="767">
        <f t="shared" si="76"/>
        <v>9.4596077075354223E-2</v>
      </c>
      <c r="AB57" s="767">
        <f t="shared" si="12"/>
        <v>0.40407750000000003</v>
      </c>
      <c r="AC57" s="767">
        <f t="shared" si="6"/>
        <v>0</v>
      </c>
      <c r="AD57" s="703">
        <f t="shared" si="72"/>
        <v>2.8079149244625139</v>
      </c>
      <c r="AE57" s="703">
        <f t="shared" si="17"/>
        <v>0.54813991304347831</v>
      </c>
      <c r="AF57" s="703">
        <f t="shared" si="18"/>
        <v>3.356054837505992</v>
      </c>
      <c r="AG57" s="704">
        <f t="shared" si="34"/>
        <v>2.3832170132325145E-3</v>
      </c>
      <c r="AH57" s="768">
        <f t="shared" si="34"/>
        <v>1.4591542771765182E-2</v>
      </c>
      <c r="AI57" s="703">
        <f t="shared" si="7"/>
        <v>0.46122355499345991</v>
      </c>
      <c r="AJ57" s="701">
        <v>3</v>
      </c>
      <c r="AK57" s="703">
        <v>0.1</v>
      </c>
      <c r="AL57" s="713">
        <f t="shared" si="70"/>
        <v>115</v>
      </c>
      <c r="AM57" s="703">
        <f t="shared" si="73"/>
        <v>1.2682756037384872</v>
      </c>
      <c r="AN57" s="706">
        <f t="shared" si="52"/>
        <v>1</v>
      </c>
      <c r="AO57" s="705" t="s">
        <v>563</v>
      </c>
      <c r="AP57" s="706" t="s">
        <v>523</v>
      </c>
      <c r="AQ57" s="706" t="str">
        <f t="shared" si="53"/>
        <v>3G</v>
      </c>
      <c r="AR57" s="706">
        <f t="shared" si="74"/>
        <v>1.5</v>
      </c>
      <c r="AS57" s="893" t="str">
        <f t="shared" si="8"/>
        <v/>
      </c>
      <c r="AT57" s="893" t="str">
        <f>IF(OR(AQ57="3G",AQ57="5G"),"",VLOOKUP(AR57,Consulta!$T$5:$U$25,2,FALSE))</f>
        <v/>
      </c>
      <c r="AU57" s="894" t="s">
        <v>565</v>
      </c>
      <c r="AV57" s="706" t="s">
        <v>23</v>
      </c>
      <c r="AW57" s="706" t="s">
        <v>564</v>
      </c>
      <c r="AX57" s="706">
        <f t="shared" si="30"/>
        <v>20</v>
      </c>
      <c r="AY57" s="707" t="s">
        <v>24</v>
      </c>
      <c r="AZ57" s="564"/>
      <c r="BA57" s="584">
        <f>IF(AND(J57="Cobre",F57="Monofásico"),VLOOKUP(M57,'Iz''s'!$B$8:$E$23,2,FALSE),IF(AND(J57="Cobre",F57="Trifásico"),VLOOKUP(M57,'Iz''s'!$L$8:$O$23,2,FALSE),IF(AND(J57="Alumínio",F57="Monofásico"),VLOOKUP(M57,'Iz''s'!$B$25:$E$39,2,FALSE),IF(AND(J57="Alumínio",F57="Trifásico"),VLOOKUP(M57,'Iz''s'!$L$25:$O$39,2,FALSE)))))</f>
        <v>14.5</v>
      </c>
      <c r="BB57" s="531">
        <f>IF(AND(J57="Cobre",F57="Monofásico"),VLOOKUP(M57,'Iz''s'!$CD$9:$CH$24,2,FALSE),IF(AND(J57="Cobre",F57="Trifásico"),VLOOKUP(M57,'Iz''s'!$CD$9:$CH$24,4,FALSE),IF(AND(J57="Alumínio",F57="Monofásico"),VLOOKUP(M57,'Iz''s'!$CD$26:$CH$40,2,FALSE),IF(AND(J57="Alumínio",F57="Trifásico"),VLOOKUP(M57,'Iz''s'!$CD$26:$CH$40,4,FALSE)))))</f>
        <v>14</v>
      </c>
      <c r="BC57" s="531">
        <f>IF(AND(J57="Cobre",F57="Monofásico"),VLOOKUP(M57,'Iz''s'!$B$8:$E$23,3,FALSE),IF(AND(J57="Cobre",F57="Trifásico"),VLOOKUP(M57,'Iz''s'!$L$8:$O$23,3,FALSE),IF(AND(J57="Alumínio",F57="Monofásico"),VLOOKUP(M57,'Iz''s'!$B$25:$E$39,3,FALSE),IF(AND(J57="Alumínio",F57="Trifásico"),VLOOKUP(M57,'Iz''s'!$L$25:$O$39,3,FALSE)))))</f>
        <v>17.5</v>
      </c>
      <c r="BD57" s="531">
        <f>IF(AND(J57="Cobre",F57="Monofásico"),VLOOKUP(M57,'Iz''s'!$CD$9:$CH$24,3,FALSE),IF(AND(J57="Cobre",F57="Trifásico"),VLOOKUP(M57,'Iz''s'!$CD$9:$CH$24,5,FALSE),IF(AND(J57="Alumínio",F57="Monofásico"),VLOOKUP(M57,'Iz''s'!$CD$26:$CH$40,3,FALSE),IF(AND(J57="Alumínio",F57="Trifásico"),VLOOKUP(M57,'Iz''s'!$CD$26:$CH$40,5,FALSE)))))</f>
        <v>16.5</v>
      </c>
      <c r="BE57" s="531">
        <f>IF(AND(J57="Cobre",F57="Monofásico"),VLOOKUP(M57,'Iz''s'!$B$8:$E$23,4,FALSE),IF(AND(J57="Cobre",F57="Trifásico"),VLOOKUP(M57,'Iz''s'!$L$8:$O$23,4,FALSE),IF(AND(J57="Alumínio",F57="Monofásico"),VLOOKUP(M57,'Iz''s'!$B$25:$E$39,4,FALSE),IF(AND(J57="Alumínio",F57="Trifásico"),VLOOKUP(M57,'Iz''s'!$L$25:$O$39,4,FALSE)))))</f>
        <v>19.5</v>
      </c>
      <c r="BF57" s="531">
        <f>IF(AND(J57="Cobre",F57="Monofásico"),VLOOKUP(M57,'Iz''s'!$CP$9:$CT$24,3,FALSE),IF(AND(J57="Cobre",F57="Trifásico"),VLOOKUP(M57,'Iz''s'!$CP$9:$CT$24,2,FALSE),IF(AND(J57="Alumínio",F57="Monofásico"),VLOOKUP(M57,'Iz''s'!$CP$26:$CT$37,3,FALSE),IF(AND(J57="Alumínio",F57="Trifásico"),VLOOKUP(M57,'Iz''s'!$CP$26:$CT$37,2,FALSE)))))</f>
        <v>32</v>
      </c>
      <c r="BG57" s="531">
        <f>IF(AND(J57="Cobre",F57="Monofásico"),VLOOKUP(M57,'Iz''s'!$AT$10:$BA$28,2,FALSE),IF(AND(J57="Cobre",F57="Trifásico"),VLOOKUP(M57,'Iz''s'!$AT$10:$BA$28,3,FALSE),IF(AND(J57="Alumínio",F57="Monofásico"),VLOOKUP(M57,'Iz''s'!$BC$10:$BJ$27,2,FALSE),IF(AND(J57="Alumínio",F57="Trifásico"),VLOOKUP(M57,'Iz''s'!$BC$10:$BJ$27,3,FALSE)))))</f>
        <v>22</v>
      </c>
      <c r="BH57" s="609" t="str">
        <f>IF(AND(J57="Cobre",F57="Monofásico"),VLOOKUP(M57,'Iz''s'!$AT$10:$BA$28,4,FALSE),IF(AND(J57="Cobre",F57="Trifásico"),VLOOKUP(M57,'Iz''s'!$AT$10:$BA$28,5,FALSE),IF(AND(J57="Alumínio",F57="Monofásico"),VLOOKUP(M57,'Iz''s'!$BC$10:$BJ$27,4,FALSE),IF(AND(J57="Alumínio",F57="Trifásico"),VLOOKUP(M57,'Iz''s'!$BC$10:$BJ$27,5,FALSE)))))</f>
        <v xml:space="preserve"> --- </v>
      </c>
      <c r="BI57" s="609" t="str">
        <f>IF(AND(J57="Cobre",F57="Monofásico"),"N/A",IF(AND(J57="Cobre",F57="Trifásico"),VLOOKUP(M57,'Iz''s'!$AT$10:$BA$28,8,FALSE),IF(AND(J57="Alumínio",F57="Monofásico"),"N/A",IF(AND(J57="Alumínio",F57="Trifásico"),VLOOKUP(M57,'Iz''s'!$BC$10:$BJ$27,8,FALSE)))))</f>
        <v>N/A</v>
      </c>
      <c r="BJ57" s="531">
        <f>IF(AND(J57="Cobre",F57="Monofásico"),VLOOKUP(M57,'Iz''s'!$G$8:$J$23,2,FALSE),IF(AND(J57="Cobre",F57="Trifásico"),VLOOKUP(M57,'Iz''s'!$Q$8:$T$23,2,FALSE),IF(AND(J57="Alumínio",F57="Monofásico"),VLOOKUP(M57,'Iz''s'!$G$25:$J$39,2,FALSE),IF(AND(J57="Alumínio",F57="Trifásico"),VLOOKUP(M57,'Iz''s'!$Q$25:$T$39,2,FALSE)))))</f>
        <v>19</v>
      </c>
      <c r="BK57" s="609">
        <f>IF(AND(J57="Cobre",F57="Monofásico"),VLOOKUP(M57,'Iz''s'!$CJ$9:$CN$24,2,FALSE),IF(AND(J57="Cobre",F57="Trifásico"),VLOOKUP(M57,'Iz''s'!$CJ$9:$CN$24,4,FALSE),IF(AND(J57="Alumínio",F57="Monofásico"),VLOOKUP(M57,'Iz''s'!$CJ$26:$CN$40,2,FALSE),IF(AND(J57="Alumínio",F57="Trifásico"),VLOOKUP(M57,'Iz''s'!$CJ$26:$CN$40,4,FALSE)))))</f>
        <v>18.5</v>
      </c>
      <c r="BL57" s="609">
        <f>IF(AND(J57="Cobre",F57="Monofásico"),VLOOKUP(M57,'Iz''s'!$G$8:$J$23,3,FALSE),IF(AND(J57="Cobre",F57="Trifásico"),VLOOKUP(M57,'Iz''s'!$Q$8:$T$23,3,FALSE),IF(AND(J57="Alumínio",F57="Monofásico"),VLOOKUP(M57,'Iz''s'!$G$25:$J$39,3,FALSE),IF(AND(J57="Alumínio",F57="Trifásico"),VLOOKUP(M57,'Iz''s'!$Q$25:$T$39,3,FALSE)))))</f>
        <v>23</v>
      </c>
      <c r="BM57" s="609">
        <f>IF(AND(J57="Cobre",F57="Monofásico"),VLOOKUP(M57,'Iz''s'!$CJ$9:$CN$24,3,FALSE),IF(AND(J57="Cobre",F57="Trifásico"),VLOOKUP(M57,'Iz''s'!$CJ$9:$CN$24,5,FALSE),IF(AND(J57="Alumínio",F57="Monofásico"),VLOOKUP(M57,'Iz''s'!$CJ$26:$CN$40,3,FALSE),IF(AND(J57="Alumínio",F57="Trifásico"),VLOOKUP(M57,'Iz''s'!$CJ$26:$CN$40,5,FALSE)))))</f>
        <v>22</v>
      </c>
      <c r="BN57" s="609">
        <f>IF(AND(J57="Cobre",F57="Monofásico"),VLOOKUP(M57,'Iz''s'!$G$8:$J$23,4,FALSE),IF(AND(J57="Cobre",F57="Trifásico"),VLOOKUP(M57,'Iz''s'!$Q$8:$T$23,4,FALSE),IF(AND(J57="Alumínio",F57="Monofásico"),VLOOKUP(M57,'Iz''s'!$G$25:$J$39,4,FALSE),IF(AND(J57="Alumínio",F57="Trifásico"),VLOOKUP(M57,'Iz''s'!$Q$25:$T$39,4,FALSE)))))</f>
        <v>24</v>
      </c>
      <c r="BO57" s="609">
        <f>IF(AND(J57="Cobre",F57="Monofásico"),VLOOKUP(M57,'Iz''s'!$CP$9:$CT$24,5,FALSE),IF(AND(J57="Cobre",F57="Trifásico"),VLOOKUP(M57,'Iz''s'!$CP$9:$CT$24,4,FALSE),IF(AND(J57="Alumínio",F57="Monofásico"),VLOOKUP(M57,'Iz''s'!$CP$26:$CT$37,5,FALSE),IF(AND(J57="Alumínio",F57="Trifásico"),VLOOKUP(M57,'Iz''s'!$CP$26:$CT$37,4,FALSE)))))</f>
        <v>37</v>
      </c>
      <c r="BP57" s="609">
        <f>IF(AND(J57="Cobre",F57="Monofásico"),VLOOKUP(M57,'Iz''s'!$BL$10:$BS$28,2,FALSE),IF(AND(J57="Cobre",F57="Trifásico"),VLOOKUP(M57,'Iz''s'!$BL$10:$BS$28,3,FALSE),IF(AND(J57="Alumínio",F57="Monofásico"),VLOOKUP(M57,'Iz''s'!$BU$10:$CB$27,2,FALSE),IF(AND(J57="Alumínio",F57="Trifásico"),VLOOKUP(M57,'Iz''s'!$BU$10:$CB$27,3,FALSE)))))</f>
        <v>26</v>
      </c>
      <c r="BQ57" s="531" t="str">
        <f>IF(AND(J57="Cobre",F57="Monofásico"),VLOOKUP(M57,'Iz''s'!$BL$10:$BS$28,4,FALSE),IF(AND(J57="Cobre",F57="Trifásico"),VLOOKUP(M57,'Iz''s'!$BL$10:$BS$28,5,FALSE),IF(AND(J57="Alumínio",F57="Monofásico"),VLOOKUP(M57,'Iz''s'!$BU$10:$CB$27,4,FALSE),IF(AND(J57="Alumínio",F57="Trifásico"),VLOOKUP(M57,'Iz''s'!$BU$10:$CB$27,5,FALSE)))))</f>
        <v xml:space="preserve"> --- </v>
      </c>
      <c r="BR57" s="609" t="str">
        <f>IF(AND(J57="Cobre",F57="Monofásico"),"N/A",IF(AND(J57="Cobre",F57="Trifásico"),VLOOKUP(M57,'Iz''s'!$BL$10:$BS$28,8,FALSE),IF(AND(J57="Alumínio",F57="Monofásico"),"N/A",IF(AND(J57="Alumínio",F57="Trifásico"),VLOOKUP(M57,'Iz''s'!$BU$10:$CB$27,8,FALSE)))))</f>
        <v>N/A</v>
      </c>
      <c r="BS57" s="609">
        <f>IF(AND(J57="Cobre",F57="Monofásico"),VLOOKUP(M57,'Iz''s'!$V$14:$Y$28,2,FALSE),IF(AND(J57="Cobre",F57="Trifásico"),VLOOKUP(M57,'Iz''s'!$V$14:$Y$28,3,FALSE),IF(AND(J57="Alumínio",F57="Monofásico"),VLOOKUP(M57,"N/A",4,FALSE),IF(AND(J57="Alumínio",F57="Trifásico"),VLOOKUP(M57,"N/A",4,FALSE)))))</f>
        <v>25</v>
      </c>
      <c r="BT57" s="609">
        <f>IF(AND(J57="Cobre",F57="Monofásico"),VLOOKUP(M57,'Iz''s'!$AF$15:$AK$29,2,FALSE),IF(AND(J57="Cobre",F57="Trifásico"),VLOOKUP(M57,'Iz''s'!$AF$15:$AK$29,3,FALSE),IF(AND(J57="Alumínio",F57="Monofásico"),"N/A",IF(AND(J57="Alumínio",F57="Trifásico"),"N/A"))))</f>
        <v>26</v>
      </c>
      <c r="BU57" s="609">
        <f>IF(AND(J57="Cobre",F57="Monofásico"),VLOOKUP(M57,'Iz''s'!$AF$15:$AK$29,2,FALSE),IF(AND(J57="Cobre",F57="Trifásico"),VLOOKUP(M57,'Iz''s'!$AF$15:$AK$29,3,FALSE),IF(AND(J57="Alumínio",F57="Monofásico"),"N/A",IF(AND(J57="Alumínio",F57="Trifásico"),"N/A"))))</f>
        <v>26</v>
      </c>
      <c r="BV57" s="610" t="str">
        <f>IF(AND(J57="Cobre",F57="Monofásico"),"N/A",IF(AND(J57="Cobre",F57="Trifásico"),VLOOKUP(M57,'Iz''s'!$AF$15:$AK$29,6,FALSE),IF(AND(J57="Alumínio",F57="Monofásico"),"N/A",IF(AND(J57="Alumínio",F57="Trifásico"),"N/A"))))</f>
        <v>N/A</v>
      </c>
      <c r="BW57" s="611">
        <v>55</v>
      </c>
      <c r="BX57" s="583"/>
      <c r="BY57" s="612">
        <f>VLOOKUP(M57,Consulta!$W$6:$AB$23,4,FALSE)</f>
        <v>16</v>
      </c>
      <c r="BZ57" s="612">
        <f>VLOOKUP(M57,Consulta!$W$6:$AB$23,6,FALSE)</f>
        <v>20</v>
      </c>
      <c r="CA57" s="612">
        <f>VLOOKUP(M57,Consulta!$AK$6:$AP$23,4,FALSE)</f>
        <v>20</v>
      </c>
      <c r="CB57" s="612">
        <f>VLOOKUP(M57,Consulta!$AK$6:$AP$23,6,FALSE)</f>
        <v>20</v>
      </c>
      <c r="CC57" s="585" t="e">
        <f>VLOOKUP(M57,Consulta!$AD$6:$AI$19,4,FALSE)</f>
        <v>#N/A</v>
      </c>
      <c r="CD57" s="585" t="e">
        <f>VLOOKUP(M57,Consulta!$AD$6:$AI$19,6,FALSE)</f>
        <v>#N/A</v>
      </c>
      <c r="CE57" s="585" t="e">
        <f>VLOOKUP(M57,Consulta!$AR$6:$AW$19,4,FALSE)</f>
        <v>#N/A</v>
      </c>
      <c r="CF57" s="586" t="e">
        <f>VLOOKUP(M57,Consulta!$AR$6:$AW$19,6,FALSE)</f>
        <v>#N/A</v>
      </c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</row>
    <row r="58" spans="1:212" s="560" customFormat="1" ht="16.5" customHeight="1" x14ac:dyDescent="0.2">
      <c r="A58" s="559"/>
      <c r="B58" s="1117"/>
      <c r="C58" s="820" t="s">
        <v>803</v>
      </c>
      <c r="D58" s="701">
        <f>3*13/1000</f>
        <v>3.9E-2</v>
      </c>
      <c r="E58" s="701">
        <f>0.175+0.1+0.925+2.21+0.62+1.68+6.28+3.34+0.45+1.1+3.34+0.7667</f>
        <v>20.986699999999999</v>
      </c>
      <c r="F58" s="701" t="s">
        <v>244</v>
      </c>
      <c r="G58" s="701" t="s">
        <v>808</v>
      </c>
      <c r="H58" s="701">
        <v>1</v>
      </c>
      <c r="I58" s="765" t="s">
        <v>13</v>
      </c>
      <c r="J58" s="701" t="s">
        <v>242</v>
      </c>
      <c r="K58" s="701" t="s">
        <v>363</v>
      </c>
      <c r="L58" s="701">
        <v>1</v>
      </c>
      <c r="M58" s="702">
        <v>1.5</v>
      </c>
      <c r="N58" s="701" t="s">
        <v>453</v>
      </c>
      <c r="O58" s="701">
        <v>4</v>
      </c>
      <c r="P58" s="555">
        <f t="shared" si="62"/>
        <v>16.5</v>
      </c>
      <c r="Q58" s="701">
        <v>3</v>
      </c>
      <c r="R58" s="701">
        <v>0.8</v>
      </c>
      <c r="S58" s="555">
        <f t="shared" si="55"/>
        <v>0.16956521739130434</v>
      </c>
      <c r="T58" s="712">
        <f t="shared" si="77"/>
        <v>13.200000000000001</v>
      </c>
      <c r="U58" s="701" t="s">
        <v>499</v>
      </c>
      <c r="V58" s="555">
        <v>10</v>
      </c>
      <c r="W58" s="701">
        <f>IF(U58="C.C.Fusíveis",VLOOKUP(V58,Consulta!$L$5:$N$31,3,FALSE),VLOOKUP(V58,Consulta!$P$5:$R$34,3,FALSE))</f>
        <v>13.5</v>
      </c>
      <c r="X58" s="713">
        <f t="shared" si="10"/>
        <v>24</v>
      </c>
      <c r="Y58" s="766">
        <f t="shared" si="51"/>
        <v>1.284584980237154E-2</v>
      </c>
      <c r="Z58" s="706" t="str">
        <f t="shared" si="11"/>
        <v>Sim</v>
      </c>
      <c r="AA58" s="767">
        <f t="shared" si="76"/>
        <v>9.4596077075354223E-2</v>
      </c>
      <c r="AB58" s="767">
        <f t="shared" si="12"/>
        <v>0.39350062499999994</v>
      </c>
      <c r="AC58" s="767">
        <f t="shared" si="6"/>
        <v>0</v>
      </c>
      <c r="AD58" s="703">
        <f t="shared" si="72"/>
        <v>2.8079149244625139</v>
      </c>
      <c r="AE58" s="703">
        <f t="shared" si="17"/>
        <v>0.13344803804347824</v>
      </c>
      <c r="AF58" s="703">
        <f t="shared" si="18"/>
        <v>2.9413629625059921</v>
      </c>
      <c r="AG58" s="704">
        <f t="shared" si="34"/>
        <v>5.8020886105860107E-4</v>
      </c>
      <c r="AH58" s="768">
        <f t="shared" si="34"/>
        <v>1.278853461959127E-2</v>
      </c>
      <c r="AI58" s="703">
        <f t="shared" si="7"/>
        <v>0.47121809883585686</v>
      </c>
      <c r="AJ58" s="701">
        <v>3</v>
      </c>
      <c r="AK58" s="703">
        <v>0.1</v>
      </c>
      <c r="AL58" s="713">
        <f t="shared" si="70"/>
        <v>115</v>
      </c>
      <c r="AM58" s="703">
        <f t="shared" si="73"/>
        <v>1.2957586669701264</v>
      </c>
      <c r="AN58" s="706">
        <f t="shared" si="52"/>
        <v>1</v>
      </c>
      <c r="AO58" s="705" t="s">
        <v>563</v>
      </c>
      <c r="AP58" s="706" t="s">
        <v>523</v>
      </c>
      <c r="AQ58" s="706" t="str">
        <f t="shared" si="53"/>
        <v>3G</v>
      </c>
      <c r="AR58" s="706">
        <f t="shared" si="74"/>
        <v>1.5</v>
      </c>
      <c r="AS58" s="893" t="str">
        <f t="shared" si="8"/>
        <v/>
      </c>
      <c r="AT58" s="893" t="str">
        <f>IF(OR(AQ58="3G",AQ58="5G"),"",VLOOKUP(AR58,Consulta!$T$5:$U$25,2,FALSE))</f>
        <v/>
      </c>
      <c r="AU58" s="894" t="s">
        <v>565</v>
      </c>
      <c r="AV58" s="706" t="s">
        <v>23</v>
      </c>
      <c r="AW58" s="706" t="s">
        <v>564</v>
      </c>
      <c r="AX58" s="706">
        <f t="shared" si="30"/>
        <v>20</v>
      </c>
      <c r="AY58" s="707" t="s">
        <v>24</v>
      </c>
      <c r="AZ58" s="564"/>
      <c r="BA58" s="584">
        <f>IF(AND(J58="Cobre",F58="Monofásico"),VLOOKUP(M58,'Iz''s'!$B$8:$E$23,2,FALSE),IF(AND(J58="Cobre",F58="Trifásico"),VLOOKUP(M58,'Iz''s'!$L$8:$O$23,2,FALSE),IF(AND(J58="Alumínio",F58="Monofásico"),VLOOKUP(M58,'Iz''s'!$B$25:$E$39,2,FALSE),IF(AND(J58="Alumínio",F58="Trifásico"),VLOOKUP(M58,'Iz''s'!$L$25:$O$39,2,FALSE)))))</f>
        <v>14.5</v>
      </c>
      <c r="BB58" s="531">
        <f>IF(AND(J58="Cobre",F58="Monofásico"),VLOOKUP(M58,'Iz''s'!$CD$9:$CH$24,2,FALSE),IF(AND(J58="Cobre",F58="Trifásico"),VLOOKUP(M58,'Iz''s'!$CD$9:$CH$24,4,FALSE),IF(AND(J58="Alumínio",F58="Monofásico"),VLOOKUP(M58,'Iz''s'!$CD$26:$CH$40,2,FALSE),IF(AND(J58="Alumínio",F58="Trifásico"),VLOOKUP(M58,'Iz''s'!$CD$26:$CH$40,4,FALSE)))))</f>
        <v>14</v>
      </c>
      <c r="BC58" s="531">
        <f>IF(AND(J58="Cobre",F58="Monofásico"),VLOOKUP(M58,'Iz''s'!$B$8:$E$23,3,FALSE),IF(AND(J58="Cobre",F58="Trifásico"),VLOOKUP(M58,'Iz''s'!$L$8:$O$23,3,FALSE),IF(AND(J58="Alumínio",F58="Monofásico"),VLOOKUP(M58,'Iz''s'!$B$25:$E$39,3,FALSE),IF(AND(J58="Alumínio",F58="Trifásico"),VLOOKUP(M58,'Iz''s'!$L$25:$O$39,3,FALSE)))))</f>
        <v>17.5</v>
      </c>
      <c r="BD58" s="531">
        <f>IF(AND(J58="Cobre",F58="Monofásico"),VLOOKUP(M58,'Iz''s'!$CD$9:$CH$24,3,FALSE),IF(AND(J58="Cobre",F58="Trifásico"),VLOOKUP(M58,'Iz''s'!$CD$9:$CH$24,5,FALSE),IF(AND(J58="Alumínio",F58="Monofásico"),VLOOKUP(M58,'Iz''s'!$CD$26:$CH$40,3,FALSE),IF(AND(J58="Alumínio",F58="Trifásico"),VLOOKUP(M58,'Iz''s'!$CD$26:$CH$40,5,FALSE)))))</f>
        <v>16.5</v>
      </c>
      <c r="BE58" s="531">
        <f>IF(AND(J58="Cobre",F58="Monofásico"),VLOOKUP(M58,'Iz''s'!$B$8:$E$23,4,FALSE),IF(AND(J58="Cobre",F58="Trifásico"),VLOOKUP(M58,'Iz''s'!$L$8:$O$23,4,FALSE),IF(AND(J58="Alumínio",F58="Monofásico"),VLOOKUP(M58,'Iz''s'!$B$25:$E$39,4,FALSE),IF(AND(J58="Alumínio",F58="Trifásico"),VLOOKUP(M58,'Iz''s'!$L$25:$O$39,4,FALSE)))))</f>
        <v>19.5</v>
      </c>
      <c r="BF58" s="531">
        <f>IF(AND(J58="Cobre",F58="Monofásico"),VLOOKUP(M58,'Iz''s'!$CP$9:$CT$24,3,FALSE),IF(AND(J58="Cobre",F58="Trifásico"),VLOOKUP(M58,'Iz''s'!$CP$9:$CT$24,2,FALSE),IF(AND(J58="Alumínio",F58="Monofásico"),VLOOKUP(M58,'Iz''s'!$CP$26:$CT$37,3,FALSE),IF(AND(J58="Alumínio",F58="Trifásico"),VLOOKUP(M58,'Iz''s'!$CP$26:$CT$37,2,FALSE)))))</f>
        <v>32</v>
      </c>
      <c r="BG58" s="531">
        <f>IF(AND(J58="Cobre",F58="Monofásico"),VLOOKUP(M58,'Iz''s'!$AT$10:$BA$28,2,FALSE),IF(AND(J58="Cobre",F58="Trifásico"),VLOOKUP(M58,'Iz''s'!$AT$10:$BA$28,3,FALSE),IF(AND(J58="Alumínio",F58="Monofásico"),VLOOKUP(M58,'Iz''s'!$BC$10:$BJ$27,2,FALSE),IF(AND(J58="Alumínio",F58="Trifásico"),VLOOKUP(M58,'Iz''s'!$BC$10:$BJ$27,3,FALSE)))))</f>
        <v>22</v>
      </c>
      <c r="BH58" s="609" t="str">
        <f>IF(AND(J58="Cobre",F58="Monofásico"),VLOOKUP(M58,'Iz''s'!$AT$10:$BA$28,4,FALSE),IF(AND(J58="Cobre",F58="Trifásico"),VLOOKUP(M58,'Iz''s'!$AT$10:$BA$28,5,FALSE),IF(AND(J58="Alumínio",F58="Monofásico"),VLOOKUP(M58,'Iz''s'!$BC$10:$BJ$27,4,FALSE),IF(AND(J58="Alumínio",F58="Trifásico"),VLOOKUP(M58,'Iz''s'!$BC$10:$BJ$27,5,FALSE)))))</f>
        <v xml:space="preserve"> --- </v>
      </c>
      <c r="BI58" s="609" t="str">
        <f>IF(AND(J58="Cobre",F58="Monofásico"),"N/A",IF(AND(J58="Cobre",F58="Trifásico"),VLOOKUP(M58,'Iz''s'!$AT$10:$BA$28,8,FALSE),IF(AND(J58="Alumínio",F58="Monofásico"),"N/A",IF(AND(J58="Alumínio",F58="Trifásico"),VLOOKUP(M58,'Iz''s'!$BC$10:$BJ$27,8,FALSE)))))</f>
        <v>N/A</v>
      </c>
      <c r="BJ58" s="531">
        <f>IF(AND(J58="Cobre",F58="Monofásico"),VLOOKUP(M58,'Iz''s'!$G$8:$J$23,2,FALSE),IF(AND(J58="Cobre",F58="Trifásico"),VLOOKUP(M58,'Iz''s'!$Q$8:$T$23,2,FALSE),IF(AND(J58="Alumínio",F58="Monofásico"),VLOOKUP(M58,'Iz''s'!$G$25:$J$39,2,FALSE),IF(AND(J58="Alumínio",F58="Trifásico"),VLOOKUP(M58,'Iz''s'!$Q$25:$T$39,2,FALSE)))))</f>
        <v>19</v>
      </c>
      <c r="BK58" s="609">
        <f>IF(AND(J58="Cobre",F58="Monofásico"),VLOOKUP(M58,'Iz''s'!$CJ$9:$CN$24,2,FALSE),IF(AND(J58="Cobre",F58="Trifásico"),VLOOKUP(M58,'Iz''s'!$CJ$9:$CN$24,4,FALSE),IF(AND(J58="Alumínio",F58="Monofásico"),VLOOKUP(M58,'Iz''s'!$CJ$26:$CN$40,2,FALSE),IF(AND(J58="Alumínio",F58="Trifásico"),VLOOKUP(M58,'Iz''s'!$CJ$26:$CN$40,4,FALSE)))))</f>
        <v>18.5</v>
      </c>
      <c r="BL58" s="609">
        <f>IF(AND(J58="Cobre",F58="Monofásico"),VLOOKUP(M58,'Iz''s'!$G$8:$J$23,3,FALSE),IF(AND(J58="Cobre",F58="Trifásico"),VLOOKUP(M58,'Iz''s'!$Q$8:$T$23,3,FALSE),IF(AND(J58="Alumínio",F58="Monofásico"),VLOOKUP(M58,'Iz''s'!$G$25:$J$39,3,FALSE),IF(AND(J58="Alumínio",F58="Trifásico"),VLOOKUP(M58,'Iz''s'!$Q$25:$T$39,3,FALSE)))))</f>
        <v>23</v>
      </c>
      <c r="BM58" s="609">
        <f>IF(AND(J58="Cobre",F58="Monofásico"),VLOOKUP(M58,'Iz''s'!$CJ$9:$CN$24,3,FALSE),IF(AND(J58="Cobre",F58="Trifásico"),VLOOKUP(M58,'Iz''s'!$CJ$9:$CN$24,5,FALSE),IF(AND(J58="Alumínio",F58="Monofásico"),VLOOKUP(M58,'Iz''s'!$CJ$26:$CN$40,3,FALSE),IF(AND(J58="Alumínio",F58="Trifásico"),VLOOKUP(M58,'Iz''s'!$CJ$26:$CN$40,5,FALSE)))))</f>
        <v>22</v>
      </c>
      <c r="BN58" s="609">
        <f>IF(AND(J58="Cobre",F58="Monofásico"),VLOOKUP(M58,'Iz''s'!$G$8:$J$23,4,FALSE),IF(AND(J58="Cobre",F58="Trifásico"),VLOOKUP(M58,'Iz''s'!$Q$8:$T$23,4,FALSE),IF(AND(J58="Alumínio",F58="Monofásico"),VLOOKUP(M58,'Iz''s'!$G$25:$J$39,4,FALSE),IF(AND(J58="Alumínio",F58="Trifásico"),VLOOKUP(M58,'Iz''s'!$Q$25:$T$39,4,FALSE)))))</f>
        <v>24</v>
      </c>
      <c r="BO58" s="609">
        <f>IF(AND(J58="Cobre",F58="Monofásico"),VLOOKUP(M58,'Iz''s'!$CP$9:$CT$24,5,FALSE),IF(AND(J58="Cobre",F58="Trifásico"),VLOOKUP(M58,'Iz''s'!$CP$9:$CT$24,4,FALSE),IF(AND(J58="Alumínio",F58="Monofásico"),VLOOKUP(M58,'Iz''s'!$CP$26:$CT$37,5,FALSE),IF(AND(J58="Alumínio",F58="Trifásico"),VLOOKUP(M58,'Iz''s'!$CP$26:$CT$37,4,FALSE)))))</f>
        <v>37</v>
      </c>
      <c r="BP58" s="609">
        <f>IF(AND(J58="Cobre",F58="Monofásico"),VLOOKUP(M58,'Iz''s'!$BL$10:$BS$28,2,FALSE),IF(AND(J58="Cobre",F58="Trifásico"),VLOOKUP(M58,'Iz''s'!$BL$10:$BS$28,3,FALSE),IF(AND(J58="Alumínio",F58="Monofásico"),VLOOKUP(M58,'Iz''s'!$BU$10:$CB$27,2,FALSE),IF(AND(J58="Alumínio",F58="Trifásico"),VLOOKUP(M58,'Iz''s'!$BU$10:$CB$27,3,FALSE)))))</f>
        <v>26</v>
      </c>
      <c r="BQ58" s="531" t="str">
        <f>IF(AND(J58="Cobre",F58="Monofásico"),VLOOKUP(M58,'Iz''s'!$BL$10:$BS$28,4,FALSE),IF(AND(J58="Cobre",F58="Trifásico"),VLOOKUP(M58,'Iz''s'!$BL$10:$BS$28,5,FALSE),IF(AND(J58="Alumínio",F58="Monofásico"),VLOOKUP(M58,'Iz''s'!$BU$10:$CB$27,4,FALSE),IF(AND(J58="Alumínio",F58="Trifásico"),VLOOKUP(M58,'Iz''s'!$BU$10:$CB$27,5,FALSE)))))</f>
        <v xml:space="preserve"> --- </v>
      </c>
      <c r="BR58" s="609" t="str">
        <f>IF(AND(J58="Cobre",F58="Monofásico"),"N/A",IF(AND(J58="Cobre",F58="Trifásico"),VLOOKUP(M58,'Iz''s'!$BL$10:$BS$28,8,FALSE),IF(AND(J58="Alumínio",F58="Monofásico"),"N/A",IF(AND(J58="Alumínio",F58="Trifásico"),VLOOKUP(M58,'Iz''s'!$BU$10:$CB$27,8,FALSE)))))</f>
        <v>N/A</v>
      </c>
      <c r="BS58" s="609">
        <f>IF(AND(J58="Cobre",F58="Monofásico"),VLOOKUP(M58,'Iz''s'!$V$14:$Y$28,2,FALSE),IF(AND(J58="Cobre",F58="Trifásico"),VLOOKUP(M58,'Iz''s'!$V$14:$Y$28,3,FALSE),IF(AND(J58="Alumínio",F58="Monofásico"),VLOOKUP(M58,"N/A",4,FALSE),IF(AND(J58="Alumínio",F58="Trifásico"),VLOOKUP(M58,"N/A",4,FALSE)))))</f>
        <v>25</v>
      </c>
      <c r="BT58" s="609">
        <f>IF(AND(J58="Cobre",F58="Monofásico"),VLOOKUP(M58,'Iz''s'!$AF$15:$AK$29,2,FALSE),IF(AND(J58="Cobre",F58="Trifásico"),VLOOKUP(M58,'Iz''s'!$AF$15:$AK$29,3,FALSE),IF(AND(J58="Alumínio",F58="Monofásico"),"N/A",IF(AND(J58="Alumínio",F58="Trifásico"),"N/A"))))</f>
        <v>26</v>
      </c>
      <c r="BU58" s="609">
        <f>IF(AND(J58="Cobre",F58="Monofásico"),VLOOKUP(M58,'Iz''s'!$AF$15:$AK$29,2,FALSE),IF(AND(J58="Cobre",F58="Trifásico"),VLOOKUP(M58,'Iz''s'!$AF$15:$AK$29,3,FALSE),IF(AND(J58="Alumínio",F58="Monofásico"),"N/A",IF(AND(J58="Alumínio",F58="Trifásico"),"N/A"))))</f>
        <v>26</v>
      </c>
      <c r="BV58" s="610" t="str">
        <f>IF(AND(J58="Cobre",F58="Monofásico"),"N/A",IF(AND(J58="Cobre",F58="Trifásico"),VLOOKUP(M58,'Iz''s'!$AF$15:$AK$29,6,FALSE),IF(AND(J58="Alumínio",F58="Monofásico"),"N/A",IF(AND(J58="Alumínio",F58="Trifásico"),"N/A"))))</f>
        <v>N/A</v>
      </c>
      <c r="BW58" s="611">
        <v>56</v>
      </c>
      <c r="BX58" s="583"/>
      <c r="BY58" s="612">
        <f>VLOOKUP(M58,Consulta!$W$6:$AB$23,4,FALSE)</f>
        <v>16</v>
      </c>
      <c r="BZ58" s="612">
        <f>VLOOKUP(M58,Consulta!$W$6:$AB$23,6,FALSE)</f>
        <v>20</v>
      </c>
      <c r="CA58" s="612">
        <f>VLOOKUP(M58,Consulta!$AK$6:$AP$23,4,FALSE)</f>
        <v>20</v>
      </c>
      <c r="CB58" s="612">
        <f>VLOOKUP(M58,Consulta!$AK$6:$AP$23,6,FALSE)</f>
        <v>20</v>
      </c>
      <c r="CC58" s="585" t="e">
        <f>VLOOKUP(M58,Consulta!$AD$6:$AI$19,4,FALSE)</f>
        <v>#N/A</v>
      </c>
      <c r="CD58" s="585" t="e">
        <f>VLOOKUP(M58,Consulta!$AD$6:$AI$19,6,FALSE)</f>
        <v>#N/A</v>
      </c>
      <c r="CE58" s="585" t="e">
        <f>VLOOKUP(M58,Consulta!$AR$6:$AW$19,4,FALSE)</f>
        <v>#N/A</v>
      </c>
      <c r="CF58" s="586" t="e">
        <f>VLOOKUP(M58,Consulta!$AR$6:$AW$19,6,FALSE)</f>
        <v>#N/A</v>
      </c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</row>
    <row r="59" spans="1:212" s="777" customFormat="1" ht="16.5" customHeight="1" thickBot="1" x14ac:dyDescent="0.25">
      <c r="A59" s="776"/>
      <c r="B59" s="1119"/>
      <c r="C59" s="823" t="s">
        <v>804</v>
      </c>
      <c r="D59" s="728">
        <v>1.6</v>
      </c>
      <c r="E59" s="728">
        <f>3.75+1</f>
        <v>4.75</v>
      </c>
      <c r="F59" s="728" t="s">
        <v>244</v>
      </c>
      <c r="G59" s="728" t="s">
        <v>808</v>
      </c>
      <c r="H59" s="728">
        <v>0.8</v>
      </c>
      <c r="I59" s="729" t="s">
        <v>13</v>
      </c>
      <c r="J59" s="728" t="s">
        <v>242</v>
      </c>
      <c r="K59" s="728" t="s">
        <v>363</v>
      </c>
      <c r="L59" s="728">
        <v>1</v>
      </c>
      <c r="M59" s="730">
        <v>1.5</v>
      </c>
      <c r="N59" s="728" t="s">
        <v>453</v>
      </c>
      <c r="O59" s="728">
        <v>4</v>
      </c>
      <c r="P59" s="573">
        <f t="shared" si="62"/>
        <v>16.5</v>
      </c>
      <c r="Q59" s="728">
        <v>3</v>
      </c>
      <c r="R59" s="728">
        <v>1</v>
      </c>
      <c r="S59" s="573">
        <f t="shared" si="55"/>
        <v>8.695652173913043</v>
      </c>
      <c r="T59" s="731">
        <f t="shared" si="75"/>
        <v>16.5</v>
      </c>
      <c r="U59" s="728" t="s">
        <v>499</v>
      </c>
      <c r="V59" s="573">
        <v>10</v>
      </c>
      <c r="W59" s="728">
        <f>IF(U59="C.C.Fusíveis",VLOOKUP(V59,Consulta!$L$5:$N$31,3,FALSE),VLOOKUP(V59,Consulta!$P$5:$R$34,3,FALSE))</f>
        <v>13.5</v>
      </c>
      <c r="X59" s="739">
        <f t="shared" si="10"/>
        <v>24</v>
      </c>
      <c r="Y59" s="772">
        <f>S59/T59</f>
        <v>0.52700922266139649</v>
      </c>
      <c r="Z59" s="734" t="str">
        <f t="shared" si="11"/>
        <v>Sim</v>
      </c>
      <c r="AA59" s="773">
        <f t="shared" si="76"/>
        <v>9.4596077075354223E-2</v>
      </c>
      <c r="AB59" s="773">
        <f t="shared" si="12"/>
        <v>8.9062499999999989E-2</v>
      </c>
      <c r="AC59" s="773">
        <f>(IF(M59&lt;10,0,(0.00008)))*(E59)</f>
        <v>0</v>
      </c>
      <c r="AD59" s="732">
        <f t="shared" si="72"/>
        <v>2.8079149244625139</v>
      </c>
      <c r="AE59" s="732">
        <f t="shared" si="17"/>
        <v>1.2391304347826084</v>
      </c>
      <c r="AF59" s="732">
        <f t="shared" si="18"/>
        <v>4.0470453592451223</v>
      </c>
      <c r="AG59" s="733">
        <f t="shared" si="34"/>
        <v>5.3875236294896019E-3</v>
      </c>
      <c r="AH59" s="826">
        <f t="shared" si="34"/>
        <v>1.7595849388022271E-2</v>
      </c>
      <c r="AI59" s="732">
        <f t="shared" si="7"/>
        <v>1.2523237610930207</v>
      </c>
      <c r="AJ59" s="728">
        <v>3</v>
      </c>
      <c r="AK59" s="732">
        <v>0.1</v>
      </c>
      <c r="AL59" s="739">
        <f t="shared" si="70"/>
        <v>115</v>
      </c>
      <c r="AM59" s="732">
        <f t="shared" si="73"/>
        <v>3.4436482200021761</v>
      </c>
      <c r="AN59" s="734">
        <f t="shared" si="52"/>
        <v>1</v>
      </c>
      <c r="AO59" s="863" t="s">
        <v>563</v>
      </c>
      <c r="AP59" s="734" t="s">
        <v>523</v>
      </c>
      <c r="AQ59" s="734" t="str">
        <f t="shared" si="53"/>
        <v>3G</v>
      </c>
      <c r="AR59" s="734">
        <f t="shared" si="74"/>
        <v>1.5</v>
      </c>
      <c r="AS59" s="891" t="str">
        <f t="shared" si="8"/>
        <v/>
      </c>
      <c r="AT59" s="891" t="str">
        <f>IF(OR(AQ59="3G",AQ59="5G"),"",VLOOKUP(AR59,Consulta!$T$5:$U$25,2,FALSE))</f>
        <v/>
      </c>
      <c r="AU59" s="892" t="s">
        <v>565</v>
      </c>
      <c r="AV59" s="734" t="s">
        <v>23</v>
      </c>
      <c r="AW59" s="734" t="s">
        <v>564</v>
      </c>
      <c r="AX59" s="734">
        <f t="shared" si="30"/>
        <v>20</v>
      </c>
      <c r="AY59" s="735" t="s">
        <v>24</v>
      </c>
      <c r="AZ59" s="662"/>
      <c r="BA59" s="671">
        <f>IF(AND(J59="Cobre",F59="Monofásico"),VLOOKUP(M59,'Iz''s'!$B$8:$E$23,2,FALSE),IF(AND(J59="Cobre",F59="Trifásico"),VLOOKUP(M59,'Iz''s'!$L$8:$O$23,2,FALSE),IF(AND(J59="Alumínio",F59="Monofásico"),VLOOKUP(M59,'Iz''s'!$B$25:$E$39,2,FALSE),IF(AND(J59="Alumínio",F59="Trifásico"),VLOOKUP(M59,'Iz''s'!$L$25:$O$39,2,FALSE)))))</f>
        <v>14.5</v>
      </c>
      <c r="BB59" s="672">
        <f>IF(AND(J59="Cobre",F59="Monofásico"),VLOOKUP(M59,'Iz''s'!$CD$9:$CH$24,2,FALSE),IF(AND(J59="Cobre",F59="Trifásico"),VLOOKUP(M59,'Iz''s'!$CD$9:$CH$24,4,FALSE),IF(AND(J59="Alumínio",F59="Monofásico"),VLOOKUP(M59,'Iz''s'!$CD$26:$CH$40,2,FALSE),IF(AND(J59="Alumínio",F59="Trifásico"),VLOOKUP(M59,'Iz''s'!$CD$26:$CH$40,4,FALSE)))))</f>
        <v>14</v>
      </c>
      <c r="BC59" s="672">
        <f>IF(AND(J59="Cobre",F59="Monofásico"),VLOOKUP(M59,'Iz''s'!$B$8:$E$23,3,FALSE),IF(AND(J59="Cobre",F59="Trifásico"),VLOOKUP(M59,'Iz''s'!$L$8:$O$23,3,FALSE),IF(AND(J59="Alumínio",F59="Monofásico"),VLOOKUP(M59,'Iz''s'!$B$25:$E$39,3,FALSE),IF(AND(J59="Alumínio",F59="Trifásico"),VLOOKUP(M59,'Iz''s'!$L$25:$O$39,3,FALSE)))))</f>
        <v>17.5</v>
      </c>
      <c r="BD59" s="672">
        <f>IF(AND(J59="Cobre",F59="Monofásico"),VLOOKUP(M59,'Iz''s'!$CD$9:$CH$24,3,FALSE),IF(AND(J59="Cobre",F59="Trifásico"),VLOOKUP(M59,'Iz''s'!$CD$9:$CH$24,5,FALSE),IF(AND(J59="Alumínio",F59="Monofásico"),VLOOKUP(M59,'Iz''s'!$CD$26:$CH$40,3,FALSE),IF(AND(J59="Alumínio",F59="Trifásico"),VLOOKUP(M59,'Iz''s'!$CD$26:$CH$40,5,FALSE)))))</f>
        <v>16.5</v>
      </c>
      <c r="BE59" s="672">
        <f>IF(AND(J59="Cobre",F59="Monofásico"),VLOOKUP(M59,'Iz''s'!$B$8:$E$23,4,FALSE),IF(AND(J59="Cobre",F59="Trifásico"),VLOOKUP(M59,'Iz''s'!$L$8:$O$23,4,FALSE),IF(AND(J59="Alumínio",F59="Monofásico"),VLOOKUP(M59,'Iz''s'!$B$25:$E$39,4,FALSE),IF(AND(J59="Alumínio",F59="Trifásico"),VLOOKUP(M59,'Iz''s'!$L$25:$O$39,4,FALSE)))))</f>
        <v>19.5</v>
      </c>
      <c r="BF59" s="672">
        <f>IF(AND(J59="Cobre",F59="Monofásico"),VLOOKUP(M59,'Iz''s'!$CP$9:$CT$24,3,FALSE),IF(AND(J59="Cobre",F59="Trifásico"),VLOOKUP(M59,'Iz''s'!$CP$9:$CT$24,2,FALSE),IF(AND(J59="Alumínio",F59="Monofásico"),VLOOKUP(M59,'Iz''s'!$CP$26:$CT$37,3,FALSE),IF(AND(J59="Alumínio",F59="Trifásico"),VLOOKUP(M59,'Iz''s'!$CP$26:$CT$37,2,FALSE)))))</f>
        <v>32</v>
      </c>
      <c r="BG59" s="672">
        <f>IF(AND(J59="Cobre",F59="Monofásico"),VLOOKUP(M59,'Iz''s'!$AT$10:$BA$28,2,FALSE),IF(AND(J59="Cobre",F59="Trifásico"),VLOOKUP(M59,'Iz''s'!$AT$10:$BA$28,3,FALSE),IF(AND(J59="Alumínio",F59="Monofásico"),VLOOKUP(M59,'Iz''s'!$BC$10:$BJ$27,2,FALSE),IF(AND(J59="Alumínio",F59="Trifásico"),VLOOKUP(M59,'Iz''s'!$BC$10:$BJ$27,3,FALSE)))))</f>
        <v>22</v>
      </c>
      <c r="BH59" s="664" t="str">
        <f>IF(AND(J59="Cobre",F59="Monofásico"),VLOOKUP(M59,'Iz''s'!$AT$10:$BA$28,4,FALSE),IF(AND(J59="Cobre",F59="Trifásico"),VLOOKUP(M59,'Iz''s'!$AT$10:$BA$28,5,FALSE),IF(AND(J59="Alumínio",F59="Monofásico"),VLOOKUP(M59,'Iz''s'!$BC$10:$BJ$27,4,FALSE),IF(AND(J59="Alumínio",F59="Trifásico"),VLOOKUP(M59,'Iz''s'!$BC$10:$BJ$27,5,FALSE)))))</f>
        <v xml:space="preserve"> --- </v>
      </c>
      <c r="BI59" s="664" t="str">
        <f>IF(AND(J59="Cobre",F59="Monofásico"),"N/A",IF(AND(J59="Cobre",F59="Trifásico"),VLOOKUP(M59,'Iz''s'!$AT$10:$BA$28,8,FALSE),IF(AND(J59="Alumínio",F59="Monofásico"),"N/A",IF(AND(J59="Alumínio",F59="Trifásico"),VLOOKUP(M59,'Iz''s'!$BC$10:$BJ$27,8,FALSE)))))</f>
        <v>N/A</v>
      </c>
      <c r="BJ59" s="672">
        <f>IF(AND(J59="Cobre",F59="Monofásico"),VLOOKUP(M59,'Iz''s'!$G$8:$J$23,2,FALSE),IF(AND(J59="Cobre",F59="Trifásico"),VLOOKUP(M59,'Iz''s'!$Q$8:$T$23,2,FALSE),IF(AND(J59="Alumínio",F59="Monofásico"),VLOOKUP(M59,'Iz''s'!$G$25:$J$39,2,FALSE),IF(AND(J59="Alumínio",F59="Trifásico"),VLOOKUP(M59,'Iz''s'!$Q$25:$T$39,2,FALSE)))))</f>
        <v>19</v>
      </c>
      <c r="BK59" s="664">
        <f>IF(AND(J59="Cobre",F59="Monofásico"),VLOOKUP(M59,'Iz''s'!$CJ$9:$CN$24,2,FALSE),IF(AND(J59="Cobre",F59="Trifásico"),VLOOKUP(M59,'Iz''s'!$CJ$9:$CN$24,4,FALSE),IF(AND(J59="Alumínio",F59="Monofásico"),VLOOKUP(M59,'Iz''s'!$CJ$26:$CN$40,2,FALSE),IF(AND(J59="Alumínio",F59="Trifásico"),VLOOKUP(M59,'Iz''s'!$CJ$26:$CN$40,4,FALSE)))))</f>
        <v>18.5</v>
      </c>
      <c r="BL59" s="664">
        <f>IF(AND(J59="Cobre",F59="Monofásico"),VLOOKUP(M59,'Iz''s'!$G$8:$J$23,3,FALSE),IF(AND(J59="Cobre",F59="Trifásico"),VLOOKUP(M59,'Iz''s'!$Q$8:$T$23,3,FALSE),IF(AND(J59="Alumínio",F59="Monofásico"),VLOOKUP(M59,'Iz''s'!$G$25:$J$39,3,FALSE),IF(AND(J59="Alumínio",F59="Trifásico"),VLOOKUP(M59,'Iz''s'!$Q$25:$T$39,3,FALSE)))))</f>
        <v>23</v>
      </c>
      <c r="BM59" s="664">
        <f>IF(AND(J59="Cobre",F59="Monofásico"),VLOOKUP(M59,'Iz''s'!$CJ$9:$CN$24,3,FALSE),IF(AND(J59="Cobre",F59="Trifásico"),VLOOKUP(M59,'Iz''s'!$CJ$9:$CN$24,5,FALSE),IF(AND(J59="Alumínio",F59="Monofásico"),VLOOKUP(M59,'Iz''s'!$CJ$26:$CN$40,3,FALSE),IF(AND(J59="Alumínio",F59="Trifásico"),VLOOKUP(M59,'Iz''s'!$CJ$26:$CN$40,5,FALSE)))))</f>
        <v>22</v>
      </c>
      <c r="BN59" s="664">
        <f>IF(AND(J59="Cobre",F59="Monofásico"),VLOOKUP(M59,'Iz''s'!$G$8:$J$23,4,FALSE),IF(AND(J59="Cobre",F59="Trifásico"),VLOOKUP(M59,'Iz''s'!$Q$8:$T$23,4,FALSE),IF(AND(J59="Alumínio",F59="Monofásico"),VLOOKUP(M59,'Iz''s'!$G$25:$J$39,4,FALSE),IF(AND(J59="Alumínio",F59="Trifásico"),VLOOKUP(M59,'Iz''s'!$Q$25:$T$39,4,FALSE)))))</f>
        <v>24</v>
      </c>
      <c r="BO59" s="664">
        <f>IF(AND(J59="Cobre",F59="Monofásico"),VLOOKUP(M59,'Iz''s'!$CP$9:$CT$24,5,FALSE),IF(AND(J59="Cobre",F59="Trifásico"),VLOOKUP(M59,'Iz''s'!$CP$9:$CT$24,4,FALSE),IF(AND(J59="Alumínio",F59="Monofásico"),VLOOKUP(M59,'Iz''s'!$CP$26:$CT$37,5,FALSE),IF(AND(J59="Alumínio",F59="Trifásico"),VLOOKUP(M59,'Iz''s'!$CP$26:$CT$37,4,FALSE)))))</f>
        <v>37</v>
      </c>
      <c r="BP59" s="664">
        <f>IF(AND(J59="Cobre",F59="Monofásico"),VLOOKUP(M59,'Iz''s'!$BL$10:$BS$28,2,FALSE),IF(AND(J59="Cobre",F59="Trifásico"),VLOOKUP(M59,'Iz''s'!$BL$10:$BS$28,3,FALSE),IF(AND(J59="Alumínio",F59="Monofásico"),VLOOKUP(M59,'Iz''s'!$BU$10:$CB$27,2,FALSE),IF(AND(J59="Alumínio",F59="Trifásico"),VLOOKUP(M59,'Iz''s'!$BU$10:$CB$27,3,FALSE)))))</f>
        <v>26</v>
      </c>
      <c r="BQ59" s="672" t="str">
        <f>IF(AND(J59="Cobre",F59="Monofásico"),VLOOKUP(M59,'Iz''s'!$BL$10:$BS$28,4,FALSE),IF(AND(J59="Cobre",F59="Trifásico"),VLOOKUP(M59,'Iz''s'!$BL$10:$BS$28,5,FALSE),IF(AND(J59="Alumínio",F59="Monofásico"),VLOOKUP(M59,'Iz''s'!$BU$10:$CB$27,4,FALSE),IF(AND(J59="Alumínio",F59="Trifásico"),VLOOKUP(M59,'Iz''s'!$BU$10:$CB$27,5,FALSE)))))</f>
        <v xml:space="preserve"> --- </v>
      </c>
      <c r="BR59" s="664" t="str">
        <f>IF(AND(J59="Cobre",F59="Monofásico"),"N/A",IF(AND(J59="Cobre",F59="Trifásico"),VLOOKUP(M59,'Iz''s'!$BL$10:$BS$28,8,FALSE),IF(AND(J59="Alumínio",F59="Monofásico"),"N/A",IF(AND(J59="Alumínio",F59="Trifásico"),VLOOKUP(M59,'Iz''s'!$BU$10:$CB$27,8,FALSE)))))</f>
        <v>N/A</v>
      </c>
      <c r="BS59" s="664">
        <f>IF(AND(J59="Cobre",F59="Monofásico"),VLOOKUP(M59,'Iz''s'!$V$14:$Y$28,2,FALSE),IF(AND(J59="Cobre",F59="Trifásico"),VLOOKUP(M59,'Iz''s'!$V$14:$Y$28,3,FALSE),IF(AND(J59="Alumínio",F59="Monofásico"),VLOOKUP(M59,"N/A",4,FALSE),IF(AND(J59="Alumínio",F59="Trifásico"),VLOOKUP(M59,"N/A",4,FALSE)))))</f>
        <v>25</v>
      </c>
      <c r="BT59" s="664">
        <f>IF(AND(J59="Cobre",F59="Monofásico"),VLOOKUP(M59,'Iz''s'!$AF$15:$AK$29,2,FALSE),IF(AND(J59="Cobre",F59="Trifásico"),VLOOKUP(M59,'Iz''s'!$AF$15:$AK$29,3,FALSE),IF(AND(J59="Alumínio",F59="Monofásico"),"N/A",IF(AND(J59="Alumínio",F59="Trifásico"),"N/A"))))</f>
        <v>26</v>
      </c>
      <c r="BU59" s="664">
        <f>IF(AND(J59="Cobre",F59="Monofásico"),VLOOKUP(M59,'Iz''s'!$AF$15:$AK$29,2,FALSE),IF(AND(J59="Cobre",F59="Trifásico"),VLOOKUP(M59,'Iz''s'!$AF$15:$AK$29,3,FALSE),IF(AND(J59="Alumínio",F59="Monofásico"),"N/A",IF(AND(J59="Alumínio",F59="Trifásico"),"N/A"))))</f>
        <v>26</v>
      </c>
      <c r="BV59" s="665" t="str">
        <f>IF(AND(J59="Cobre",F59="Monofásico"),"N/A",IF(AND(J59="Cobre",F59="Trifásico"),VLOOKUP(M59,'Iz''s'!$AF$15:$AK$29,6,FALSE),IF(AND(J59="Alumínio",F59="Monofásico"),"N/A",IF(AND(J59="Alumínio",F59="Trifásico"),"N/A"))))</f>
        <v>N/A</v>
      </c>
      <c r="BW59" s="666">
        <v>57</v>
      </c>
      <c r="BX59" s="667"/>
      <c r="BY59" s="668">
        <f>VLOOKUP(M59,Consulta!$W$6:$AB$23,4,FALSE)</f>
        <v>16</v>
      </c>
      <c r="BZ59" s="668">
        <f>VLOOKUP(M59,Consulta!$W$6:$AB$23,6,FALSE)</f>
        <v>20</v>
      </c>
      <c r="CA59" s="668">
        <f>VLOOKUP(M59,Consulta!$AK$6:$AP$23,4,FALSE)</f>
        <v>20</v>
      </c>
      <c r="CB59" s="668">
        <f>VLOOKUP(M59,Consulta!$AK$6:$AP$23,6,FALSE)</f>
        <v>20</v>
      </c>
      <c r="CC59" s="673" t="e">
        <f>VLOOKUP(M59,Consulta!$AD$6:$AI$19,4,FALSE)</f>
        <v>#N/A</v>
      </c>
      <c r="CD59" s="673" t="e">
        <f>VLOOKUP(M59,Consulta!$AD$6:$AI$19,6,FALSE)</f>
        <v>#N/A</v>
      </c>
      <c r="CE59" s="673" t="e">
        <f>VLOOKUP(M59,Consulta!$AR$6:$AW$19,4,FALSE)</f>
        <v>#N/A</v>
      </c>
      <c r="CF59" s="674" t="e">
        <f>VLOOKUP(M59,Consulta!$AR$6:$AW$19,6,FALSE)</f>
        <v>#N/A</v>
      </c>
      <c r="CG59" s="675"/>
      <c r="CH59" s="675"/>
      <c r="CI59" s="675"/>
      <c r="CJ59" s="675"/>
      <c r="CK59" s="675"/>
      <c r="CL59" s="675"/>
      <c r="CM59" s="675"/>
      <c r="CN59" s="675"/>
      <c r="CO59" s="675"/>
      <c r="CP59" s="675"/>
      <c r="CQ59" s="675"/>
      <c r="CR59" s="675"/>
      <c r="CS59" s="675"/>
      <c r="CT59" s="675"/>
      <c r="CU59" s="675"/>
      <c r="CV59" s="675"/>
      <c r="CW59" s="675"/>
      <c r="CX59" s="675"/>
      <c r="CY59" s="675"/>
      <c r="CZ59" s="675"/>
      <c r="DA59" s="675"/>
      <c r="DB59" s="675"/>
      <c r="DC59" s="675"/>
      <c r="DD59" s="675"/>
      <c r="DE59" s="675"/>
      <c r="DF59" s="675"/>
      <c r="DG59" s="675"/>
      <c r="DH59" s="675"/>
      <c r="DI59" s="675"/>
      <c r="DJ59" s="675"/>
      <c r="DK59" s="675"/>
      <c r="DL59" s="675"/>
      <c r="DM59" s="675"/>
      <c r="DN59" s="675"/>
      <c r="DO59" s="675"/>
      <c r="DP59" s="675"/>
      <c r="DQ59" s="675"/>
      <c r="DR59" s="675"/>
      <c r="DS59" s="675"/>
      <c r="DT59" s="675"/>
      <c r="DU59" s="675"/>
      <c r="DV59" s="675"/>
      <c r="DW59" s="675"/>
      <c r="DX59" s="675"/>
      <c r="DY59" s="675"/>
      <c r="DZ59" s="675"/>
      <c r="EA59" s="675"/>
      <c r="EB59" s="675"/>
      <c r="EC59" s="675"/>
      <c r="ED59" s="675"/>
      <c r="EE59" s="675"/>
      <c r="EF59" s="675"/>
      <c r="EG59" s="675"/>
      <c r="EH59" s="675"/>
      <c r="EI59" s="675"/>
      <c r="EJ59" s="675"/>
      <c r="EK59" s="675"/>
      <c r="EL59" s="675"/>
      <c r="EM59" s="675"/>
      <c r="EN59" s="675"/>
      <c r="EO59" s="675"/>
      <c r="EP59" s="675"/>
      <c r="EQ59" s="675"/>
      <c r="ER59" s="675"/>
      <c r="ES59" s="675"/>
      <c r="ET59" s="675"/>
      <c r="EU59" s="675"/>
      <c r="EV59" s="675"/>
      <c r="EW59" s="675"/>
      <c r="EX59" s="675"/>
      <c r="EY59" s="675"/>
      <c r="EZ59" s="675"/>
      <c r="FA59" s="675"/>
      <c r="FB59" s="675"/>
      <c r="FC59" s="675"/>
      <c r="FD59" s="675"/>
      <c r="FE59" s="675"/>
      <c r="FF59" s="675"/>
      <c r="FG59" s="675"/>
      <c r="FH59" s="675"/>
      <c r="FI59" s="675"/>
      <c r="FJ59" s="675"/>
      <c r="FK59" s="675"/>
      <c r="FL59" s="675"/>
      <c r="FM59" s="675"/>
      <c r="FN59" s="675"/>
      <c r="FO59" s="675"/>
      <c r="FP59" s="675"/>
      <c r="FQ59" s="675"/>
      <c r="FR59" s="675"/>
      <c r="FS59" s="675"/>
      <c r="FT59" s="675"/>
      <c r="FU59" s="675"/>
      <c r="FV59" s="675"/>
      <c r="FW59" s="675"/>
      <c r="FX59" s="675"/>
      <c r="FY59" s="675"/>
      <c r="FZ59" s="675"/>
      <c r="GA59" s="675"/>
      <c r="GB59" s="675"/>
      <c r="GC59" s="675"/>
      <c r="GD59" s="675"/>
      <c r="GE59" s="675"/>
      <c r="GF59" s="675"/>
      <c r="GG59" s="675"/>
      <c r="GH59" s="675"/>
      <c r="GI59" s="675"/>
      <c r="GJ59" s="675"/>
      <c r="GK59" s="675"/>
      <c r="GL59" s="675"/>
      <c r="GM59" s="675"/>
      <c r="GN59" s="675"/>
      <c r="GO59" s="675"/>
      <c r="GP59" s="675"/>
      <c r="GQ59" s="675"/>
      <c r="GR59" s="675"/>
      <c r="GS59" s="675"/>
      <c r="GT59" s="675"/>
      <c r="GU59" s="675"/>
      <c r="GV59" s="675"/>
      <c r="GW59" s="675"/>
      <c r="GX59" s="675"/>
      <c r="GY59" s="675"/>
      <c r="GZ59" s="675"/>
      <c r="HA59" s="675"/>
      <c r="HB59" s="675"/>
      <c r="HC59" s="675"/>
      <c r="HD59" s="675"/>
    </row>
    <row r="60" spans="1:212" s="551" customFormat="1" ht="16.5" customHeight="1" x14ac:dyDescent="0.2">
      <c r="A60" s="566"/>
      <c r="B60" s="1120" t="s">
        <v>814</v>
      </c>
      <c r="C60" s="865" t="s">
        <v>794</v>
      </c>
      <c r="D60" s="691">
        <v>3.6</v>
      </c>
      <c r="E60" s="691">
        <f>1+1.33+1.65+2.3+3.15+1.25</f>
        <v>10.68</v>
      </c>
      <c r="F60" s="691" t="s">
        <v>244</v>
      </c>
      <c r="G60" s="691" t="s">
        <v>808</v>
      </c>
      <c r="H60" s="691">
        <v>1</v>
      </c>
      <c r="I60" s="692" t="s">
        <v>13</v>
      </c>
      <c r="J60" s="691" t="s">
        <v>242</v>
      </c>
      <c r="K60" s="691" t="s">
        <v>363</v>
      </c>
      <c r="L60" s="691">
        <v>1</v>
      </c>
      <c r="M60" s="693">
        <v>2.5</v>
      </c>
      <c r="N60" s="691" t="s">
        <v>453</v>
      </c>
      <c r="O60" s="691">
        <v>4</v>
      </c>
      <c r="P60" s="616">
        <f t="shared" si="62"/>
        <v>23</v>
      </c>
      <c r="Q60" s="691">
        <v>3</v>
      </c>
      <c r="R60" s="691">
        <v>1</v>
      </c>
      <c r="S60" s="616">
        <f t="shared" ref="S60:S71" si="78">IF(F60="Monofásico",(((D60*10^3)/H60)/230),(((D60*10^3)/H60)/(SQRT(3)*400)))</f>
        <v>15.652173913043478</v>
      </c>
      <c r="T60" s="694">
        <f t="shared" ref="T60" si="79">P60*R60</f>
        <v>23</v>
      </c>
      <c r="U60" s="691" t="s">
        <v>499</v>
      </c>
      <c r="V60" s="616">
        <v>16</v>
      </c>
      <c r="W60" s="691">
        <f>IF(U60="C.C.Fusíveis",VLOOKUP(V60,Consulta!$L$5:$N$31,3,FALSE),VLOOKUP(V60,Consulta!$P$5:$R$34,3,FALSE))</f>
        <v>21.6</v>
      </c>
      <c r="X60" s="695">
        <f t="shared" si="10"/>
        <v>34</v>
      </c>
      <c r="Y60" s="876">
        <f>S60/T60</f>
        <v>0.68052930056710781</v>
      </c>
      <c r="Z60" s="750" t="str">
        <f t="shared" si="11"/>
        <v>Sim</v>
      </c>
      <c r="AA60" s="751">
        <f t="shared" ref="AA60:AA67" si="80">$AA$9+SQRT($AB$9^2+$AC$9^2)</f>
        <v>0.1599867020753542</v>
      </c>
      <c r="AB60" s="751">
        <f t="shared" si="12"/>
        <v>0.12014999999999999</v>
      </c>
      <c r="AC60" s="751">
        <f t="shared" si="6"/>
        <v>0</v>
      </c>
      <c r="AD60" s="752">
        <f t="shared" ref="AD60:AD67" si="81">$AF$9</f>
        <v>1.8453768675737272</v>
      </c>
      <c r="AE60" s="752">
        <f t="shared" si="17"/>
        <v>3.7612173913043478</v>
      </c>
      <c r="AF60" s="752">
        <f t="shared" si="18"/>
        <v>5.6065942588780748</v>
      </c>
      <c r="AG60" s="753">
        <f t="shared" si="34"/>
        <v>1.6353119092627599E-2</v>
      </c>
      <c r="AH60" s="754">
        <f t="shared" si="34"/>
        <v>2.4376496777730759E-2</v>
      </c>
      <c r="AI60" s="752">
        <f t="shared" si="7"/>
        <v>0.82102772787741374</v>
      </c>
      <c r="AJ60" s="691">
        <v>3</v>
      </c>
      <c r="AK60" s="752">
        <v>0.1</v>
      </c>
      <c r="AL60" s="695">
        <f t="shared" ref="AL60:AL65" si="82">IF(G60="Multicondutor",(IF(AND(J60="Cobre",K60="PVC"),115,IF(AND(J60="Cobre",K60="XLPE"),143,IF(AND(J60="Alumínio",K60="PVC"),76,IF(AND(J60="Alumínio",K60="XLPE"),94))))),(IF(AND(J60="Cobre",K60="PVC"),143,IF(AND(J60="Cobre",K60="XLPE"),176,IF(AND(J60="Alumínio",K60="PVC"),95,IF(AND(J60="Alumínio",K60="XLPE"),116))))))</f>
        <v>115</v>
      </c>
      <c r="AM60" s="752">
        <f t="shared" ref="AM60:AM65" si="83">((AI60*1000)*SQRT(AK60))/AL60</f>
        <v>2.2576675149961294</v>
      </c>
      <c r="AN60" s="750">
        <f>L60</f>
        <v>1</v>
      </c>
      <c r="AO60" s="750" t="s">
        <v>563</v>
      </c>
      <c r="AP60" s="750" t="s">
        <v>523</v>
      </c>
      <c r="AQ60" s="750" t="str">
        <f>IF(F60="Monofásico","3G",IF(AND(F60="Trifásico",M60&lt;25),"5G","3×"))</f>
        <v>3G</v>
      </c>
      <c r="AR60" s="750">
        <f>M60</f>
        <v>2.5</v>
      </c>
      <c r="AS60" s="901" t="str">
        <f t="shared" si="8"/>
        <v/>
      </c>
      <c r="AT60" s="901" t="str">
        <f>IF(OR(AQ60="3G",AQ60="5G"),"",VLOOKUP(AR60,Consulta!$T$5:$U$25,2,FALSE))</f>
        <v/>
      </c>
      <c r="AU60" s="902" t="s">
        <v>565</v>
      </c>
      <c r="AV60" s="750" t="s">
        <v>23</v>
      </c>
      <c r="AW60" s="750" t="s">
        <v>564</v>
      </c>
      <c r="AX60" s="750">
        <f t="shared" si="30"/>
        <v>20</v>
      </c>
      <c r="AY60" s="866" t="s">
        <v>24</v>
      </c>
      <c r="AZ60" s="778"/>
      <c r="BA60" s="779">
        <f>IF(AND(J60="Cobre",F60="Monofásico"),VLOOKUP(M60,'Iz''s'!$B$8:$E$23,2,FALSE),IF(AND(J60="Cobre",F60="Trifásico"),VLOOKUP(M60,'Iz''s'!$L$8:$O$23,2,FALSE),IF(AND(J60="Alumínio",F60="Monofásico"),VLOOKUP(M60,'Iz''s'!$B$25:$E$39,2,FALSE),IF(AND(J60="Alumínio",F60="Trifásico"),VLOOKUP(M60,'Iz''s'!$L$25:$O$39,2,FALSE)))))</f>
        <v>19.5</v>
      </c>
      <c r="BB60" s="756">
        <f>IF(AND(J60="Cobre",F60="Monofásico"),VLOOKUP(M60,'Iz''s'!$CD$9:$CH$24,2,FALSE),IF(AND(J60="Cobre",F60="Trifásico"),VLOOKUP(M60,'Iz''s'!$CD$9:$CH$24,4,FALSE),IF(AND(J60="Alumínio",F60="Monofásico"),VLOOKUP(M60,'Iz''s'!$CD$26:$CH$40,2,FALSE),IF(AND(J60="Alumínio",F60="Trifásico"),VLOOKUP(M60,'Iz''s'!$CD$26:$CH$40,4,FALSE)))))</f>
        <v>18.5</v>
      </c>
      <c r="BC60" s="756">
        <f>IF(AND(J60="Cobre",F60="Monofásico"),VLOOKUP(M60,'Iz''s'!$B$8:$E$23,3,FALSE),IF(AND(J60="Cobre",F60="Trifásico"),VLOOKUP(M60,'Iz''s'!$L$8:$O$23,3,FALSE),IF(AND(J60="Alumínio",F60="Monofásico"),VLOOKUP(M60,'Iz''s'!$B$25:$E$39,3,FALSE),IF(AND(J60="Alumínio",F60="Trifásico"),VLOOKUP(M60,'Iz''s'!$L$25:$O$39,3,FALSE)))))</f>
        <v>24</v>
      </c>
      <c r="BD60" s="756">
        <f>IF(AND(J60="Cobre",F60="Monofásico"),VLOOKUP(M60,'Iz''s'!$CD$9:$CH$24,3,FALSE),IF(AND(J60="Cobre",F60="Trifásico"),VLOOKUP(M60,'Iz''s'!$CD$9:$CH$24,5,FALSE),IF(AND(J60="Alumínio",F60="Monofásico"),VLOOKUP(M60,'Iz''s'!$CD$26:$CH$40,3,FALSE),IF(AND(J60="Alumínio",F60="Trifásico"),VLOOKUP(M60,'Iz''s'!$CD$26:$CH$40,5,FALSE)))))</f>
        <v>23</v>
      </c>
      <c r="BE60" s="756">
        <f>IF(AND(J60="Cobre",F60="Monofásico"),VLOOKUP(M60,'Iz''s'!$B$8:$E$23,4,FALSE),IF(AND(J60="Cobre",F60="Trifásico"),VLOOKUP(M60,'Iz''s'!$L$8:$O$23,4,FALSE),IF(AND(J60="Alumínio",F60="Monofásico"),VLOOKUP(M60,'Iz''s'!$B$25:$E$39,4,FALSE),IF(AND(J60="Alumínio",F60="Trifásico"),VLOOKUP(M60,'Iz''s'!$L$25:$O$39,4,FALSE)))))</f>
        <v>27</v>
      </c>
      <c r="BF60" s="756">
        <f>IF(AND(J60="Cobre",F60="Monofásico"),VLOOKUP(M60,'Iz''s'!$CP$9:$CT$24,3,FALSE),IF(AND(J60="Cobre",F60="Trifásico"),VLOOKUP(M60,'Iz''s'!$CP$9:$CT$24,2,FALSE),IF(AND(J60="Alumínio",F60="Monofásico"),VLOOKUP(M60,'Iz''s'!$CP$26:$CT$37,3,FALSE),IF(AND(J60="Alumínio",F60="Trifásico"),VLOOKUP(M60,'Iz''s'!$CP$26:$CT$37,2,FALSE)))))</f>
        <v>42</v>
      </c>
      <c r="BG60" s="756">
        <f>IF(AND(J60="Cobre",F60="Monofásico"),VLOOKUP(M60,'Iz''s'!$AT$10:$BA$28,2,FALSE),IF(AND(J60="Cobre",F60="Trifásico"),VLOOKUP(M60,'Iz''s'!$AT$10:$BA$28,3,FALSE),IF(AND(J60="Alumínio",F60="Monofásico"),VLOOKUP(M60,'Iz''s'!$BC$10:$BJ$27,2,FALSE),IF(AND(J60="Alumínio",F60="Trifásico"),VLOOKUP(M60,'Iz''s'!$BC$10:$BJ$27,3,FALSE)))))</f>
        <v>30</v>
      </c>
      <c r="BH60" s="757" t="str">
        <f>IF(AND(J60="Cobre",F60="Monofásico"),VLOOKUP(M60,'Iz''s'!$AT$10:$BA$28,4,FALSE),IF(AND(J60="Cobre",F60="Trifásico"),VLOOKUP(M60,'Iz''s'!$AT$10:$BA$28,5,FALSE),IF(AND(J60="Alumínio",F60="Monofásico"),VLOOKUP(M60,'Iz''s'!$BC$10:$BJ$27,4,FALSE),IF(AND(J60="Alumínio",F60="Trifásico"),VLOOKUP(M60,'Iz''s'!$BC$10:$BJ$27,5,FALSE)))))</f>
        <v xml:space="preserve"> --- </v>
      </c>
      <c r="BI60" s="757" t="str">
        <f>IF(AND(J60="Cobre",F60="Monofásico"),"N/A",IF(AND(J60="Cobre",F60="Trifásico"),VLOOKUP(M60,'Iz''s'!$AT$10:$BA$28,8,FALSE),IF(AND(J60="Alumínio",F60="Monofásico"),"N/A",IF(AND(J60="Alumínio",F60="Trifásico"),VLOOKUP(M60,'Iz''s'!$BC$10:$BJ$27,8,FALSE)))))</f>
        <v>N/A</v>
      </c>
      <c r="BJ60" s="756">
        <f>IF(AND(J60="Cobre",F60="Monofásico"),VLOOKUP(M60,'Iz''s'!$G$8:$J$23,2,FALSE),IF(AND(J60="Cobre",F60="Trifásico"),VLOOKUP(M60,'Iz''s'!$Q$8:$T$23,2,FALSE),IF(AND(J60="Alumínio",F60="Monofásico"),VLOOKUP(M60,'Iz''s'!$G$25:$J$39,2,FALSE),IF(AND(J60="Alumínio",F60="Trifásico"),VLOOKUP(M60,'Iz''s'!$Q$25:$T$39,2,FALSE)))))</f>
        <v>26</v>
      </c>
      <c r="BK60" s="757">
        <f>IF(AND(J60="Cobre",F60="Monofásico"),VLOOKUP(M60,'Iz''s'!$CJ$9:$CN$24,2,FALSE),IF(AND(J60="Cobre",F60="Trifásico"),VLOOKUP(M60,'Iz''s'!$CJ$9:$CN$24,4,FALSE),IF(AND(J60="Alumínio",F60="Monofásico"),VLOOKUP(M60,'Iz''s'!$CJ$26:$CN$40,2,FALSE),IF(AND(J60="Alumínio",F60="Trifásico"),VLOOKUP(M60,'Iz''s'!$CJ$26:$CN$40,4,FALSE)))))</f>
        <v>25</v>
      </c>
      <c r="BL60" s="757">
        <f>IF(AND(J60="Cobre",F60="Monofásico"),VLOOKUP(M60,'Iz''s'!$G$8:$J$23,3,FALSE),IF(AND(J60="Cobre",F60="Trifásico"),VLOOKUP(M60,'Iz''s'!$Q$8:$T$23,3,FALSE),IF(AND(J60="Alumínio",F60="Monofásico"),VLOOKUP(M60,'Iz''s'!$G$25:$J$39,3,FALSE),IF(AND(J60="Alumínio",F60="Trifásico"),VLOOKUP(M60,'Iz''s'!$Q$25:$T$39,3,FALSE)))))</f>
        <v>31</v>
      </c>
      <c r="BM60" s="757">
        <f>IF(AND(J60="Cobre",F60="Monofásico"),VLOOKUP(M60,'Iz''s'!$CJ$9:$CN$24,3,FALSE),IF(AND(J60="Cobre",F60="Trifásico"),VLOOKUP(M60,'Iz''s'!$CJ$9:$CN$24,5,FALSE),IF(AND(J60="Alumínio",F60="Monofásico"),VLOOKUP(M60,'Iz''s'!$CJ$26:$CN$40,3,FALSE),IF(AND(J60="Alumínio",F60="Trifásico"),VLOOKUP(M60,'Iz''s'!$CJ$26:$CN$40,5,FALSE)))))</f>
        <v>30</v>
      </c>
      <c r="BN60" s="757">
        <f>IF(AND(J60="Cobre",F60="Monofásico"),VLOOKUP(M60,'Iz''s'!$G$8:$J$23,4,FALSE),IF(AND(J60="Cobre",F60="Trifásico"),VLOOKUP(M60,'Iz''s'!$Q$8:$T$23,4,FALSE),IF(AND(J60="Alumínio",F60="Monofásico"),VLOOKUP(M60,'Iz''s'!$G$25:$J$39,4,FALSE),IF(AND(J60="Alumínio",F60="Trifásico"),VLOOKUP(M60,'Iz''s'!$Q$25:$T$39,4,FALSE)))))</f>
        <v>33</v>
      </c>
      <c r="BO60" s="757">
        <f>IF(AND(J60="Cobre",F60="Monofásico"),VLOOKUP(M60,'Iz''s'!$CP$9:$CT$24,5,FALSE),IF(AND(J60="Cobre",F60="Trifásico"),VLOOKUP(M60,'Iz''s'!$CP$9:$CT$24,4,FALSE),IF(AND(J60="Alumínio",F60="Monofásico"),VLOOKUP(M60,'Iz''s'!$CP$26:$CT$37,5,FALSE),IF(AND(J60="Alumínio",F60="Trifásico"),VLOOKUP(M60,'Iz''s'!$CP$26:$CT$37,4,FALSE)))))</f>
        <v>48</v>
      </c>
      <c r="BP60" s="757">
        <f>IF(AND(J60="Cobre",F60="Monofásico"),VLOOKUP(M60,'Iz''s'!$BL$10:$BS$28,2,FALSE),IF(AND(J60="Cobre",F60="Trifásico"),VLOOKUP(M60,'Iz''s'!$BL$10:$BS$28,3,FALSE),IF(AND(J60="Alumínio",F60="Monofásico"),VLOOKUP(M60,'Iz''s'!$BU$10:$CB$27,2,FALSE),IF(AND(J60="Alumínio",F60="Trifásico"),VLOOKUP(M60,'Iz''s'!$BU$10:$CB$27,3,FALSE)))))</f>
        <v>36</v>
      </c>
      <c r="BQ60" s="756" t="str">
        <f>IF(AND(J60="Cobre",F60="Monofásico"),VLOOKUP(M60,'Iz''s'!$BL$10:$BS$28,4,FALSE),IF(AND(J60="Cobre",F60="Trifásico"),VLOOKUP(M60,'Iz''s'!$BL$10:$BS$28,5,FALSE),IF(AND(J60="Alumínio",F60="Monofásico"),VLOOKUP(M60,'Iz''s'!$BU$10:$CB$27,4,FALSE),IF(AND(J60="Alumínio",F60="Trifásico"),VLOOKUP(M60,'Iz''s'!$BU$10:$CB$27,5,FALSE)))))</f>
        <v xml:space="preserve"> --- </v>
      </c>
      <c r="BR60" s="757" t="str">
        <f>IF(AND(J60="Cobre",F60="Monofásico"),"N/A",IF(AND(J60="Cobre",F60="Trifásico"),VLOOKUP(M60,'Iz''s'!$BL$10:$BS$28,8,FALSE),IF(AND(J60="Alumínio",F60="Monofásico"),"N/A",IF(AND(J60="Alumínio",F60="Trifásico"),VLOOKUP(M60,'Iz''s'!$BU$10:$CB$27,8,FALSE)))))</f>
        <v>N/A</v>
      </c>
      <c r="BS60" s="757">
        <f>IF(AND(J60="Cobre",F60="Monofásico"),VLOOKUP(M60,'Iz''s'!$V$14:$Y$28,2,FALSE),IF(AND(J60="Cobre",F60="Trifásico"),VLOOKUP(M60,'Iz''s'!$V$14:$Y$28,3,FALSE),IF(AND(J60="Alumínio",F60="Monofásico"),VLOOKUP(M60,"N/A",4,FALSE),IF(AND(J60="Alumínio",F60="Trifásico"),VLOOKUP(M60,"N/A",4,FALSE)))))</f>
        <v>34</v>
      </c>
      <c r="BT60" s="757">
        <f>IF(AND(J60="Cobre",F60="Monofásico"),VLOOKUP(M60,'Iz''s'!$AF$15:$AK$29,2,FALSE),IF(AND(J60="Cobre",F60="Trifásico"),VLOOKUP(M60,'Iz''s'!$AF$15:$AK$29,3,FALSE),IF(AND(J60="Alumínio",F60="Monofásico"),"N/A",IF(AND(J60="Alumínio",F60="Trifásico"),"N/A"))))</f>
        <v>36</v>
      </c>
      <c r="BU60" s="757">
        <f>IF(AND(J60="Cobre",F60="Monofásico"),VLOOKUP(M60,'Iz''s'!$AF$15:$AK$29,2,FALSE),IF(AND(J60="Cobre",F60="Trifásico"),VLOOKUP(M60,'Iz''s'!$AF$15:$AK$29,3,FALSE),IF(AND(J60="Alumínio",F60="Monofásico"),"N/A",IF(AND(J60="Alumínio",F60="Trifásico"),"N/A"))))</f>
        <v>36</v>
      </c>
      <c r="BV60" s="780" t="str">
        <f>IF(AND(J60="Cobre",F60="Monofásico"),"N/A",IF(AND(J60="Cobre",F60="Trifásico"),VLOOKUP(M60,'Iz''s'!$AF$15:$AK$29,6,FALSE),IF(AND(J60="Alumínio",F60="Monofásico"),"N/A",IF(AND(J60="Alumínio",F60="Trifásico"),"N/A"))))</f>
        <v>N/A</v>
      </c>
      <c r="BW60" s="607">
        <v>58</v>
      </c>
      <c r="BX60" s="781"/>
      <c r="BY60" s="614">
        <f>VLOOKUP(M60,Consulta!$W$6:$AB$23,4,FALSE)</f>
        <v>16</v>
      </c>
      <c r="BZ60" s="614">
        <f>VLOOKUP(M60,Consulta!$W$6:$AB$23,6,FALSE)</f>
        <v>20</v>
      </c>
      <c r="CA60" s="614">
        <f>VLOOKUP(M60,Consulta!$AK$6:$AP$23,4,FALSE)</f>
        <v>20</v>
      </c>
      <c r="CB60" s="614">
        <f>VLOOKUP(M60,Consulta!$AK$6:$AP$23,6,FALSE)</f>
        <v>25</v>
      </c>
      <c r="CC60" s="782" t="e">
        <f>VLOOKUP(M60,Consulta!$AD$6:$AI$19,4,FALSE)</f>
        <v>#N/A</v>
      </c>
      <c r="CD60" s="782" t="e">
        <f>VLOOKUP(M60,Consulta!$AD$6:$AI$19,6,FALSE)</f>
        <v>#N/A</v>
      </c>
      <c r="CE60" s="782" t="e">
        <f>VLOOKUP(M60,Consulta!$AR$6:$AW$19,4,FALSE)</f>
        <v>#N/A</v>
      </c>
      <c r="CF60" s="783" t="e">
        <f>VLOOKUP(M60,Consulta!$AR$6:$AW$19,6,FALSE)</f>
        <v>#N/A</v>
      </c>
      <c r="CG60" s="527"/>
      <c r="CH60" s="527"/>
      <c r="CI60" s="527"/>
      <c r="CJ60" s="527"/>
      <c r="CK60" s="527"/>
      <c r="CL60" s="527"/>
      <c r="CM60" s="527"/>
      <c r="CN60" s="527"/>
      <c r="CO60" s="527"/>
      <c r="CP60" s="527"/>
      <c r="CQ60" s="527"/>
      <c r="CR60" s="527"/>
      <c r="CS60" s="527"/>
      <c r="CT60" s="527"/>
      <c r="CU60" s="527"/>
      <c r="CV60" s="527"/>
      <c r="CW60" s="527"/>
      <c r="CX60" s="527"/>
      <c r="CY60" s="527"/>
      <c r="CZ60" s="527"/>
      <c r="DA60" s="527"/>
      <c r="DB60" s="527"/>
      <c r="DC60" s="527"/>
      <c r="DD60" s="527"/>
      <c r="DE60" s="527"/>
      <c r="DF60" s="527"/>
      <c r="DG60" s="527"/>
      <c r="DH60" s="527"/>
      <c r="DI60" s="527"/>
      <c r="DJ60" s="527"/>
      <c r="DK60" s="527"/>
      <c r="DL60" s="527"/>
      <c r="DM60" s="527"/>
      <c r="DN60" s="527"/>
      <c r="DO60" s="527"/>
      <c r="DP60" s="527"/>
      <c r="DQ60" s="527"/>
      <c r="DR60" s="527"/>
      <c r="DS60" s="527"/>
      <c r="DT60" s="527"/>
      <c r="DU60" s="527"/>
      <c r="DV60" s="527"/>
      <c r="DW60" s="527"/>
      <c r="DX60" s="527"/>
      <c r="DY60" s="527"/>
      <c r="DZ60" s="527"/>
      <c r="EA60" s="527"/>
      <c r="EB60" s="527"/>
      <c r="EC60" s="527"/>
      <c r="ED60" s="527"/>
      <c r="EE60" s="527"/>
      <c r="EF60" s="527"/>
      <c r="EG60" s="527"/>
      <c r="EH60" s="527"/>
      <c r="EI60" s="527"/>
      <c r="EJ60" s="527"/>
      <c r="EK60" s="527"/>
      <c r="EL60" s="527"/>
      <c r="EM60" s="527"/>
      <c r="EN60" s="527"/>
      <c r="EO60" s="527"/>
      <c r="EP60" s="527"/>
      <c r="EQ60" s="527"/>
      <c r="ER60" s="527"/>
      <c r="ES60" s="527"/>
      <c r="ET60" s="527"/>
      <c r="EU60" s="527"/>
      <c r="EV60" s="527"/>
      <c r="EW60" s="527"/>
      <c r="EX60" s="527"/>
      <c r="EY60" s="527"/>
      <c r="EZ60" s="527"/>
      <c r="FA60" s="527"/>
      <c r="FB60" s="527"/>
      <c r="FC60" s="527"/>
      <c r="FD60" s="527"/>
      <c r="FE60" s="527"/>
      <c r="FF60" s="527"/>
      <c r="FG60" s="527"/>
      <c r="FH60" s="527"/>
      <c r="FI60" s="527"/>
      <c r="FJ60" s="527"/>
      <c r="FK60" s="527"/>
      <c r="FL60" s="527"/>
      <c r="FM60" s="527"/>
      <c r="FN60" s="527"/>
      <c r="FO60" s="527"/>
      <c r="FP60" s="527"/>
      <c r="FQ60" s="527"/>
      <c r="FR60" s="527"/>
      <c r="FS60" s="527"/>
      <c r="FT60" s="527"/>
      <c r="FU60" s="527"/>
      <c r="FV60" s="527"/>
      <c r="FW60" s="527"/>
      <c r="FX60" s="527"/>
      <c r="FY60" s="527"/>
      <c r="FZ60" s="527"/>
      <c r="GA60" s="527"/>
      <c r="GB60" s="527"/>
      <c r="GC60" s="527"/>
      <c r="GD60" s="527"/>
      <c r="GE60" s="527"/>
      <c r="GF60" s="527"/>
      <c r="GG60" s="527"/>
      <c r="GH60" s="527"/>
      <c r="GI60" s="527"/>
      <c r="GJ60" s="527"/>
      <c r="GK60" s="527"/>
      <c r="GL60" s="527"/>
      <c r="GM60" s="527"/>
      <c r="GN60" s="527"/>
      <c r="GO60" s="527"/>
      <c r="GP60" s="527"/>
      <c r="GQ60" s="527"/>
      <c r="GR60" s="527"/>
      <c r="GS60" s="527"/>
      <c r="GT60" s="527"/>
      <c r="GU60" s="527"/>
      <c r="GV60" s="527"/>
      <c r="GW60" s="527"/>
      <c r="GX60" s="527"/>
      <c r="GY60" s="527"/>
      <c r="GZ60" s="527"/>
      <c r="HA60" s="527"/>
      <c r="HB60" s="527"/>
      <c r="HC60" s="527"/>
      <c r="HD60" s="527"/>
    </row>
    <row r="61" spans="1:212" s="552" customFormat="1" ht="16.5" customHeight="1" x14ac:dyDescent="0.2">
      <c r="A61" s="568"/>
      <c r="B61" s="1121"/>
      <c r="C61" s="819" t="s">
        <v>791</v>
      </c>
      <c r="D61" s="684">
        <v>3.6</v>
      </c>
      <c r="E61" s="684">
        <f>1.42+4.5873+3.7864+1</f>
        <v>10.793699999999999</v>
      </c>
      <c r="F61" s="684" t="s">
        <v>244</v>
      </c>
      <c r="G61" s="684" t="s">
        <v>808</v>
      </c>
      <c r="H61" s="684">
        <v>1</v>
      </c>
      <c r="I61" s="760" t="s">
        <v>13</v>
      </c>
      <c r="J61" s="684" t="s">
        <v>242</v>
      </c>
      <c r="K61" s="684" t="s">
        <v>363</v>
      </c>
      <c r="L61" s="684">
        <v>1</v>
      </c>
      <c r="M61" s="685">
        <v>2.5</v>
      </c>
      <c r="N61" s="684" t="s">
        <v>453</v>
      </c>
      <c r="O61" s="684">
        <v>4</v>
      </c>
      <c r="P61" s="555">
        <f t="shared" si="62"/>
        <v>23</v>
      </c>
      <c r="Q61" s="684">
        <v>3</v>
      </c>
      <c r="R61" s="684">
        <v>1</v>
      </c>
      <c r="S61" s="555">
        <f t="shared" si="78"/>
        <v>15.652173913043478</v>
      </c>
      <c r="T61" s="696">
        <f t="shared" ref="T61:T104" si="84">P61*R61</f>
        <v>23</v>
      </c>
      <c r="U61" s="684" t="s">
        <v>499</v>
      </c>
      <c r="V61" s="555">
        <v>16</v>
      </c>
      <c r="W61" s="684">
        <f>IF(U61="C.C.Fusíveis",VLOOKUP(V61,Consulta!$L$5:$N$31,3,FALSE),VLOOKUP(V61,Consulta!$P$5:$R$34,3,FALSE))</f>
        <v>21.6</v>
      </c>
      <c r="X61" s="698">
        <f t="shared" si="10"/>
        <v>34</v>
      </c>
      <c r="Y61" s="821">
        <f t="shared" ref="Y61:Y104" si="85">S61/T61</f>
        <v>0.68052930056710781</v>
      </c>
      <c r="Z61" s="689" t="str">
        <f t="shared" si="11"/>
        <v>Sim</v>
      </c>
      <c r="AA61" s="762">
        <f t="shared" si="80"/>
        <v>0.1599867020753542</v>
      </c>
      <c r="AB61" s="762">
        <f t="shared" si="12"/>
        <v>0.12142912499999998</v>
      </c>
      <c r="AC61" s="762">
        <f t="shared" si="6"/>
        <v>0</v>
      </c>
      <c r="AD61" s="686">
        <f t="shared" si="81"/>
        <v>1.8453768675737272</v>
      </c>
      <c r="AE61" s="686">
        <f t="shared" si="17"/>
        <v>3.8012595652173911</v>
      </c>
      <c r="AF61" s="686">
        <f>AD61+AE61</f>
        <v>5.6466364327911185</v>
      </c>
      <c r="AG61" s="687">
        <f t="shared" si="34"/>
        <v>1.6527215500945179E-2</v>
      </c>
      <c r="AH61" s="763">
        <f t="shared" si="34"/>
        <v>2.4550593186048342E-2</v>
      </c>
      <c r="AI61" s="686">
        <f t="shared" si="7"/>
        <v>0.81729589408776693</v>
      </c>
      <c r="AJ61" s="684">
        <v>3</v>
      </c>
      <c r="AK61" s="686">
        <v>0.1</v>
      </c>
      <c r="AL61" s="698">
        <f t="shared" si="82"/>
        <v>115</v>
      </c>
      <c r="AM61" s="686">
        <f t="shared" si="83"/>
        <v>2.2474056935835542</v>
      </c>
      <c r="AN61" s="689">
        <f t="shared" ref="AN61:AN104" si="86">L61</f>
        <v>1</v>
      </c>
      <c r="AO61" s="689" t="s">
        <v>563</v>
      </c>
      <c r="AP61" s="689" t="s">
        <v>523</v>
      </c>
      <c r="AQ61" s="689" t="str">
        <f t="shared" ref="AQ61:AQ104" si="87">IF(F61="Monofásico","3G",IF(AND(F61="Trifásico",M61&lt;25),"5G","3×"))</f>
        <v>3G</v>
      </c>
      <c r="AR61" s="689">
        <f t="shared" ref="AR61:AR104" si="88">M61</f>
        <v>2.5</v>
      </c>
      <c r="AS61" s="897" t="str">
        <f t="shared" si="8"/>
        <v/>
      </c>
      <c r="AT61" s="897" t="str">
        <f>IF(OR(AQ61="3G",AQ61="5G"),"",VLOOKUP(AR61,Consulta!$T$5:$U$25,2,FALSE))</f>
        <v/>
      </c>
      <c r="AU61" s="898" t="s">
        <v>565</v>
      </c>
      <c r="AV61" s="689" t="s">
        <v>23</v>
      </c>
      <c r="AW61" s="689" t="s">
        <v>564</v>
      </c>
      <c r="AX61" s="689">
        <f t="shared" si="30"/>
        <v>20</v>
      </c>
      <c r="AY61" s="690" t="s">
        <v>24</v>
      </c>
      <c r="AZ61" s="784"/>
      <c r="BA61" s="584">
        <f>IF(AND(J61="Cobre",F61="Monofásico"),VLOOKUP(M61,'Iz''s'!$B$8:$E$23,2,FALSE),IF(AND(J61="Cobre",F61="Trifásico"),VLOOKUP(M61,'Iz''s'!$L$8:$O$23,2,FALSE),IF(AND(J61="Alumínio",F61="Monofásico"),VLOOKUP(M61,'Iz''s'!$B$25:$E$39,2,FALSE),IF(AND(J61="Alumínio",F61="Trifásico"),VLOOKUP(M61,'Iz''s'!$L$25:$O$39,2,FALSE)))))</f>
        <v>19.5</v>
      </c>
      <c r="BB61" s="531">
        <f>IF(AND(J61="Cobre",F61="Monofásico"),VLOOKUP(M61,'Iz''s'!$CD$9:$CH$24,2,FALSE),IF(AND(J61="Cobre",F61="Trifásico"),VLOOKUP(M61,'Iz''s'!$CD$9:$CH$24,4,FALSE),IF(AND(J61="Alumínio",F61="Monofásico"),VLOOKUP(M61,'Iz''s'!$CD$26:$CH$40,2,FALSE),IF(AND(J61="Alumínio",F61="Trifásico"),VLOOKUP(M61,'Iz''s'!$CD$26:$CH$40,4,FALSE)))))</f>
        <v>18.5</v>
      </c>
      <c r="BC61" s="531">
        <f>IF(AND(J61="Cobre",F61="Monofásico"),VLOOKUP(M61,'Iz''s'!$B$8:$E$23,3,FALSE),IF(AND(J61="Cobre",F61="Trifásico"),VLOOKUP(M61,'Iz''s'!$L$8:$O$23,3,FALSE),IF(AND(J61="Alumínio",F61="Monofásico"),VLOOKUP(M61,'Iz''s'!$B$25:$E$39,3,FALSE),IF(AND(J61="Alumínio",F61="Trifásico"),VLOOKUP(M61,'Iz''s'!$L$25:$O$39,3,FALSE)))))</f>
        <v>24</v>
      </c>
      <c r="BD61" s="531">
        <f>IF(AND(J61="Cobre",F61="Monofásico"),VLOOKUP(M61,'Iz''s'!$CD$9:$CH$24,3,FALSE),IF(AND(J61="Cobre",F61="Trifásico"),VLOOKUP(M61,'Iz''s'!$CD$9:$CH$24,5,FALSE),IF(AND(J61="Alumínio",F61="Monofásico"),VLOOKUP(M61,'Iz''s'!$CD$26:$CH$40,3,FALSE),IF(AND(J61="Alumínio",F61="Trifásico"),VLOOKUP(M61,'Iz''s'!$CD$26:$CH$40,5,FALSE)))))</f>
        <v>23</v>
      </c>
      <c r="BE61" s="531">
        <f>IF(AND(J61="Cobre",F61="Monofásico"),VLOOKUP(M61,'Iz''s'!$B$8:$E$23,4,FALSE),IF(AND(J61="Cobre",F61="Trifásico"),VLOOKUP(M61,'Iz''s'!$L$8:$O$23,4,FALSE),IF(AND(J61="Alumínio",F61="Monofásico"),VLOOKUP(M61,'Iz''s'!$B$25:$E$39,4,FALSE),IF(AND(J61="Alumínio",F61="Trifásico"),VLOOKUP(M61,'Iz''s'!$L$25:$O$39,4,FALSE)))))</f>
        <v>27</v>
      </c>
      <c r="BF61" s="531">
        <f>IF(AND(J61="Cobre",F61="Monofásico"),VLOOKUP(M61,'Iz''s'!$CP$9:$CT$24,3,FALSE),IF(AND(J61="Cobre",F61="Trifásico"),VLOOKUP(M61,'Iz''s'!$CP$9:$CT$24,2,FALSE),IF(AND(J61="Alumínio",F61="Monofásico"),VLOOKUP(M61,'Iz''s'!$CP$26:$CT$37,3,FALSE),IF(AND(J61="Alumínio",F61="Trifásico"),VLOOKUP(M61,'Iz''s'!$CP$26:$CT$37,2,FALSE)))))</f>
        <v>42</v>
      </c>
      <c r="BG61" s="531">
        <f>IF(AND(J61="Cobre",F61="Monofásico"),VLOOKUP(M61,'Iz''s'!$AT$10:$BA$28,2,FALSE),IF(AND(J61="Cobre",F61="Trifásico"),VLOOKUP(M61,'Iz''s'!$AT$10:$BA$28,3,FALSE),IF(AND(J61="Alumínio",F61="Monofásico"),VLOOKUP(M61,'Iz''s'!$BC$10:$BJ$27,2,FALSE),IF(AND(J61="Alumínio",F61="Trifásico"),VLOOKUP(M61,'Iz''s'!$BC$10:$BJ$27,3,FALSE)))))</f>
        <v>30</v>
      </c>
      <c r="BH61" s="609" t="str">
        <f>IF(AND(J61="Cobre",F61="Monofásico"),VLOOKUP(M61,'Iz''s'!$AT$10:$BA$28,4,FALSE),IF(AND(J61="Cobre",F61="Trifásico"),VLOOKUP(M61,'Iz''s'!$AT$10:$BA$28,5,FALSE),IF(AND(J61="Alumínio",F61="Monofásico"),VLOOKUP(M61,'Iz''s'!$BC$10:$BJ$27,4,FALSE),IF(AND(J61="Alumínio",F61="Trifásico"),VLOOKUP(M61,'Iz''s'!$BC$10:$BJ$27,5,FALSE)))))</f>
        <v xml:space="preserve"> --- </v>
      </c>
      <c r="BI61" s="609" t="str">
        <f>IF(AND(J61="Cobre",F61="Monofásico"),"N/A",IF(AND(J61="Cobre",F61="Trifásico"),VLOOKUP(M61,'Iz''s'!$AT$10:$BA$28,8,FALSE),IF(AND(J61="Alumínio",F61="Monofásico"),"N/A",IF(AND(J61="Alumínio",F61="Trifásico"),VLOOKUP(M61,'Iz''s'!$BC$10:$BJ$27,8,FALSE)))))</f>
        <v>N/A</v>
      </c>
      <c r="BJ61" s="531">
        <f>IF(AND(J61="Cobre",F61="Monofásico"),VLOOKUP(M61,'Iz''s'!$G$8:$J$23,2,FALSE),IF(AND(J61="Cobre",F61="Trifásico"),VLOOKUP(M61,'Iz''s'!$Q$8:$T$23,2,FALSE),IF(AND(J61="Alumínio",F61="Monofásico"),VLOOKUP(M61,'Iz''s'!$G$25:$J$39,2,FALSE),IF(AND(J61="Alumínio",F61="Trifásico"),VLOOKUP(M61,'Iz''s'!$Q$25:$T$39,2,FALSE)))))</f>
        <v>26</v>
      </c>
      <c r="BK61" s="609">
        <f>IF(AND(J61="Cobre",F61="Monofásico"),VLOOKUP(M61,'Iz''s'!$CJ$9:$CN$24,2,FALSE),IF(AND(J61="Cobre",F61="Trifásico"),VLOOKUP(M61,'Iz''s'!$CJ$9:$CN$24,4,FALSE),IF(AND(J61="Alumínio",F61="Monofásico"),VLOOKUP(M61,'Iz''s'!$CJ$26:$CN$40,2,FALSE),IF(AND(J61="Alumínio",F61="Trifásico"),VLOOKUP(M61,'Iz''s'!$CJ$26:$CN$40,4,FALSE)))))</f>
        <v>25</v>
      </c>
      <c r="BL61" s="609">
        <f>IF(AND(J61="Cobre",F61="Monofásico"),VLOOKUP(M61,'Iz''s'!$G$8:$J$23,3,FALSE),IF(AND(J61="Cobre",F61="Trifásico"),VLOOKUP(M61,'Iz''s'!$Q$8:$T$23,3,FALSE),IF(AND(J61="Alumínio",F61="Monofásico"),VLOOKUP(M61,'Iz''s'!$G$25:$J$39,3,FALSE),IF(AND(J61="Alumínio",F61="Trifásico"),VLOOKUP(M61,'Iz''s'!$Q$25:$T$39,3,FALSE)))))</f>
        <v>31</v>
      </c>
      <c r="BM61" s="609">
        <f>IF(AND(J61="Cobre",F61="Monofásico"),VLOOKUP(M61,'Iz''s'!$CJ$9:$CN$24,3,FALSE),IF(AND(J61="Cobre",F61="Trifásico"),VLOOKUP(M61,'Iz''s'!$CJ$9:$CN$24,5,FALSE),IF(AND(J61="Alumínio",F61="Monofásico"),VLOOKUP(M61,'Iz''s'!$CJ$26:$CN$40,3,FALSE),IF(AND(J61="Alumínio",F61="Trifásico"),VLOOKUP(M61,'Iz''s'!$CJ$26:$CN$40,5,FALSE)))))</f>
        <v>30</v>
      </c>
      <c r="BN61" s="609">
        <f>IF(AND(J61="Cobre",F61="Monofásico"),VLOOKUP(M61,'Iz''s'!$G$8:$J$23,4,FALSE),IF(AND(J61="Cobre",F61="Trifásico"),VLOOKUP(M61,'Iz''s'!$Q$8:$T$23,4,FALSE),IF(AND(J61="Alumínio",F61="Monofásico"),VLOOKUP(M61,'Iz''s'!$G$25:$J$39,4,FALSE),IF(AND(J61="Alumínio",F61="Trifásico"),VLOOKUP(M61,'Iz''s'!$Q$25:$T$39,4,FALSE)))))</f>
        <v>33</v>
      </c>
      <c r="BO61" s="609">
        <f>IF(AND(J61="Cobre",F61="Monofásico"),VLOOKUP(M61,'Iz''s'!$CP$9:$CT$24,5,FALSE),IF(AND(J61="Cobre",F61="Trifásico"),VLOOKUP(M61,'Iz''s'!$CP$9:$CT$24,4,FALSE),IF(AND(J61="Alumínio",F61="Monofásico"),VLOOKUP(M61,'Iz''s'!$CP$26:$CT$37,5,FALSE),IF(AND(J61="Alumínio",F61="Trifásico"),VLOOKUP(M61,'Iz''s'!$CP$26:$CT$37,4,FALSE)))))</f>
        <v>48</v>
      </c>
      <c r="BP61" s="609">
        <f>IF(AND(J61="Cobre",F61="Monofásico"),VLOOKUP(M61,'Iz''s'!$BL$10:$BS$28,2,FALSE),IF(AND(J61="Cobre",F61="Trifásico"),VLOOKUP(M61,'Iz''s'!$BL$10:$BS$28,3,FALSE),IF(AND(J61="Alumínio",F61="Monofásico"),VLOOKUP(M61,'Iz''s'!$BU$10:$CB$27,2,FALSE),IF(AND(J61="Alumínio",F61="Trifásico"),VLOOKUP(M61,'Iz''s'!$BU$10:$CB$27,3,FALSE)))))</f>
        <v>36</v>
      </c>
      <c r="BQ61" s="531" t="str">
        <f>IF(AND(J61="Cobre",F61="Monofásico"),VLOOKUP(M61,'Iz''s'!$BL$10:$BS$28,4,FALSE),IF(AND(J61="Cobre",F61="Trifásico"),VLOOKUP(M61,'Iz''s'!$BL$10:$BS$28,5,FALSE),IF(AND(J61="Alumínio",F61="Monofásico"),VLOOKUP(M61,'Iz''s'!$BU$10:$CB$27,4,FALSE),IF(AND(J61="Alumínio",F61="Trifásico"),VLOOKUP(M61,'Iz''s'!$BU$10:$CB$27,5,FALSE)))))</f>
        <v xml:space="preserve"> --- </v>
      </c>
      <c r="BR61" s="609" t="str">
        <f>IF(AND(J61="Cobre",F61="Monofásico"),"N/A",IF(AND(J61="Cobre",F61="Trifásico"),VLOOKUP(M61,'Iz''s'!$BL$10:$BS$28,8,FALSE),IF(AND(J61="Alumínio",F61="Monofásico"),"N/A",IF(AND(J61="Alumínio",F61="Trifásico"),VLOOKUP(M61,'Iz''s'!$BU$10:$CB$27,8,FALSE)))))</f>
        <v>N/A</v>
      </c>
      <c r="BS61" s="609">
        <f>IF(AND(J61="Cobre",F61="Monofásico"),VLOOKUP(M61,'Iz''s'!$V$14:$Y$28,2,FALSE),IF(AND(J61="Cobre",F61="Trifásico"),VLOOKUP(M61,'Iz''s'!$V$14:$Y$28,3,FALSE),IF(AND(J61="Alumínio",F61="Monofásico"),VLOOKUP(M61,"N/A",4,FALSE),IF(AND(J61="Alumínio",F61="Trifásico"),VLOOKUP(M61,"N/A",4,FALSE)))))</f>
        <v>34</v>
      </c>
      <c r="BT61" s="609">
        <f>IF(AND(J61="Cobre",F61="Monofásico"),VLOOKUP(M61,'Iz''s'!$AF$15:$AK$29,2,FALSE),IF(AND(J61="Cobre",F61="Trifásico"),VLOOKUP(M61,'Iz''s'!$AF$15:$AK$29,3,FALSE),IF(AND(J61="Alumínio",F61="Monofásico"),"N/A",IF(AND(J61="Alumínio",F61="Trifásico"),"N/A"))))</f>
        <v>36</v>
      </c>
      <c r="BU61" s="609">
        <f>IF(AND(J61="Cobre",F61="Monofásico"),VLOOKUP(M61,'Iz''s'!$AF$15:$AK$29,2,FALSE),IF(AND(J61="Cobre",F61="Trifásico"),VLOOKUP(M61,'Iz''s'!$AF$15:$AK$29,3,FALSE),IF(AND(J61="Alumínio",F61="Monofásico"),"N/A",IF(AND(J61="Alumínio",F61="Trifásico"),"N/A"))))</f>
        <v>36</v>
      </c>
      <c r="BV61" s="610" t="str">
        <f>IF(AND(J61="Cobre",F61="Monofásico"),"N/A",IF(AND(J61="Cobre",F61="Trifásico"),VLOOKUP(M61,'Iz''s'!$AF$15:$AK$29,6,FALSE),IF(AND(J61="Alumínio",F61="Monofásico"),"N/A",IF(AND(J61="Alumínio",F61="Trifásico"),"N/A"))))</f>
        <v>N/A</v>
      </c>
      <c r="BW61" s="611">
        <v>59</v>
      </c>
      <c r="BX61" s="785"/>
      <c r="BY61" s="612">
        <f>VLOOKUP(M61,Consulta!$W$6:$AB$23,4,FALSE)</f>
        <v>16</v>
      </c>
      <c r="BZ61" s="612">
        <f>VLOOKUP(M61,Consulta!$W$6:$AB$23,6,FALSE)</f>
        <v>20</v>
      </c>
      <c r="CA61" s="612">
        <f>VLOOKUP(M61,Consulta!$AK$6:$AP$23,4,FALSE)</f>
        <v>20</v>
      </c>
      <c r="CB61" s="612">
        <f>VLOOKUP(M61,Consulta!$AK$6:$AP$23,6,FALSE)</f>
        <v>25</v>
      </c>
      <c r="CC61" s="585" t="e">
        <f>VLOOKUP(M61,Consulta!$AD$6:$AI$19,4,FALSE)</f>
        <v>#N/A</v>
      </c>
      <c r="CD61" s="585" t="e">
        <f>VLOOKUP(M61,Consulta!$AD$6:$AI$19,6,FALSE)</f>
        <v>#N/A</v>
      </c>
      <c r="CE61" s="585" t="e">
        <f>VLOOKUP(M61,Consulta!$AR$6:$AW$19,4,FALSE)</f>
        <v>#N/A</v>
      </c>
      <c r="CF61" s="586" t="e">
        <f>VLOOKUP(M61,Consulta!$AR$6:$AW$19,6,FALSE)</f>
        <v>#N/A</v>
      </c>
      <c r="CG61" s="786"/>
      <c r="CH61" s="786"/>
      <c r="CI61" s="786"/>
      <c r="CJ61" s="786"/>
      <c r="CK61" s="786"/>
      <c r="CL61" s="786"/>
      <c r="CM61" s="786"/>
      <c r="CN61" s="786"/>
      <c r="CO61" s="786"/>
      <c r="CP61" s="786"/>
      <c r="CQ61" s="786"/>
      <c r="CR61" s="786"/>
      <c r="CS61" s="786"/>
      <c r="CT61" s="786"/>
      <c r="CU61" s="786"/>
      <c r="CV61" s="786"/>
      <c r="CW61" s="786"/>
      <c r="CX61" s="786"/>
      <c r="CY61" s="786"/>
      <c r="CZ61" s="786"/>
      <c r="DA61" s="786"/>
      <c r="DB61" s="786"/>
      <c r="DC61" s="786"/>
      <c r="DD61" s="786"/>
      <c r="DE61" s="786"/>
      <c r="DF61" s="786"/>
      <c r="DG61" s="786"/>
      <c r="DH61" s="786"/>
      <c r="DI61" s="786"/>
      <c r="DJ61" s="786"/>
      <c r="DK61" s="786"/>
      <c r="DL61" s="786"/>
      <c r="DM61" s="786"/>
      <c r="DN61" s="786"/>
      <c r="DO61" s="786"/>
      <c r="DP61" s="786"/>
      <c r="DQ61" s="786"/>
      <c r="DR61" s="786"/>
      <c r="DS61" s="786"/>
      <c r="DT61" s="786"/>
      <c r="DU61" s="786"/>
      <c r="DV61" s="786"/>
      <c r="DW61" s="786"/>
      <c r="DX61" s="786"/>
      <c r="DY61" s="786"/>
      <c r="DZ61" s="786"/>
      <c r="EA61" s="786"/>
      <c r="EB61" s="786"/>
      <c r="EC61" s="786"/>
      <c r="ED61" s="786"/>
      <c r="EE61" s="786"/>
      <c r="EF61" s="786"/>
      <c r="EG61" s="786"/>
      <c r="EH61" s="786"/>
      <c r="EI61" s="786"/>
      <c r="EJ61" s="786"/>
      <c r="EK61" s="786"/>
      <c r="EL61" s="786"/>
      <c r="EM61" s="786"/>
      <c r="EN61" s="786"/>
      <c r="EO61" s="786"/>
      <c r="EP61" s="786"/>
      <c r="EQ61" s="786"/>
      <c r="ER61" s="786"/>
      <c r="ES61" s="786"/>
      <c r="ET61" s="786"/>
      <c r="EU61" s="786"/>
      <c r="EV61" s="786"/>
      <c r="EW61" s="786"/>
      <c r="EX61" s="786"/>
      <c r="EY61" s="786"/>
      <c r="EZ61" s="786"/>
      <c r="FA61" s="786"/>
      <c r="FB61" s="786"/>
      <c r="FC61" s="786"/>
      <c r="FD61" s="786"/>
      <c r="FE61" s="786"/>
      <c r="FF61" s="786"/>
      <c r="FG61" s="786"/>
      <c r="FH61" s="786"/>
      <c r="FI61" s="786"/>
      <c r="FJ61" s="786"/>
      <c r="FK61" s="786"/>
      <c r="FL61" s="786"/>
      <c r="FM61" s="786"/>
      <c r="FN61" s="786"/>
      <c r="FO61" s="786"/>
      <c r="FP61" s="786"/>
      <c r="FQ61" s="786"/>
      <c r="FR61" s="786"/>
      <c r="FS61" s="786"/>
      <c r="FT61" s="786"/>
      <c r="FU61" s="786"/>
      <c r="FV61" s="786"/>
      <c r="FW61" s="786"/>
      <c r="FX61" s="786"/>
      <c r="FY61" s="786"/>
      <c r="FZ61" s="786"/>
      <c r="GA61" s="786"/>
      <c r="GB61" s="786"/>
      <c r="GC61" s="786"/>
      <c r="GD61" s="786"/>
      <c r="GE61" s="786"/>
      <c r="GF61" s="786"/>
      <c r="GG61" s="786"/>
      <c r="GH61" s="786"/>
      <c r="GI61" s="786"/>
      <c r="GJ61" s="786"/>
      <c r="GK61" s="786"/>
      <c r="GL61" s="786"/>
      <c r="GM61" s="786"/>
      <c r="GN61" s="786"/>
      <c r="GO61" s="786"/>
      <c r="GP61" s="786"/>
      <c r="GQ61" s="786"/>
      <c r="GR61" s="786"/>
      <c r="GS61" s="786"/>
      <c r="GT61" s="786"/>
      <c r="GU61" s="786"/>
      <c r="GV61" s="786"/>
      <c r="GW61" s="786"/>
      <c r="GX61" s="786"/>
      <c r="GY61" s="786"/>
      <c r="GZ61" s="786"/>
      <c r="HA61" s="786"/>
      <c r="HB61" s="786"/>
      <c r="HC61" s="786"/>
      <c r="HD61" s="786"/>
    </row>
    <row r="62" spans="1:212" s="552" customFormat="1" ht="16.5" customHeight="1" x14ac:dyDescent="0.2">
      <c r="A62" s="568"/>
      <c r="B62" s="1121"/>
      <c r="C62" s="820" t="s">
        <v>838</v>
      </c>
      <c r="D62" s="701">
        <f>6*40/1000</f>
        <v>0.24</v>
      </c>
      <c r="E62" s="701">
        <f>1.8+1.8+1.8+1.4+0.95+0.55+0.825+0.3+0.3588+1+2.91+2.93+0.319+0.1</f>
        <v>17.042800000000003</v>
      </c>
      <c r="F62" s="701" t="s">
        <v>244</v>
      </c>
      <c r="G62" s="701" t="s">
        <v>808</v>
      </c>
      <c r="H62" s="701">
        <v>1</v>
      </c>
      <c r="I62" s="765" t="s">
        <v>13</v>
      </c>
      <c r="J62" s="701" t="s">
        <v>242</v>
      </c>
      <c r="K62" s="701" t="s">
        <v>363</v>
      </c>
      <c r="L62" s="701">
        <v>1</v>
      </c>
      <c r="M62" s="702">
        <v>1.5</v>
      </c>
      <c r="N62" s="701" t="s">
        <v>453</v>
      </c>
      <c r="O62" s="701">
        <v>4</v>
      </c>
      <c r="P62" s="555">
        <f t="shared" si="62"/>
        <v>16.5</v>
      </c>
      <c r="Q62" s="701">
        <v>3</v>
      </c>
      <c r="R62" s="701">
        <v>1</v>
      </c>
      <c r="S62" s="555">
        <f t="shared" si="78"/>
        <v>1.0434782608695652</v>
      </c>
      <c r="T62" s="712">
        <f t="shared" si="84"/>
        <v>16.5</v>
      </c>
      <c r="U62" s="701" t="s">
        <v>499</v>
      </c>
      <c r="V62" s="555">
        <v>10</v>
      </c>
      <c r="W62" s="701">
        <f>IF(U62="C.C.Fusíveis",VLOOKUP(V62,Consulta!$L$5:$N$31,3,FALSE),VLOOKUP(V62,Consulta!$P$5:$R$34,3,FALSE))</f>
        <v>13.5</v>
      </c>
      <c r="X62" s="713">
        <f t="shared" si="10"/>
        <v>24</v>
      </c>
      <c r="Y62" s="822">
        <f t="shared" si="85"/>
        <v>6.3241106719367585E-2</v>
      </c>
      <c r="Z62" s="706" t="str">
        <f t="shared" si="11"/>
        <v>Sim</v>
      </c>
      <c r="AA62" s="767">
        <f t="shared" si="80"/>
        <v>0.1599867020753542</v>
      </c>
      <c r="AB62" s="767">
        <f t="shared" si="12"/>
        <v>0.31955250000000007</v>
      </c>
      <c r="AC62" s="767">
        <f t="shared" si="6"/>
        <v>0</v>
      </c>
      <c r="AD62" s="703">
        <f t="shared" si="81"/>
        <v>1.8453768675737272</v>
      </c>
      <c r="AE62" s="703">
        <f t="shared" si="17"/>
        <v>0.66689217391304356</v>
      </c>
      <c r="AF62" s="703">
        <f t="shared" si="18"/>
        <v>2.5122690414867708</v>
      </c>
      <c r="AG62" s="704">
        <f t="shared" si="34"/>
        <v>2.8995311909262764E-3</v>
      </c>
      <c r="AH62" s="768">
        <f t="shared" si="34"/>
        <v>1.0922908876029438E-2</v>
      </c>
      <c r="AI62" s="703">
        <f t="shared" si="7"/>
        <v>0.47962710661527536</v>
      </c>
      <c r="AJ62" s="701">
        <v>3</v>
      </c>
      <c r="AK62" s="703">
        <v>0.1</v>
      </c>
      <c r="AL62" s="713">
        <f t="shared" si="82"/>
        <v>115</v>
      </c>
      <c r="AM62" s="703">
        <f t="shared" si="83"/>
        <v>1.3188818125745068</v>
      </c>
      <c r="AN62" s="706">
        <f t="shared" si="86"/>
        <v>1</v>
      </c>
      <c r="AO62" s="706" t="s">
        <v>563</v>
      </c>
      <c r="AP62" s="706" t="s">
        <v>523</v>
      </c>
      <c r="AQ62" s="706" t="str">
        <f t="shared" si="87"/>
        <v>3G</v>
      </c>
      <c r="AR62" s="706">
        <f t="shared" si="88"/>
        <v>1.5</v>
      </c>
      <c r="AS62" s="893" t="str">
        <f t="shared" si="8"/>
        <v/>
      </c>
      <c r="AT62" s="893" t="str">
        <f>IF(OR(AQ62="3G",AQ62="5G"),"",VLOOKUP(AR62,Consulta!$T$5:$U$25,2,FALSE))</f>
        <v/>
      </c>
      <c r="AU62" s="894" t="s">
        <v>565</v>
      </c>
      <c r="AV62" s="706" t="s">
        <v>23</v>
      </c>
      <c r="AW62" s="706" t="s">
        <v>564</v>
      </c>
      <c r="AX62" s="706">
        <f t="shared" si="30"/>
        <v>20</v>
      </c>
      <c r="AY62" s="707" t="s">
        <v>24</v>
      </c>
      <c r="AZ62" s="784"/>
      <c r="BA62" s="584">
        <f>IF(AND(J62="Cobre",F62="Monofásico"),VLOOKUP(M62,'Iz''s'!$B$8:$E$23,2,FALSE),IF(AND(J62="Cobre",F62="Trifásico"),VLOOKUP(M62,'Iz''s'!$L$8:$O$23,2,FALSE),IF(AND(J62="Alumínio",F62="Monofásico"),VLOOKUP(M62,'Iz''s'!$B$25:$E$39,2,FALSE),IF(AND(J62="Alumínio",F62="Trifásico"),VLOOKUP(M62,'Iz''s'!$L$25:$O$39,2,FALSE)))))</f>
        <v>14.5</v>
      </c>
      <c r="BB62" s="531">
        <f>IF(AND(J62="Cobre",F62="Monofásico"),VLOOKUP(M62,'Iz''s'!$CD$9:$CH$24,2,FALSE),IF(AND(J62="Cobre",F62="Trifásico"),VLOOKUP(M62,'Iz''s'!$CD$9:$CH$24,4,FALSE),IF(AND(J62="Alumínio",F62="Monofásico"),VLOOKUP(M62,'Iz''s'!$CD$26:$CH$40,2,FALSE),IF(AND(J62="Alumínio",F62="Trifásico"),VLOOKUP(M62,'Iz''s'!$CD$26:$CH$40,4,FALSE)))))</f>
        <v>14</v>
      </c>
      <c r="BC62" s="531">
        <f>IF(AND(J62="Cobre",F62="Monofásico"),VLOOKUP(M62,'Iz''s'!$B$8:$E$23,3,FALSE),IF(AND(J62="Cobre",F62="Trifásico"),VLOOKUP(M62,'Iz''s'!$L$8:$O$23,3,FALSE),IF(AND(J62="Alumínio",F62="Monofásico"),VLOOKUP(M62,'Iz''s'!$B$25:$E$39,3,FALSE),IF(AND(J62="Alumínio",F62="Trifásico"),VLOOKUP(M62,'Iz''s'!$L$25:$O$39,3,FALSE)))))</f>
        <v>17.5</v>
      </c>
      <c r="BD62" s="531">
        <f>IF(AND(J62="Cobre",F62="Monofásico"),VLOOKUP(M62,'Iz''s'!$CD$9:$CH$24,3,FALSE),IF(AND(J62="Cobre",F62="Trifásico"),VLOOKUP(M62,'Iz''s'!$CD$9:$CH$24,5,FALSE),IF(AND(J62="Alumínio",F62="Monofásico"),VLOOKUP(M62,'Iz''s'!$CD$26:$CH$40,3,FALSE),IF(AND(J62="Alumínio",F62="Trifásico"),VLOOKUP(M62,'Iz''s'!$CD$26:$CH$40,5,FALSE)))))</f>
        <v>16.5</v>
      </c>
      <c r="BE62" s="531">
        <f>IF(AND(J62="Cobre",F62="Monofásico"),VLOOKUP(M62,'Iz''s'!$B$8:$E$23,4,FALSE),IF(AND(J62="Cobre",F62="Trifásico"),VLOOKUP(M62,'Iz''s'!$L$8:$O$23,4,FALSE),IF(AND(J62="Alumínio",F62="Monofásico"),VLOOKUP(M62,'Iz''s'!$B$25:$E$39,4,FALSE),IF(AND(J62="Alumínio",F62="Trifásico"),VLOOKUP(M62,'Iz''s'!$L$25:$O$39,4,FALSE)))))</f>
        <v>19.5</v>
      </c>
      <c r="BF62" s="531">
        <f>IF(AND(J62="Cobre",F62="Monofásico"),VLOOKUP(M62,'Iz''s'!$CP$9:$CT$24,3,FALSE),IF(AND(J62="Cobre",F62="Trifásico"),VLOOKUP(M62,'Iz''s'!$CP$9:$CT$24,2,FALSE),IF(AND(J62="Alumínio",F62="Monofásico"),VLOOKUP(M62,'Iz''s'!$CP$26:$CT$37,3,FALSE),IF(AND(J62="Alumínio",F62="Trifásico"),VLOOKUP(M62,'Iz''s'!$CP$26:$CT$37,2,FALSE)))))</f>
        <v>32</v>
      </c>
      <c r="BG62" s="531">
        <f>IF(AND(J62="Cobre",F62="Monofásico"),VLOOKUP(M62,'Iz''s'!$AT$10:$BA$28,2,FALSE),IF(AND(J62="Cobre",F62="Trifásico"),VLOOKUP(M62,'Iz''s'!$AT$10:$BA$28,3,FALSE),IF(AND(J62="Alumínio",F62="Monofásico"),VLOOKUP(M62,'Iz''s'!$BC$10:$BJ$27,2,FALSE),IF(AND(J62="Alumínio",F62="Trifásico"),VLOOKUP(M62,'Iz''s'!$BC$10:$BJ$27,3,FALSE)))))</f>
        <v>22</v>
      </c>
      <c r="BH62" s="609" t="str">
        <f>IF(AND(J62="Cobre",F62="Monofásico"),VLOOKUP(M62,'Iz''s'!$AT$10:$BA$28,4,FALSE),IF(AND(J62="Cobre",F62="Trifásico"),VLOOKUP(M62,'Iz''s'!$AT$10:$BA$28,5,FALSE),IF(AND(J62="Alumínio",F62="Monofásico"),VLOOKUP(M62,'Iz''s'!$BC$10:$BJ$27,4,FALSE),IF(AND(J62="Alumínio",F62="Trifásico"),VLOOKUP(M62,'Iz''s'!$BC$10:$BJ$27,5,FALSE)))))</f>
        <v xml:space="preserve"> --- </v>
      </c>
      <c r="BI62" s="609" t="str">
        <f>IF(AND(J62="Cobre",F62="Monofásico"),"N/A",IF(AND(J62="Cobre",F62="Trifásico"),VLOOKUP(M62,'Iz''s'!$AT$10:$BA$28,8,FALSE),IF(AND(J62="Alumínio",F62="Monofásico"),"N/A",IF(AND(J62="Alumínio",F62="Trifásico"),VLOOKUP(M62,'Iz''s'!$BC$10:$BJ$27,8,FALSE)))))</f>
        <v>N/A</v>
      </c>
      <c r="BJ62" s="531">
        <f>IF(AND(J62="Cobre",F62="Monofásico"),VLOOKUP(M62,'Iz''s'!$G$8:$J$23,2,FALSE),IF(AND(J62="Cobre",F62="Trifásico"),VLOOKUP(M62,'Iz''s'!$Q$8:$T$23,2,FALSE),IF(AND(J62="Alumínio",F62="Monofásico"),VLOOKUP(M62,'Iz''s'!$G$25:$J$39,2,FALSE),IF(AND(J62="Alumínio",F62="Trifásico"),VLOOKUP(M62,'Iz''s'!$Q$25:$T$39,2,FALSE)))))</f>
        <v>19</v>
      </c>
      <c r="BK62" s="609">
        <f>IF(AND(J62="Cobre",F62="Monofásico"),VLOOKUP(M62,'Iz''s'!$CJ$9:$CN$24,2,FALSE),IF(AND(J62="Cobre",F62="Trifásico"),VLOOKUP(M62,'Iz''s'!$CJ$9:$CN$24,4,FALSE),IF(AND(J62="Alumínio",F62="Monofásico"),VLOOKUP(M62,'Iz''s'!$CJ$26:$CN$40,2,FALSE),IF(AND(J62="Alumínio",F62="Trifásico"),VLOOKUP(M62,'Iz''s'!$CJ$26:$CN$40,4,FALSE)))))</f>
        <v>18.5</v>
      </c>
      <c r="BL62" s="609">
        <f>IF(AND(J62="Cobre",F62="Monofásico"),VLOOKUP(M62,'Iz''s'!$G$8:$J$23,3,FALSE),IF(AND(J62="Cobre",F62="Trifásico"),VLOOKUP(M62,'Iz''s'!$Q$8:$T$23,3,FALSE),IF(AND(J62="Alumínio",F62="Monofásico"),VLOOKUP(M62,'Iz''s'!$G$25:$J$39,3,FALSE),IF(AND(J62="Alumínio",F62="Trifásico"),VLOOKUP(M62,'Iz''s'!$Q$25:$T$39,3,FALSE)))))</f>
        <v>23</v>
      </c>
      <c r="BM62" s="609">
        <f>IF(AND(J62="Cobre",F62="Monofásico"),VLOOKUP(M62,'Iz''s'!$CJ$9:$CN$24,3,FALSE),IF(AND(J62="Cobre",F62="Trifásico"),VLOOKUP(M62,'Iz''s'!$CJ$9:$CN$24,5,FALSE),IF(AND(J62="Alumínio",F62="Monofásico"),VLOOKUP(M62,'Iz''s'!$CJ$26:$CN$40,3,FALSE),IF(AND(J62="Alumínio",F62="Trifásico"),VLOOKUP(M62,'Iz''s'!$CJ$26:$CN$40,5,FALSE)))))</f>
        <v>22</v>
      </c>
      <c r="BN62" s="609">
        <f>IF(AND(J62="Cobre",F62="Monofásico"),VLOOKUP(M62,'Iz''s'!$G$8:$J$23,4,FALSE),IF(AND(J62="Cobre",F62="Trifásico"),VLOOKUP(M62,'Iz''s'!$Q$8:$T$23,4,FALSE),IF(AND(J62="Alumínio",F62="Monofásico"),VLOOKUP(M62,'Iz''s'!$G$25:$J$39,4,FALSE),IF(AND(J62="Alumínio",F62="Trifásico"),VLOOKUP(M62,'Iz''s'!$Q$25:$T$39,4,FALSE)))))</f>
        <v>24</v>
      </c>
      <c r="BO62" s="609">
        <f>IF(AND(J62="Cobre",F62="Monofásico"),VLOOKUP(M62,'Iz''s'!$CP$9:$CT$24,5,FALSE),IF(AND(J62="Cobre",F62="Trifásico"),VLOOKUP(M62,'Iz''s'!$CP$9:$CT$24,4,FALSE),IF(AND(J62="Alumínio",F62="Monofásico"),VLOOKUP(M62,'Iz''s'!$CP$26:$CT$37,5,FALSE),IF(AND(J62="Alumínio",F62="Trifásico"),VLOOKUP(M62,'Iz''s'!$CP$26:$CT$37,4,FALSE)))))</f>
        <v>37</v>
      </c>
      <c r="BP62" s="609">
        <f>IF(AND(J62="Cobre",F62="Monofásico"),VLOOKUP(M62,'Iz''s'!$BL$10:$BS$28,2,FALSE),IF(AND(J62="Cobre",F62="Trifásico"),VLOOKUP(M62,'Iz''s'!$BL$10:$BS$28,3,FALSE),IF(AND(J62="Alumínio",F62="Monofásico"),VLOOKUP(M62,'Iz''s'!$BU$10:$CB$27,2,FALSE),IF(AND(J62="Alumínio",F62="Trifásico"),VLOOKUP(M62,'Iz''s'!$BU$10:$CB$27,3,FALSE)))))</f>
        <v>26</v>
      </c>
      <c r="BQ62" s="531" t="str">
        <f>IF(AND(J62="Cobre",F62="Monofásico"),VLOOKUP(M62,'Iz''s'!$BL$10:$BS$28,4,FALSE),IF(AND(J62="Cobre",F62="Trifásico"),VLOOKUP(M62,'Iz''s'!$BL$10:$BS$28,5,FALSE),IF(AND(J62="Alumínio",F62="Monofásico"),VLOOKUP(M62,'Iz''s'!$BU$10:$CB$27,4,FALSE),IF(AND(J62="Alumínio",F62="Trifásico"),VLOOKUP(M62,'Iz''s'!$BU$10:$CB$27,5,FALSE)))))</f>
        <v xml:space="preserve"> --- </v>
      </c>
      <c r="BR62" s="609" t="str">
        <f>IF(AND(J62="Cobre",F62="Monofásico"),"N/A",IF(AND(J62="Cobre",F62="Trifásico"),VLOOKUP(M62,'Iz''s'!$BL$10:$BS$28,8,FALSE),IF(AND(J62="Alumínio",F62="Monofásico"),"N/A",IF(AND(J62="Alumínio",F62="Trifásico"),VLOOKUP(M62,'Iz''s'!$BU$10:$CB$27,8,FALSE)))))</f>
        <v>N/A</v>
      </c>
      <c r="BS62" s="609">
        <f>IF(AND(J62="Cobre",F62="Monofásico"),VLOOKUP(M62,'Iz''s'!$V$14:$Y$28,2,FALSE),IF(AND(J62="Cobre",F62="Trifásico"),VLOOKUP(M62,'Iz''s'!$V$14:$Y$28,3,FALSE),IF(AND(J62="Alumínio",F62="Monofásico"),VLOOKUP(M62,"N/A",4,FALSE),IF(AND(J62="Alumínio",F62="Trifásico"),VLOOKUP(M62,"N/A",4,FALSE)))))</f>
        <v>25</v>
      </c>
      <c r="BT62" s="609">
        <f>IF(AND(J62="Cobre",F62="Monofásico"),VLOOKUP(M62,'Iz''s'!$AF$15:$AK$29,2,FALSE),IF(AND(J62="Cobre",F62="Trifásico"),VLOOKUP(M62,'Iz''s'!$AF$15:$AK$29,3,FALSE),IF(AND(J62="Alumínio",F62="Monofásico"),"N/A",IF(AND(J62="Alumínio",F62="Trifásico"),"N/A"))))</f>
        <v>26</v>
      </c>
      <c r="BU62" s="609">
        <f>IF(AND(J62="Cobre",F62="Monofásico"),VLOOKUP(M62,'Iz''s'!$AF$15:$AK$29,2,FALSE),IF(AND(J62="Cobre",F62="Trifásico"),VLOOKUP(M62,'Iz''s'!$AF$15:$AK$29,3,FALSE),IF(AND(J62="Alumínio",F62="Monofásico"),"N/A",IF(AND(J62="Alumínio",F62="Trifásico"),"N/A"))))</f>
        <v>26</v>
      </c>
      <c r="BV62" s="610" t="str">
        <f>IF(AND(J62="Cobre",F62="Monofásico"),"N/A",IF(AND(J62="Cobre",F62="Trifásico"),VLOOKUP(M62,'Iz''s'!$AF$15:$AK$29,6,FALSE),IF(AND(J62="Alumínio",F62="Monofásico"),"N/A",IF(AND(J62="Alumínio",F62="Trifásico"),"N/A"))))</f>
        <v>N/A</v>
      </c>
      <c r="BW62" s="611">
        <v>60</v>
      </c>
      <c r="BX62" s="785"/>
      <c r="BY62" s="612">
        <f>VLOOKUP(M62,Consulta!$W$6:$AB$23,4,FALSE)</f>
        <v>16</v>
      </c>
      <c r="BZ62" s="612">
        <f>VLOOKUP(M62,Consulta!$W$6:$AB$23,6,FALSE)</f>
        <v>20</v>
      </c>
      <c r="CA62" s="612">
        <f>VLOOKUP(M62,Consulta!$AK$6:$AP$23,4,FALSE)</f>
        <v>20</v>
      </c>
      <c r="CB62" s="612">
        <f>VLOOKUP(M62,Consulta!$AK$6:$AP$23,6,FALSE)</f>
        <v>20</v>
      </c>
      <c r="CC62" s="585" t="e">
        <f>VLOOKUP(M62,Consulta!$AD$6:$AI$19,4,FALSE)</f>
        <v>#N/A</v>
      </c>
      <c r="CD62" s="585" t="e">
        <f>VLOOKUP(M62,Consulta!$AD$6:$AI$19,6,FALSE)</f>
        <v>#N/A</v>
      </c>
      <c r="CE62" s="585" t="e">
        <f>VLOOKUP(M62,Consulta!$AR$6:$AW$19,4,FALSE)</f>
        <v>#N/A</v>
      </c>
      <c r="CF62" s="586" t="e">
        <f>VLOOKUP(M62,Consulta!$AR$6:$AW$19,6,FALSE)</f>
        <v>#N/A</v>
      </c>
      <c r="CG62" s="786"/>
      <c r="CH62" s="786"/>
      <c r="CI62" s="786"/>
      <c r="CJ62" s="786"/>
      <c r="CK62" s="786"/>
      <c r="CL62" s="786"/>
      <c r="CM62" s="786"/>
      <c r="CN62" s="786"/>
      <c r="CO62" s="786"/>
      <c r="CP62" s="786"/>
      <c r="CQ62" s="786"/>
      <c r="CR62" s="786"/>
      <c r="CS62" s="786"/>
      <c r="CT62" s="786"/>
      <c r="CU62" s="786"/>
      <c r="CV62" s="786"/>
      <c r="CW62" s="786"/>
      <c r="CX62" s="786"/>
      <c r="CY62" s="786"/>
      <c r="CZ62" s="786"/>
      <c r="DA62" s="786"/>
      <c r="DB62" s="786"/>
      <c r="DC62" s="786"/>
      <c r="DD62" s="786"/>
      <c r="DE62" s="786"/>
      <c r="DF62" s="786"/>
      <c r="DG62" s="786"/>
      <c r="DH62" s="786"/>
      <c r="DI62" s="786"/>
      <c r="DJ62" s="786"/>
      <c r="DK62" s="786"/>
      <c r="DL62" s="786"/>
      <c r="DM62" s="786"/>
      <c r="DN62" s="786"/>
      <c r="DO62" s="786"/>
      <c r="DP62" s="786"/>
      <c r="DQ62" s="786"/>
      <c r="DR62" s="786"/>
      <c r="DS62" s="786"/>
      <c r="DT62" s="786"/>
      <c r="DU62" s="786"/>
      <c r="DV62" s="786"/>
      <c r="DW62" s="786"/>
      <c r="DX62" s="786"/>
      <c r="DY62" s="786"/>
      <c r="DZ62" s="786"/>
      <c r="EA62" s="786"/>
      <c r="EB62" s="786"/>
      <c r="EC62" s="786"/>
      <c r="ED62" s="786"/>
      <c r="EE62" s="786"/>
      <c r="EF62" s="786"/>
      <c r="EG62" s="786"/>
      <c r="EH62" s="786"/>
      <c r="EI62" s="786"/>
      <c r="EJ62" s="786"/>
      <c r="EK62" s="786"/>
      <c r="EL62" s="786"/>
      <c r="EM62" s="786"/>
      <c r="EN62" s="786"/>
      <c r="EO62" s="786"/>
      <c r="EP62" s="786"/>
      <c r="EQ62" s="786"/>
      <c r="ER62" s="786"/>
      <c r="ES62" s="786"/>
      <c r="ET62" s="786"/>
      <c r="EU62" s="786"/>
      <c r="EV62" s="786"/>
      <c r="EW62" s="786"/>
      <c r="EX62" s="786"/>
      <c r="EY62" s="786"/>
      <c r="EZ62" s="786"/>
      <c r="FA62" s="786"/>
      <c r="FB62" s="786"/>
      <c r="FC62" s="786"/>
      <c r="FD62" s="786"/>
      <c r="FE62" s="786"/>
      <c r="FF62" s="786"/>
      <c r="FG62" s="786"/>
      <c r="FH62" s="786"/>
      <c r="FI62" s="786"/>
      <c r="FJ62" s="786"/>
      <c r="FK62" s="786"/>
      <c r="FL62" s="786"/>
      <c r="FM62" s="786"/>
      <c r="FN62" s="786"/>
      <c r="FO62" s="786"/>
      <c r="FP62" s="786"/>
      <c r="FQ62" s="786"/>
      <c r="FR62" s="786"/>
      <c r="FS62" s="786"/>
      <c r="FT62" s="786"/>
      <c r="FU62" s="786"/>
      <c r="FV62" s="786"/>
      <c r="FW62" s="786"/>
      <c r="FX62" s="786"/>
      <c r="FY62" s="786"/>
      <c r="FZ62" s="786"/>
      <c r="GA62" s="786"/>
      <c r="GB62" s="786"/>
      <c r="GC62" s="786"/>
      <c r="GD62" s="786"/>
      <c r="GE62" s="786"/>
      <c r="GF62" s="786"/>
      <c r="GG62" s="786"/>
      <c r="GH62" s="786"/>
      <c r="GI62" s="786"/>
      <c r="GJ62" s="786"/>
      <c r="GK62" s="786"/>
      <c r="GL62" s="786"/>
      <c r="GM62" s="786"/>
      <c r="GN62" s="786"/>
      <c r="GO62" s="786"/>
      <c r="GP62" s="786"/>
      <c r="GQ62" s="786"/>
      <c r="GR62" s="786"/>
      <c r="GS62" s="786"/>
      <c r="GT62" s="786"/>
      <c r="GU62" s="786"/>
      <c r="GV62" s="786"/>
      <c r="GW62" s="786"/>
      <c r="GX62" s="786"/>
      <c r="GY62" s="786"/>
      <c r="GZ62" s="786"/>
      <c r="HA62" s="786"/>
      <c r="HB62" s="786"/>
      <c r="HC62" s="786"/>
      <c r="HD62" s="786"/>
    </row>
    <row r="63" spans="1:212" s="552" customFormat="1" ht="16.5" customHeight="1" x14ac:dyDescent="0.2">
      <c r="A63" s="568"/>
      <c r="B63" s="1121"/>
      <c r="C63" s="816" t="s">
        <v>844</v>
      </c>
      <c r="D63" s="722">
        <v>0.9</v>
      </c>
      <c r="E63" s="722">
        <f>0.52+1.13+0.1</f>
        <v>1.75</v>
      </c>
      <c r="F63" s="722" t="s">
        <v>244</v>
      </c>
      <c r="G63" s="722" t="s">
        <v>808</v>
      </c>
      <c r="H63" s="722">
        <v>0.8</v>
      </c>
      <c r="I63" s="723" t="s">
        <v>13</v>
      </c>
      <c r="J63" s="722" t="s">
        <v>242</v>
      </c>
      <c r="K63" s="722" t="s">
        <v>363</v>
      </c>
      <c r="L63" s="722">
        <v>1</v>
      </c>
      <c r="M63" s="724">
        <v>1.5</v>
      </c>
      <c r="N63" s="722" t="s">
        <v>453</v>
      </c>
      <c r="O63" s="722">
        <v>4</v>
      </c>
      <c r="P63" s="555">
        <f t="shared" si="62"/>
        <v>16.5</v>
      </c>
      <c r="Q63" s="722">
        <v>3</v>
      </c>
      <c r="R63" s="722">
        <v>0.7</v>
      </c>
      <c r="S63" s="555">
        <f t="shared" si="78"/>
        <v>4.8913043478260869</v>
      </c>
      <c r="T63" s="725">
        <f t="shared" si="84"/>
        <v>11.549999999999999</v>
      </c>
      <c r="U63" s="722" t="s">
        <v>499</v>
      </c>
      <c r="V63" s="555">
        <v>6</v>
      </c>
      <c r="W63" s="722">
        <f>IF(U63="C.C.Fusíveis",VLOOKUP(V63,Consulta!$L$5:$N$31,3,FALSE),VLOOKUP(V63,Consulta!$P$5:$R$34,3,FALSE))</f>
        <v>8.1</v>
      </c>
      <c r="X63" s="736">
        <f t="shared" si="10"/>
        <v>24</v>
      </c>
      <c r="Y63" s="817">
        <f t="shared" si="85"/>
        <v>0.42348955392433657</v>
      </c>
      <c r="Z63" s="737" t="str">
        <f t="shared" si="11"/>
        <v>Sim</v>
      </c>
      <c r="AA63" s="770">
        <f t="shared" si="80"/>
        <v>0.1599867020753542</v>
      </c>
      <c r="AB63" s="770">
        <f t="shared" si="12"/>
        <v>3.2812500000000001E-2</v>
      </c>
      <c r="AC63" s="770">
        <f t="shared" si="6"/>
        <v>0</v>
      </c>
      <c r="AD63" s="726">
        <f t="shared" si="81"/>
        <v>1.8453768675737272</v>
      </c>
      <c r="AE63" s="726">
        <f t="shared" si="17"/>
        <v>0.25679347826086957</v>
      </c>
      <c r="AF63" s="726">
        <f t="shared" si="18"/>
        <v>2.1021703458345966</v>
      </c>
      <c r="AG63" s="727">
        <f t="shared" si="34"/>
        <v>1.1164933837429112E-3</v>
      </c>
      <c r="AH63" s="771">
        <f t="shared" si="34"/>
        <v>9.139871068846072E-3</v>
      </c>
      <c r="AI63" s="726">
        <f t="shared" si="7"/>
        <v>1.1929509952541513</v>
      </c>
      <c r="AJ63" s="722">
        <v>3</v>
      </c>
      <c r="AK63" s="726">
        <v>0.1</v>
      </c>
      <c r="AL63" s="736">
        <f t="shared" si="82"/>
        <v>115</v>
      </c>
      <c r="AM63" s="726">
        <f t="shared" si="83"/>
        <v>3.2803845930155098</v>
      </c>
      <c r="AN63" s="737">
        <f t="shared" si="86"/>
        <v>1</v>
      </c>
      <c r="AO63" s="737" t="s">
        <v>563</v>
      </c>
      <c r="AP63" s="737" t="s">
        <v>523</v>
      </c>
      <c r="AQ63" s="737" t="str">
        <f t="shared" si="87"/>
        <v>3G</v>
      </c>
      <c r="AR63" s="737">
        <f t="shared" si="88"/>
        <v>1.5</v>
      </c>
      <c r="AS63" s="889" t="str">
        <f t="shared" si="8"/>
        <v/>
      </c>
      <c r="AT63" s="889" t="str">
        <f>IF(OR(AQ63="3G",AQ63="5G"),"",VLOOKUP(AR63,Consulta!$T$5:$U$25,2,FALSE))</f>
        <v/>
      </c>
      <c r="AU63" s="890" t="s">
        <v>565</v>
      </c>
      <c r="AV63" s="737" t="s">
        <v>23</v>
      </c>
      <c r="AW63" s="737" t="s">
        <v>564</v>
      </c>
      <c r="AX63" s="737">
        <f t="shared" si="30"/>
        <v>20</v>
      </c>
      <c r="AY63" s="738" t="s">
        <v>24</v>
      </c>
      <c r="AZ63" s="784"/>
      <c r="BA63" s="584">
        <f>IF(AND(J63="Cobre",F63="Monofásico"),VLOOKUP(M63,'Iz''s'!$B$8:$E$23,2,FALSE),IF(AND(J63="Cobre",F63="Trifásico"),VLOOKUP(M63,'Iz''s'!$L$8:$O$23,2,FALSE),IF(AND(J63="Alumínio",F63="Monofásico"),VLOOKUP(M63,'Iz''s'!$B$25:$E$39,2,FALSE),IF(AND(J63="Alumínio",F63="Trifásico"),VLOOKUP(M63,'Iz''s'!$L$25:$O$39,2,FALSE)))))</f>
        <v>14.5</v>
      </c>
      <c r="BB63" s="531">
        <f>IF(AND(J63="Cobre",F63="Monofásico"),VLOOKUP(M63,'Iz''s'!$CD$9:$CH$24,2,FALSE),IF(AND(J63="Cobre",F63="Trifásico"),VLOOKUP(M63,'Iz''s'!$CD$9:$CH$24,4,FALSE),IF(AND(J63="Alumínio",F63="Monofásico"),VLOOKUP(M63,'Iz''s'!$CD$26:$CH$40,2,FALSE),IF(AND(J63="Alumínio",F63="Trifásico"),VLOOKUP(M63,'Iz''s'!$CD$26:$CH$40,4,FALSE)))))</f>
        <v>14</v>
      </c>
      <c r="BC63" s="531">
        <f>IF(AND(J63="Cobre",F63="Monofásico"),VLOOKUP(M63,'Iz''s'!$B$8:$E$23,3,FALSE),IF(AND(J63="Cobre",F63="Trifásico"),VLOOKUP(M63,'Iz''s'!$L$8:$O$23,3,FALSE),IF(AND(J63="Alumínio",F63="Monofásico"),VLOOKUP(M63,'Iz''s'!$B$25:$E$39,3,FALSE),IF(AND(J63="Alumínio",F63="Trifásico"),VLOOKUP(M63,'Iz''s'!$L$25:$O$39,3,FALSE)))))</f>
        <v>17.5</v>
      </c>
      <c r="BD63" s="531">
        <f>IF(AND(J63="Cobre",F63="Monofásico"),VLOOKUP(M63,'Iz''s'!$CD$9:$CH$24,3,FALSE),IF(AND(J63="Cobre",F63="Trifásico"),VLOOKUP(M63,'Iz''s'!$CD$9:$CH$24,5,FALSE),IF(AND(J63="Alumínio",F63="Monofásico"),VLOOKUP(M63,'Iz''s'!$CD$26:$CH$40,3,FALSE),IF(AND(J63="Alumínio",F63="Trifásico"),VLOOKUP(M63,'Iz''s'!$CD$26:$CH$40,5,FALSE)))))</f>
        <v>16.5</v>
      </c>
      <c r="BE63" s="531">
        <f>IF(AND(J63="Cobre",F63="Monofásico"),VLOOKUP(M63,'Iz''s'!$B$8:$E$23,4,FALSE),IF(AND(J63="Cobre",F63="Trifásico"),VLOOKUP(M63,'Iz''s'!$L$8:$O$23,4,FALSE),IF(AND(J63="Alumínio",F63="Monofásico"),VLOOKUP(M63,'Iz''s'!$B$25:$E$39,4,FALSE),IF(AND(J63="Alumínio",F63="Trifásico"),VLOOKUP(M63,'Iz''s'!$L$25:$O$39,4,FALSE)))))</f>
        <v>19.5</v>
      </c>
      <c r="BF63" s="531">
        <f>IF(AND(J63="Cobre",F63="Monofásico"),VLOOKUP(M63,'Iz''s'!$CP$9:$CT$24,3,FALSE),IF(AND(J63="Cobre",F63="Trifásico"),VLOOKUP(M63,'Iz''s'!$CP$9:$CT$24,2,FALSE),IF(AND(J63="Alumínio",F63="Monofásico"),VLOOKUP(M63,'Iz''s'!$CP$26:$CT$37,3,FALSE),IF(AND(J63="Alumínio",F63="Trifásico"),VLOOKUP(M63,'Iz''s'!$CP$26:$CT$37,2,FALSE)))))</f>
        <v>32</v>
      </c>
      <c r="BG63" s="531">
        <f>IF(AND(J63="Cobre",F63="Monofásico"),VLOOKUP(M63,'Iz''s'!$AT$10:$BA$28,2,FALSE),IF(AND(J63="Cobre",F63="Trifásico"),VLOOKUP(M63,'Iz''s'!$AT$10:$BA$28,3,FALSE),IF(AND(J63="Alumínio",F63="Monofásico"),VLOOKUP(M63,'Iz''s'!$BC$10:$BJ$27,2,FALSE),IF(AND(J63="Alumínio",F63="Trifásico"),VLOOKUP(M63,'Iz''s'!$BC$10:$BJ$27,3,FALSE)))))</f>
        <v>22</v>
      </c>
      <c r="BH63" s="609" t="str">
        <f>IF(AND(J63="Cobre",F63="Monofásico"),VLOOKUP(M63,'Iz''s'!$AT$10:$BA$28,4,FALSE),IF(AND(J63="Cobre",F63="Trifásico"),VLOOKUP(M63,'Iz''s'!$AT$10:$BA$28,5,FALSE),IF(AND(J63="Alumínio",F63="Monofásico"),VLOOKUP(M63,'Iz''s'!$BC$10:$BJ$27,4,FALSE),IF(AND(J63="Alumínio",F63="Trifásico"),VLOOKUP(M63,'Iz''s'!$BC$10:$BJ$27,5,FALSE)))))</f>
        <v xml:space="preserve"> --- </v>
      </c>
      <c r="BI63" s="609" t="str">
        <f>IF(AND(J63="Cobre",F63="Monofásico"),"N/A",IF(AND(J63="Cobre",F63="Trifásico"),VLOOKUP(M63,'Iz''s'!$AT$10:$BA$28,8,FALSE),IF(AND(J63="Alumínio",F63="Monofásico"),"N/A",IF(AND(J63="Alumínio",F63="Trifásico"),VLOOKUP(M63,'Iz''s'!$BC$10:$BJ$27,8,FALSE)))))</f>
        <v>N/A</v>
      </c>
      <c r="BJ63" s="531">
        <f>IF(AND(J63="Cobre",F63="Monofásico"),VLOOKUP(M63,'Iz''s'!$G$8:$J$23,2,FALSE),IF(AND(J63="Cobre",F63="Trifásico"),VLOOKUP(M63,'Iz''s'!$Q$8:$T$23,2,FALSE),IF(AND(J63="Alumínio",F63="Monofásico"),VLOOKUP(M63,'Iz''s'!$G$25:$J$39,2,FALSE),IF(AND(J63="Alumínio",F63="Trifásico"),VLOOKUP(M63,'Iz''s'!$Q$25:$T$39,2,FALSE)))))</f>
        <v>19</v>
      </c>
      <c r="BK63" s="609">
        <f>IF(AND(J63="Cobre",F63="Monofásico"),VLOOKUP(M63,'Iz''s'!$CJ$9:$CN$24,2,FALSE),IF(AND(J63="Cobre",F63="Trifásico"),VLOOKUP(M63,'Iz''s'!$CJ$9:$CN$24,4,FALSE),IF(AND(J63="Alumínio",F63="Monofásico"),VLOOKUP(M63,'Iz''s'!$CJ$26:$CN$40,2,FALSE),IF(AND(J63="Alumínio",F63="Trifásico"),VLOOKUP(M63,'Iz''s'!$CJ$26:$CN$40,4,FALSE)))))</f>
        <v>18.5</v>
      </c>
      <c r="BL63" s="609">
        <f>IF(AND(J63="Cobre",F63="Monofásico"),VLOOKUP(M63,'Iz''s'!$G$8:$J$23,3,FALSE),IF(AND(J63="Cobre",F63="Trifásico"),VLOOKUP(M63,'Iz''s'!$Q$8:$T$23,3,FALSE),IF(AND(J63="Alumínio",F63="Monofásico"),VLOOKUP(M63,'Iz''s'!$G$25:$J$39,3,FALSE),IF(AND(J63="Alumínio",F63="Trifásico"),VLOOKUP(M63,'Iz''s'!$Q$25:$T$39,3,FALSE)))))</f>
        <v>23</v>
      </c>
      <c r="BM63" s="609">
        <f>IF(AND(J63="Cobre",F63="Monofásico"),VLOOKUP(M63,'Iz''s'!$CJ$9:$CN$24,3,FALSE),IF(AND(J63="Cobre",F63="Trifásico"),VLOOKUP(M63,'Iz''s'!$CJ$9:$CN$24,5,FALSE),IF(AND(J63="Alumínio",F63="Monofásico"),VLOOKUP(M63,'Iz''s'!$CJ$26:$CN$40,3,FALSE),IF(AND(J63="Alumínio",F63="Trifásico"),VLOOKUP(M63,'Iz''s'!$CJ$26:$CN$40,5,FALSE)))))</f>
        <v>22</v>
      </c>
      <c r="BN63" s="609">
        <f>IF(AND(J63="Cobre",F63="Monofásico"),VLOOKUP(M63,'Iz''s'!$G$8:$J$23,4,FALSE),IF(AND(J63="Cobre",F63="Trifásico"),VLOOKUP(M63,'Iz''s'!$Q$8:$T$23,4,FALSE),IF(AND(J63="Alumínio",F63="Monofásico"),VLOOKUP(M63,'Iz''s'!$G$25:$J$39,4,FALSE),IF(AND(J63="Alumínio",F63="Trifásico"),VLOOKUP(M63,'Iz''s'!$Q$25:$T$39,4,FALSE)))))</f>
        <v>24</v>
      </c>
      <c r="BO63" s="609">
        <f>IF(AND(J63="Cobre",F63="Monofásico"),VLOOKUP(M63,'Iz''s'!$CP$9:$CT$24,5,FALSE),IF(AND(J63="Cobre",F63="Trifásico"),VLOOKUP(M63,'Iz''s'!$CP$9:$CT$24,4,FALSE),IF(AND(J63="Alumínio",F63="Monofásico"),VLOOKUP(M63,'Iz''s'!$CP$26:$CT$37,5,FALSE),IF(AND(J63="Alumínio",F63="Trifásico"),VLOOKUP(M63,'Iz''s'!$CP$26:$CT$37,4,FALSE)))))</f>
        <v>37</v>
      </c>
      <c r="BP63" s="609">
        <f>IF(AND(J63="Cobre",F63="Monofásico"),VLOOKUP(M63,'Iz''s'!$BL$10:$BS$28,2,FALSE),IF(AND(J63="Cobre",F63="Trifásico"),VLOOKUP(M63,'Iz''s'!$BL$10:$BS$28,3,FALSE),IF(AND(J63="Alumínio",F63="Monofásico"),VLOOKUP(M63,'Iz''s'!$BU$10:$CB$27,2,FALSE),IF(AND(J63="Alumínio",F63="Trifásico"),VLOOKUP(M63,'Iz''s'!$BU$10:$CB$27,3,FALSE)))))</f>
        <v>26</v>
      </c>
      <c r="BQ63" s="531" t="str">
        <f>IF(AND(J63="Cobre",F63="Monofásico"),VLOOKUP(M63,'Iz''s'!$BL$10:$BS$28,4,FALSE),IF(AND(J63="Cobre",F63="Trifásico"),VLOOKUP(M63,'Iz''s'!$BL$10:$BS$28,5,FALSE),IF(AND(J63="Alumínio",F63="Monofásico"),VLOOKUP(M63,'Iz''s'!$BU$10:$CB$27,4,FALSE),IF(AND(J63="Alumínio",F63="Trifásico"),VLOOKUP(M63,'Iz''s'!$BU$10:$CB$27,5,FALSE)))))</f>
        <v xml:space="preserve"> --- </v>
      </c>
      <c r="BR63" s="609" t="str">
        <f>IF(AND(J63="Cobre",F63="Monofásico"),"N/A",IF(AND(J63="Cobre",F63="Trifásico"),VLOOKUP(M63,'Iz''s'!$BL$10:$BS$28,8,FALSE),IF(AND(J63="Alumínio",F63="Monofásico"),"N/A",IF(AND(J63="Alumínio",F63="Trifásico"),VLOOKUP(M63,'Iz''s'!$BU$10:$CB$27,8,FALSE)))))</f>
        <v>N/A</v>
      </c>
      <c r="BS63" s="609">
        <f>IF(AND(J63="Cobre",F63="Monofásico"),VLOOKUP(M63,'Iz''s'!$V$14:$Y$28,2,FALSE),IF(AND(J63="Cobre",F63="Trifásico"),VLOOKUP(M63,'Iz''s'!$V$14:$Y$28,3,FALSE),IF(AND(J63="Alumínio",F63="Monofásico"),VLOOKUP(M63,"N/A",4,FALSE),IF(AND(J63="Alumínio",F63="Trifásico"),VLOOKUP(M63,"N/A",4,FALSE)))))</f>
        <v>25</v>
      </c>
      <c r="BT63" s="609">
        <f>IF(AND(J63="Cobre",F63="Monofásico"),VLOOKUP(M63,'Iz''s'!$AF$15:$AK$29,2,FALSE),IF(AND(J63="Cobre",F63="Trifásico"),VLOOKUP(M63,'Iz''s'!$AF$15:$AK$29,3,FALSE),IF(AND(J63="Alumínio",F63="Monofásico"),"N/A",IF(AND(J63="Alumínio",F63="Trifásico"),"N/A"))))</f>
        <v>26</v>
      </c>
      <c r="BU63" s="609">
        <f>IF(AND(J63="Cobre",F63="Monofásico"),VLOOKUP(M63,'Iz''s'!$AF$15:$AK$29,2,FALSE),IF(AND(J63="Cobre",F63="Trifásico"),VLOOKUP(M63,'Iz''s'!$AF$15:$AK$29,3,FALSE),IF(AND(J63="Alumínio",F63="Monofásico"),"N/A",IF(AND(J63="Alumínio",F63="Trifásico"),"N/A"))))</f>
        <v>26</v>
      </c>
      <c r="BV63" s="610" t="str">
        <f>IF(AND(J63="Cobre",F63="Monofásico"),"N/A",IF(AND(J63="Cobre",F63="Trifásico"),VLOOKUP(M63,'Iz''s'!$AF$15:$AK$29,6,FALSE),IF(AND(J63="Alumínio",F63="Monofásico"),"N/A",IF(AND(J63="Alumínio",F63="Trifásico"),"N/A"))))</f>
        <v>N/A</v>
      </c>
      <c r="BW63" s="611">
        <v>61</v>
      </c>
      <c r="BX63" s="785"/>
      <c r="BY63" s="612">
        <f>VLOOKUP(M63,Consulta!$W$6:$AB$23,4,FALSE)</f>
        <v>16</v>
      </c>
      <c r="BZ63" s="612">
        <f>VLOOKUP(M63,Consulta!$W$6:$AB$23,6,FALSE)</f>
        <v>20</v>
      </c>
      <c r="CA63" s="612">
        <f>VLOOKUP(M63,Consulta!$AK$6:$AP$23,4,FALSE)</f>
        <v>20</v>
      </c>
      <c r="CB63" s="612">
        <f>VLOOKUP(M63,Consulta!$AK$6:$AP$23,6,FALSE)</f>
        <v>20</v>
      </c>
      <c r="CC63" s="585" t="e">
        <f>VLOOKUP(M63,Consulta!$AD$6:$AI$19,4,FALSE)</f>
        <v>#N/A</v>
      </c>
      <c r="CD63" s="585" t="e">
        <f>VLOOKUP(M63,Consulta!$AD$6:$AI$19,6,FALSE)</f>
        <v>#N/A</v>
      </c>
      <c r="CE63" s="585" t="e">
        <f>VLOOKUP(M63,Consulta!$AR$6:$AW$19,4,FALSE)</f>
        <v>#N/A</v>
      </c>
      <c r="CF63" s="586" t="e">
        <f>VLOOKUP(M63,Consulta!$AR$6:$AW$19,6,FALSE)</f>
        <v>#N/A</v>
      </c>
      <c r="CG63" s="786"/>
      <c r="CH63" s="786"/>
      <c r="CI63" s="786"/>
      <c r="CJ63" s="786"/>
      <c r="CK63" s="786"/>
      <c r="CL63" s="786"/>
      <c r="CM63" s="786"/>
      <c r="CN63" s="786"/>
      <c r="CO63" s="786"/>
      <c r="CP63" s="786"/>
      <c r="CQ63" s="786"/>
      <c r="CR63" s="786"/>
      <c r="CS63" s="786"/>
      <c r="CT63" s="786"/>
      <c r="CU63" s="786"/>
      <c r="CV63" s="786"/>
      <c r="CW63" s="786"/>
      <c r="CX63" s="786"/>
      <c r="CY63" s="786"/>
      <c r="CZ63" s="786"/>
      <c r="DA63" s="786"/>
      <c r="DB63" s="786"/>
      <c r="DC63" s="786"/>
      <c r="DD63" s="786"/>
      <c r="DE63" s="786"/>
      <c r="DF63" s="786"/>
      <c r="DG63" s="786"/>
      <c r="DH63" s="786"/>
      <c r="DI63" s="786"/>
      <c r="DJ63" s="786"/>
      <c r="DK63" s="786"/>
      <c r="DL63" s="786"/>
      <c r="DM63" s="786"/>
      <c r="DN63" s="786"/>
      <c r="DO63" s="786"/>
      <c r="DP63" s="786"/>
      <c r="DQ63" s="786"/>
      <c r="DR63" s="786"/>
      <c r="DS63" s="786"/>
      <c r="DT63" s="786"/>
      <c r="DU63" s="786"/>
      <c r="DV63" s="786"/>
      <c r="DW63" s="786"/>
      <c r="DX63" s="786"/>
      <c r="DY63" s="786"/>
      <c r="DZ63" s="786"/>
      <c r="EA63" s="786"/>
      <c r="EB63" s="786"/>
      <c r="EC63" s="786"/>
      <c r="ED63" s="786"/>
      <c r="EE63" s="786"/>
      <c r="EF63" s="786"/>
      <c r="EG63" s="786"/>
      <c r="EH63" s="786"/>
      <c r="EI63" s="786"/>
      <c r="EJ63" s="786"/>
      <c r="EK63" s="786"/>
      <c r="EL63" s="786"/>
      <c r="EM63" s="786"/>
      <c r="EN63" s="786"/>
      <c r="EO63" s="786"/>
      <c r="EP63" s="786"/>
      <c r="EQ63" s="786"/>
      <c r="ER63" s="786"/>
      <c r="ES63" s="786"/>
      <c r="ET63" s="786"/>
      <c r="EU63" s="786"/>
      <c r="EV63" s="786"/>
      <c r="EW63" s="786"/>
      <c r="EX63" s="786"/>
      <c r="EY63" s="786"/>
      <c r="EZ63" s="786"/>
      <c r="FA63" s="786"/>
      <c r="FB63" s="786"/>
      <c r="FC63" s="786"/>
      <c r="FD63" s="786"/>
      <c r="FE63" s="786"/>
      <c r="FF63" s="786"/>
      <c r="FG63" s="786"/>
      <c r="FH63" s="786"/>
      <c r="FI63" s="786"/>
      <c r="FJ63" s="786"/>
      <c r="FK63" s="786"/>
      <c r="FL63" s="786"/>
      <c r="FM63" s="786"/>
      <c r="FN63" s="786"/>
      <c r="FO63" s="786"/>
      <c r="FP63" s="786"/>
      <c r="FQ63" s="786"/>
      <c r="FR63" s="786"/>
      <c r="FS63" s="786"/>
      <c r="FT63" s="786"/>
      <c r="FU63" s="786"/>
      <c r="FV63" s="786"/>
      <c r="FW63" s="786"/>
      <c r="FX63" s="786"/>
      <c r="FY63" s="786"/>
      <c r="FZ63" s="786"/>
      <c r="GA63" s="786"/>
      <c r="GB63" s="786"/>
      <c r="GC63" s="786"/>
      <c r="GD63" s="786"/>
      <c r="GE63" s="786"/>
      <c r="GF63" s="786"/>
      <c r="GG63" s="786"/>
      <c r="GH63" s="786"/>
      <c r="GI63" s="786"/>
      <c r="GJ63" s="786"/>
      <c r="GK63" s="786"/>
      <c r="GL63" s="786"/>
      <c r="GM63" s="786"/>
      <c r="GN63" s="786"/>
      <c r="GO63" s="786"/>
      <c r="GP63" s="786"/>
      <c r="GQ63" s="786"/>
      <c r="GR63" s="786"/>
      <c r="GS63" s="786"/>
      <c r="GT63" s="786"/>
      <c r="GU63" s="786"/>
      <c r="GV63" s="786"/>
      <c r="GW63" s="786"/>
      <c r="GX63" s="786"/>
      <c r="GY63" s="786"/>
      <c r="GZ63" s="786"/>
      <c r="HA63" s="786"/>
      <c r="HB63" s="786"/>
      <c r="HC63" s="786"/>
      <c r="HD63" s="786"/>
    </row>
    <row r="64" spans="1:212" s="552" customFormat="1" ht="16.5" customHeight="1" x14ac:dyDescent="0.2">
      <c r="A64" s="568"/>
      <c r="B64" s="1121"/>
      <c r="C64" s="816" t="s">
        <v>797</v>
      </c>
      <c r="D64" s="722">
        <v>5</v>
      </c>
      <c r="E64" s="722">
        <f>1.23+0.96+0.1</f>
        <v>2.29</v>
      </c>
      <c r="F64" s="722" t="s">
        <v>244</v>
      </c>
      <c r="G64" s="722" t="s">
        <v>808</v>
      </c>
      <c r="H64" s="722">
        <v>0.8</v>
      </c>
      <c r="I64" s="723" t="s">
        <v>13</v>
      </c>
      <c r="J64" s="722" t="s">
        <v>242</v>
      </c>
      <c r="K64" s="722" t="s">
        <v>363</v>
      </c>
      <c r="L64" s="722">
        <v>1</v>
      </c>
      <c r="M64" s="724">
        <v>10</v>
      </c>
      <c r="N64" s="722" t="s">
        <v>453</v>
      </c>
      <c r="O64" s="722">
        <v>4</v>
      </c>
      <c r="P64" s="555">
        <f t="shared" si="62"/>
        <v>52</v>
      </c>
      <c r="Q64" s="722">
        <v>3</v>
      </c>
      <c r="R64" s="722">
        <v>0.7</v>
      </c>
      <c r="S64" s="555">
        <f t="shared" si="78"/>
        <v>27.173913043478262</v>
      </c>
      <c r="T64" s="725">
        <f t="shared" si="84"/>
        <v>36.4</v>
      </c>
      <c r="U64" s="722" t="s">
        <v>499</v>
      </c>
      <c r="V64" s="555">
        <v>32</v>
      </c>
      <c r="W64" s="722">
        <f>IF(U64="C.C.Fusíveis",VLOOKUP(V64,Consulta!$L$5:$N$31,3,FALSE),VLOOKUP(V64,Consulta!$P$5:$R$34,3,FALSE))</f>
        <v>39</v>
      </c>
      <c r="X64" s="736">
        <f t="shared" si="10"/>
        <v>76</v>
      </c>
      <c r="Y64" s="817">
        <f t="shared" si="85"/>
        <v>0.74653607262302923</v>
      </c>
      <c r="Z64" s="737" t="str">
        <f t="shared" si="11"/>
        <v>Sim</v>
      </c>
      <c r="AA64" s="770">
        <f t="shared" si="80"/>
        <v>0.1599867020753542</v>
      </c>
      <c r="AB64" s="770">
        <f t="shared" si="12"/>
        <v>6.4406249999999993E-3</v>
      </c>
      <c r="AC64" s="770">
        <f t="shared" si="6"/>
        <v>1.8320000000000001E-4</v>
      </c>
      <c r="AD64" s="726">
        <f t="shared" si="81"/>
        <v>1.8453768675737272</v>
      </c>
      <c r="AE64" s="726">
        <f t="shared" si="17"/>
        <v>0.28600108695652177</v>
      </c>
      <c r="AF64" s="726">
        <f t="shared" si="18"/>
        <v>2.1313779545302491</v>
      </c>
      <c r="AG64" s="727">
        <f t="shared" si="34"/>
        <v>1.243482986767486E-3</v>
      </c>
      <c r="AH64" s="771">
        <f t="shared" si="34"/>
        <v>9.2668606718706477E-3</v>
      </c>
      <c r="AI64" s="726">
        <f t="shared" si="7"/>
        <v>1.3819629507362627</v>
      </c>
      <c r="AJ64" s="722">
        <v>3</v>
      </c>
      <c r="AK64" s="726">
        <v>0.1</v>
      </c>
      <c r="AL64" s="736">
        <f t="shared" si="82"/>
        <v>115</v>
      </c>
      <c r="AM64" s="726">
        <f t="shared" si="83"/>
        <v>3.8001309272118764</v>
      </c>
      <c r="AN64" s="737">
        <f t="shared" si="86"/>
        <v>1</v>
      </c>
      <c r="AO64" s="737" t="s">
        <v>563</v>
      </c>
      <c r="AP64" s="737" t="s">
        <v>523</v>
      </c>
      <c r="AQ64" s="737" t="str">
        <f t="shared" si="87"/>
        <v>3G</v>
      </c>
      <c r="AR64" s="737">
        <f t="shared" si="88"/>
        <v>10</v>
      </c>
      <c r="AS64" s="889" t="str">
        <f t="shared" si="8"/>
        <v/>
      </c>
      <c r="AT64" s="889" t="str">
        <f>IF(OR(AQ64="3G",AQ64="5G"),"",VLOOKUP(AR64,Consulta!$T$5:$U$25,2,FALSE))</f>
        <v/>
      </c>
      <c r="AU64" s="890" t="s">
        <v>565</v>
      </c>
      <c r="AV64" s="737" t="s">
        <v>23</v>
      </c>
      <c r="AW64" s="737" t="s">
        <v>564</v>
      </c>
      <c r="AX64" s="737">
        <f t="shared" si="30"/>
        <v>20</v>
      </c>
      <c r="AY64" s="738" t="s">
        <v>24</v>
      </c>
      <c r="AZ64" s="784"/>
      <c r="BA64" s="584">
        <f>IF(AND(J64="Cobre",F64="Monofásico"),VLOOKUP(M64,'Iz''s'!$B$8:$E$23,2,FALSE),IF(AND(J64="Cobre",F64="Trifásico"),VLOOKUP(M64,'Iz''s'!$L$8:$O$23,2,FALSE),IF(AND(J64="Alumínio",F64="Monofásico"),VLOOKUP(M64,'Iz''s'!$B$25:$E$39,2,FALSE),IF(AND(J64="Alumínio",F64="Trifásico"),VLOOKUP(M64,'Iz''s'!$L$25:$O$39,2,FALSE)))))</f>
        <v>46</v>
      </c>
      <c r="BB64" s="531">
        <f>IF(AND(J64="Cobre",F64="Monofásico"),VLOOKUP(M64,'Iz''s'!$CD$9:$CH$24,2,FALSE),IF(AND(J64="Cobre",F64="Trifásico"),VLOOKUP(M64,'Iz''s'!$CD$9:$CH$24,4,FALSE),IF(AND(J64="Alumínio",F64="Monofásico"),VLOOKUP(M64,'Iz''s'!$CD$26:$CH$40,2,FALSE),IF(AND(J64="Alumínio",F64="Trifásico"),VLOOKUP(M64,'Iz''s'!$CD$26:$CH$40,4,FALSE)))))</f>
        <v>43</v>
      </c>
      <c r="BC64" s="531">
        <f>IF(AND(J64="Cobre",F64="Monofásico"),VLOOKUP(M64,'Iz''s'!$B$8:$E$23,3,FALSE),IF(AND(J64="Cobre",F64="Trifásico"),VLOOKUP(M64,'Iz''s'!$L$8:$O$23,3,FALSE),IF(AND(J64="Alumínio",F64="Monofásico"),VLOOKUP(M64,'Iz''s'!$B$25:$E$39,3,FALSE),IF(AND(J64="Alumínio",F64="Trifásico"),VLOOKUP(M64,'Iz''s'!$L$25:$O$39,3,FALSE)))))</f>
        <v>57</v>
      </c>
      <c r="BD64" s="531">
        <f>IF(AND(J64="Cobre",F64="Monofásico"),VLOOKUP(M64,'Iz''s'!$CD$9:$CH$24,3,FALSE),IF(AND(J64="Cobre",F64="Trifásico"),VLOOKUP(M64,'Iz''s'!$CD$9:$CH$24,5,FALSE),IF(AND(J64="Alumínio",F64="Monofásico"),VLOOKUP(M64,'Iz''s'!$CD$26:$CH$40,3,FALSE),IF(AND(J64="Alumínio",F64="Trifásico"),VLOOKUP(M64,'Iz''s'!$CD$26:$CH$40,5,FALSE)))))</f>
        <v>52</v>
      </c>
      <c r="BE64" s="531">
        <f>IF(AND(J64="Cobre",F64="Monofásico"),VLOOKUP(M64,'Iz''s'!$B$8:$E$23,4,FALSE),IF(AND(J64="Cobre",F64="Trifásico"),VLOOKUP(M64,'Iz''s'!$L$8:$O$23,4,FALSE),IF(AND(J64="Alumínio",F64="Monofásico"),VLOOKUP(M64,'Iz''s'!$B$25:$E$39,4,FALSE),IF(AND(J64="Alumínio",F64="Trifásico"),VLOOKUP(M64,'Iz''s'!$L$25:$O$39,4,FALSE)))))</f>
        <v>63</v>
      </c>
      <c r="BF64" s="531">
        <f>IF(AND(J64="Cobre",F64="Monofásico"),VLOOKUP(M64,'Iz''s'!$CP$9:$CT$24,3,FALSE),IF(AND(J64="Cobre",F64="Trifásico"),VLOOKUP(M64,'Iz''s'!$CP$9:$CT$24,2,FALSE),IF(AND(J64="Alumínio",F64="Monofásico"),VLOOKUP(M64,'Iz''s'!$CP$26:$CT$37,3,FALSE),IF(AND(J64="Alumínio",F64="Trifásico"),VLOOKUP(M64,'Iz''s'!$CP$26:$CT$37,2,FALSE)))))</f>
        <v>90</v>
      </c>
      <c r="BG64" s="531">
        <f>IF(AND(J64="Cobre",F64="Monofásico"),VLOOKUP(M64,'Iz''s'!$AT$10:$BA$28,2,FALSE),IF(AND(J64="Cobre",F64="Trifásico"),VLOOKUP(M64,'Iz''s'!$AT$10:$BA$28,3,FALSE),IF(AND(J64="Alumínio",F64="Monofásico"),VLOOKUP(M64,'Iz''s'!$BC$10:$BJ$27,2,FALSE),IF(AND(J64="Alumínio",F64="Trifásico"),VLOOKUP(M64,'Iz''s'!$BC$10:$BJ$27,3,FALSE)))))</f>
        <v>70</v>
      </c>
      <c r="BH64" s="609" t="str">
        <f>IF(AND(J64="Cobre",F64="Monofásico"),VLOOKUP(M64,'Iz''s'!$AT$10:$BA$28,4,FALSE),IF(AND(J64="Cobre",F64="Trifásico"),VLOOKUP(M64,'Iz''s'!$AT$10:$BA$28,5,FALSE),IF(AND(J64="Alumínio",F64="Monofásico"),VLOOKUP(M64,'Iz''s'!$BC$10:$BJ$27,4,FALSE),IF(AND(J64="Alumínio",F64="Trifásico"),VLOOKUP(M64,'Iz''s'!$BC$10:$BJ$27,5,FALSE)))))</f>
        <v xml:space="preserve"> --- </v>
      </c>
      <c r="BI64" s="609" t="str">
        <f>IF(AND(J64="Cobre",F64="Monofásico"),"N/A",IF(AND(J64="Cobre",F64="Trifásico"),VLOOKUP(M64,'Iz''s'!$AT$10:$BA$28,8,FALSE),IF(AND(J64="Alumínio",F64="Monofásico"),"N/A",IF(AND(J64="Alumínio",F64="Trifásico"),VLOOKUP(M64,'Iz''s'!$BC$10:$BJ$27,8,FALSE)))))</f>
        <v>N/A</v>
      </c>
      <c r="BJ64" s="531">
        <f>IF(AND(J64="Cobre",F64="Monofásico"),VLOOKUP(M64,'Iz''s'!$G$8:$J$23,2,FALSE),IF(AND(J64="Cobre",F64="Trifásico"),VLOOKUP(M64,'Iz''s'!$Q$8:$T$23,2,FALSE),IF(AND(J64="Alumínio",F64="Monofásico"),VLOOKUP(M64,'Iz''s'!$G$25:$J$39,2,FALSE),IF(AND(J64="Alumínio",F64="Trifásico"),VLOOKUP(M64,'Iz''s'!$Q$25:$T$39,2,FALSE)))))</f>
        <v>61</v>
      </c>
      <c r="BK64" s="609">
        <f>IF(AND(J64="Cobre",F64="Monofásico"),VLOOKUP(M64,'Iz''s'!$CJ$9:$CN$24,2,FALSE),IF(AND(J64="Cobre",F64="Trifásico"),VLOOKUP(M64,'Iz''s'!$CJ$9:$CN$24,4,FALSE),IF(AND(J64="Alumínio",F64="Monofásico"),VLOOKUP(M64,'Iz''s'!$CJ$26:$CN$40,2,FALSE),IF(AND(J64="Alumínio",F64="Trifásico"),VLOOKUP(M64,'Iz''s'!$CJ$26:$CN$40,4,FALSE)))))</f>
        <v>57</v>
      </c>
      <c r="BL64" s="609">
        <f>IF(AND(J64="Cobre",F64="Monofásico"),VLOOKUP(M64,'Iz''s'!$G$8:$J$23,3,FALSE),IF(AND(J64="Cobre",F64="Trifásico"),VLOOKUP(M64,'Iz''s'!$Q$8:$T$23,3,FALSE),IF(AND(J64="Alumínio",F64="Monofásico"),VLOOKUP(M64,'Iz''s'!$G$25:$J$39,3,FALSE),IF(AND(J64="Alumínio",F64="Trifásico"),VLOOKUP(M64,'Iz''s'!$Q$25:$T$39,3,FALSE)))))</f>
        <v>75</v>
      </c>
      <c r="BM64" s="609">
        <f>IF(AND(J64="Cobre",F64="Monofásico"),VLOOKUP(M64,'Iz''s'!$CJ$9:$CN$24,3,FALSE),IF(AND(J64="Cobre",F64="Trifásico"),VLOOKUP(M64,'Iz''s'!$CJ$9:$CN$24,5,FALSE),IF(AND(J64="Alumínio",F64="Monofásico"),VLOOKUP(M64,'Iz''s'!$CJ$26:$CN$40,3,FALSE),IF(AND(J64="Alumínio",F64="Trifásico"),VLOOKUP(M64,'Iz''s'!$CJ$26:$CN$40,5,FALSE)))))</f>
        <v>69</v>
      </c>
      <c r="BN64" s="609">
        <f>IF(AND(J64="Cobre",F64="Monofásico"),VLOOKUP(M64,'Iz''s'!$G$8:$J$23,4,FALSE),IF(AND(J64="Cobre",F64="Trifásico"),VLOOKUP(M64,'Iz''s'!$Q$8:$T$23,4,FALSE),IF(AND(J64="Alumínio",F64="Monofásico"),VLOOKUP(M64,'Iz''s'!$G$25:$J$39,4,FALSE),IF(AND(J64="Alumínio",F64="Trifásico"),VLOOKUP(M64,'Iz''s'!$Q$25:$T$39,4,FALSE)))))</f>
        <v>80</v>
      </c>
      <c r="BO64" s="609">
        <f>IF(AND(J64="Cobre",F64="Monofásico"),VLOOKUP(M64,'Iz''s'!$CP$9:$CT$24,5,FALSE),IF(AND(J64="Cobre",F64="Trifásico"),VLOOKUP(M64,'Iz''s'!$CP$9:$CT$24,4,FALSE),IF(AND(J64="Alumínio",F64="Monofásico"),VLOOKUP(M64,'Iz''s'!$CP$26:$CT$37,5,FALSE),IF(AND(J64="Alumínio",F64="Trifásico"),VLOOKUP(M64,'Iz''s'!$CP$26:$CT$37,4,FALSE)))))</f>
        <v>104</v>
      </c>
      <c r="BP64" s="609">
        <f>IF(AND(J64="Cobre",F64="Monofásico"),VLOOKUP(M64,'Iz''s'!$BL$10:$BS$28,2,FALSE),IF(AND(J64="Cobre",F64="Trifásico"),VLOOKUP(M64,'Iz''s'!$BL$10:$BS$28,3,FALSE),IF(AND(J64="Alumínio",F64="Monofásico"),VLOOKUP(M64,'Iz''s'!$BU$10:$CB$27,2,FALSE),IF(AND(J64="Alumínio",F64="Trifásico"),VLOOKUP(M64,'Iz''s'!$BU$10:$CB$27,3,FALSE)))))</f>
        <v>86</v>
      </c>
      <c r="BQ64" s="531" t="str">
        <f>IF(AND(J64="Cobre",F64="Monofásico"),VLOOKUP(M64,'Iz''s'!$BL$10:$BS$28,4,FALSE),IF(AND(J64="Cobre",F64="Trifásico"),VLOOKUP(M64,'Iz''s'!$BL$10:$BS$28,5,FALSE),IF(AND(J64="Alumínio",F64="Monofásico"),VLOOKUP(M64,'Iz''s'!$BU$10:$CB$27,4,FALSE),IF(AND(J64="Alumínio",F64="Trifásico"),VLOOKUP(M64,'Iz''s'!$BU$10:$CB$27,5,FALSE)))))</f>
        <v xml:space="preserve"> --- </v>
      </c>
      <c r="BR64" s="609" t="str">
        <f>IF(AND(J64="Cobre",F64="Monofásico"),"N/A",IF(AND(J64="Cobre",F64="Trifásico"),VLOOKUP(M64,'Iz''s'!$BL$10:$BS$28,8,FALSE),IF(AND(J64="Alumínio",F64="Monofásico"),"N/A",IF(AND(J64="Alumínio",F64="Trifásico"),VLOOKUP(M64,'Iz''s'!$BU$10:$CB$27,8,FALSE)))))</f>
        <v>N/A</v>
      </c>
      <c r="BS64" s="609">
        <f>IF(AND(J64="Cobre",F64="Monofásico"),VLOOKUP(M64,'Iz''s'!$V$14:$Y$28,2,FALSE),IF(AND(J64="Cobre",F64="Trifásico"),VLOOKUP(M64,'Iz''s'!$V$14:$Y$28,3,FALSE),IF(AND(J64="Alumínio",F64="Monofásico"),VLOOKUP(M64,"N/A",4,FALSE),IF(AND(J64="Alumínio",F64="Trifásico"),VLOOKUP(M64,"N/A",4,FALSE)))))</f>
        <v>77</v>
      </c>
      <c r="BT64" s="609">
        <f>IF(AND(J64="Cobre",F64="Monofásico"),VLOOKUP(M64,'Iz''s'!$AF$15:$AK$29,2,FALSE),IF(AND(J64="Cobre",F64="Trifásico"),VLOOKUP(M64,'Iz''s'!$AF$15:$AK$29,3,FALSE),IF(AND(J64="Alumínio",F64="Monofásico"),"N/A",IF(AND(J64="Alumínio",F64="Trifásico"),"N/A"))))</f>
        <v>82</v>
      </c>
      <c r="BU64" s="609">
        <f>IF(AND(J64="Cobre",F64="Monofásico"),VLOOKUP(M64,'Iz''s'!$AF$15:$AK$29,2,FALSE),IF(AND(J64="Cobre",F64="Trifásico"),VLOOKUP(M64,'Iz''s'!$AF$15:$AK$29,3,FALSE),IF(AND(J64="Alumínio",F64="Monofásico"),"N/A",IF(AND(J64="Alumínio",F64="Trifásico"),"N/A"))))</f>
        <v>82</v>
      </c>
      <c r="BV64" s="610" t="str">
        <f>IF(AND(J64="Cobre",F64="Monofásico"),"N/A",IF(AND(J64="Cobre",F64="Trifásico"),VLOOKUP(M64,'Iz''s'!$AF$15:$AK$29,6,FALSE),IF(AND(J64="Alumínio",F64="Monofásico"),"N/A",IF(AND(J64="Alumínio",F64="Trifásico"),"N/A"))))</f>
        <v>N/A</v>
      </c>
      <c r="BW64" s="611">
        <v>62</v>
      </c>
      <c r="BX64" s="785"/>
      <c r="BY64" s="612">
        <f>VLOOKUP(M64,Consulta!$W$6:$AB$23,4,FALSE)</f>
        <v>25</v>
      </c>
      <c r="BZ64" s="612">
        <f>VLOOKUP(M64,Consulta!$W$6:$AB$23,6,FALSE)</f>
        <v>32</v>
      </c>
      <c r="CA64" s="612">
        <f>VLOOKUP(M64,Consulta!$AK$6:$AP$23,4,FALSE)</f>
        <v>32</v>
      </c>
      <c r="CB64" s="612">
        <f>VLOOKUP(M64,Consulta!$AK$6:$AP$23,6,FALSE)</f>
        <v>32</v>
      </c>
      <c r="CC64" s="585">
        <f>VLOOKUP(M64,Consulta!$AD$6:$AI$19,4,FALSE)</f>
        <v>32</v>
      </c>
      <c r="CD64" s="585">
        <f>VLOOKUP(M64,Consulta!$AD$6:$AI$19,6,FALSE)</f>
        <v>40</v>
      </c>
      <c r="CE64" s="585">
        <f>VLOOKUP(M64,Consulta!$AR$6:$AW$19,4,FALSE)</f>
        <v>50</v>
      </c>
      <c r="CF64" s="586">
        <f>VLOOKUP(M64,Consulta!$AR$6:$AW$19,6,FALSE)</f>
        <v>50</v>
      </c>
      <c r="CG64" s="786"/>
      <c r="CH64" s="786"/>
      <c r="CI64" s="786"/>
      <c r="CJ64" s="786"/>
      <c r="CK64" s="786"/>
      <c r="CL64" s="786"/>
      <c r="CM64" s="786"/>
      <c r="CN64" s="786"/>
      <c r="CO64" s="786"/>
      <c r="CP64" s="786"/>
      <c r="CQ64" s="786"/>
      <c r="CR64" s="786"/>
      <c r="CS64" s="786"/>
      <c r="CT64" s="786"/>
      <c r="CU64" s="786"/>
      <c r="CV64" s="786"/>
      <c r="CW64" s="786"/>
      <c r="CX64" s="786"/>
      <c r="CY64" s="786"/>
      <c r="CZ64" s="786"/>
      <c r="DA64" s="786"/>
      <c r="DB64" s="786"/>
      <c r="DC64" s="786"/>
      <c r="DD64" s="786"/>
      <c r="DE64" s="786"/>
      <c r="DF64" s="786"/>
      <c r="DG64" s="786"/>
      <c r="DH64" s="786"/>
      <c r="DI64" s="786"/>
      <c r="DJ64" s="786"/>
      <c r="DK64" s="786"/>
      <c r="DL64" s="786"/>
      <c r="DM64" s="786"/>
      <c r="DN64" s="786"/>
      <c r="DO64" s="786"/>
      <c r="DP64" s="786"/>
      <c r="DQ64" s="786"/>
      <c r="DR64" s="786"/>
      <c r="DS64" s="786"/>
      <c r="DT64" s="786"/>
      <c r="DU64" s="786"/>
      <c r="DV64" s="786"/>
      <c r="DW64" s="786"/>
      <c r="DX64" s="786"/>
      <c r="DY64" s="786"/>
      <c r="DZ64" s="786"/>
      <c r="EA64" s="786"/>
      <c r="EB64" s="786"/>
      <c r="EC64" s="786"/>
      <c r="ED64" s="786"/>
      <c r="EE64" s="786"/>
      <c r="EF64" s="786"/>
      <c r="EG64" s="786"/>
      <c r="EH64" s="786"/>
      <c r="EI64" s="786"/>
      <c r="EJ64" s="786"/>
      <c r="EK64" s="786"/>
      <c r="EL64" s="786"/>
      <c r="EM64" s="786"/>
      <c r="EN64" s="786"/>
      <c r="EO64" s="786"/>
      <c r="EP64" s="786"/>
      <c r="EQ64" s="786"/>
      <c r="ER64" s="786"/>
      <c r="ES64" s="786"/>
      <c r="ET64" s="786"/>
      <c r="EU64" s="786"/>
      <c r="EV64" s="786"/>
      <c r="EW64" s="786"/>
      <c r="EX64" s="786"/>
      <c r="EY64" s="786"/>
      <c r="EZ64" s="786"/>
      <c r="FA64" s="786"/>
      <c r="FB64" s="786"/>
      <c r="FC64" s="786"/>
      <c r="FD64" s="786"/>
      <c r="FE64" s="786"/>
      <c r="FF64" s="786"/>
      <c r="FG64" s="786"/>
      <c r="FH64" s="786"/>
      <c r="FI64" s="786"/>
      <c r="FJ64" s="786"/>
      <c r="FK64" s="786"/>
      <c r="FL64" s="786"/>
      <c r="FM64" s="786"/>
      <c r="FN64" s="786"/>
      <c r="FO64" s="786"/>
      <c r="FP64" s="786"/>
      <c r="FQ64" s="786"/>
      <c r="FR64" s="786"/>
      <c r="FS64" s="786"/>
      <c r="FT64" s="786"/>
      <c r="FU64" s="786"/>
      <c r="FV64" s="786"/>
      <c r="FW64" s="786"/>
      <c r="FX64" s="786"/>
      <c r="FY64" s="786"/>
      <c r="FZ64" s="786"/>
      <c r="GA64" s="786"/>
      <c r="GB64" s="786"/>
      <c r="GC64" s="786"/>
      <c r="GD64" s="786"/>
      <c r="GE64" s="786"/>
      <c r="GF64" s="786"/>
      <c r="GG64" s="786"/>
      <c r="GH64" s="786"/>
      <c r="GI64" s="786"/>
      <c r="GJ64" s="786"/>
      <c r="GK64" s="786"/>
      <c r="GL64" s="786"/>
      <c r="GM64" s="786"/>
      <c r="GN64" s="786"/>
      <c r="GO64" s="786"/>
      <c r="GP64" s="786"/>
      <c r="GQ64" s="786"/>
      <c r="GR64" s="786"/>
      <c r="GS64" s="786"/>
      <c r="GT64" s="786"/>
      <c r="GU64" s="786"/>
      <c r="GV64" s="786"/>
      <c r="GW64" s="786"/>
      <c r="GX64" s="786"/>
      <c r="GY64" s="786"/>
      <c r="GZ64" s="786"/>
      <c r="HA64" s="786"/>
      <c r="HB64" s="786"/>
      <c r="HC64" s="786"/>
      <c r="HD64" s="786"/>
    </row>
    <row r="65" spans="1:212" s="552" customFormat="1" ht="16.5" customHeight="1" x14ac:dyDescent="0.2">
      <c r="A65" s="568"/>
      <c r="B65" s="1121"/>
      <c r="C65" s="816" t="s">
        <v>873</v>
      </c>
      <c r="D65" s="722">
        <v>0.2</v>
      </c>
      <c r="E65" s="722">
        <f>1.33+1.4+0.1</f>
        <v>2.83</v>
      </c>
      <c r="F65" s="722" t="s">
        <v>244</v>
      </c>
      <c r="G65" s="722" t="s">
        <v>808</v>
      </c>
      <c r="H65" s="722">
        <v>0.8</v>
      </c>
      <c r="I65" s="723" t="s">
        <v>13</v>
      </c>
      <c r="J65" s="722" t="s">
        <v>242</v>
      </c>
      <c r="K65" s="722" t="s">
        <v>363</v>
      </c>
      <c r="L65" s="722">
        <v>1</v>
      </c>
      <c r="M65" s="724">
        <v>1.5</v>
      </c>
      <c r="N65" s="722" t="s">
        <v>453</v>
      </c>
      <c r="O65" s="722">
        <v>4</v>
      </c>
      <c r="P65" s="555">
        <f t="shared" si="62"/>
        <v>16.5</v>
      </c>
      <c r="Q65" s="722">
        <v>3</v>
      </c>
      <c r="R65" s="722">
        <v>0.7</v>
      </c>
      <c r="S65" s="555">
        <f t="shared" si="78"/>
        <v>1.0869565217391304</v>
      </c>
      <c r="T65" s="725">
        <f t="shared" si="84"/>
        <v>11.549999999999999</v>
      </c>
      <c r="U65" s="722" t="s">
        <v>499</v>
      </c>
      <c r="V65" s="555">
        <v>6</v>
      </c>
      <c r="W65" s="722">
        <f>IF(U65="C.C.Fusíveis",VLOOKUP(V65,Consulta!$L$5:$N$31,3,FALSE),VLOOKUP(V65,Consulta!$P$5:$R$34,3,FALSE))</f>
        <v>8.1</v>
      </c>
      <c r="X65" s="736">
        <f t="shared" si="10"/>
        <v>24</v>
      </c>
      <c r="Y65" s="817">
        <f t="shared" si="85"/>
        <v>9.4108789760963679E-2</v>
      </c>
      <c r="Z65" s="737" t="str">
        <f t="shared" si="11"/>
        <v>Sim</v>
      </c>
      <c r="AA65" s="770">
        <f t="shared" si="80"/>
        <v>0.1599867020753542</v>
      </c>
      <c r="AB65" s="770">
        <f t="shared" si="12"/>
        <v>5.3062499999999999E-2</v>
      </c>
      <c r="AC65" s="770">
        <f t="shared" si="6"/>
        <v>0</v>
      </c>
      <c r="AD65" s="726">
        <f t="shared" si="81"/>
        <v>1.8453768675737272</v>
      </c>
      <c r="AE65" s="726">
        <f t="shared" si="17"/>
        <v>9.2282608695652177E-2</v>
      </c>
      <c r="AF65" s="726">
        <f t="shared" si="18"/>
        <v>1.9376594762693793</v>
      </c>
      <c r="AG65" s="727">
        <f t="shared" si="34"/>
        <v>4.0122873345935727E-4</v>
      </c>
      <c r="AH65" s="771">
        <f t="shared" si="34"/>
        <v>8.4246064185625191E-3</v>
      </c>
      <c r="AI65" s="726">
        <f t="shared" si="7"/>
        <v>1.0795628322449684</v>
      </c>
      <c r="AJ65" s="722">
        <v>3</v>
      </c>
      <c r="AK65" s="726">
        <v>0.1</v>
      </c>
      <c r="AL65" s="736">
        <f t="shared" si="82"/>
        <v>115</v>
      </c>
      <c r="AM65" s="726">
        <f t="shared" si="83"/>
        <v>2.968589067092493</v>
      </c>
      <c r="AN65" s="737">
        <f t="shared" si="86"/>
        <v>1</v>
      </c>
      <c r="AO65" s="737" t="s">
        <v>563</v>
      </c>
      <c r="AP65" s="737" t="s">
        <v>523</v>
      </c>
      <c r="AQ65" s="737" t="str">
        <f t="shared" si="87"/>
        <v>3G</v>
      </c>
      <c r="AR65" s="737">
        <f t="shared" si="88"/>
        <v>1.5</v>
      </c>
      <c r="AS65" s="889" t="str">
        <f t="shared" si="8"/>
        <v/>
      </c>
      <c r="AT65" s="889" t="str">
        <f>IF(OR(AQ65="3G",AQ65="5G"),"",VLOOKUP(AR65,Consulta!$T$5:$U$25,2,FALSE))</f>
        <v/>
      </c>
      <c r="AU65" s="890" t="s">
        <v>565</v>
      </c>
      <c r="AV65" s="737" t="s">
        <v>23</v>
      </c>
      <c r="AW65" s="737" t="s">
        <v>564</v>
      </c>
      <c r="AX65" s="737">
        <f t="shared" si="30"/>
        <v>32</v>
      </c>
      <c r="AY65" s="738" t="s">
        <v>24</v>
      </c>
      <c r="AZ65" s="784"/>
      <c r="BA65" s="584">
        <f>IF(AND(J65="Cobre",F65="Monofásico"),VLOOKUP(M65,'Iz''s'!$B$8:$E$23,2,FALSE),IF(AND(J65="Cobre",F65="Trifásico"),VLOOKUP(M65,'Iz''s'!$L$8:$O$23,2,FALSE),IF(AND(J65="Alumínio",F65="Monofásico"),VLOOKUP(M65,'Iz''s'!$B$25:$E$39,2,FALSE),IF(AND(J65="Alumínio",F65="Trifásico"),VLOOKUP(M65,'Iz''s'!$L$25:$O$39,2,FALSE)))))</f>
        <v>14.5</v>
      </c>
      <c r="BB65" s="531">
        <f>IF(AND(J65="Cobre",F65="Monofásico"),VLOOKUP(M65,'Iz''s'!$CD$9:$CH$24,2,FALSE),IF(AND(J65="Cobre",F65="Trifásico"),VLOOKUP(M65,'Iz''s'!$CD$9:$CH$24,4,FALSE),IF(AND(J65="Alumínio",F65="Monofásico"),VLOOKUP(M65,'Iz''s'!$CD$26:$CH$40,2,FALSE),IF(AND(J65="Alumínio",F65="Trifásico"),VLOOKUP(M65,'Iz''s'!$CD$26:$CH$40,4,FALSE)))))</f>
        <v>14</v>
      </c>
      <c r="BC65" s="531">
        <f>IF(AND(J65="Cobre",F65="Monofásico"),VLOOKUP(M65,'Iz''s'!$B$8:$E$23,3,FALSE),IF(AND(J65="Cobre",F65="Trifásico"),VLOOKUP(M65,'Iz''s'!$L$8:$O$23,3,FALSE),IF(AND(J65="Alumínio",F65="Monofásico"),VLOOKUP(M65,'Iz''s'!$B$25:$E$39,3,FALSE),IF(AND(J65="Alumínio",F65="Trifásico"),VLOOKUP(M65,'Iz''s'!$L$25:$O$39,3,FALSE)))))</f>
        <v>17.5</v>
      </c>
      <c r="BD65" s="531">
        <f>IF(AND(J65="Cobre",F65="Monofásico"),VLOOKUP(M65,'Iz''s'!$CD$9:$CH$24,3,FALSE),IF(AND(J65="Cobre",F65="Trifásico"),VLOOKUP(M65,'Iz''s'!$CD$9:$CH$24,5,FALSE),IF(AND(J65="Alumínio",F65="Monofásico"),VLOOKUP(M65,'Iz''s'!$CD$26:$CH$40,3,FALSE),IF(AND(J65="Alumínio",F65="Trifásico"),VLOOKUP(M65,'Iz''s'!$CD$26:$CH$40,5,FALSE)))))</f>
        <v>16.5</v>
      </c>
      <c r="BE65" s="531">
        <f>IF(AND(J65="Cobre",F65="Monofásico"),VLOOKUP(M65,'Iz''s'!$B$8:$E$23,4,FALSE),IF(AND(J65="Cobre",F65="Trifásico"),VLOOKUP(M65,'Iz''s'!$L$8:$O$23,4,FALSE),IF(AND(J65="Alumínio",F65="Monofásico"),VLOOKUP(M65,'Iz''s'!$B$25:$E$39,4,FALSE),IF(AND(J65="Alumínio",F65="Trifásico"),VLOOKUP(M65,'Iz''s'!$L$25:$O$39,4,FALSE)))))</f>
        <v>19.5</v>
      </c>
      <c r="BF65" s="531">
        <f>IF(AND(J65="Cobre",F65="Monofásico"),VLOOKUP(M65,'Iz''s'!$CP$9:$CT$24,3,FALSE),IF(AND(J65="Cobre",F65="Trifásico"),VLOOKUP(M65,'Iz''s'!$CP$9:$CT$24,2,FALSE),IF(AND(J65="Alumínio",F65="Monofásico"),VLOOKUP(M65,'Iz''s'!$CP$26:$CT$37,3,FALSE),IF(AND(J65="Alumínio",F65="Trifásico"),VLOOKUP(M65,'Iz''s'!$CP$26:$CT$37,2,FALSE)))))</f>
        <v>32</v>
      </c>
      <c r="BG65" s="531">
        <f>IF(AND(J65="Cobre",F65="Monofásico"),VLOOKUP(M65,'Iz''s'!$AT$10:$BA$28,2,FALSE),IF(AND(J65="Cobre",F65="Trifásico"),VLOOKUP(M65,'Iz''s'!$AT$10:$BA$28,3,FALSE),IF(AND(J65="Alumínio",F65="Monofásico"),VLOOKUP(M65,'Iz''s'!$BC$10:$BJ$27,2,FALSE),IF(AND(J65="Alumínio",F65="Trifásico"),VLOOKUP(M65,'Iz''s'!$BC$10:$BJ$27,3,FALSE)))))</f>
        <v>22</v>
      </c>
      <c r="BH65" s="609" t="str">
        <f>IF(AND(J65="Cobre",F65="Monofásico"),VLOOKUP(M65,'Iz''s'!$AT$10:$BA$28,4,FALSE),IF(AND(J65="Cobre",F65="Trifásico"),VLOOKUP(M65,'Iz''s'!$AT$10:$BA$28,5,FALSE),IF(AND(J65="Alumínio",F65="Monofásico"),VLOOKUP(M65,'Iz''s'!$BC$10:$BJ$27,4,FALSE),IF(AND(J65="Alumínio",F65="Trifásico"),VLOOKUP(M65,'Iz''s'!$BC$10:$BJ$27,5,FALSE)))))</f>
        <v xml:space="preserve"> --- </v>
      </c>
      <c r="BI65" s="609" t="str">
        <f>IF(AND(J65="Cobre",F65="Monofásico"),"N/A",IF(AND(J65="Cobre",F65="Trifásico"),VLOOKUP(M65,'Iz''s'!$AT$10:$BA$28,8,FALSE),IF(AND(J65="Alumínio",F65="Monofásico"),"N/A",IF(AND(J65="Alumínio",F65="Trifásico"),VLOOKUP(M65,'Iz''s'!$BC$10:$BJ$27,8,FALSE)))))</f>
        <v>N/A</v>
      </c>
      <c r="BJ65" s="531">
        <f>IF(AND(J65="Cobre",F65="Monofásico"),VLOOKUP(M65,'Iz''s'!$G$8:$J$23,2,FALSE),IF(AND(J65="Cobre",F65="Trifásico"),VLOOKUP(M65,'Iz''s'!$Q$8:$T$23,2,FALSE),IF(AND(J65="Alumínio",F65="Monofásico"),VLOOKUP(M65,'Iz''s'!$G$25:$J$39,2,FALSE),IF(AND(J65="Alumínio",F65="Trifásico"),VLOOKUP(M65,'Iz''s'!$Q$25:$T$39,2,FALSE)))))</f>
        <v>19</v>
      </c>
      <c r="BK65" s="609">
        <f>IF(AND(J65="Cobre",F65="Monofásico"),VLOOKUP(M65,'Iz''s'!$CJ$9:$CN$24,2,FALSE),IF(AND(J65="Cobre",F65="Trifásico"),VLOOKUP(M65,'Iz''s'!$CJ$9:$CN$24,4,FALSE),IF(AND(J65="Alumínio",F65="Monofásico"),VLOOKUP(M65,'Iz''s'!$CJ$26:$CN$40,2,FALSE),IF(AND(J65="Alumínio",F65="Trifásico"),VLOOKUP(M65,'Iz''s'!$CJ$26:$CN$40,4,FALSE)))))</f>
        <v>18.5</v>
      </c>
      <c r="BL65" s="609">
        <f>IF(AND(J65="Cobre",F65="Monofásico"),VLOOKUP(M65,'Iz''s'!$G$8:$J$23,3,FALSE),IF(AND(J65="Cobre",F65="Trifásico"),VLOOKUP(M65,'Iz''s'!$Q$8:$T$23,3,FALSE),IF(AND(J65="Alumínio",F65="Monofásico"),VLOOKUP(M65,'Iz''s'!$G$25:$J$39,3,FALSE),IF(AND(J65="Alumínio",F65="Trifásico"),VLOOKUP(M65,'Iz''s'!$Q$25:$T$39,3,FALSE)))))</f>
        <v>23</v>
      </c>
      <c r="BM65" s="609">
        <f>IF(AND(J65="Cobre",F65="Monofásico"),VLOOKUP(M65,'Iz''s'!$CJ$9:$CN$24,3,FALSE),IF(AND(J65="Cobre",F65="Trifásico"),VLOOKUP(M65,'Iz''s'!$CJ$9:$CN$24,5,FALSE),IF(AND(J65="Alumínio",F65="Monofásico"),VLOOKUP(M65,'Iz''s'!$CJ$26:$CN$40,3,FALSE),IF(AND(J65="Alumínio",F65="Trifásico"),VLOOKUP(M65,'Iz''s'!$CJ$26:$CN$40,5,FALSE)))))</f>
        <v>22</v>
      </c>
      <c r="BN65" s="609">
        <f>IF(AND(J65="Cobre",F65="Monofásico"),VLOOKUP(M65,'Iz''s'!$G$8:$J$23,4,FALSE),IF(AND(J65="Cobre",F65="Trifásico"),VLOOKUP(M65,'Iz''s'!$Q$8:$T$23,4,FALSE),IF(AND(J65="Alumínio",F65="Monofásico"),VLOOKUP(M65,'Iz''s'!$G$25:$J$39,4,FALSE),IF(AND(J65="Alumínio",F65="Trifásico"),VLOOKUP(M65,'Iz''s'!$Q$25:$T$39,4,FALSE)))))</f>
        <v>24</v>
      </c>
      <c r="BO65" s="609">
        <f>IF(AND(J65="Cobre",F65="Monofásico"),VLOOKUP(M65,'Iz''s'!$CP$9:$CT$24,5,FALSE),IF(AND(J65="Cobre",F65="Trifásico"),VLOOKUP(M65,'Iz''s'!$CP$9:$CT$24,4,FALSE),IF(AND(J65="Alumínio",F65="Monofásico"),VLOOKUP(M65,'Iz''s'!$CP$26:$CT$37,5,FALSE),IF(AND(J65="Alumínio",F65="Trifásico"),VLOOKUP(M65,'Iz''s'!$CP$26:$CT$37,4,FALSE)))))</f>
        <v>37</v>
      </c>
      <c r="BP65" s="609">
        <f>IF(AND(J65="Cobre",F65="Monofásico"),VLOOKUP(M65,'Iz''s'!$BL$10:$BS$28,2,FALSE),IF(AND(J65="Cobre",F65="Trifásico"),VLOOKUP(M65,'Iz''s'!$BL$10:$BS$28,3,FALSE),IF(AND(J65="Alumínio",F65="Monofásico"),VLOOKUP(M65,'Iz''s'!$BU$10:$CB$27,2,FALSE),IF(AND(J65="Alumínio",F65="Trifásico"),VLOOKUP(M65,'Iz''s'!$BU$10:$CB$27,3,FALSE)))))</f>
        <v>26</v>
      </c>
      <c r="BQ65" s="531" t="str">
        <f>IF(AND(J65="Cobre",F65="Monofásico"),VLOOKUP(M65,'Iz''s'!$BL$10:$BS$28,4,FALSE),IF(AND(J65="Cobre",F65="Trifásico"),VLOOKUP(M65,'Iz''s'!$BL$10:$BS$28,5,FALSE),IF(AND(J65="Alumínio",F65="Monofásico"),VLOOKUP(M65,'Iz''s'!$BU$10:$CB$27,4,FALSE),IF(AND(J65="Alumínio",F65="Trifásico"),VLOOKUP(M65,'Iz''s'!$BU$10:$CB$27,5,FALSE)))))</f>
        <v xml:space="preserve"> --- </v>
      </c>
      <c r="BR65" s="609" t="str">
        <f>IF(AND(J65="Cobre",F65="Monofásico"),"N/A",IF(AND(J65="Cobre",F65="Trifásico"),VLOOKUP(M65,'Iz''s'!$BL$10:$BS$28,8,FALSE),IF(AND(J65="Alumínio",F65="Monofásico"),"N/A",IF(AND(J65="Alumínio",F65="Trifásico"),VLOOKUP(M65,'Iz''s'!$BU$10:$CB$27,8,FALSE)))))</f>
        <v>N/A</v>
      </c>
      <c r="BS65" s="609">
        <f>IF(AND(J65="Cobre",F65="Monofásico"),VLOOKUP(M65,'Iz''s'!$V$14:$Y$28,2,FALSE),IF(AND(J65="Cobre",F65="Trifásico"),VLOOKUP(M65,'Iz''s'!$V$14:$Y$28,3,FALSE),IF(AND(J65="Alumínio",F65="Monofásico"),VLOOKUP(M65,"N/A",4,FALSE),IF(AND(J65="Alumínio",F65="Trifásico"),VLOOKUP(M65,"N/A",4,FALSE)))))</f>
        <v>25</v>
      </c>
      <c r="BT65" s="609">
        <f>IF(AND(J65="Cobre",F65="Monofásico"),VLOOKUP(M65,'Iz''s'!$AF$15:$AK$29,2,FALSE),IF(AND(J65="Cobre",F65="Trifásico"),VLOOKUP(M65,'Iz''s'!$AF$15:$AK$29,3,FALSE),IF(AND(J65="Alumínio",F65="Monofásico"),"N/A",IF(AND(J65="Alumínio",F65="Trifásico"),"N/A"))))</f>
        <v>26</v>
      </c>
      <c r="BU65" s="609">
        <f>IF(AND(J65="Cobre",F65="Monofásico"),VLOOKUP(M65,'Iz''s'!$AF$15:$AK$29,2,FALSE),IF(AND(J65="Cobre",F65="Trifásico"),VLOOKUP(M65,'Iz''s'!$AF$15:$AK$29,3,FALSE),IF(AND(J65="Alumínio",F65="Monofásico"),"N/A",IF(AND(J65="Alumínio",F65="Trifásico"),"N/A"))))</f>
        <v>26</v>
      </c>
      <c r="BV65" s="610" t="str">
        <f>IF(AND(J65="Cobre",F65="Monofásico"),"N/A",IF(AND(J65="Cobre",F65="Trifásico"),VLOOKUP(M65,'Iz''s'!$AF$15:$AK$29,6,FALSE),IF(AND(J65="Alumínio",F65="Monofásico"),"N/A",IF(AND(J65="Alumínio",F65="Trifásico"),"N/A"))))</f>
        <v>N/A</v>
      </c>
      <c r="BW65" s="611">
        <v>63</v>
      </c>
      <c r="BX65" s="785"/>
      <c r="BY65" s="612">
        <f>VLOOKUP(M65,Consulta!$W$6:$AB$23,4,FALSE)</f>
        <v>16</v>
      </c>
      <c r="BZ65" s="612">
        <f>VLOOKUP(M65,Consulta!$W$6:$AB$23,6,FALSE)</f>
        <v>20</v>
      </c>
      <c r="CA65" s="612">
        <f>VLOOKUP(M65,Consulta!$AK$6:$AP$23,4,FALSE)</f>
        <v>20</v>
      </c>
      <c r="CB65" s="612">
        <f>VLOOKUP(M65,Consulta!$AK$6:$AP$23,6,FALSE)</f>
        <v>20</v>
      </c>
      <c r="CC65" s="585" t="e">
        <f>VLOOKUP(M65,Consulta!$AD$6:$AI$19,4,FALSE)</f>
        <v>#N/A</v>
      </c>
      <c r="CD65" s="585" t="e">
        <f>VLOOKUP(M65,Consulta!$AD$6:$AI$19,6,FALSE)</f>
        <v>#N/A</v>
      </c>
      <c r="CE65" s="585" t="e">
        <f>VLOOKUP(M65,Consulta!$AR$6:$AW$19,4,FALSE)</f>
        <v>#N/A</v>
      </c>
      <c r="CF65" s="586" t="e">
        <f>VLOOKUP(M65,Consulta!$AR$6:$AW$19,6,FALSE)</f>
        <v>#N/A</v>
      </c>
      <c r="CG65" s="786"/>
      <c r="CH65" s="786"/>
      <c r="CI65" s="786"/>
      <c r="CJ65" s="786"/>
      <c r="CK65" s="786"/>
      <c r="CL65" s="786"/>
      <c r="CM65" s="786"/>
      <c r="CN65" s="786"/>
      <c r="CO65" s="786"/>
      <c r="CP65" s="786"/>
      <c r="CQ65" s="786"/>
      <c r="CR65" s="786"/>
      <c r="CS65" s="786"/>
      <c r="CT65" s="786"/>
      <c r="CU65" s="786"/>
      <c r="CV65" s="786"/>
      <c r="CW65" s="786"/>
      <c r="CX65" s="786"/>
      <c r="CY65" s="786"/>
      <c r="CZ65" s="786"/>
      <c r="DA65" s="786"/>
      <c r="DB65" s="786"/>
      <c r="DC65" s="786"/>
      <c r="DD65" s="786"/>
      <c r="DE65" s="786"/>
      <c r="DF65" s="786"/>
      <c r="DG65" s="786"/>
      <c r="DH65" s="786"/>
      <c r="DI65" s="786"/>
      <c r="DJ65" s="786"/>
      <c r="DK65" s="786"/>
      <c r="DL65" s="786"/>
      <c r="DM65" s="786"/>
      <c r="DN65" s="786"/>
      <c r="DO65" s="786"/>
      <c r="DP65" s="786"/>
      <c r="DQ65" s="786"/>
      <c r="DR65" s="786"/>
      <c r="DS65" s="786"/>
      <c r="DT65" s="786"/>
      <c r="DU65" s="786"/>
      <c r="DV65" s="786"/>
      <c r="DW65" s="786"/>
      <c r="DX65" s="786"/>
      <c r="DY65" s="786"/>
      <c r="DZ65" s="786"/>
      <c r="EA65" s="786"/>
      <c r="EB65" s="786"/>
      <c r="EC65" s="786"/>
      <c r="ED65" s="786"/>
      <c r="EE65" s="786"/>
      <c r="EF65" s="786"/>
      <c r="EG65" s="786"/>
      <c r="EH65" s="786"/>
      <c r="EI65" s="786"/>
      <c r="EJ65" s="786"/>
      <c r="EK65" s="786"/>
      <c r="EL65" s="786"/>
      <c r="EM65" s="786"/>
      <c r="EN65" s="786"/>
      <c r="EO65" s="786"/>
      <c r="EP65" s="786"/>
      <c r="EQ65" s="786"/>
      <c r="ER65" s="786"/>
      <c r="ES65" s="786"/>
      <c r="ET65" s="786"/>
      <c r="EU65" s="786"/>
      <c r="EV65" s="786"/>
      <c r="EW65" s="786"/>
      <c r="EX65" s="786"/>
      <c r="EY65" s="786"/>
      <c r="EZ65" s="786"/>
      <c r="FA65" s="786"/>
      <c r="FB65" s="786"/>
      <c r="FC65" s="786"/>
      <c r="FD65" s="786"/>
      <c r="FE65" s="786"/>
      <c r="FF65" s="786"/>
      <c r="FG65" s="786"/>
      <c r="FH65" s="786"/>
      <c r="FI65" s="786"/>
      <c r="FJ65" s="786"/>
      <c r="FK65" s="786"/>
      <c r="FL65" s="786"/>
      <c r="FM65" s="786"/>
      <c r="FN65" s="786"/>
      <c r="FO65" s="786"/>
      <c r="FP65" s="786"/>
      <c r="FQ65" s="786"/>
      <c r="FR65" s="786"/>
      <c r="FS65" s="786"/>
      <c r="FT65" s="786"/>
      <c r="FU65" s="786"/>
      <c r="FV65" s="786"/>
      <c r="FW65" s="786"/>
      <c r="FX65" s="786"/>
      <c r="FY65" s="786"/>
      <c r="FZ65" s="786"/>
      <c r="GA65" s="786"/>
      <c r="GB65" s="786"/>
      <c r="GC65" s="786"/>
      <c r="GD65" s="786"/>
      <c r="GE65" s="786"/>
      <c r="GF65" s="786"/>
      <c r="GG65" s="786"/>
      <c r="GH65" s="786"/>
      <c r="GI65" s="786"/>
      <c r="GJ65" s="786"/>
      <c r="GK65" s="786"/>
      <c r="GL65" s="786"/>
      <c r="GM65" s="786"/>
      <c r="GN65" s="786"/>
      <c r="GO65" s="786"/>
      <c r="GP65" s="786"/>
      <c r="GQ65" s="786"/>
      <c r="GR65" s="786"/>
      <c r="GS65" s="786"/>
      <c r="GT65" s="786"/>
      <c r="GU65" s="786"/>
      <c r="GV65" s="786"/>
      <c r="GW65" s="786"/>
      <c r="GX65" s="786"/>
      <c r="GY65" s="786"/>
      <c r="GZ65" s="786"/>
      <c r="HA65" s="786"/>
      <c r="HB65" s="786"/>
      <c r="HC65" s="786"/>
      <c r="HD65" s="786"/>
    </row>
    <row r="66" spans="1:212" s="552" customFormat="1" ht="16.5" customHeight="1" x14ac:dyDescent="0.2">
      <c r="A66" s="568"/>
      <c r="B66" s="1121"/>
      <c r="C66" s="816" t="s">
        <v>846</v>
      </c>
      <c r="D66" s="722">
        <v>1.5</v>
      </c>
      <c r="E66" s="722">
        <f>0.1+3.86+3.53</f>
        <v>7.49</v>
      </c>
      <c r="F66" s="722" t="s">
        <v>244</v>
      </c>
      <c r="G66" s="722" t="s">
        <v>808</v>
      </c>
      <c r="H66" s="722">
        <v>0.8</v>
      </c>
      <c r="I66" s="723" t="s">
        <v>13</v>
      </c>
      <c r="J66" s="722" t="s">
        <v>242</v>
      </c>
      <c r="K66" s="722" t="s">
        <v>363</v>
      </c>
      <c r="L66" s="722">
        <v>1</v>
      </c>
      <c r="M66" s="724">
        <v>1.5</v>
      </c>
      <c r="N66" s="722" t="s">
        <v>453</v>
      </c>
      <c r="O66" s="722">
        <v>4</v>
      </c>
      <c r="P66" s="555">
        <f t="shared" si="62"/>
        <v>16.5</v>
      </c>
      <c r="Q66" s="722">
        <v>3</v>
      </c>
      <c r="R66" s="722">
        <v>0.8</v>
      </c>
      <c r="S66" s="555">
        <f t="shared" si="78"/>
        <v>8.1521739130434785</v>
      </c>
      <c r="T66" s="725">
        <f t="shared" si="84"/>
        <v>13.200000000000001</v>
      </c>
      <c r="U66" s="722" t="s">
        <v>499</v>
      </c>
      <c r="V66" s="555">
        <v>10</v>
      </c>
      <c r="W66" s="722">
        <f>IF(U66="C.C.Fusíveis",VLOOKUP(V66,Consulta!$L$5:$N$31,3,FALSE),VLOOKUP(V66,Consulta!$P$5:$R$34,3,FALSE))</f>
        <v>13.5</v>
      </c>
      <c r="X66" s="736">
        <f t="shared" si="10"/>
        <v>24</v>
      </c>
      <c r="Y66" s="817">
        <f t="shared" si="85"/>
        <v>0.6175889328063241</v>
      </c>
      <c r="Z66" s="737" t="str">
        <f t="shared" si="11"/>
        <v>Sim</v>
      </c>
      <c r="AA66" s="770">
        <f t="shared" si="80"/>
        <v>0.1599867020753542</v>
      </c>
      <c r="AB66" s="770">
        <f t="shared" si="12"/>
        <v>0.14043749999999999</v>
      </c>
      <c r="AC66" s="770">
        <f t="shared" si="6"/>
        <v>0</v>
      </c>
      <c r="AD66" s="726">
        <f t="shared" si="81"/>
        <v>1.8453768675737272</v>
      </c>
      <c r="AE66" s="726">
        <f t="shared" si="17"/>
        <v>1.8317934782608698</v>
      </c>
      <c r="AF66" s="726">
        <f t="shared" si="18"/>
        <v>3.6771703458345968</v>
      </c>
      <c r="AG66" s="727">
        <f t="shared" si="34"/>
        <v>7.9643194706994335E-3</v>
      </c>
      <c r="AH66" s="771">
        <f t="shared" si="34"/>
        <v>1.5987697155802595E-2</v>
      </c>
      <c r="AI66" s="726">
        <f t="shared" si="7"/>
        <v>0.76558412541713283</v>
      </c>
      <c r="AJ66" s="722">
        <v>3</v>
      </c>
      <c r="AK66" s="726">
        <v>0.1</v>
      </c>
      <c r="AL66" s="736">
        <f t="shared" ref="AL66:AL104" si="89">IF(G66="Multicondutor",(IF(AND(J66="Cobre",K66="PVC"),115,IF(AND(J66="Cobre",K66="XLPE"),143,IF(AND(J66="Alumínio",K66="PVC"),76,IF(AND(J66="Alumínio",K66="XLPE"),94))))),(IF(AND(J66="Cobre",K66="PVC"),143,IF(AND(J66="Cobre",K66="XLPE"),176,IF(AND(J66="Alumínio",K66="PVC"),95,IF(AND(J66="Alumínio",K66="XLPE"),116))))))</f>
        <v>115</v>
      </c>
      <c r="AM66" s="726">
        <f t="shared" ref="AM66:AM104" si="90">((AI66*1000)*SQRT(AK66))/AL66</f>
        <v>2.1052083276401268</v>
      </c>
      <c r="AN66" s="737">
        <f t="shared" si="86"/>
        <v>1</v>
      </c>
      <c r="AO66" s="737" t="s">
        <v>563</v>
      </c>
      <c r="AP66" s="737" t="s">
        <v>523</v>
      </c>
      <c r="AQ66" s="737" t="str">
        <f t="shared" si="87"/>
        <v>3G</v>
      </c>
      <c r="AR66" s="737">
        <f t="shared" si="88"/>
        <v>1.5</v>
      </c>
      <c r="AS66" s="889" t="str">
        <f t="shared" si="8"/>
        <v/>
      </c>
      <c r="AT66" s="889" t="str">
        <f>IF(OR(AQ66="3G",AQ66="5G"),"",VLOOKUP(AR66,Consulta!$T$5:$U$25,2,FALSE))</f>
        <v/>
      </c>
      <c r="AU66" s="890" t="s">
        <v>565</v>
      </c>
      <c r="AV66" s="737" t="s">
        <v>23</v>
      </c>
      <c r="AW66" s="737" t="s">
        <v>564</v>
      </c>
      <c r="AX66" s="737">
        <f t="shared" si="30"/>
        <v>20</v>
      </c>
      <c r="AY66" s="738" t="s">
        <v>24</v>
      </c>
      <c r="AZ66" s="784"/>
      <c r="BA66" s="584">
        <f>IF(AND(J66="Cobre",F66="Monofásico"),VLOOKUP(M66,'Iz''s'!$B$8:$E$23,2,FALSE),IF(AND(J66="Cobre",F66="Trifásico"),VLOOKUP(M66,'Iz''s'!$L$8:$O$23,2,FALSE),IF(AND(J66="Alumínio",F66="Monofásico"),VLOOKUP(M66,'Iz''s'!$B$25:$E$39,2,FALSE),IF(AND(J66="Alumínio",F66="Trifásico"),VLOOKUP(M66,'Iz''s'!$L$25:$O$39,2,FALSE)))))</f>
        <v>14.5</v>
      </c>
      <c r="BB66" s="531">
        <f>IF(AND(J66="Cobre",F66="Monofásico"),VLOOKUP(M66,'Iz''s'!$CD$9:$CH$24,2,FALSE),IF(AND(J66="Cobre",F66="Trifásico"),VLOOKUP(M66,'Iz''s'!$CD$9:$CH$24,4,FALSE),IF(AND(J66="Alumínio",F66="Monofásico"),VLOOKUP(M66,'Iz''s'!$CD$26:$CH$40,2,FALSE),IF(AND(J66="Alumínio",F66="Trifásico"),VLOOKUP(M66,'Iz''s'!$CD$26:$CH$40,4,FALSE)))))</f>
        <v>14</v>
      </c>
      <c r="BC66" s="531">
        <f>IF(AND(J66="Cobre",F66="Monofásico"),VLOOKUP(M66,'Iz''s'!$B$8:$E$23,3,FALSE),IF(AND(J66="Cobre",F66="Trifásico"),VLOOKUP(M66,'Iz''s'!$L$8:$O$23,3,FALSE),IF(AND(J66="Alumínio",F66="Monofásico"),VLOOKUP(M66,'Iz''s'!$B$25:$E$39,3,FALSE),IF(AND(J66="Alumínio",F66="Trifásico"),VLOOKUP(M66,'Iz''s'!$L$25:$O$39,3,FALSE)))))</f>
        <v>17.5</v>
      </c>
      <c r="BD66" s="531">
        <f>IF(AND(J66="Cobre",F66="Monofásico"),VLOOKUP(M66,'Iz''s'!$CD$9:$CH$24,3,FALSE),IF(AND(J66="Cobre",F66="Trifásico"),VLOOKUP(M66,'Iz''s'!$CD$9:$CH$24,5,FALSE),IF(AND(J66="Alumínio",F66="Monofásico"),VLOOKUP(M66,'Iz''s'!$CD$26:$CH$40,3,FALSE),IF(AND(J66="Alumínio",F66="Trifásico"),VLOOKUP(M66,'Iz''s'!$CD$26:$CH$40,5,FALSE)))))</f>
        <v>16.5</v>
      </c>
      <c r="BE66" s="531">
        <f>IF(AND(J66="Cobre",F66="Monofásico"),VLOOKUP(M66,'Iz''s'!$B$8:$E$23,4,FALSE),IF(AND(J66="Cobre",F66="Trifásico"),VLOOKUP(M66,'Iz''s'!$L$8:$O$23,4,FALSE),IF(AND(J66="Alumínio",F66="Monofásico"),VLOOKUP(M66,'Iz''s'!$B$25:$E$39,4,FALSE),IF(AND(J66="Alumínio",F66="Trifásico"),VLOOKUP(M66,'Iz''s'!$L$25:$O$39,4,FALSE)))))</f>
        <v>19.5</v>
      </c>
      <c r="BF66" s="531">
        <f>IF(AND(J66="Cobre",F66="Monofásico"),VLOOKUP(M66,'Iz''s'!$CP$9:$CT$24,3,FALSE),IF(AND(J66="Cobre",F66="Trifásico"),VLOOKUP(M66,'Iz''s'!$CP$9:$CT$24,2,FALSE),IF(AND(J66="Alumínio",F66="Monofásico"),VLOOKUP(M66,'Iz''s'!$CP$26:$CT$37,3,FALSE),IF(AND(J66="Alumínio",F66="Trifásico"),VLOOKUP(M66,'Iz''s'!$CP$26:$CT$37,2,FALSE)))))</f>
        <v>32</v>
      </c>
      <c r="BG66" s="531">
        <f>IF(AND(J66="Cobre",F66="Monofásico"),VLOOKUP(M66,'Iz''s'!$AT$10:$BA$28,2,FALSE),IF(AND(J66="Cobre",F66="Trifásico"),VLOOKUP(M66,'Iz''s'!$AT$10:$BA$28,3,FALSE),IF(AND(J66="Alumínio",F66="Monofásico"),VLOOKUP(M66,'Iz''s'!$BC$10:$BJ$27,2,FALSE),IF(AND(J66="Alumínio",F66="Trifásico"),VLOOKUP(M66,'Iz''s'!$BC$10:$BJ$27,3,FALSE)))))</f>
        <v>22</v>
      </c>
      <c r="BH66" s="609" t="str">
        <f>IF(AND(J66="Cobre",F66="Monofásico"),VLOOKUP(M66,'Iz''s'!$AT$10:$BA$28,4,FALSE),IF(AND(J66="Cobre",F66="Trifásico"),VLOOKUP(M66,'Iz''s'!$AT$10:$BA$28,5,FALSE),IF(AND(J66="Alumínio",F66="Monofásico"),VLOOKUP(M66,'Iz''s'!$BC$10:$BJ$27,4,FALSE),IF(AND(J66="Alumínio",F66="Trifásico"),VLOOKUP(M66,'Iz''s'!$BC$10:$BJ$27,5,FALSE)))))</f>
        <v xml:space="preserve"> --- </v>
      </c>
      <c r="BI66" s="609" t="str">
        <f>IF(AND(J66="Cobre",F66="Monofásico"),"N/A",IF(AND(J66="Cobre",F66="Trifásico"),VLOOKUP(M66,'Iz''s'!$AT$10:$BA$28,8,FALSE),IF(AND(J66="Alumínio",F66="Monofásico"),"N/A",IF(AND(J66="Alumínio",F66="Trifásico"),VLOOKUP(M66,'Iz''s'!$BC$10:$BJ$27,8,FALSE)))))</f>
        <v>N/A</v>
      </c>
      <c r="BJ66" s="531">
        <f>IF(AND(J66="Cobre",F66="Monofásico"),VLOOKUP(M66,'Iz''s'!$G$8:$J$23,2,FALSE),IF(AND(J66="Cobre",F66="Trifásico"),VLOOKUP(M66,'Iz''s'!$Q$8:$T$23,2,FALSE),IF(AND(J66="Alumínio",F66="Monofásico"),VLOOKUP(M66,'Iz''s'!$G$25:$J$39,2,FALSE),IF(AND(J66="Alumínio",F66="Trifásico"),VLOOKUP(M66,'Iz''s'!$Q$25:$T$39,2,FALSE)))))</f>
        <v>19</v>
      </c>
      <c r="BK66" s="609">
        <f>IF(AND(J66="Cobre",F66="Monofásico"),VLOOKUP(M66,'Iz''s'!$CJ$9:$CN$24,2,FALSE),IF(AND(J66="Cobre",F66="Trifásico"),VLOOKUP(M66,'Iz''s'!$CJ$9:$CN$24,4,FALSE),IF(AND(J66="Alumínio",F66="Monofásico"),VLOOKUP(M66,'Iz''s'!$CJ$26:$CN$40,2,FALSE),IF(AND(J66="Alumínio",F66="Trifásico"),VLOOKUP(M66,'Iz''s'!$CJ$26:$CN$40,4,FALSE)))))</f>
        <v>18.5</v>
      </c>
      <c r="BL66" s="609">
        <f>IF(AND(J66="Cobre",F66="Monofásico"),VLOOKUP(M66,'Iz''s'!$G$8:$J$23,3,FALSE),IF(AND(J66="Cobre",F66="Trifásico"),VLOOKUP(M66,'Iz''s'!$Q$8:$T$23,3,FALSE),IF(AND(J66="Alumínio",F66="Monofásico"),VLOOKUP(M66,'Iz''s'!$G$25:$J$39,3,FALSE),IF(AND(J66="Alumínio",F66="Trifásico"),VLOOKUP(M66,'Iz''s'!$Q$25:$T$39,3,FALSE)))))</f>
        <v>23</v>
      </c>
      <c r="BM66" s="609">
        <f>IF(AND(J66="Cobre",F66="Monofásico"),VLOOKUP(M66,'Iz''s'!$CJ$9:$CN$24,3,FALSE),IF(AND(J66="Cobre",F66="Trifásico"),VLOOKUP(M66,'Iz''s'!$CJ$9:$CN$24,5,FALSE),IF(AND(J66="Alumínio",F66="Monofásico"),VLOOKUP(M66,'Iz''s'!$CJ$26:$CN$40,3,FALSE),IF(AND(J66="Alumínio",F66="Trifásico"),VLOOKUP(M66,'Iz''s'!$CJ$26:$CN$40,5,FALSE)))))</f>
        <v>22</v>
      </c>
      <c r="BN66" s="609">
        <f>IF(AND(J66="Cobre",F66="Monofásico"),VLOOKUP(M66,'Iz''s'!$G$8:$J$23,4,FALSE),IF(AND(J66="Cobre",F66="Trifásico"),VLOOKUP(M66,'Iz''s'!$Q$8:$T$23,4,FALSE),IF(AND(J66="Alumínio",F66="Monofásico"),VLOOKUP(M66,'Iz''s'!$G$25:$J$39,4,FALSE),IF(AND(J66="Alumínio",F66="Trifásico"),VLOOKUP(M66,'Iz''s'!$Q$25:$T$39,4,FALSE)))))</f>
        <v>24</v>
      </c>
      <c r="BO66" s="609">
        <f>IF(AND(J66="Cobre",F66="Monofásico"),VLOOKUP(M66,'Iz''s'!$CP$9:$CT$24,5,FALSE),IF(AND(J66="Cobre",F66="Trifásico"),VLOOKUP(M66,'Iz''s'!$CP$9:$CT$24,4,FALSE),IF(AND(J66="Alumínio",F66="Monofásico"),VLOOKUP(M66,'Iz''s'!$CP$26:$CT$37,5,FALSE),IF(AND(J66="Alumínio",F66="Trifásico"),VLOOKUP(M66,'Iz''s'!$CP$26:$CT$37,4,FALSE)))))</f>
        <v>37</v>
      </c>
      <c r="BP66" s="609">
        <f>IF(AND(J66="Cobre",F66="Monofásico"),VLOOKUP(M66,'Iz''s'!$BL$10:$BS$28,2,FALSE),IF(AND(J66="Cobre",F66="Trifásico"),VLOOKUP(M66,'Iz''s'!$BL$10:$BS$28,3,FALSE),IF(AND(J66="Alumínio",F66="Monofásico"),VLOOKUP(M66,'Iz''s'!$BU$10:$CB$27,2,FALSE),IF(AND(J66="Alumínio",F66="Trifásico"),VLOOKUP(M66,'Iz''s'!$BU$10:$CB$27,3,FALSE)))))</f>
        <v>26</v>
      </c>
      <c r="BQ66" s="531" t="str">
        <f>IF(AND(J66="Cobre",F66="Monofásico"),VLOOKUP(M66,'Iz''s'!$BL$10:$BS$28,4,FALSE),IF(AND(J66="Cobre",F66="Trifásico"),VLOOKUP(M66,'Iz''s'!$BL$10:$BS$28,5,FALSE),IF(AND(J66="Alumínio",F66="Monofásico"),VLOOKUP(M66,'Iz''s'!$BU$10:$CB$27,4,FALSE),IF(AND(J66="Alumínio",F66="Trifásico"),VLOOKUP(M66,'Iz''s'!$BU$10:$CB$27,5,FALSE)))))</f>
        <v xml:space="preserve"> --- </v>
      </c>
      <c r="BR66" s="609" t="str">
        <f>IF(AND(J66="Cobre",F66="Monofásico"),"N/A",IF(AND(J66="Cobre",F66="Trifásico"),VLOOKUP(M66,'Iz''s'!$BL$10:$BS$28,8,FALSE),IF(AND(J66="Alumínio",F66="Monofásico"),"N/A",IF(AND(J66="Alumínio",F66="Trifásico"),VLOOKUP(M66,'Iz''s'!$BU$10:$CB$27,8,FALSE)))))</f>
        <v>N/A</v>
      </c>
      <c r="BS66" s="609">
        <f>IF(AND(J66="Cobre",F66="Monofásico"),VLOOKUP(M66,'Iz''s'!$V$14:$Y$28,2,FALSE),IF(AND(J66="Cobre",F66="Trifásico"),VLOOKUP(M66,'Iz''s'!$V$14:$Y$28,3,FALSE),IF(AND(J66="Alumínio",F66="Monofásico"),VLOOKUP(M66,"N/A",4,FALSE),IF(AND(J66="Alumínio",F66="Trifásico"),VLOOKUP(M66,"N/A",4,FALSE)))))</f>
        <v>25</v>
      </c>
      <c r="BT66" s="609">
        <f>IF(AND(J66="Cobre",F66="Monofásico"),VLOOKUP(M66,'Iz''s'!$AF$15:$AK$29,2,FALSE),IF(AND(J66="Cobre",F66="Trifásico"),VLOOKUP(M66,'Iz''s'!$AF$15:$AK$29,3,FALSE),IF(AND(J66="Alumínio",F66="Monofásico"),"N/A",IF(AND(J66="Alumínio",F66="Trifásico"),"N/A"))))</f>
        <v>26</v>
      </c>
      <c r="BU66" s="609">
        <f>IF(AND(J66="Cobre",F66="Monofásico"),VLOOKUP(M66,'Iz''s'!$AF$15:$AK$29,2,FALSE),IF(AND(J66="Cobre",F66="Trifásico"),VLOOKUP(M66,'Iz''s'!$AF$15:$AK$29,3,FALSE),IF(AND(J66="Alumínio",F66="Monofásico"),"N/A",IF(AND(J66="Alumínio",F66="Trifásico"),"N/A"))))</f>
        <v>26</v>
      </c>
      <c r="BV66" s="610" t="str">
        <f>IF(AND(J66="Cobre",F66="Monofásico"),"N/A",IF(AND(J66="Cobre",F66="Trifásico"),VLOOKUP(M66,'Iz''s'!$AF$15:$AK$29,6,FALSE),IF(AND(J66="Alumínio",F66="Monofásico"),"N/A",IF(AND(J66="Alumínio",F66="Trifásico"),"N/A"))))</f>
        <v>N/A</v>
      </c>
      <c r="BW66" s="611">
        <v>64</v>
      </c>
      <c r="BX66" s="785"/>
      <c r="BY66" s="612">
        <f>VLOOKUP(M66,Consulta!$W$6:$AB$23,4,FALSE)</f>
        <v>16</v>
      </c>
      <c r="BZ66" s="612">
        <f>VLOOKUP(M66,Consulta!$W$6:$AB$23,6,FALSE)</f>
        <v>20</v>
      </c>
      <c r="CA66" s="612">
        <f>VLOOKUP(M66,Consulta!$AK$6:$AP$23,4,FALSE)</f>
        <v>20</v>
      </c>
      <c r="CB66" s="612">
        <f>VLOOKUP(M66,Consulta!$AK$6:$AP$23,6,FALSE)</f>
        <v>20</v>
      </c>
      <c r="CC66" s="585" t="e">
        <f>VLOOKUP(M66,Consulta!$AD$6:$AI$19,4,FALSE)</f>
        <v>#N/A</v>
      </c>
      <c r="CD66" s="585" t="e">
        <f>VLOOKUP(M66,Consulta!$AD$6:$AI$19,6,FALSE)</f>
        <v>#N/A</v>
      </c>
      <c r="CE66" s="585" t="e">
        <f>VLOOKUP(M66,Consulta!$AR$6:$AW$19,4,FALSE)</f>
        <v>#N/A</v>
      </c>
      <c r="CF66" s="586" t="e">
        <f>VLOOKUP(M66,Consulta!$AR$6:$AW$19,6,FALSE)</f>
        <v>#N/A</v>
      </c>
      <c r="CG66" s="786"/>
      <c r="CH66" s="786"/>
      <c r="CI66" s="786"/>
      <c r="CJ66" s="786"/>
      <c r="CK66" s="786"/>
      <c r="CL66" s="786"/>
      <c r="CM66" s="786"/>
      <c r="CN66" s="786"/>
      <c r="CO66" s="786"/>
      <c r="CP66" s="786"/>
      <c r="CQ66" s="786"/>
      <c r="CR66" s="786"/>
      <c r="CS66" s="786"/>
      <c r="CT66" s="786"/>
      <c r="CU66" s="786"/>
      <c r="CV66" s="786"/>
      <c r="CW66" s="786"/>
      <c r="CX66" s="786"/>
      <c r="CY66" s="786"/>
      <c r="CZ66" s="786"/>
      <c r="DA66" s="786"/>
      <c r="DB66" s="786"/>
      <c r="DC66" s="786"/>
      <c r="DD66" s="786"/>
      <c r="DE66" s="786"/>
      <c r="DF66" s="786"/>
      <c r="DG66" s="786"/>
      <c r="DH66" s="786"/>
      <c r="DI66" s="786"/>
      <c r="DJ66" s="786"/>
      <c r="DK66" s="786"/>
      <c r="DL66" s="786"/>
      <c r="DM66" s="786"/>
      <c r="DN66" s="786"/>
      <c r="DO66" s="786"/>
      <c r="DP66" s="786"/>
      <c r="DQ66" s="786"/>
      <c r="DR66" s="786"/>
      <c r="DS66" s="786"/>
      <c r="DT66" s="786"/>
      <c r="DU66" s="786"/>
      <c r="DV66" s="786"/>
      <c r="DW66" s="786"/>
      <c r="DX66" s="786"/>
      <c r="DY66" s="786"/>
      <c r="DZ66" s="786"/>
      <c r="EA66" s="786"/>
      <c r="EB66" s="786"/>
      <c r="EC66" s="786"/>
      <c r="ED66" s="786"/>
      <c r="EE66" s="786"/>
      <c r="EF66" s="786"/>
      <c r="EG66" s="786"/>
      <c r="EH66" s="786"/>
      <c r="EI66" s="786"/>
      <c r="EJ66" s="786"/>
      <c r="EK66" s="786"/>
      <c r="EL66" s="786"/>
      <c r="EM66" s="786"/>
      <c r="EN66" s="786"/>
      <c r="EO66" s="786"/>
      <c r="EP66" s="786"/>
      <c r="EQ66" s="786"/>
      <c r="ER66" s="786"/>
      <c r="ES66" s="786"/>
      <c r="ET66" s="786"/>
      <c r="EU66" s="786"/>
      <c r="EV66" s="786"/>
      <c r="EW66" s="786"/>
      <c r="EX66" s="786"/>
      <c r="EY66" s="786"/>
      <c r="EZ66" s="786"/>
      <c r="FA66" s="786"/>
      <c r="FB66" s="786"/>
      <c r="FC66" s="786"/>
      <c r="FD66" s="786"/>
      <c r="FE66" s="786"/>
      <c r="FF66" s="786"/>
      <c r="FG66" s="786"/>
      <c r="FH66" s="786"/>
      <c r="FI66" s="786"/>
      <c r="FJ66" s="786"/>
      <c r="FK66" s="786"/>
      <c r="FL66" s="786"/>
      <c r="FM66" s="786"/>
      <c r="FN66" s="786"/>
      <c r="FO66" s="786"/>
      <c r="FP66" s="786"/>
      <c r="FQ66" s="786"/>
      <c r="FR66" s="786"/>
      <c r="FS66" s="786"/>
      <c r="FT66" s="786"/>
      <c r="FU66" s="786"/>
      <c r="FV66" s="786"/>
      <c r="FW66" s="786"/>
      <c r="FX66" s="786"/>
      <c r="FY66" s="786"/>
      <c r="FZ66" s="786"/>
      <c r="GA66" s="786"/>
      <c r="GB66" s="786"/>
      <c r="GC66" s="786"/>
      <c r="GD66" s="786"/>
      <c r="GE66" s="786"/>
      <c r="GF66" s="786"/>
      <c r="GG66" s="786"/>
      <c r="GH66" s="786"/>
      <c r="GI66" s="786"/>
      <c r="GJ66" s="786"/>
      <c r="GK66" s="786"/>
      <c r="GL66" s="786"/>
      <c r="GM66" s="786"/>
      <c r="GN66" s="786"/>
      <c r="GO66" s="786"/>
      <c r="GP66" s="786"/>
      <c r="GQ66" s="786"/>
      <c r="GR66" s="786"/>
      <c r="GS66" s="786"/>
      <c r="GT66" s="786"/>
      <c r="GU66" s="786"/>
      <c r="GV66" s="786"/>
      <c r="GW66" s="786"/>
      <c r="GX66" s="786"/>
      <c r="GY66" s="786"/>
      <c r="GZ66" s="786"/>
      <c r="HA66" s="786"/>
      <c r="HB66" s="786"/>
      <c r="HC66" s="786"/>
      <c r="HD66" s="786"/>
    </row>
    <row r="67" spans="1:212" s="553" customFormat="1" ht="16.5" customHeight="1" thickBot="1" x14ac:dyDescent="0.25">
      <c r="A67" s="569"/>
      <c r="B67" s="1122"/>
      <c r="C67" s="823" t="s">
        <v>845</v>
      </c>
      <c r="D67" s="728">
        <v>3.5</v>
      </c>
      <c r="E67" s="728">
        <f>3.63+4.35+0.4+0.4+0.35+0.1</f>
        <v>9.2299999999999986</v>
      </c>
      <c r="F67" s="728" t="s">
        <v>244</v>
      </c>
      <c r="G67" s="728" t="s">
        <v>808</v>
      </c>
      <c r="H67" s="728">
        <v>0.8</v>
      </c>
      <c r="I67" s="729" t="s">
        <v>13</v>
      </c>
      <c r="J67" s="728" t="s">
        <v>242</v>
      </c>
      <c r="K67" s="728" t="s">
        <v>363</v>
      </c>
      <c r="L67" s="728">
        <v>1</v>
      </c>
      <c r="M67" s="730">
        <v>4</v>
      </c>
      <c r="N67" s="728" t="s">
        <v>453</v>
      </c>
      <c r="O67" s="728">
        <v>4</v>
      </c>
      <c r="P67" s="573">
        <f t="shared" si="62"/>
        <v>30</v>
      </c>
      <c r="Q67" s="728">
        <v>3</v>
      </c>
      <c r="R67" s="728">
        <v>0.8</v>
      </c>
      <c r="S67" s="573">
        <f t="shared" si="78"/>
        <v>19.021739130434781</v>
      </c>
      <c r="T67" s="731">
        <f t="shared" si="84"/>
        <v>24</v>
      </c>
      <c r="U67" s="728" t="s">
        <v>499</v>
      </c>
      <c r="V67" s="573">
        <v>20</v>
      </c>
      <c r="W67" s="728">
        <f>IF(U67="C.C.Fusíveis",VLOOKUP(V67,Consulta!$L$5:$N$31,3,FALSE),VLOOKUP(V67,Consulta!$P$5:$R$34,3,FALSE))</f>
        <v>27</v>
      </c>
      <c r="X67" s="739">
        <f t="shared" si="10"/>
        <v>44</v>
      </c>
      <c r="Y67" s="825">
        <f t="shared" si="85"/>
        <v>0.79257246376811585</v>
      </c>
      <c r="Z67" s="734" t="str">
        <f t="shared" si="11"/>
        <v>Sim</v>
      </c>
      <c r="AA67" s="773">
        <f t="shared" si="80"/>
        <v>0.1599867020753542</v>
      </c>
      <c r="AB67" s="773">
        <f t="shared" si="12"/>
        <v>6.4898437499999989E-2</v>
      </c>
      <c r="AC67" s="773">
        <f t="shared" si="6"/>
        <v>0</v>
      </c>
      <c r="AD67" s="732">
        <f t="shared" si="81"/>
        <v>1.8453768675737272</v>
      </c>
      <c r="AE67" s="732">
        <f t="shared" si="17"/>
        <v>1.9751698369565214</v>
      </c>
      <c r="AF67" s="732">
        <f t="shared" si="18"/>
        <v>3.8205467045302486</v>
      </c>
      <c r="AG67" s="733">
        <f t="shared" si="34"/>
        <v>8.5876949432892227E-3</v>
      </c>
      <c r="AH67" s="826">
        <f t="shared" si="34"/>
        <v>1.6611072628392384E-2</v>
      </c>
      <c r="AI67" s="732">
        <f t="shared" si="7"/>
        <v>1.0227443237659193</v>
      </c>
      <c r="AJ67" s="728">
        <v>3</v>
      </c>
      <c r="AK67" s="732">
        <v>0.1</v>
      </c>
      <c r="AL67" s="739">
        <f t="shared" si="89"/>
        <v>115</v>
      </c>
      <c r="AM67" s="732">
        <f t="shared" si="90"/>
        <v>2.8123491540078112</v>
      </c>
      <c r="AN67" s="734">
        <f t="shared" si="86"/>
        <v>1</v>
      </c>
      <c r="AO67" s="734" t="s">
        <v>563</v>
      </c>
      <c r="AP67" s="734" t="s">
        <v>523</v>
      </c>
      <c r="AQ67" s="734" t="str">
        <f t="shared" si="87"/>
        <v>3G</v>
      </c>
      <c r="AR67" s="734">
        <f t="shared" si="88"/>
        <v>4</v>
      </c>
      <c r="AS67" s="891" t="str">
        <f t="shared" si="8"/>
        <v/>
      </c>
      <c r="AT67" s="891" t="str">
        <f>IF(OR(AQ67="3G",AQ67="5G"),"",VLOOKUP(AR67,Consulta!$T$5:$U$25,2,FALSE))</f>
        <v/>
      </c>
      <c r="AU67" s="892" t="s">
        <v>565</v>
      </c>
      <c r="AV67" s="734" t="s">
        <v>23</v>
      </c>
      <c r="AW67" s="734" t="s">
        <v>564</v>
      </c>
      <c r="AX67" s="734">
        <f t="shared" si="30"/>
        <v>20</v>
      </c>
      <c r="AY67" s="735" t="s">
        <v>24</v>
      </c>
      <c r="AZ67" s="787"/>
      <c r="BA67" s="671">
        <f>IF(AND(J67="Cobre",F67="Monofásico"),VLOOKUP(M67,'Iz''s'!$B$8:$E$23,2,FALSE),IF(AND(J67="Cobre",F67="Trifásico"),VLOOKUP(M67,'Iz''s'!$L$8:$O$23,2,FALSE),IF(AND(J67="Alumínio",F67="Monofásico"),VLOOKUP(M67,'Iz''s'!$B$25:$E$39,2,FALSE),IF(AND(J67="Alumínio",F67="Trifásico"),VLOOKUP(M67,'Iz''s'!$L$25:$O$39,2,FALSE)))))</f>
        <v>26</v>
      </c>
      <c r="BB67" s="672">
        <f>IF(AND(J67="Cobre",F67="Monofásico"),VLOOKUP(M67,'Iz''s'!$CD$9:$CH$24,2,FALSE),IF(AND(J67="Cobre",F67="Trifásico"),VLOOKUP(M67,'Iz''s'!$CD$9:$CH$24,4,FALSE),IF(AND(J67="Alumínio",F67="Monofásico"),VLOOKUP(M67,'Iz''s'!$CD$26:$CH$40,2,FALSE),IF(AND(J67="Alumínio",F67="Trifásico"),VLOOKUP(M67,'Iz''s'!$CD$26:$CH$40,4,FALSE)))))</f>
        <v>25</v>
      </c>
      <c r="BC67" s="672">
        <f>IF(AND(J67="Cobre",F67="Monofásico"),VLOOKUP(M67,'Iz''s'!$B$8:$E$23,3,FALSE),IF(AND(J67="Cobre",F67="Trifásico"),VLOOKUP(M67,'Iz''s'!$L$8:$O$23,3,FALSE),IF(AND(J67="Alumínio",F67="Monofásico"),VLOOKUP(M67,'Iz''s'!$B$25:$E$39,3,FALSE),IF(AND(J67="Alumínio",F67="Trifásico"),VLOOKUP(M67,'Iz''s'!$L$25:$O$39,3,FALSE)))))</f>
        <v>32</v>
      </c>
      <c r="BD67" s="672">
        <f>IF(AND(J67="Cobre",F67="Monofásico"),VLOOKUP(M67,'Iz''s'!$CD$9:$CH$24,3,FALSE),IF(AND(J67="Cobre",F67="Trifásico"),VLOOKUP(M67,'Iz''s'!$CD$9:$CH$24,5,FALSE),IF(AND(J67="Alumínio",F67="Monofásico"),VLOOKUP(M67,'Iz''s'!$CD$26:$CH$40,3,FALSE),IF(AND(J67="Alumínio",F67="Trifásico"),VLOOKUP(M67,'Iz''s'!$CD$26:$CH$40,5,FALSE)))))</f>
        <v>30</v>
      </c>
      <c r="BE67" s="672">
        <f>IF(AND(J67="Cobre",F67="Monofásico"),VLOOKUP(M67,'Iz''s'!$B$8:$E$23,4,FALSE),IF(AND(J67="Cobre",F67="Trifásico"),VLOOKUP(M67,'Iz''s'!$L$8:$O$23,4,FALSE),IF(AND(J67="Alumínio",F67="Monofásico"),VLOOKUP(M67,'Iz''s'!$B$25:$E$39,4,FALSE),IF(AND(J67="Alumínio",F67="Trifásico"),VLOOKUP(M67,'Iz''s'!$L$25:$O$39,4,FALSE)))))</f>
        <v>36</v>
      </c>
      <c r="BF67" s="672">
        <f>IF(AND(J67="Cobre",F67="Monofásico"),VLOOKUP(M67,'Iz''s'!$CP$9:$CT$24,3,FALSE),IF(AND(J67="Cobre",F67="Trifásico"),VLOOKUP(M67,'Iz''s'!$CP$9:$CT$24,2,FALSE),IF(AND(J67="Alumínio",F67="Monofásico"),VLOOKUP(M67,'Iz''s'!$CP$26:$CT$37,3,FALSE),IF(AND(J67="Alumínio",F67="Trifásico"),VLOOKUP(M67,'Iz''s'!$CP$26:$CT$37,2,FALSE)))))</f>
        <v>54</v>
      </c>
      <c r="BG67" s="672">
        <f>IF(AND(J67="Cobre",F67="Monofásico"),VLOOKUP(M67,'Iz''s'!$AT$10:$BA$28,2,FALSE),IF(AND(J67="Cobre",F67="Trifásico"),VLOOKUP(M67,'Iz''s'!$AT$10:$BA$28,3,FALSE),IF(AND(J67="Alumínio",F67="Monofásico"),VLOOKUP(M67,'Iz''s'!$BC$10:$BJ$27,2,FALSE),IF(AND(J67="Alumínio",F67="Trifásico"),VLOOKUP(M67,'Iz''s'!$BC$10:$BJ$27,3,FALSE)))))</f>
        <v>40</v>
      </c>
      <c r="BH67" s="664" t="str">
        <f>IF(AND(J67="Cobre",F67="Monofásico"),VLOOKUP(M67,'Iz''s'!$AT$10:$BA$28,4,FALSE),IF(AND(J67="Cobre",F67="Trifásico"),VLOOKUP(M67,'Iz''s'!$AT$10:$BA$28,5,FALSE),IF(AND(J67="Alumínio",F67="Monofásico"),VLOOKUP(M67,'Iz''s'!$BC$10:$BJ$27,4,FALSE),IF(AND(J67="Alumínio",F67="Trifásico"),VLOOKUP(M67,'Iz''s'!$BC$10:$BJ$27,5,FALSE)))))</f>
        <v xml:space="preserve"> --- </v>
      </c>
      <c r="BI67" s="664" t="str">
        <f>IF(AND(J67="Cobre",F67="Monofásico"),"N/A",IF(AND(J67="Cobre",F67="Trifásico"),VLOOKUP(M67,'Iz''s'!$AT$10:$BA$28,8,FALSE),IF(AND(J67="Alumínio",F67="Monofásico"),"N/A",IF(AND(J67="Alumínio",F67="Trifásico"),VLOOKUP(M67,'Iz''s'!$BC$10:$BJ$27,8,FALSE)))))</f>
        <v>N/A</v>
      </c>
      <c r="BJ67" s="672">
        <f>IF(AND(J67="Cobre",F67="Monofásico"),VLOOKUP(M67,'Iz''s'!$G$8:$J$23,2,FALSE),IF(AND(J67="Cobre",F67="Trifásico"),VLOOKUP(M67,'Iz''s'!$Q$8:$T$23,2,FALSE),IF(AND(J67="Alumínio",F67="Monofásico"),VLOOKUP(M67,'Iz''s'!$G$25:$J$39,2,FALSE),IF(AND(J67="Alumínio",F67="Trifásico"),VLOOKUP(M67,'Iz''s'!$Q$25:$T$39,2,FALSE)))))</f>
        <v>35</v>
      </c>
      <c r="BK67" s="664">
        <f>IF(AND(J67="Cobre",F67="Monofásico"),VLOOKUP(M67,'Iz''s'!$CJ$9:$CN$24,2,FALSE),IF(AND(J67="Cobre",F67="Trifásico"),VLOOKUP(M67,'Iz''s'!$CJ$9:$CN$24,4,FALSE),IF(AND(J67="Alumínio",F67="Monofásico"),VLOOKUP(M67,'Iz''s'!$CJ$26:$CN$40,2,FALSE),IF(AND(J67="Alumínio",F67="Trifásico"),VLOOKUP(M67,'Iz''s'!$CJ$26:$CN$40,4,FALSE)))))</f>
        <v>33</v>
      </c>
      <c r="BL67" s="664">
        <f>IF(AND(J67="Cobre",F67="Monofásico"),VLOOKUP(M67,'Iz''s'!$G$8:$J$23,3,FALSE),IF(AND(J67="Cobre",F67="Trifásico"),VLOOKUP(M67,'Iz''s'!$Q$8:$T$23,3,FALSE),IF(AND(J67="Alumínio",F67="Monofásico"),VLOOKUP(M67,'Iz''s'!$G$25:$J$39,3,FALSE),IF(AND(J67="Alumínio",F67="Trifásico"),VLOOKUP(M67,'Iz''s'!$Q$25:$T$39,3,FALSE)))))</f>
        <v>42</v>
      </c>
      <c r="BM67" s="664">
        <f>IF(AND(J67="Cobre",F67="Monofásico"),VLOOKUP(M67,'Iz''s'!$CJ$9:$CN$24,3,FALSE),IF(AND(J67="Cobre",F67="Trifásico"),VLOOKUP(M67,'Iz''s'!$CJ$9:$CN$24,5,FALSE),IF(AND(J67="Alumínio",F67="Monofásico"),VLOOKUP(M67,'Iz''s'!$CJ$26:$CN$40,3,FALSE),IF(AND(J67="Alumínio",F67="Trifásico"),VLOOKUP(M67,'Iz''s'!$CJ$26:$CN$40,5,FALSE)))))</f>
        <v>40</v>
      </c>
      <c r="BN67" s="664">
        <f>IF(AND(J67="Cobre",F67="Monofásico"),VLOOKUP(M67,'Iz''s'!$G$8:$J$23,4,FALSE),IF(AND(J67="Cobre",F67="Trifásico"),VLOOKUP(M67,'Iz''s'!$Q$8:$T$23,4,FALSE),IF(AND(J67="Alumínio",F67="Monofásico"),VLOOKUP(M67,'Iz''s'!$G$25:$J$39,4,FALSE),IF(AND(J67="Alumínio",F67="Trifásico"),VLOOKUP(M67,'Iz''s'!$Q$25:$T$39,4,FALSE)))))</f>
        <v>45</v>
      </c>
      <c r="BO67" s="664">
        <f>IF(AND(J67="Cobre",F67="Monofásico"),VLOOKUP(M67,'Iz''s'!$CP$9:$CT$24,5,FALSE),IF(AND(J67="Cobre",F67="Trifásico"),VLOOKUP(M67,'Iz''s'!$CP$9:$CT$24,4,FALSE),IF(AND(J67="Alumínio",F67="Monofásico"),VLOOKUP(M67,'Iz''s'!$CP$26:$CT$37,5,FALSE),IF(AND(J67="Alumínio",F67="Trifásico"),VLOOKUP(M67,'Iz''s'!$CP$26:$CT$37,4,FALSE)))))</f>
        <v>63</v>
      </c>
      <c r="BP67" s="664">
        <f>IF(AND(J67="Cobre",F67="Monofásico"),VLOOKUP(M67,'Iz''s'!$BL$10:$BS$28,2,FALSE),IF(AND(J67="Cobre",F67="Trifásico"),VLOOKUP(M67,'Iz''s'!$BL$10:$BS$28,3,FALSE),IF(AND(J67="Alumínio",F67="Monofásico"),VLOOKUP(M67,'Iz''s'!$BU$10:$CB$27,2,FALSE),IF(AND(J67="Alumínio",F67="Trifásico"),VLOOKUP(M67,'Iz''s'!$BU$10:$CB$27,3,FALSE)))))</f>
        <v>49</v>
      </c>
      <c r="BQ67" s="672" t="str">
        <f>IF(AND(J67="Cobre",F67="Monofásico"),VLOOKUP(M67,'Iz''s'!$BL$10:$BS$28,4,FALSE),IF(AND(J67="Cobre",F67="Trifásico"),VLOOKUP(M67,'Iz''s'!$BL$10:$BS$28,5,FALSE),IF(AND(J67="Alumínio",F67="Monofásico"),VLOOKUP(M67,'Iz''s'!$BU$10:$CB$27,4,FALSE),IF(AND(J67="Alumínio",F67="Trifásico"),VLOOKUP(M67,'Iz''s'!$BU$10:$CB$27,5,FALSE)))))</f>
        <v xml:space="preserve"> --- </v>
      </c>
      <c r="BR67" s="664" t="str">
        <f>IF(AND(J67="Cobre",F67="Monofásico"),"N/A",IF(AND(J67="Cobre",F67="Trifásico"),VLOOKUP(M67,'Iz''s'!$BL$10:$BS$28,8,FALSE),IF(AND(J67="Alumínio",F67="Monofásico"),"N/A",IF(AND(J67="Alumínio",F67="Trifásico"),VLOOKUP(M67,'Iz''s'!$BU$10:$CB$27,8,FALSE)))))</f>
        <v>N/A</v>
      </c>
      <c r="BS67" s="664">
        <f>IF(AND(J67="Cobre",F67="Monofásico"),VLOOKUP(M67,'Iz''s'!$V$14:$Y$28,2,FALSE),IF(AND(J67="Cobre",F67="Trifásico"),VLOOKUP(M67,'Iz''s'!$V$14:$Y$28,3,FALSE),IF(AND(J67="Alumínio",F67="Monofásico"),VLOOKUP(M67,"N/A",4,FALSE),IF(AND(J67="Alumínio",F67="Trifásico"),VLOOKUP(M67,"N/A",4,FALSE)))))</f>
        <v>45</v>
      </c>
      <c r="BT67" s="664">
        <f>IF(AND(J67="Cobre",F67="Monofásico"),VLOOKUP(M67,'Iz''s'!$AF$15:$AK$29,2,FALSE),IF(AND(J67="Cobre",F67="Trifásico"),VLOOKUP(M67,'Iz''s'!$AF$15:$AK$29,3,FALSE),IF(AND(J67="Alumínio",F67="Monofásico"),"N/A",IF(AND(J67="Alumínio",F67="Trifásico"),"N/A"))))</f>
        <v>47</v>
      </c>
      <c r="BU67" s="664">
        <f>IF(AND(J67="Cobre",F67="Monofásico"),VLOOKUP(M67,'Iz''s'!$AF$15:$AK$29,2,FALSE),IF(AND(J67="Cobre",F67="Trifásico"),VLOOKUP(M67,'Iz''s'!$AF$15:$AK$29,3,FALSE),IF(AND(J67="Alumínio",F67="Monofásico"),"N/A",IF(AND(J67="Alumínio",F67="Trifásico"),"N/A"))))</f>
        <v>47</v>
      </c>
      <c r="BV67" s="665" t="str">
        <f>IF(AND(J67="Cobre",F67="Monofásico"),"N/A",IF(AND(J67="Cobre",F67="Trifásico"),VLOOKUP(M67,'Iz''s'!$AF$15:$AK$29,6,FALSE),IF(AND(J67="Alumínio",F67="Monofásico"),"N/A",IF(AND(J67="Alumínio",F67="Trifásico"),"N/A"))))</f>
        <v>N/A</v>
      </c>
      <c r="BW67" s="666">
        <v>65</v>
      </c>
      <c r="BX67" s="788"/>
      <c r="BY67" s="668">
        <f>VLOOKUP(M67,Consulta!$W$6:$AB$23,4,FALSE)</f>
        <v>20</v>
      </c>
      <c r="BZ67" s="668">
        <f>VLOOKUP(M67,Consulta!$W$6:$AB$23,6,FALSE)</f>
        <v>25</v>
      </c>
      <c r="CA67" s="668">
        <f>VLOOKUP(M67,Consulta!$AK$6:$AP$23,4,FALSE)</f>
        <v>25</v>
      </c>
      <c r="CB67" s="668">
        <f>VLOOKUP(M67,Consulta!$AK$6:$AP$23,6,FALSE)</f>
        <v>25</v>
      </c>
      <c r="CC67" s="673" t="e">
        <f>VLOOKUP(M67,Consulta!$AD$6:$AI$19,4,FALSE)</f>
        <v>#N/A</v>
      </c>
      <c r="CD67" s="673" t="e">
        <f>VLOOKUP(M67,Consulta!$AD$6:$AI$19,6,FALSE)</f>
        <v>#N/A</v>
      </c>
      <c r="CE67" s="673" t="e">
        <f>VLOOKUP(M67,Consulta!$AR$6:$AW$19,4,FALSE)</f>
        <v>#N/A</v>
      </c>
      <c r="CF67" s="674" t="e">
        <f>VLOOKUP(M67,Consulta!$AR$6:$AW$19,6,FALSE)</f>
        <v>#N/A</v>
      </c>
      <c r="CG67" s="777"/>
      <c r="CH67" s="777"/>
      <c r="CI67" s="777"/>
      <c r="CJ67" s="777"/>
      <c r="CK67" s="777"/>
      <c r="CL67" s="777"/>
      <c r="CM67" s="777"/>
      <c r="CN67" s="777"/>
      <c r="CO67" s="777"/>
      <c r="CP67" s="777"/>
      <c r="CQ67" s="777"/>
      <c r="CR67" s="777"/>
      <c r="CS67" s="777"/>
      <c r="CT67" s="777"/>
      <c r="CU67" s="777"/>
      <c r="CV67" s="777"/>
      <c r="CW67" s="777"/>
      <c r="CX67" s="777"/>
      <c r="CY67" s="777"/>
      <c r="CZ67" s="777"/>
      <c r="DA67" s="777"/>
      <c r="DB67" s="777"/>
      <c r="DC67" s="777"/>
      <c r="DD67" s="777"/>
      <c r="DE67" s="777"/>
      <c r="DF67" s="777"/>
      <c r="DG67" s="777"/>
      <c r="DH67" s="777"/>
      <c r="DI67" s="777"/>
      <c r="DJ67" s="777"/>
      <c r="DK67" s="777"/>
      <c r="DL67" s="777"/>
      <c r="DM67" s="777"/>
      <c r="DN67" s="777"/>
      <c r="DO67" s="777"/>
      <c r="DP67" s="777"/>
      <c r="DQ67" s="777"/>
      <c r="DR67" s="777"/>
      <c r="DS67" s="777"/>
      <c r="DT67" s="777"/>
      <c r="DU67" s="777"/>
      <c r="DV67" s="777"/>
      <c r="DW67" s="777"/>
      <c r="DX67" s="777"/>
      <c r="DY67" s="777"/>
      <c r="DZ67" s="777"/>
      <c r="EA67" s="777"/>
      <c r="EB67" s="777"/>
      <c r="EC67" s="777"/>
      <c r="ED67" s="777"/>
      <c r="EE67" s="777"/>
      <c r="EF67" s="777"/>
      <c r="EG67" s="777"/>
      <c r="EH67" s="777"/>
      <c r="EI67" s="777"/>
      <c r="EJ67" s="777"/>
      <c r="EK67" s="777"/>
      <c r="EL67" s="777"/>
      <c r="EM67" s="777"/>
      <c r="EN67" s="777"/>
      <c r="EO67" s="777"/>
      <c r="EP67" s="777"/>
      <c r="EQ67" s="777"/>
      <c r="ER67" s="777"/>
      <c r="ES67" s="777"/>
      <c r="ET67" s="777"/>
      <c r="EU67" s="777"/>
      <c r="EV67" s="777"/>
      <c r="EW67" s="777"/>
      <c r="EX67" s="777"/>
      <c r="EY67" s="777"/>
      <c r="EZ67" s="777"/>
      <c r="FA67" s="777"/>
      <c r="FB67" s="777"/>
      <c r="FC67" s="777"/>
      <c r="FD67" s="777"/>
      <c r="FE67" s="777"/>
      <c r="FF67" s="777"/>
      <c r="FG67" s="777"/>
      <c r="FH67" s="777"/>
      <c r="FI67" s="777"/>
      <c r="FJ67" s="777"/>
      <c r="FK67" s="777"/>
      <c r="FL67" s="777"/>
      <c r="FM67" s="777"/>
      <c r="FN67" s="777"/>
      <c r="FO67" s="777"/>
      <c r="FP67" s="777"/>
      <c r="FQ67" s="777"/>
      <c r="FR67" s="777"/>
      <c r="FS67" s="777"/>
      <c r="FT67" s="777"/>
      <c r="FU67" s="777"/>
      <c r="FV67" s="777"/>
      <c r="FW67" s="777"/>
      <c r="FX67" s="777"/>
      <c r="FY67" s="777"/>
      <c r="FZ67" s="777"/>
      <c r="GA67" s="777"/>
      <c r="GB67" s="777"/>
      <c r="GC67" s="777"/>
      <c r="GD67" s="777"/>
      <c r="GE67" s="777"/>
      <c r="GF67" s="777"/>
      <c r="GG67" s="777"/>
      <c r="GH67" s="777"/>
      <c r="GI67" s="777"/>
      <c r="GJ67" s="777"/>
      <c r="GK67" s="777"/>
      <c r="GL67" s="777"/>
      <c r="GM67" s="777"/>
      <c r="GN67" s="777"/>
      <c r="GO67" s="777"/>
      <c r="GP67" s="777"/>
      <c r="GQ67" s="777"/>
      <c r="GR67" s="777"/>
      <c r="GS67" s="777"/>
      <c r="GT67" s="777"/>
      <c r="GU67" s="777"/>
      <c r="GV67" s="777"/>
      <c r="GW67" s="777"/>
      <c r="GX67" s="777"/>
      <c r="GY67" s="777"/>
      <c r="GZ67" s="777"/>
      <c r="HA67" s="777"/>
      <c r="HB67" s="777"/>
      <c r="HC67" s="777"/>
      <c r="HD67" s="777"/>
    </row>
    <row r="68" spans="1:212" s="562" customFormat="1" ht="16.5" customHeight="1" x14ac:dyDescent="0.2">
      <c r="A68" s="567"/>
      <c r="B68" s="1114" t="s">
        <v>815</v>
      </c>
      <c r="C68" s="865" t="s">
        <v>806</v>
      </c>
      <c r="D68" s="691">
        <v>3.6</v>
      </c>
      <c r="E68" s="691">
        <f>20.7+9.51+0.6</f>
        <v>30.810000000000002</v>
      </c>
      <c r="F68" s="691" t="s">
        <v>244</v>
      </c>
      <c r="G68" s="691" t="s">
        <v>808</v>
      </c>
      <c r="H68" s="691">
        <v>1</v>
      </c>
      <c r="I68" s="692" t="s">
        <v>13</v>
      </c>
      <c r="J68" s="691" t="s">
        <v>242</v>
      </c>
      <c r="K68" s="691" t="s">
        <v>363</v>
      </c>
      <c r="L68" s="691">
        <v>1</v>
      </c>
      <c r="M68" s="693">
        <v>2.5</v>
      </c>
      <c r="N68" s="691" t="s">
        <v>455</v>
      </c>
      <c r="O68" s="691">
        <v>4</v>
      </c>
      <c r="P68" s="616">
        <f t="shared" si="62"/>
        <v>30</v>
      </c>
      <c r="Q68" s="691">
        <v>1</v>
      </c>
      <c r="R68" s="691">
        <v>1</v>
      </c>
      <c r="S68" s="616">
        <f t="shared" si="78"/>
        <v>15.652173913043478</v>
      </c>
      <c r="T68" s="694">
        <f>P68*R68</f>
        <v>30</v>
      </c>
      <c r="U68" s="691" t="s">
        <v>499</v>
      </c>
      <c r="V68" s="616">
        <v>16</v>
      </c>
      <c r="W68" s="691">
        <f>IF(U68="C.C.Fusíveis",VLOOKUP(V68,Consulta!$L$5:$N$31,3,FALSE),VLOOKUP(V68,Consulta!$P$5:$R$34,3,FALSE))</f>
        <v>21.6</v>
      </c>
      <c r="X68" s="695">
        <f t="shared" si="10"/>
        <v>44</v>
      </c>
      <c r="Y68" s="876">
        <f t="shared" si="85"/>
        <v>0.52173913043478259</v>
      </c>
      <c r="Z68" s="750" t="str">
        <f t="shared" si="11"/>
        <v>Sim</v>
      </c>
      <c r="AA68" s="751">
        <f>$AA$10+SQRT($AB$10^2+$AC$10^2)</f>
        <v>0.33532123332535424</v>
      </c>
      <c r="AB68" s="751">
        <f t="shared" si="12"/>
        <v>0.34661249999999999</v>
      </c>
      <c r="AC68" s="751">
        <f t="shared" si="6"/>
        <v>0</v>
      </c>
      <c r="AD68" s="752">
        <f>$AE$10</f>
        <v>12.134857496509488</v>
      </c>
      <c r="AE68" s="752">
        <f t="shared" si="17"/>
        <v>10.850478260869565</v>
      </c>
      <c r="AF68" s="752">
        <f t="shared" si="18"/>
        <v>22.985335757379055</v>
      </c>
      <c r="AG68" s="753">
        <f t="shared" si="34"/>
        <v>4.7175992438563324E-2</v>
      </c>
      <c r="AH68" s="754">
        <f>AF68/230</f>
        <v>9.9936242423387195E-2</v>
      </c>
      <c r="AI68" s="752">
        <f t="shared" si="7"/>
        <v>0.33727617327043974</v>
      </c>
      <c r="AJ68" s="691">
        <v>3</v>
      </c>
      <c r="AK68" s="752">
        <v>0.1</v>
      </c>
      <c r="AL68" s="695">
        <f t="shared" si="89"/>
        <v>115</v>
      </c>
      <c r="AM68" s="752">
        <f t="shared" si="90"/>
        <v>0.92744426786103573</v>
      </c>
      <c r="AN68" s="750">
        <f t="shared" si="86"/>
        <v>1</v>
      </c>
      <c r="AO68" s="750" t="s">
        <v>563</v>
      </c>
      <c r="AP68" s="750" t="s">
        <v>523</v>
      </c>
      <c r="AQ68" s="750" t="str">
        <f t="shared" si="87"/>
        <v>3G</v>
      </c>
      <c r="AR68" s="750">
        <f t="shared" si="88"/>
        <v>2.5</v>
      </c>
      <c r="AS68" s="901" t="str">
        <f t="shared" si="8"/>
        <v/>
      </c>
      <c r="AT68" s="901" t="str">
        <f>IF(OR(AQ68="3G",AQ68="5G"),"",VLOOKUP(AR68,Consulta!$T$5:$U$25,2,FALSE))</f>
        <v/>
      </c>
      <c r="AU68" s="902" t="s">
        <v>565</v>
      </c>
      <c r="AV68" s="750" t="s">
        <v>23</v>
      </c>
      <c r="AW68" s="750" t="s">
        <v>564</v>
      </c>
      <c r="AX68" s="750">
        <f t="shared" si="30"/>
        <v>25</v>
      </c>
      <c r="AY68" s="866" t="s">
        <v>24</v>
      </c>
      <c r="AZ68" s="564"/>
      <c r="BA68" s="654">
        <f>IF(AND(J68="Cobre",F68="Monofásico"),VLOOKUP(M68,'Iz''s'!$B$8:$E$23,2,FALSE),IF(AND(J68="Cobre",F68="Trifásico"),VLOOKUP(M68,'Iz''s'!$L$8:$O$23,2,FALSE),IF(AND(J68="Alumínio",F68="Monofásico"),VLOOKUP(M68,'Iz''s'!$B$25:$E$39,2,FALSE),IF(AND(J68="Alumínio",F68="Trifásico"),VLOOKUP(M68,'Iz''s'!$L$25:$O$39,2,FALSE)))))</f>
        <v>19.5</v>
      </c>
      <c r="BB68" s="655">
        <f>IF(AND(J68="Cobre",F68="Monofásico"),VLOOKUP(M68,'Iz''s'!$CD$9:$CH$24,2,FALSE),IF(AND(J68="Cobre",F68="Trifásico"),VLOOKUP(M68,'Iz''s'!$CD$9:$CH$24,4,FALSE),IF(AND(J68="Alumínio",F68="Monofásico"),VLOOKUP(M68,'Iz''s'!$CD$26:$CH$40,2,FALSE),IF(AND(J68="Alumínio",F68="Trifásico"),VLOOKUP(M68,'Iz''s'!$CD$26:$CH$40,4,FALSE)))))</f>
        <v>18.5</v>
      </c>
      <c r="BC68" s="655">
        <f>IF(AND(J68="Cobre",F68="Monofásico"),VLOOKUP(M68,'Iz''s'!$B$8:$E$23,3,FALSE),IF(AND(J68="Cobre",F68="Trifásico"),VLOOKUP(M68,'Iz''s'!$L$8:$O$23,3,FALSE),IF(AND(J68="Alumínio",F68="Monofásico"),VLOOKUP(M68,'Iz''s'!$B$25:$E$39,3,FALSE),IF(AND(J68="Alumínio",F68="Trifásico"),VLOOKUP(M68,'Iz''s'!$L$25:$O$39,3,FALSE)))))</f>
        <v>24</v>
      </c>
      <c r="BD68" s="655">
        <f>IF(AND(J68="Cobre",F68="Monofásico"),VLOOKUP(M68,'Iz''s'!$CD$9:$CH$24,3,FALSE),IF(AND(J68="Cobre",F68="Trifásico"),VLOOKUP(M68,'Iz''s'!$CD$9:$CH$24,5,FALSE),IF(AND(J68="Alumínio",F68="Monofásico"),VLOOKUP(M68,'Iz''s'!$CD$26:$CH$40,3,FALSE),IF(AND(J68="Alumínio",F68="Trifásico"),VLOOKUP(M68,'Iz''s'!$CD$26:$CH$40,5,FALSE)))))</f>
        <v>23</v>
      </c>
      <c r="BE68" s="655">
        <f>IF(AND(J68="Cobre",F68="Monofásico"),VLOOKUP(M68,'Iz''s'!$B$8:$E$23,4,FALSE),IF(AND(J68="Cobre",F68="Trifásico"),VLOOKUP(M68,'Iz''s'!$L$8:$O$23,4,FALSE),IF(AND(J68="Alumínio",F68="Monofásico"),VLOOKUP(M68,'Iz''s'!$B$25:$E$39,4,FALSE),IF(AND(J68="Alumínio",F68="Trifásico"),VLOOKUP(M68,'Iz''s'!$L$25:$O$39,4,FALSE)))))</f>
        <v>27</v>
      </c>
      <c r="BF68" s="655">
        <f>IF(AND(J68="Cobre",F68="Monofásico"),VLOOKUP(M68,'Iz''s'!$CP$9:$CT$24,3,FALSE),IF(AND(J68="Cobre",F68="Trifásico"),VLOOKUP(M68,'Iz''s'!$CP$9:$CT$24,2,FALSE),IF(AND(J68="Alumínio",F68="Monofásico"),VLOOKUP(M68,'Iz''s'!$CP$26:$CT$37,3,FALSE),IF(AND(J68="Alumínio",F68="Trifásico"),VLOOKUP(M68,'Iz''s'!$CP$26:$CT$37,2,FALSE)))))</f>
        <v>42</v>
      </c>
      <c r="BG68" s="655">
        <f>IF(AND(J68="Cobre",F68="Monofásico"),VLOOKUP(M68,'Iz''s'!$AT$10:$BA$28,2,FALSE),IF(AND(J68="Cobre",F68="Trifásico"),VLOOKUP(M68,'Iz''s'!$AT$10:$BA$28,3,FALSE),IF(AND(J68="Alumínio",F68="Monofásico"),VLOOKUP(M68,'Iz''s'!$BC$10:$BJ$27,2,FALSE),IF(AND(J68="Alumínio",F68="Trifásico"),VLOOKUP(M68,'Iz''s'!$BC$10:$BJ$27,3,FALSE)))))</f>
        <v>30</v>
      </c>
      <c r="BH68" s="656" t="str">
        <f>IF(AND(J68="Cobre",F68="Monofásico"),VLOOKUP(M68,'Iz''s'!$AT$10:$BA$28,4,FALSE),IF(AND(J68="Cobre",F68="Trifásico"),VLOOKUP(M68,'Iz''s'!$AT$10:$BA$28,5,FALSE),IF(AND(J68="Alumínio",F68="Monofásico"),VLOOKUP(M68,'Iz''s'!$BC$10:$BJ$27,4,FALSE),IF(AND(J68="Alumínio",F68="Trifásico"),VLOOKUP(M68,'Iz''s'!$BC$10:$BJ$27,5,FALSE)))))</f>
        <v xml:space="preserve"> --- </v>
      </c>
      <c r="BI68" s="656" t="str">
        <f>IF(AND(J68="Cobre",F68="Monofásico"),"N/A",IF(AND(J68="Cobre",F68="Trifásico"),VLOOKUP(M68,'Iz''s'!$AT$10:$BA$28,8,FALSE),IF(AND(J68="Alumínio",F68="Monofásico"),"N/A",IF(AND(J68="Alumínio",F68="Trifásico"),VLOOKUP(M68,'Iz''s'!$BC$10:$BJ$27,8,FALSE)))))</f>
        <v>N/A</v>
      </c>
      <c r="BJ68" s="655">
        <f>IF(AND(J68="Cobre",F68="Monofásico"),VLOOKUP(M68,'Iz''s'!$G$8:$J$23,2,FALSE),IF(AND(J68="Cobre",F68="Trifásico"),VLOOKUP(M68,'Iz''s'!$Q$8:$T$23,2,FALSE),IF(AND(J68="Alumínio",F68="Monofásico"),VLOOKUP(M68,'Iz''s'!$G$25:$J$39,2,FALSE),IF(AND(J68="Alumínio",F68="Trifásico"),VLOOKUP(M68,'Iz''s'!$Q$25:$T$39,2,FALSE)))))</f>
        <v>26</v>
      </c>
      <c r="BK68" s="656">
        <f>IF(AND(J68="Cobre",F68="Monofásico"),VLOOKUP(M68,'Iz''s'!$CJ$9:$CN$24,2,FALSE),IF(AND(J68="Cobre",F68="Trifásico"),VLOOKUP(M68,'Iz''s'!$CJ$9:$CN$24,4,FALSE),IF(AND(J68="Alumínio",F68="Monofásico"),VLOOKUP(M68,'Iz''s'!$CJ$26:$CN$40,2,FALSE),IF(AND(J68="Alumínio",F68="Trifásico"),VLOOKUP(M68,'Iz''s'!$CJ$26:$CN$40,4,FALSE)))))</f>
        <v>25</v>
      </c>
      <c r="BL68" s="656">
        <f>IF(AND(J68="Cobre",F68="Monofásico"),VLOOKUP(M68,'Iz''s'!$G$8:$J$23,3,FALSE),IF(AND(J68="Cobre",F68="Trifásico"),VLOOKUP(M68,'Iz''s'!$Q$8:$T$23,3,FALSE),IF(AND(J68="Alumínio",F68="Monofásico"),VLOOKUP(M68,'Iz''s'!$G$25:$J$39,3,FALSE),IF(AND(J68="Alumínio",F68="Trifásico"),VLOOKUP(M68,'Iz''s'!$Q$25:$T$39,3,FALSE)))))</f>
        <v>31</v>
      </c>
      <c r="BM68" s="656">
        <f>IF(AND(J68="Cobre",F68="Monofásico"),VLOOKUP(M68,'Iz''s'!$CJ$9:$CN$24,3,FALSE),IF(AND(J68="Cobre",F68="Trifásico"),VLOOKUP(M68,'Iz''s'!$CJ$9:$CN$24,5,FALSE),IF(AND(J68="Alumínio",F68="Monofásico"),VLOOKUP(M68,'Iz''s'!$CJ$26:$CN$40,3,FALSE),IF(AND(J68="Alumínio",F68="Trifásico"),VLOOKUP(M68,'Iz''s'!$CJ$26:$CN$40,5,FALSE)))))</f>
        <v>30</v>
      </c>
      <c r="BN68" s="656">
        <f>IF(AND(J68="Cobre",F68="Monofásico"),VLOOKUP(M68,'Iz''s'!$G$8:$J$23,4,FALSE),IF(AND(J68="Cobre",F68="Trifásico"),VLOOKUP(M68,'Iz''s'!$Q$8:$T$23,4,FALSE),IF(AND(J68="Alumínio",F68="Monofásico"),VLOOKUP(M68,'Iz''s'!$G$25:$J$39,4,FALSE),IF(AND(J68="Alumínio",F68="Trifásico"),VLOOKUP(M68,'Iz''s'!$Q$25:$T$39,4,FALSE)))))</f>
        <v>33</v>
      </c>
      <c r="BO68" s="656">
        <f>IF(AND(J68="Cobre",F68="Monofásico"),VLOOKUP(M68,'Iz''s'!$CP$9:$CT$24,5,FALSE),IF(AND(J68="Cobre",F68="Trifásico"),VLOOKUP(M68,'Iz''s'!$CP$9:$CT$24,4,FALSE),IF(AND(J68="Alumínio",F68="Monofásico"),VLOOKUP(M68,'Iz''s'!$CP$26:$CT$37,5,FALSE),IF(AND(J68="Alumínio",F68="Trifásico"),VLOOKUP(M68,'Iz''s'!$CP$26:$CT$37,4,FALSE)))))</f>
        <v>48</v>
      </c>
      <c r="BP68" s="656">
        <f>IF(AND(J68="Cobre",F68="Monofásico"),VLOOKUP(M68,'Iz''s'!$BL$10:$BS$28,2,FALSE),IF(AND(J68="Cobre",F68="Trifásico"),VLOOKUP(M68,'Iz''s'!$BL$10:$BS$28,3,FALSE),IF(AND(J68="Alumínio",F68="Monofásico"),VLOOKUP(M68,'Iz''s'!$BU$10:$CB$27,2,FALSE),IF(AND(J68="Alumínio",F68="Trifásico"),VLOOKUP(M68,'Iz''s'!$BU$10:$CB$27,3,FALSE)))))</f>
        <v>36</v>
      </c>
      <c r="BQ68" s="655" t="str">
        <f>IF(AND(J68="Cobre",F68="Monofásico"),VLOOKUP(M68,'Iz''s'!$BL$10:$BS$28,4,FALSE),IF(AND(J68="Cobre",F68="Trifásico"),VLOOKUP(M68,'Iz''s'!$BL$10:$BS$28,5,FALSE),IF(AND(J68="Alumínio",F68="Monofásico"),VLOOKUP(M68,'Iz''s'!$BU$10:$CB$27,4,FALSE),IF(AND(J68="Alumínio",F68="Trifásico"),VLOOKUP(M68,'Iz''s'!$BU$10:$CB$27,5,FALSE)))))</f>
        <v xml:space="preserve"> --- </v>
      </c>
      <c r="BR68" s="656" t="str">
        <f>IF(AND(J68="Cobre",F68="Monofásico"),"N/A",IF(AND(J68="Cobre",F68="Trifásico"),VLOOKUP(M68,'Iz''s'!$BL$10:$BS$28,8,FALSE),IF(AND(J68="Alumínio",F68="Monofásico"),"N/A",IF(AND(J68="Alumínio",F68="Trifásico"),VLOOKUP(M68,'Iz''s'!$BU$10:$CB$27,8,FALSE)))))</f>
        <v>N/A</v>
      </c>
      <c r="BS68" s="656">
        <f>IF(AND(J68="Cobre",F68="Monofásico"),VLOOKUP(M68,'Iz''s'!$V$14:$Y$28,2,FALSE),IF(AND(J68="Cobre",F68="Trifásico"),VLOOKUP(M68,'Iz''s'!$V$14:$Y$28,3,FALSE),IF(AND(J68="Alumínio",F68="Monofásico"),VLOOKUP(M68,"N/A",4,FALSE),IF(AND(J68="Alumínio",F68="Trifásico"),VLOOKUP(M68,"N/A",4,FALSE)))))</f>
        <v>34</v>
      </c>
      <c r="BT68" s="656">
        <f>IF(AND(J68="Cobre",F68="Monofásico"),VLOOKUP(M68,'Iz''s'!$AF$15:$AK$29,2,FALSE),IF(AND(J68="Cobre",F68="Trifásico"),VLOOKUP(M68,'Iz''s'!$AF$15:$AK$29,3,FALSE),IF(AND(J68="Alumínio",F68="Monofásico"),"N/A",IF(AND(J68="Alumínio",F68="Trifásico"),"N/A"))))</f>
        <v>36</v>
      </c>
      <c r="BU68" s="656">
        <f>IF(AND(J68="Cobre",F68="Monofásico"),VLOOKUP(M68,'Iz''s'!$AF$15:$AK$29,2,FALSE),IF(AND(J68="Cobre",F68="Trifásico"),VLOOKUP(M68,'Iz''s'!$AF$15:$AK$29,3,FALSE),IF(AND(J68="Alumínio",F68="Monofásico"),"N/A",IF(AND(J68="Alumínio",F68="Trifásico"),"N/A"))))</f>
        <v>36</v>
      </c>
      <c r="BV68" s="657" t="str">
        <f>IF(AND(J68="Cobre",F68="Monofásico"),"N/A",IF(AND(J68="Cobre",F68="Trifásico"),VLOOKUP(M68,'Iz''s'!$AF$15:$AK$29,6,FALSE),IF(AND(J68="Alumínio",F68="Monofásico"),"N/A",IF(AND(J68="Alumínio",F68="Trifásico"),"N/A"))))</f>
        <v>N/A</v>
      </c>
      <c r="BW68" s="658">
        <v>66</v>
      </c>
      <c r="BX68" s="583"/>
      <c r="BY68" s="659">
        <f>VLOOKUP(M68,Consulta!$W$6:$AB$23,4,FALSE)</f>
        <v>16</v>
      </c>
      <c r="BZ68" s="659">
        <f>VLOOKUP(M68,Consulta!$W$6:$AB$23,6,FALSE)</f>
        <v>20</v>
      </c>
      <c r="CA68" s="659">
        <f>VLOOKUP(M68,Consulta!$AK$6:$AP$23,4,FALSE)</f>
        <v>20</v>
      </c>
      <c r="CB68" s="659">
        <f>VLOOKUP(M68,Consulta!$AK$6:$AP$23,6,FALSE)</f>
        <v>25</v>
      </c>
      <c r="CC68" s="660" t="e">
        <f>VLOOKUP(M68,Consulta!$AD$6:$AI$19,4,FALSE)</f>
        <v>#N/A</v>
      </c>
      <c r="CD68" s="660" t="e">
        <f>VLOOKUP(M68,Consulta!$AD$6:$AI$19,6,FALSE)</f>
        <v>#N/A</v>
      </c>
      <c r="CE68" s="660" t="e">
        <f>VLOOKUP(M68,Consulta!$AR$6:$AW$19,4,FALSE)</f>
        <v>#N/A</v>
      </c>
      <c r="CF68" s="661" t="e">
        <f>VLOOKUP(M68,Consulta!$AR$6:$AW$19,6,FALSE)</f>
        <v>#N/A</v>
      </c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</row>
    <row r="69" spans="1:212" s="552" customFormat="1" ht="16.5" x14ac:dyDescent="0.2">
      <c r="A69" s="568"/>
      <c r="B69" s="1115"/>
      <c r="C69" s="819" t="s">
        <v>793</v>
      </c>
      <c r="D69" s="684">
        <v>3.6</v>
      </c>
      <c r="E69" s="684">
        <f>9.61+5.3795+19.8746+2.7</f>
        <v>37.564100000000003</v>
      </c>
      <c r="F69" s="684" t="s">
        <v>244</v>
      </c>
      <c r="G69" s="684" t="s">
        <v>808</v>
      </c>
      <c r="H69" s="684">
        <v>1</v>
      </c>
      <c r="I69" s="760" t="s">
        <v>13</v>
      </c>
      <c r="J69" s="684" t="s">
        <v>242</v>
      </c>
      <c r="K69" s="684" t="s">
        <v>363</v>
      </c>
      <c r="L69" s="684">
        <v>1</v>
      </c>
      <c r="M69" s="685">
        <v>6</v>
      </c>
      <c r="N69" s="684" t="s">
        <v>453</v>
      </c>
      <c r="O69" s="684">
        <v>4</v>
      </c>
      <c r="P69" s="555">
        <f>IF(K69="PVC",HLOOKUP(N69,$BA$3:$BI$104,BW69,FALSE),IF(OR(K69="XLPE",K69="EPR"),HLOOKUP(N69,$BJ$3:$BR$104,BW69,FALSE),IF(K69="Mineral",HLOOKUP(N69,$BS$3:$BV$104,BW69,FALSE),"N/A")))*L69</f>
        <v>38</v>
      </c>
      <c r="Q69" s="684">
        <v>3</v>
      </c>
      <c r="R69" s="684">
        <v>1</v>
      </c>
      <c r="S69" s="555">
        <f t="shared" si="78"/>
        <v>15.652173913043478</v>
      </c>
      <c r="T69" s="696">
        <f t="shared" si="84"/>
        <v>38</v>
      </c>
      <c r="U69" s="684" t="s">
        <v>499</v>
      </c>
      <c r="V69" s="555">
        <v>16</v>
      </c>
      <c r="W69" s="684">
        <f>IF(U69="C.C.Fusíveis",VLOOKUP(V69,Consulta!$L$5:$N$31,3,FALSE),VLOOKUP(V69,Consulta!$P$5:$R$34,3,FALSE))</f>
        <v>21.6</v>
      </c>
      <c r="X69" s="698">
        <f t="shared" si="10"/>
        <v>56</v>
      </c>
      <c r="Y69" s="821">
        <f t="shared" si="85"/>
        <v>0.41189931350114417</v>
      </c>
      <c r="Z69" s="689" t="str">
        <f t="shared" si="11"/>
        <v>Sim</v>
      </c>
      <c r="AA69" s="762">
        <f>$AA$10+SQRT($AB$10^2+$AC$10^2)</f>
        <v>0.33532123332535424</v>
      </c>
      <c r="AB69" s="762">
        <f t="shared" si="12"/>
        <v>0.17608171874999998</v>
      </c>
      <c r="AC69" s="762">
        <f t="shared" si="6"/>
        <v>0</v>
      </c>
      <c r="AD69" s="686">
        <f>$AE$10</f>
        <v>12.134857496509488</v>
      </c>
      <c r="AE69" s="686">
        <f t="shared" si="17"/>
        <v>5.5121233695652165</v>
      </c>
      <c r="AF69" s="686">
        <f>AD69+AE69</f>
        <v>17.646980866074706</v>
      </c>
      <c r="AG69" s="687">
        <f t="shared" si="34"/>
        <v>2.3965753780718333E-2</v>
      </c>
      <c r="AH69" s="763">
        <f t="shared" si="34"/>
        <v>7.67260037655422E-2</v>
      </c>
      <c r="AI69" s="686">
        <f t="shared" si="7"/>
        <v>0.44974319969531568</v>
      </c>
      <c r="AJ69" s="684">
        <v>3</v>
      </c>
      <c r="AK69" s="686">
        <v>0.1</v>
      </c>
      <c r="AL69" s="698">
        <f t="shared" si="89"/>
        <v>115</v>
      </c>
      <c r="AM69" s="686">
        <f t="shared" si="90"/>
        <v>1.2367068462688202</v>
      </c>
      <c r="AN69" s="689">
        <f t="shared" si="86"/>
        <v>1</v>
      </c>
      <c r="AO69" s="689" t="s">
        <v>563</v>
      </c>
      <c r="AP69" s="689" t="s">
        <v>523</v>
      </c>
      <c r="AQ69" s="689" t="str">
        <f t="shared" si="87"/>
        <v>3G</v>
      </c>
      <c r="AR69" s="689">
        <f t="shared" si="88"/>
        <v>6</v>
      </c>
      <c r="AS69" s="897" t="str">
        <f t="shared" ref="AS69:AS104" si="91">IF(OR(AQ69="3G",AQ69="5G"),"","+2G")</f>
        <v/>
      </c>
      <c r="AT69" s="897" t="str">
        <f>IF(OR(AQ69="3G",AQ69="5G"),"",VLOOKUP(AR69,Consulta!$T$5:$U$25,2,FALSE))</f>
        <v/>
      </c>
      <c r="AU69" s="898" t="s">
        <v>565</v>
      </c>
      <c r="AV69" s="689" t="s">
        <v>23</v>
      </c>
      <c r="AW69" s="689" t="s">
        <v>564</v>
      </c>
      <c r="AX69" s="689">
        <f t="shared" si="30"/>
        <v>20</v>
      </c>
      <c r="AY69" s="690" t="s">
        <v>24</v>
      </c>
      <c r="AZ69" s="564"/>
      <c r="BA69" s="584">
        <f>IF(AND(J69="Cobre",F69="Monofásico"),VLOOKUP(M69,'Iz''s'!$B$8:$E$23,2,FALSE),IF(AND(J69="Cobre",F69="Trifásico"),VLOOKUP(M69,'Iz''s'!$L$8:$O$23,2,FALSE),IF(AND(J69="Alumínio",F69="Monofásico"),VLOOKUP(M69,'Iz''s'!$B$25:$E$39,2,FALSE),IF(AND(J69="Alumínio",F69="Trifásico"),VLOOKUP(M69,'Iz''s'!$L$25:$O$39,2,FALSE)))))</f>
        <v>34</v>
      </c>
      <c r="BB69" s="531">
        <f>IF(AND(J69="Cobre",F69="Monofásico"),VLOOKUP(M69,'Iz''s'!$CD$9:$CH$24,2,FALSE),IF(AND(J69="Cobre",F69="Trifásico"),VLOOKUP(M69,'Iz''s'!$CD$9:$CH$24,4,FALSE),IF(AND(J69="Alumínio",F69="Monofásico"),VLOOKUP(M69,'Iz''s'!$CD$26:$CH$40,2,FALSE),IF(AND(J69="Alumínio",F69="Trifásico"),VLOOKUP(M69,'Iz''s'!$CD$26:$CH$40,4,FALSE)))))</f>
        <v>32</v>
      </c>
      <c r="BC69" s="531">
        <f>IF(AND(J69="Cobre",F69="Monofásico"),VLOOKUP(M69,'Iz''s'!$B$8:$E$23,3,FALSE),IF(AND(J69="Cobre",F69="Trifásico"),VLOOKUP(M69,'Iz''s'!$L$8:$O$23,3,FALSE),IF(AND(J69="Alumínio",F69="Monofásico"),VLOOKUP(M69,'Iz''s'!$B$25:$E$39,3,FALSE),IF(AND(J69="Alumínio",F69="Trifásico"),VLOOKUP(M69,'Iz''s'!$L$25:$O$39,3,FALSE)))))</f>
        <v>41</v>
      </c>
      <c r="BD69" s="531">
        <f>IF(AND(J69="Cobre",F69="Monofásico"),VLOOKUP(M69,'Iz''s'!$CD$9:$CH$24,3,FALSE),IF(AND(J69="Cobre",F69="Trifásico"),VLOOKUP(M69,'Iz''s'!$CD$9:$CH$24,5,FALSE),IF(AND(J69="Alumínio",F69="Monofásico"),VLOOKUP(M69,'Iz''s'!$CD$26:$CH$40,3,FALSE),IF(AND(J69="Alumínio",F69="Trifásico"),VLOOKUP(M69,'Iz''s'!$CD$26:$CH$40,5,FALSE)))))</f>
        <v>38</v>
      </c>
      <c r="BE69" s="531">
        <f>IF(AND(J69="Cobre",F69="Monofásico"),VLOOKUP(M69,'Iz''s'!$B$8:$E$23,4,FALSE),IF(AND(J69="Cobre",F69="Trifásico"),VLOOKUP(M69,'Iz''s'!$L$8:$O$23,4,FALSE),IF(AND(J69="Alumínio",F69="Monofásico"),VLOOKUP(M69,'Iz''s'!$B$25:$E$39,4,FALSE),IF(AND(J69="Alumínio",F69="Trifásico"),VLOOKUP(M69,'Iz''s'!$L$25:$O$39,4,FALSE)))))</f>
        <v>46</v>
      </c>
      <c r="BF69" s="531">
        <f>IF(AND(J69="Cobre",F69="Monofásico"),VLOOKUP(M69,'Iz''s'!$CP$9:$CT$24,3,FALSE),IF(AND(J69="Cobre",F69="Trifásico"),VLOOKUP(M69,'Iz''s'!$CP$9:$CT$24,2,FALSE),IF(AND(J69="Alumínio",F69="Monofásico"),VLOOKUP(M69,'Iz''s'!$CP$26:$CT$37,3,FALSE),IF(AND(J69="Alumínio",F69="Trifásico"),VLOOKUP(M69,'Iz''s'!$CP$26:$CT$37,2,FALSE)))))</f>
        <v>67</v>
      </c>
      <c r="BG69" s="531">
        <f>IF(AND(J69="Cobre",F69="Monofásico"),VLOOKUP(M69,'Iz''s'!$AT$10:$BA$28,2,FALSE),IF(AND(J69="Cobre",F69="Trifásico"),VLOOKUP(M69,'Iz''s'!$AT$10:$BA$28,3,FALSE),IF(AND(J69="Alumínio",F69="Monofásico"),VLOOKUP(M69,'Iz''s'!$BC$10:$BJ$27,2,FALSE),IF(AND(J69="Alumínio",F69="Trifásico"),VLOOKUP(M69,'Iz''s'!$BC$10:$BJ$27,3,FALSE)))))</f>
        <v>51</v>
      </c>
      <c r="BH69" s="609" t="str">
        <f>IF(AND(J69="Cobre",F69="Monofásico"),VLOOKUP(M69,'Iz''s'!$AT$10:$BA$28,4,FALSE),IF(AND(J69="Cobre",F69="Trifásico"),VLOOKUP(M69,'Iz''s'!$AT$10:$BA$28,5,FALSE),IF(AND(J69="Alumínio",F69="Monofásico"),VLOOKUP(M69,'Iz''s'!$BC$10:$BJ$27,4,FALSE),IF(AND(J69="Alumínio",F69="Trifásico"),VLOOKUP(M69,'Iz''s'!$BC$10:$BJ$27,5,FALSE)))))</f>
        <v xml:space="preserve"> --- </v>
      </c>
      <c r="BI69" s="609" t="str">
        <f>IF(AND(J69="Cobre",F69="Monofásico"),"N/A",IF(AND(J69="Cobre",F69="Trifásico"),VLOOKUP(M69,'Iz''s'!$AT$10:$BA$28,8,FALSE),IF(AND(J69="Alumínio",F69="Monofásico"),"N/A",IF(AND(J69="Alumínio",F69="Trifásico"),VLOOKUP(M69,'Iz''s'!$BC$10:$BJ$27,8,FALSE)))))</f>
        <v>N/A</v>
      </c>
      <c r="BJ69" s="531">
        <f>IF(AND(J69="Cobre",F69="Monofásico"),VLOOKUP(M69,'Iz''s'!$G$8:$J$23,2,FALSE),IF(AND(J69="Cobre",F69="Trifásico"),VLOOKUP(M69,'Iz''s'!$Q$8:$T$23,2,FALSE),IF(AND(J69="Alumínio",F69="Monofásico"),VLOOKUP(M69,'Iz''s'!$G$25:$J$39,2,FALSE),IF(AND(J69="Alumínio",F69="Trifásico"),VLOOKUP(M69,'Iz''s'!$Q$25:$T$39,2,FALSE)))))</f>
        <v>45</v>
      </c>
      <c r="BK69" s="609">
        <f>IF(AND(J69="Cobre",F69="Monofásico"),VLOOKUP(M69,'Iz''s'!$CJ$9:$CN$24,2,FALSE),IF(AND(J69="Cobre",F69="Trifásico"),VLOOKUP(M69,'Iz''s'!$CJ$9:$CN$24,4,FALSE),IF(AND(J69="Alumínio",F69="Monofásico"),VLOOKUP(M69,'Iz''s'!$CJ$26:$CN$40,2,FALSE),IF(AND(J69="Alumínio",F69="Trifásico"),VLOOKUP(M69,'Iz''s'!$CJ$26:$CN$40,4,FALSE)))))</f>
        <v>42</v>
      </c>
      <c r="BL69" s="609">
        <f>IF(AND(J69="Cobre",F69="Monofásico"),VLOOKUP(M69,'Iz''s'!$G$8:$J$23,3,FALSE),IF(AND(J69="Cobre",F69="Trifásico"),VLOOKUP(M69,'Iz''s'!$Q$8:$T$23,3,FALSE),IF(AND(J69="Alumínio",F69="Monofásico"),VLOOKUP(M69,'Iz''s'!$G$25:$J$39,3,FALSE),IF(AND(J69="Alumínio",F69="Trifásico"),VLOOKUP(M69,'Iz''s'!$Q$25:$T$39,3,FALSE)))))</f>
        <v>54</v>
      </c>
      <c r="BM69" s="609">
        <f>IF(AND(J69="Cobre",F69="Monofásico"),VLOOKUP(M69,'Iz''s'!$CJ$9:$CN$24,3,FALSE),IF(AND(J69="Cobre",F69="Trifásico"),VLOOKUP(M69,'Iz''s'!$CJ$9:$CN$24,5,FALSE),IF(AND(J69="Alumínio",F69="Monofásico"),VLOOKUP(M69,'Iz''s'!$CJ$26:$CN$40,3,FALSE),IF(AND(J69="Alumínio",F69="Trifásico"),VLOOKUP(M69,'Iz''s'!$CJ$26:$CN$40,5,FALSE)))))</f>
        <v>51</v>
      </c>
      <c r="BN69" s="609">
        <f>IF(AND(J69="Cobre",F69="Monofásico"),VLOOKUP(M69,'Iz''s'!$G$8:$J$23,4,FALSE),IF(AND(J69="Cobre",F69="Trifásico"),VLOOKUP(M69,'Iz''s'!$Q$8:$T$23,4,FALSE),IF(AND(J69="Alumínio",F69="Monofásico"),VLOOKUP(M69,'Iz''s'!$G$25:$J$39,4,FALSE),IF(AND(J69="Alumínio",F69="Trifásico"),VLOOKUP(M69,'Iz''s'!$Q$25:$T$39,4,FALSE)))))</f>
        <v>58</v>
      </c>
      <c r="BO69" s="609">
        <f>IF(AND(J69="Cobre",F69="Monofásico"),VLOOKUP(M69,'Iz''s'!$CP$9:$CT$24,5,FALSE),IF(AND(J69="Cobre",F69="Trifásico"),VLOOKUP(M69,'Iz''s'!$CP$9:$CT$24,4,FALSE),IF(AND(J69="Alumínio",F69="Monofásico"),VLOOKUP(M69,'Iz''s'!$CP$26:$CT$37,5,FALSE),IF(AND(J69="Alumínio",F69="Trifásico"),VLOOKUP(M69,'Iz''s'!$CP$26:$CT$37,4,FALSE)))))</f>
        <v>80</v>
      </c>
      <c r="BP69" s="609">
        <f>IF(AND(J69="Cobre",F69="Monofásico"),VLOOKUP(M69,'Iz''s'!$BL$10:$BS$28,2,FALSE),IF(AND(J69="Cobre",F69="Trifásico"),VLOOKUP(M69,'Iz''s'!$BL$10:$BS$28,3,FALSE),IF(AND(J69="Alumínio",F69="Monofásico"),VLOOKUP(M69,'Iz''s'!$BU$10:$CB$27,2,FALSE),IF(AND(J69="Alumínio",F69="Trifásico"),VLOOKUP(M69,'Iz''s'!$BU$10:$CB$27,3,FALSE)))))</f>
        <v>63</v>
      </c>
      <c r="BQ69" s="531" t="str">
        <f>IF(AND(J69="Cobre",F69="Monofásico"),VLOOKUP(M69,'Iz''s'!$BL$10:$BS$28,4,FALSE),IF(AND(J69="Cobre",F69="Trifásico"),VLOOKUP(M69,'Iz''s'!$BL$10:$BS$28,5,FALSE),IF(AND(J69="Alumínio",F69="Monofásico"),VLOOKUP(M69,'Iz''s'!$BU$10:$CB$27,4,FALSE),IF(AND(J69="Alumínio",F69="Trifásico"),VLOOKUP(M69,'Iz''s'!$BU$10:$CB$27,5,FALSE)))))</f>
        <v xml:space="preserve"> --- </v>
      </c>
      <c r="BR69" s="609" t="str">
        <f>IF(AND(J69="Cobre",F69="Monofásico"),"N/A",IF(AND(J69="Cobre",F69="Trifásico"),VLOOKUP(M69,'Iz''s'!$BL$10:$BS$28,8,FALSE),IF(AND(J69="Alumínio",F69="Monofásico"),"N/A",IF(AND(J69="Alumínio",F69="Trifásico"),VLOOKUP(M69,'Iz''s'!$BU$10:$CB$27,8,FALSE)))))</f>
        <v>N/A</v>
      </c>
      <c r="BS69" s="609">
        <f>IF(AND(J69="Cobre",F69="Monofásico"),VLOOKUP(M69,'Iz''s'!$V$14:$Y$28,2,FALSE),IF(AND(J69="Cobre",F69="Trifásico"),VLOOKUP(M69,'Iz''s'!$V$14:$Y$28,3,FALSE),IF(AND(J69="Alumínio",F69="Monofásico"),VLOOKUP(M69,"N/A",4,FALSE),IF(AND(J69="Alumínio",F69="Trifásico"),VLOOKUP(M69,"N/A",4,FALSE)))))</f>
        <v>57</v>
      </c>
      <c r="BT69" s="609">
        <f>IF(AND(J69="Cobre",F69="Monofásico"),VLOOKUP(M69,'Iz''s'!$AF$15:$AK$29,2,FALSE),IF(AND(J69="Cobre",F69="Trifásico"),VLOOKUP(M69,'Iz''s'!$AF$15:$AK$29,3,FALSE),IF(AND(J69="Alumínio",F69="Monofásico"),"N/A",IF(AND(J69="Alumínio",F69="Trifásico"),"N/A"))))</f>
        <v>60</v>
      </c>
      <c r="BU69" s="609">
        <f>IF(AND(J69="Cobre",F69="Monofásico"),VLOOKUP(M69,'Iz''s'!$AF$15:$AK$29,2,FALSE),IF(AND(J69="Cobre",F69="Trifásico"),VLOOKUP(M69,'Iz''s'!$AF$15:$AK$29,3,FALSE),IF(AND(J69="Alumínio",F69="Monofásico"),"N/A",IF(AND(J69="Alumínio",F69="Trifásico"),"N/A"))))</f>
        <v>60</v>
      </c>
      <c r="BV69" s="610" t="str">
        <f>IF(AND(J69="Cobre",F69="Monofásico"),"N/A",IF(AND(J69="Cobre",F69="Trifásico"),VLOOKUP(M69,'Iz''s'!$AF$15:$AK$29,6,FALSE),IF(AND(J69="Alumínio",F69="Monofásico"),"N/A",IF(AND(J69="Alumínio",F69="Trifásico"),"N/A"))))</f>
        <v>N/A</v>
      </c>
      <c r="BW69" s="611">
        <v>67</v>
      </c>
      <c r="BX69" s="583"/>
      <c r="BY69" s="612">
        <f>VLOOKUP(M69,Consulta!$W$6:$AB$23,4,FALSE)</f>
        <v>20</v>
      </c>
      <c r="BZ69" s="612">
        <f>VLOOKUP(M69,Consulta!$W$6:$AB$23,6,FALSE)</f>
        <v>25</v>
      </c>
      <c r="CA69" s="612">
        <f>VLOOKUP(M69,Consulta!$AK$6:$AP$23,4,FALSE)</f>
        <v>25</v>
      </c>
      <c r="CB69" s="612">
        <f>VLOOKUP(M69,Consulta!$AK$6:$AP$23,6,FALSE)</f>
        <v>32</v>
      </c>
      <c r="CC69" s="585" t="e">
        <f>VLOOKUP(M69,Consulta!$AD$6:$AI$19,4,FALSE)</f>
        <v>#N/A</v>
      </c>
      <c r="CD69" s="585" t="e">
        <f>VLOOKUP(M69,Consulta!$AD$6:$AI$19,6,FALSE)</f>
        <v>#N/A</v>
      </c>
      <c r="CE69" s="585" t="e">
        <f>VLOOKUP(M69,Consulta!$AR$6:$AW$19,4,FALSE)</f>
        <v>#N/A</v>
      </c>
      <c r="CF69" s="586" t="e">
        <f>VLOOKUP(M69,Consulta!$AR$6:$AW$19,6,FALSE)</f>
        <v>#N/A</v>
      </c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</row>
    <row r="70" spans="1:212" s="552" customFormat="1" ht="16.5" customHeight="1" x14ac:dyDescent="0.2">
      <c r="A70" s="568"/>
      <c r="B70" s="1115"/>
      <c r="C70" s="820" t="s">
        <v>838</v>
      </c>
      <c r="D70" s="701">
        <f>6*230/1000</f>
        <v>1.38</v>
      </c>
      <c r="E70" s="701">
        <f>13.5031+6.1515+0.317+2.4497+0.2+5.6</f>
        <v>28.221299999999999</v>
      </c>
      <c r="F70" s="701" t="s">
        <v>244</v>
      </c>
      <c r="G70" s="701" t="s">
        <v>808</v>
      </c>
      <c r="H70" s="701">
        <v>1</v>
      </c>
      <c r="I70" s="765" t="s">
        <v>13</v>
      </c>
      <c r="J70" s="701" t="s">
        <v>242</v>
      </c>
      <c r="K70" s="701" t="s">
        <v>363</v>
      </c>
      <c r="L70" s="701">
        <v>1</v>
      </c>
      <c r="M70" s="702">
        <v>2.5</v>
      </c>
      <c r="N70" s="701" t="s">
        <v>455</v>
      </c>
      <c r="O70" s="701">
        <v>4</v>
      </c>
      <c r="P70" s="555">
        <f t="shared" ref="P70:P94" si="92">IF(K70="PVC",HLOOKUP(N70,$BA$3:$BI$104,BW70,FALSE),IF(OR(K70="XLPE",K70="EPR"),HLOOKUP(N70,$BJ$3:$BR$104,BW70,FALSE),IF(K70="Mineral",HLOOKUP(N70,$BS$3:$BV$104,BW70,FALSE),"N/A")))*L70</f>
        <v>30</v>
      </c>
      <c r="Q70" s="701">
        <v>3</v>
      </c>
      <c r="R70" s="701">
        <v>1</v>
      </c>
      <c r="S70" s="555">
        <f t="shared" si="78"/>
        <v>6</v>
      </c>
      <c r="T70" s="712">
        <f t="shared" si="84"/>
        <v>30</v>
      </c>
      <c r="U70" s="701" t="s">
        <v>499</v>
      </c>
      <c r="V70" s="555">
        <v>10</v>
      </c>
      <c r="W70" s="701">
        <f>IF(U70="C.C.Fusíveis",VLOOKUP(V70,Consulta!$L$5:$N$31,3,FALSE),VLOOKUP(V70,Consulta!$P$5:$R$34,3,FALSE))</f>
        <v>13.5</v>
      </c>
      <c r="X70" s="713">
        <f t="shared" ref="X70:X104" si="93">CEILING(1.45*P70,1)</f>
        <v>44</v>
      </c>
      <c r="Y70" s="822">
        <f t="shared" si="85"/>
        <v>0.2</v>
      </c>
      <c r="Z70" s="706" t="str">
        <f t="shared" ref="Z70:Z104" si="94">IF(AND(S70&lt;=V70,V70&lt;=P70,W70&lt;=X70),"Sim","Não")</f>
        <v>Sim</v>
      </c>
      <c r="AA70" s="767">
        <f>$AA$10+SQRT($AB$10^2+$AC$10^2)</f>
        <v>0.33532123332535424</v>
      </c>
      <c r="AB70" s="767">
        <f t="shared" si="12"/>
        <v>0.317489625</v>
      </c>
      <c r="AC70" s="767">
        <f t="shared" si="6"/>
        <v>0</v>
      </c>
      <c r="AD70" s="703">
        <f>$AE$10</f>
        <v>12.134857496509488</v>
      </c>
      <c r="AE70" s="703">
        <f t="shared" si="17"/>
        <v>3.8098755</v>
      </c>
      <c r="AF70" s="703">
        <f t="shared" si="18"/>
        <v>15.944732996509488</v>
      </c>
      <c r="AG70" s="704">
        <f t="shared" si="34"/>
        <v>1.6564676086956522E-2</v>
      </c>
      <c r="AH70" s="768">
        <f t="shared" si="34"/>
        <v>6.9324926071780382E-2</v>
      </c>
      <c r="AI70" s="703">
        <f t="shared" si="7"/>
        <v>0.35232257102771775</v>
      </c>
      <c r="AJ70" s="701">
        <v>3</v>
      </c>
      <c r="AK70" s="703">
        <v>0.1</v>
      </c>
      <c r="AL70" s="713">
        <f t="shared" si="89"/>
        <v>115</v>
      </c>
      <c r="AM70" s="703">
        <f t="shared" si="90"/>
        <v>0.96881895263829476</v>
      </c>
      <c r="AN70" s="706">
        <f t="shared" si="86"/>
        <v>1</v>
      </c>
      <c r="AO70" s="706" t="s">
        <v>563</v>
      </c>
      <c r="AP70" s="706" t="s">
        <v>523</v>
      </c>
      <c r="AQ70" s="706" t="str">
        <f t="shared" si="87"/>
        <v>3G</v>
      </c>
      <c r="AR70" s="706">
        <f t="shared" si="88"/>
        <v>2.5</v>
      </c>
      <c r="AS70" s="893" t="str">
        <f t="shared" si="91"/>
        <v/>
      </c>
      <c r="AT70" s="893" t="str">
        <f>IF(OR(AQ70="3G",AQ70="5G"),"",VLOOKUP(AR70,Consulta!$T$5:$U$25,2,FALSE))</f>
        <v/>
      </c>
      <c r="AU70" s="894" t="s">
        <v>565</v>
      </c>
      <c r="AV70" s="706" t="s">
        <v>23</v>
      </c>
      <c r="AW70" s="706" t="s">
        <v>564</v>
      </c>
      <c r="AX70" s="706">
        <f t="shared" si="30"/>
        <v>25</v>
      </c>
      <c r="AY70" s="707" t="s">
        <v>24</v>
      </c>
      <c r="AZ70" s="564"/>
      <c r="BA70" s="584">
        <f>IF(AND(J70="Cobre",F70="Monofásico"),VLOOKUP(M70,'Iz''s'!$B$8:$E$23,2,FALSE),IF(AND(J70="Cobre",F70="Trifásico"),VLOOKUP(M70,'Iz''s'!$L$8:$O$23,2,FALSE),IF(AND(J70="Alumínio",F70="Monofásico"),VLOOKUP(M70,'Iz''s'!$B$25:$E$39,2,FALSE),IF(AND(J70="Alumínio",F70="Trifásico"),VLOOKUP(M70,'Iz''s'!$L$25:$O$39,2,FALSE)))))</f>
        <v>19.5</v>
      </c>
      <c r="BB70" s="531">
        <f>IF(AND(J70="Cobre",F70="Monofásico"),VLOOKUP(M70,'Iz''s'!$CD$9:$CH$24,2,FALSE),IF(AND(J70="Cobre",F70="Trifásico"),VLOOKUP(M70,'Iz''s'!$CD$9:$CH$24,4,FALSE),IF(AND(J70="Alumínio",F70="Monofásico"),VLOOKUP(M70,'Iz''s'!$CD$26:$CH$40,2,FALSE),IF(AND(J70="Alumínio",F70="Trifásico"),VLOOKUP(M70,'Iz''s'!$CD$26:$CH$40,4,FALSE)))))</f>
        <v>18.5</v>
      </c>
      <c r="BC70" s="531">
        <f>IF(AND(J70="Cobre",F70="Monofásico"),VLOOKUP(M70,'Iz''s'!$B$8:$E$23,3,FALSE),IF(AND(J70="Cobre",F70="Trifásico"),VLOOKUP(M70,'Iz''s'!$L$8:$O$23,3,FALSE),IF(AND(J70="Alumínio",F70="Monofásico"),VLOOKUP(M70,'Iz''s'!$B$25:$E$39,3,FALSE),IF(AND(J70="Alumínio",F70="Trifásico"),VLOOKUP(M70,'Iz''s'!$L$25:$O$39,3,FALSE)))))</f>
        <v>24</v>
      </c>
      <c r="BD70" s="531">
        <f>IF(AND(J70="Cobre",F70="Monofásico"),VLOOKUP(M70,'Iz''s'!$CD$9:$CH$24,3,FALSE),IF(AND(J70="Cobre",F70="Trifásico"),VLOOKUP(M70,'Iz''s'!$CD$9:$CH$24,5,FALSE),IF(AND(J70="Alumínio",F70="Monofásico"),VLOOKUP(M70,'Iz''s'!$CD$26:$CH$40,3,FALSE),IF(AND(J70="Alumínio",F70="Trifásico"),VLOOKUP(M70,'Iz''s'!$CD$26:$CH$40,5,FALSE)))))</f>
        <v>23</v>
      </c>
      <c r="BE70" s="531">
        <f>IF(AND(J70="Cobre",F70="Monofásico"),VLOOKUP(M70,'Iz''s'!$B$8:$E$23,4,FALSE),IF(AND(J70="Cobre",F70="Trifásico"),VLOOKUP(M70,'Iz''s'!$L$8:$O$23,4,FALSE),IF(AND(J70="Alumínio",F70="Monofásico"),VLOOKUP(M70,'Iz''s'!$B$25:$E$39,4,FALSE),IF(AND(J70="Alumínio",F70="Trifásico"),VLOOKUP(M70,'Iz''s'!$L$25:$O$39,4,FALSE)))))</f>
        <v>27</v>
      </c>
      <c r="BF70" s="531">
        <f>IF(AND(J70="Cobre",F70="Monofásico"),VLOOKUP(M70,'Iz''s'!$CP$9:$CT$24,3,FALSE),IF(AND(J70="Cobre",F70="Trifásico"),VLOOKUP(M70,'Iz''s'!$CP$9:$CT$24,2,FALSE),IF(AND(J70="Alumínio",F70="Monofásico"),VLOOKUP(M70,'Iz''s'!$CP$26:$CT$37,3,FALSE),IF(AND(J70="Alumínio",F70="Trifásico"),VLOOKUP(M70,'Iz''s'!$CP$26:$CT$37,2,FALSE)))))</f>
        <v>42</v>
      </c>
      <c r="BG70" s="531">
        <f>IF(AND(J70="Cobre",F70="Monofásico"),VLOOKUP(M70,'Iz''s'!$AT$10:$BA$28,2,FALSE),IF(AND(J70="Cobre",F70="Trifásico"),VLOOKUP(M70,'Iz''s'!$AT$10:$BA$28,3,FALSE),IF(AND(J70="Alumínio",F70="Monofásico"),VLOOKUP(M70,'Iz''s'!$BC$10:$BJ$27,2,FALSE),IF(AND(J70="Alumínio",F70="Trifásico"),VLOOKUP(M70,'Iz''s'!$BC$10:$BJ$27,3,FALSE)))))</f>
        <v>30</v>
      </c>
      <c r="BH70" s="609" t="str">
        <f>IF(AND(J70="Cobre",F70="Monofásico"),VLOOKUP(M70,'Iz''s'!$AT$10:$BA$28,4,FALSE),IF(AND(J70="Cobre",F70="Trifásico"),VLOOKUP(M70,'Iz''s'!$AT$10:$BA$28,5,FALSE),IF(AND(J70="Alumínio",F70="Monofásico"),VLOOKUP(M70,'Iz''s'!$BC$10:$BJ$27,4,FALSE),IF(AND(J70="Alumínio",F70="Trifásico"),VLOOKUP(M70,'Iz''s'!$BC$10:$BJ$27,5,FALSE)))))</f>
        <v xml:space="preserve"> --- </v>
      </c>
      <c r="BI70" s="609" t="str">
        <f>IF(AND(J70="Cobre",F70="Monofásico"),"N/A",IF(AND(J70="Cobre",F70="Trifásico"),VLOOKUP(M70,'Iz''s'!$AT$10:$BA$28,8,FALSE),IF(AND(J70="Alumínio",F70="Monofásico"),"N/A",IF(AND(J70="Alumínio",F70="Trifásico"),VLOOKUP(M70,'Iz''s'!$BC$10:$BJ$27,8,FALSE)))))</f>
        <v>N/A</v>
      </c>
      <c r="BJ70" s="531">
        <f>IF(AND(J70="Cobre",F70="Monofásico"),VLOOKUP(M70,'Iz''s'!$G$8:$J$23,2,FALSE),IF(AND(J70="Cobre",F70="Trifásico"),VLOOKUP(M70,'Iz''s'!$Q$8:$T$23,2,FALSE),IF(AND(J70="Alumínio",F70="Monofásico"),VLOOKUP(M70,'Iz''s'!$G$25:$J$39,2,FALSE),IF(AND(J70="Alumínio",F70="Trifásico"),VLOOKUP(M70,'Iz''s'!$Q$25:$T$39,2,FALSE)))))</f>
        <v>26</v>
      </c>
      <c r="BK70" s="609">
        <f>IF(AND(J70="Cobre",F70="Monofásico"),VLOOKUP(M70,'Iz''s'!$CJ$9:$CN$24,2,FALSE),IF(AND(J70="Cobre",F70="Trifásico"),VLOOKUP(M70,'Iz''s'!$CJ$9:$CN$24,4,FALSE),IF(AND(J70="Alumínio",F70="Monofásico"),VLOOKUP(M70,'Iz''s'!$CJ$26:$CN$40,2,FALSE),IF(AND(J70="Alumínio",F70="Trifásico"),VLOOKUP(M70,'Iz''s'!$CJ$26:$CN$40,4,FALSE)))))</f>
        <v>25</v>
      </c>
      <c r="BL70" s="609">
        <f>IF(AND(J70="Cobre",F70="Monofásico"),VLOOKUP(M70,'Iz''s'!$G$8:$J$23,3,FALSE),IF(AND(J70="Cobre",F70="Trifásico"),VLOOKUP(M70,'Iz''s'!$Q$8:$T$23,3,FALSE),IF(AND(J70="Alumínio",F70="Monofásico"),VLOOKUP(M70,'Iz''s'!$G$25:$J$39,3,FALSE),IF(AND(J70="Alumínio",F70="Trifásico"),VLOOKUP(M70,'Iz''s'!$Q$25:$T$39,3,FALSE)))))</f>
        <v>31</v>
      </c>
      <c r="BM70" s="609">
        <f>IF(AND(J70="Cobre",F70="Monofásico"),VLOOKUP(M70,'Iz''s'!$CJ$9:$CN$24,3,FALSE),IF(AND(J70="Cobre",F70="Trifásico"),VLOOKUP(M70,'Iz''s'!$CJ$9:$CN$24,5,FALSE),IF(AND(J70="Alumínio",F70="Monofásico"),VLOOKUP(M70,'Iz''s'!$CJ$26:$CN$40,3,FALSE),IF(AND(J70="Alumínio",F70="Trifásico"),VLOOKUP(M70,'Iz''s'!$CJ$26:$CN$40,5,FALSE)))))</f>
        <v>30</v>
      </c>
      <c r="BN70" s="609">
        <f>IF(AND(J70="Cobre",F70="Monofásico"),VLOOKUP(M70,'Iz''s'!$G$8:$J$23,4,FALSE),IF(AND(J70="Cobre",F70="Trifásico"),VLOOKUP(M70,'Iz''s'!$Q$8:$T$23,4,FALSE),IF(AND(J70="Alumínio",F70="Monofásico"),VLOOKUP(M70,'Iz''s'!$G$25:$J$39,4,FALSE),IF(AND(J70="Alumínio",F70="Trifásico"),VLOOKUP(M70,'Iz''s'!$Q$25:$T$39,4,FALSE)))))</f>
        <v>33</v>
      </c>
      <c r="BO70" s="609">
        <f>IF(AND(J70="Cobre",F70="Monofásico"),VLOOKUP(M70,'Iz''s'!$CP$9:$CT$24,5,FALSE),IF(AND(J70="Cobre",F70="Trifásico"),VLOOKUP(M70,'Iz''s'!$CP$9:$CT$24,4,FALSE),IF(AND(J70="Alumínio",F70="Monofásico"),VLOOKUP(M70,'Iz''s'!$CP$26:$CT$37,5,FALSE),IF(AND(J70="Alumínio",F70="Trifásico"),VLOOKUP(M70,'Iz''s'!$CP$26:$CT$37,4,FALSE)))))</f>
        <v>48</v>
      </c>
      <c r="BP70" s="609">
        <f>IF(AND(J70="Cobre",F70="Monofásico"),VLOOKUP(M70,'Iz''s'!$BL$10:$BS$28,2,FALSE),IF(AND(J70="Cobre",F70="Trifásico"),VLOOKUP(M70,'Iz''s'!$BL$10:$BS$28,3,FALSE),IF(AND(J70="Alumínio",F70="Monofásico"),VLOOKUP(M70,'Iz''s'!$BU$10:$CB$27,2,FALSE),IF(AND(J70="Alumínio",F70="Trifásico"),VLOOKUP(M70,'Iz''s'!$BU$10:$CB$27,3,FALSE)))))</f>
        <v>36</v>
      </c>
      <c r="BQ70" s="531" t="str">
        <f>IF(AND(J70="Cobre",F70="Monofásico"),VLOOKUP(M70,'Iz''s'!$BL$10:$BS$28,4,FALSE),IF(AND(J70="Cobre",F70="Trifásico"),VLOOKUP(M70,'Iz''s'!$BL$10:$BS$28,5,FALSE),IF(AND(J70="Alumínio",F70="Monofásico"),VLOOKUP(M70,'Iz''s'!$BU$10:$CB$27,4,FALSE),IF(AND(J70="Alumínio",F70="Trifásico"),VLOOKUP(M70,'Iz''s'!$BU$10:$CB$27,5,FALSE)))))</f>
        <v xml:space="preserve"> --- </v>
      </c>
      <c r="BR70" s="609" t="str">
        <f>IF(AND(J70="Cobre",F70="Monofásico"),"N/A",IF(AND(J70="Cobre",F70="Trifásico"),VLOOKUP(M70,'Iz''s'!$BL$10:$BS$28,8,FALSE),IF(AND(J70="Alumínio",F70="Monofásico"),"N/A",IF(AND(J70="Alumínio",F70="Trifásico"),VLOOKUP(M70,'Iz''s'!$BU$10:$CB$27,8,FALSE)))))</f>
        <v>N/A</v>
      </c>
      <c r="BS70" s="609">
        <f>IF(AND(J70="Cobre",F70="Monofásico"),VLOOKUP(M70,'Iz''s'!$V$14:$Y$28,2,FALSE),IF(AND(J70="Cobre",F70="Trifásico"),VLOOKUP(M70,'Iz''s'!$V$14:$Y$28,3,FALSE),IF(AND(J70="Alumínio",F70="Monofásico"),VLOOKUP(M70,"N/A",4,FALSE),IF(AND(J70="Alumínio",F70="Trifásico"),VLOOKUP(M70,"N/A",4,FALSE)))))</f>
        <v>34</v>
      </c>
      <c r="BT70" s="609">
        <f>IF(AND(J70="Cobre",F70="Monofásico"),VLOOKUP(M70,'Iz''s'!$AF$15:$AK$29,2,FALSE),IF(AND(J70="Cobre",F70="Trifásico"),VLOOKUP(M70,'Iz''s'!$AF$15:$AK$29,3,FALSE),IF(AND(J70="Alumínio",F70="Monofásico"),"N/A",IF(AND(J70="Alumínio",F70="Trifásico"),"N/A"))))</f>
        <v>36</v>
      </c>
      <c r="BU70" s="609">
        <f>IF(AND(J70="Cobre",F70="Monofásico"),VLOOKUP(M70,'Iz''s'!$AF$15:$AK$29,2,FALSE),IF(AND(J70="Cobre",F70="Trifásico"),VLOOKUP(M70,'Iz''s'!$AF$15:$AK$29,3,FALSE),IF(AND(J70="Alumínio",F70="Monofásico"),"N/A",IF(AND(J70="Alumínio",F70="Trifásico"),"N/A"))))</f>
        <v>36</v>
      </c>
      <c r="BV70" s="610" t="str">
        <f>IF(AND(J70="Cobre",F70="Monofásico"),"N/A",IF(AND(J70="Cobre",F70="Trifásico"),VLOOKUP(M70,'Iz''s'!$AF$15:$AK$29,6,FALSE),IF(AND(J70="Alumínio",F70="Monofásico"),"N/A",IF(AND(J70="Alumínio",F70="Trifásico"),"N/A"))))</f>
        <v>N/A</v>
      </c>
      <c r="BW70" s="611">
        <v>68</v>
      </c>
      <c r="BX70" s="583"/>
      <c r="BY70" s="612">
        <f>VLOOKUP(M70,Consulta!$W$6:$AB$23,4,FALSE)</f>
        <v>16</v>
      </c>
      <c r="BZ70" s="612">
        <f>VLOOKUP(M70,Consulta!$W$6:$AB$23,6,FALSE)</f>
        <v>20</v>
      </c>
      <c r="CA70" s="612">
        <f>VLOOKUP(M70,Consulta!$AK$6:$AP$23,4,FALSE)</f>
        <v>20</v>
      </c>
      <c r="CB70" s="612">
        <f>VLOOKUP(M70,Consulta!$AK$6:$AP$23,6,FALSE)</f>
        <v>25</v>
      </c>
      <c r="CC70" s="585" t="e">
        <f>VLOOKUP(M70,Consulta!$AD$6:$AI$19,4,FALSE)</f>
        <v>#N/A</v>
      </c>
      <c r="CD70" s="585" t="e">
        <f>VLOOKUP(M70,Consulta!$AD$6:$AI$19,6,FALSE)</f>
        <v>#N/A</v>
      </c>
      <c r="CE70" s="585" t="e">
        <f>VLOOKUP(M70,Consulta!$AR$6:$AW$19,4,FALSE)</f>
        <v>#N/A</v>
      </c>
      <c r="CF70" s="586" t="e">
        <f>VLOOKUP(M70,Consulta!$AR$6:$AW$19,6,FALSE)</f>
        <v>#N/A</v>
      </c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</row>
    <row r="71" spans="1:212" s="552" customFormat="1" ht="16.5" customHeight="1" thickBot="1" x14ac:dyDescent="0.25">
      <c r="A71" s="568"/>
      <c r="B71" s="1115"/>
      <c r="C71" s="877" t="s">
        <v>847</v>
      </c>
      <c r="D71" s="878">
        <v>20</v>
      </c>
      <c r="E71" s="878">
        <f>2.9+2.55</f>
        <v>5.4499999999999993</v>
      </c>
      <c r="F71" s="878" t="s">
        <v>246</v>
      </c>
      <c r="G71" s="878" t="s">
        <v>808</v>
      </c>
      <c r="H71" s="878">
        <v>0.8</v>
      </c>
      <c r="I71" s="879" t="s">
        <v>13</v>
      </c>
      <c r="J71" s="878" t="s">
        <v>242</v>
      </c>
      <c r="K71" s="878" t="s">
        <v>363</v>
      </c>
      <c r="L71" s="878">
        <v>1</v>
      </c>
      <c r="M71" s="880">
        <v>10</v>
      </c>
      <c r="N71" s="878" t="s">
        <v>455</v>
      </c>
      <c r="O71" s="878">
        <v>4</v>
      </c>
      <c r="P71" s="573">
        <f t="shared" si="92"/>
        <v>60</v>
      </c>
      <c r="Q71" s="878">
        <v>3</v>
      </c>
      <c r="R71" s="878">
        <v>0.88</v>
      </c>
      <c r="S71" s="573">
        <f t="shared" si="78"/>
        <v>36.084391824351613</v>
      </c>
      <c r="T71" s="881">
        <f t="shared" si="84"/>
        <v>52.8</v>
      </c>
      <c r="U71" s="878" t="s">
        <v>499</v>
      </c>
      <c r="V71" s="573">
        <v>40</v>
      </c>
      <c r="W71" s="878">
        <f>IF(U71="C.C.Fusíveis",VLOOKUP(V71,Consulta!$L$5:$N$31,3,FALSE),VLOOKUP(V71,Consulta!$P$5:$R$34,3,FALSE))</f>
        <v>54</v>
      </c>
      <c r="X71" s="882">
        <f t="shared" si="93"/>
        <v>87</v>
      </c>
      <c r="Y71" s="883">
        <f t="shared" si="85"/>
        <v>0.6834165118248412</v>
      </c>
      <c r="Z71" s="864" t="str">
        <f t="shared" si="94"/>
        <v>Sim</v>
      </c>
      <c r="AA71" s="884">
        <f>$AA$10+SQRT($AB$10^2+$AC$10^2)</f>
        <v>0.33532123332535424</v>
      </c>
      <c r="AB71" s="884">
        <f t="shared" si="12"/>
        <v>1.5328124999999996E-2</v>
      </c>
      <c r="AC71" s="884">
        <f t="shared" si="6"/>
        <v>4.3599999999999997E-4</v>
      </c>
      <c r="AD71" s="885">
        <f>$AE$10</f>
        <v>12.134857496509488</v>
      </c>
      <c r="AE71" s="885">
        <f t="shared" si="17"/>
        <v>0.45192453164736196</v>
      </c>
      <c r="AF71" s="885">
        <f t="shared" si="18"/>
        <v>12.586782028156851</v>
      </c>
      <c r="AG71" s="886">
        <f t="shared" si="34"/>
        <v>1.9648892680320085E-3</v>
      </c>
      <c r="AH71" s="887">
        <f t="shared" si="34"/>
        <v>5.4725139252855874E-2</v>
      </c>
      <c r="AI71" s="885">
        <f t="shared" si="7"/>
        <v>0.65859531506947833</v>
      </c>
      <c r="AJ71" s="878">
        <v>3</v>
      </c>
      <c r="AK71" s="885">
        <v>0.1</v>
      </c>
      <c r="AL71" s="882">
        <f t="shared" si="89"/>
        <v>115</v>
      </c>
      <c r="AM71" s="885">
        <f t="shared" si="90"/>
        <v>1.811009784291971</v>
      </c>
      <c r="AN71" s="864">
        <f t="shared" si="86"/>
        <v>1</v>
      </c>
      <c r="AO71" s="864" t="s">
        <v>563</v>
      </c>
      <c r="AP71" s="864" t="s">
        <v>523</v>
      </c>
      <c r="AQ71" s="864" t="str">
        <f t="shared" si="87"/>
        <v>5G</v>
      </c>
      <c r="AR71" s="864">
        <f t="shared" si="88"/>
        <v>10</v>
      </c>
      <c r="AS71" s="899" t="str">
        <f t="shared" si="91"/>
        <v/>
      </c>
      <c r="AT71" s="899" t="str">
        <f>IF(OR(AQ71="3G",AQ71="5G"),"",VLOOKUP(AR71,Consulta!$T$5:$U$25,2,FALSE))</f>
        <v/>
      </c>
      <c r="AU71" s="900" t="s">
        <v>565</v>
      </c>
      <c r="AV71" s="864" t="s">
        <v>23</v>
      </c>
      <c r="AW71" s="864" t="s">
        <v>564</v>
      </c>
      <c r="AX71" s="864">
        <f t="shared" si="30"/>
        <v>25</v>
      </c>
      <c r="AY71" s="888" t="s">
        <v>24</v>
      </c>
      <c r="AZ71" s="564"/>
      <c r="BA71" s="584">
        <f>IF(AND(J71="Cobre",F71="Monofásico"),VLOOKUP(M71,'Iz''s'!$B$8:$E$23,2,FALSE),IF(AND(J71="Cobre",F71="Trifásico"),VLOOKUP(M71,'Iz''s'!$L$8:$O$23,2,FALSE),IF(AND(J71="Alumínio",F71="Monofásico"),VLOOKUP(M71,'Iz''s'!$B$25:$E$39,2,FALSE),IF(AND(J71="Alumínio",F71="Trifásico"),VLOOKUP(M71,'Iz''s'!$L$25:$O$39,2,FALSE)))))</f>
        <v>42</v>
      </c>
      <c r="BB71" s="531">
        <f>IF(AND(J71="Cobre",F71="Monofásico"),VLOOKUP(M71,'Iz''s'!$CD$9:$CH$24,2,FALSE),IF(AND(J71="Cobre",F71="Trifásico"),VLOOKUP(M71,'Iz''s'!$CD$9:$CH$24,4,FALSE),IF(AND(J71="Alumínio",F71="Monofásico"),VLOOKUP(M71,'Iz''s'!$CD$26:$CH$40,2,FALSE),IF(AND(J71="Alumínio",F71="Trifásico"),VLOOKUP(M71,'Iz''s'!$CD$26:$CH$40,4,FALSE)))))</f>
        <v>39</v>
      </c>
      <c r="BC71" s="531">
        <f>IF(AND(J71="Cobre",F71="Monofásico"),VLOOKUP(M71,'Iz''s'!$B$8:$E$23,3,FALSE),IF(AND(J71="Cobre",F71="Trifásico"),VLOOKUP(M71,'Iz''s'!$L$8:$O$23,3,FALSE),IF(AND(J71="Alumínio",F71="Monofásico"),VLOOKUP(M71,'Iz''s'!$B$25:$E$39,3,FALSE),IF(AND(J71="Alumínio",F71="Trifásico"),VLOOKUP(M71,'Iz''s'!$L$25:$O$39,3,FALSE)))))</f>
        <v>50</v>
      </c>
      <c r="BD71" s="531">
        <f>IF(AND(J71="Cobre",F71="Monofásico"),VLOOKUP(M71,'Iz''s'!$CD$9:$CH$24,3,FALSE),IF(AND(J71="Cobre",F71="Trifásico"),VLOOKUP(M71,'Iz''s'!$CD$9:$CH$24,5,FALSE),IF(AND(J71="Alumínio",F71="Monofásico"),VLOOKUP(M71,'Iz''s'!$CD$26:$CH$40,3,FALSE),IF(AND(J71="Alumínio",F71="Trifásico"),VLOOKUP(M71,'Iz''s'!$CD$26:$CH$40,5,FALSE)))))</f>
        <v>46</v>
      </c>
      <c r="BE71" s="531">
        <f>IF(AND(J71="Cobre",F71="Monofásico"),VLOOKUP(M71,'Iz''s'!$B$8:$E$23,4,FALSE),IF(AND(J71="Cobre",F71="Trifásico"),VLOOKUP(M71,'Iz''s'!$L$8:$O$23,4,FALSE),IF(AND(J71="Alumínio",F71="Monofásico"),VLOOKUP(M71,'Iz''s'!$B$25:$E$39,4,FALSE),IF(AND(J71="Alumínio",F71="Trifásico"),VLOOKUP(M71,'Iz''s'!$L$25:$O$39,4,FALSE)))))</f>
        <v>57</v>
      </c>
      <c r="BF71" s="531">
        <f>IF(AND(J71="Cobre",F71="Monofásico"),VLOOKUP(M71,'Iz''s'!$CP$9:$CT$24,3,FALSE),IF(AND(J71="Cobre",F71="Trifásico"),VLOOKUP(M71,'Iz''s'!$CP$9:$CT$24,2,FALSE),IF(AND(J71="Alumínio",F71="Monofásico"),VLOOKUP(M71,'Iz''s'!$CP$26:$CT$37,3,FALSE),IF(AND(J71="Alumínio",F71="Trifásico"),VLOOKUP(M71,'Iz''s'!$CP$26:$CT$37,2,FALSE)))))</f>
        <v>74</v>
      </c>
      <c r="BG71" s="531">
        <f>IF(AND(J71="Cobre",F71="Monofásico"),VLOOKUP(M71,'Iz''s'!$AT$10:$BA$28,2,FALSE),IF(AND(J71="Cobre",F71="Trifásico"),VLOOKUP(M71,'Iz''s'!$AT$10:$BA$28,3,FALSE),IF(AND(J71="Alumínio",F71="Monofásico"),VLOOKUP(M71,'Iz''s'!$BC$10:$BJ$27,2,FALSE),IF(AND(J71="Alumínio",F71="Trifásico"),VLOOKUP(M71,'Iz''s'!$BC$10:$BJ$27,3,FALSE)))))</f>
        <v>60</v>
      </c>
      <c r="BH71" s="609" t="str">
        <f>IF(AND(J71="Cobre",F71="Monofásico"),VLOOKUP(M71,'Iz''s'!$AT$10:$BA$28,4,FALSE),IF(AND(J71="Cobre",F71="Trifásico"),VLOOKUP(M71,'Iz''s'!$AT$10:$BA$28,5,FALSE),IF(AND(J71="Alumínio",F71="Monofásico"),VLOOKUP(M71,'Iz''s'!$BC$10:$BJ$27,4,FALSE),IF(AND(J71="Alumínio",F71="Trifásico"),VLOOKUP(M71,'Iz''s'!$BC$10:$BJ$27,5,FALSE)))))</f>
        <v xml:space="preserve"> --- </v>
      </c>
      <c r="BI71" s="609" t="str">
        <f>IF(AND(J71="Cobre",F71="Monofásico"),"N/A",IF(AND(J71="Cobre",F71="Trifásico"),VLOOKUP(M71,'Iz''s'!$AT$10:$BA$28,8,FALSE),IF(AND(J71="Alumínio",F71="Monofásico"),"N/A",IF(AND(J71="Alumínio",F71="Trifásico"),VLOOKUP(M71,'Iz''s'!$BC$10:$BJ$27,8,FALSE)))))</f>
        <v xml:space="preserve"> --- </v>
      </c>
      <c r="BJ71" s="531">
        <f>IF(AND(J71="Cobre",F71="Monofásico"),VLOOKUP(M71,'Iz''s'!$G$8:$J$23,2,FALSE),IF(AND(J71="Cobre",F71="Trifásico"),VLOOKUP(M71,'Iz''s'!$Q$8:$T$23,2,FALSE),IF(AND(J71="Alumínio",F71="Monofásico"),VLOOKUP(M71,'Iz''s'!$G$25:$J$39,2,FALSE),IF(AND(J71="Alumínio",F71="Trifásico"),VLOOKUP(M71,'Iz''s'!$Q$25:$T$39,2,FALSE)))))</f>
        <v>54</v>
      </c>
      <c r="BK71" s="609">
        <f>IF(AND(J71="Cobre",F71="Monofásico"),VLOOKUP(M71,'Iz''s'!$CJ$9:$CN$24,2,FALSE),IF(AND(J71="Cobre",F71="Trifásico"),VLOOKUP(M71,'Iz''s'!$CJ$9:$CN$24,4,FALSE),IF(AND(J71="Alumínio",F71="Monofásico"),VLOOKUP(M71,'Iz''s'!$CJ$26:$CN$40,2,FALSE),IF(AND(J71="Alumínio",F71="Trifásico"),VLOOKUP(M71,'Iz''s'!$CJ$26:$CN$40,4,FALSE)))))</f>
        <v>51</v>
      </c>
      <c r="BL71" s="609">
        <f>IF(AND(J71="Cobre",F71="Monofásico"),VLOOKUP(M71,'Iz''s'!$G$8:$J$23,3,FALSE),IF(AND(J71="Cobre",F71="Trifásico"),VLOOKUP(M71,'Iz''s'!$Q$8:$T$23,3,FALSE),IF(AND(J71="Alumínio",F71="Monofásico"),VLOOKUP(M71,'Iz''s'!$G$25:$J$39,3,FALSE),IF(AND(J71="Alumínio",F71="Trifásico"),VLOOKUP(M71,'Iz''s'!$Q$25:$T$39,3,FALSE)))))</f>
        <v>66</v>
      </c>
      <c r="BM71" s="609">
        <f>IF(AND(J71="Cobre",F71="Monofásico"),VLOOKUP(M71,'Iz''s'!$CJ$9:$CN$24,3,FALSE),IF(AND(J71="Cobre",F71="Trifásico"),VLOOKUP(M71,'Iz''s'!$CJ$9:$CN$24,5,FALSE),IF(AND(J71="Alumínio",F71="Monofásico"),VLOOKUP(M71,'Iz''s'!$CJ$26:$CN$40,3,FALSE),IF(AND(J71="Alumínio",F71="Trifásico"),VLOOKUP(M71,'Iz''s'!$CJ$26:$CN$40,5,FALSE)))))</f>
        <v>60</v>
      </c>
      <c r="BN71" s="609">
        <f>IF(AND(J71="Cobre",F71="Monofásico"),VLOOKUP(M71,'Iz''s'!$G$8:$J$23,4,FALSE),IF(AND(J71="Cobre",F71="Trifásico"),VLOOKUP(M71,'Iz''s'!$Q$8:$T$23,4,FALSE),IF(AND(J71="Alumínio",F71="Monofásico"),VLOOKUP(M71,'Iz''s'!$G$25:$J$39,4,FALSE),IF(AND(J71="Alumínio",F71="Trifásico"),VLOOKUP(M71,'Iz''s'!$Q$25:$T$39,4,FALSE)))))</f>
        <v>71</v>
      </c>
      <c r="BO71" s="609">
        <f>IF(AND(J71="Cobre",F71="Monofásico"),VLOOKUP(M71,'Iz''s'!$CP$9:$CT$24,5,FALSE),IF(AND(J71="Cobre",F71="Trifásico"),VLOOKUP(M71,'Iz''s'!$CP$9:$CT$24,4,FALSE),IF(AND(J71="Alumínio",F71="Monofásico"),VLOOKUP(M71,'Iz''s'!$CP$26:$CT$37,5,FALSE),IF(AND(J71="Alumínio",F71="Trifásico"),VLOOKUP(M71,'Iz''s'!$CP$26:$CT$37,4,FALSE)))))</f>
        <v>87</v>
      </c>
      <c r="BP71" s="609">
        <f>IF(AND(J71="Cobre",F71="Monofásico"),VLOOKUP(M71,'Iz''s'!$BL$10:$BS$28,2,FALSE),IF(AND(J71="Cobre",F71="Trifásico"),VLOOKUP(M71,'Iz''s'!$BL$10:$BS$28,3,FALSE),IF(AND(J71="Alumínio",F71="Monofásico"),VLOOKUP(M71,'Iz''s'!$BU$10:$CB$27,2,FALSE),IF(AND(J71="Alumínio",F71="Trifásico"),VLOOKUP(M71,'Iz''s'!$BU$10:$CB$27,3,FALSE)))))</f>
        <v>75</v>
      </c>
      <c r="BQ71" s="531" t="str">
        <f>IF(AND(J71="Cobre",F71="Monofásico"),VLOOKUP(M71,'Iz''s'!$BL$10:$BS$28,4,FALSE),IF(AND(J71="Cobre",F71="Trifásico"),VLOOKUP(M71,'Iz''s'!$BL$10:$BS$28,5,FALSE),IF(AND(J71="Alumínio",F71="Monofásico"),VLOOKUP(M71,'Iz''s'!$BU$10:$CB$27,4,FALSE),IF(AND(J71="Alumínio",F71="Trifásico"),VLOOKUP(M71,'Iz''s'!$BU$10:$CB$27,5,FALSE)))))</f>
        <v xml:space="preserve"> --- </v>
      </c>
      <c r="BR71" s="609" t="str">
        <f>IF(AND(J71="Cobre",F71="Monofásico"),"N/A",IF(AND(J71="Cobre",F71="Trifásico"),VLOOKUP(M71,'Iz''s'!$BL$10:$BS$28,8,FALSE),IF(AND(J71="Alumínio",F71="Monofásico"),"N/A",IF(AND(J71="Alumínio",F71="Trifásico"),VLOOKUP(M71,'Iz''s'!$BU$10:$CB$27,8,FALSE)))))</f>
        <v xml:space="preserve"> --- </v>
      </c>
      <c r="BS71" s="609">
        <f>IF(AND(J71="Cobre",F71="Monofásico"),VLOOKUP(M71,'Iz''s'!$V$14:$Y$28,2,FALSE),IF(AND(J71="Cobre",F71="Trifásico"),VLOOKUP(M71,'Iz''s'!$V$14:$Y$28,3,FALSE),IF(AND(J71="Alumínio",F71="Monofásico"),VLOOKUP(M71,"N/A",4,FALSE),IF(AND(J71="Alumínio",F71="Trifásico"),VLOOKUP(M71,"N/A",4,FALSE)))))</f>
        <v>65</v>
      </c>
      <c r="BT71" s="609">
        <f>IF(AND(J71="Cobre",F71="Monofásico"),VLOOKUP(M71,'Iz''s'!$AF$15:$AK$29,2,FALSE),IF(AND(J71="Cobre",F71="Trifásico"),VLOOKUP(M71,'Iz''s'!$AF$15:$AK$29,3,FALSE),IF(AND(J71="Alumínio",F71="Monofásico"),"N/A",IF(AND(J71="Alumínio",F71="Trifásico"),"N/A"))))</f>
        <v>69</v>
      </c>
      <c r="BU71" s="609">
        <f>IF(AND(J71="Cobre",F71="Monofásico"),VLOOKUP(M71,'Iz''s'!$AF$15:$AK$29,2,FALSE),IF(AND(J71="Cobre",F71="Trifásico"),VLOOKUP(M71,'Iz''s'!$AF$15:$AK$29,3,FALSE),IF(AND(J71="Alumínio",F71="Monofásico"),"N/A",IF(AND(J71="Alumínio",F71="Trifásico"),"N/A"))))</f>
        <v>69</v>
      </c>
      <c r="BV71" s="610">
        <f>IF(AND(J71="Cobre",F71="Monofásico"),"N/A",IF(AND(J71="Cobre",F71="Trifásico"),VLOOKUP(M71,'Iz''s'!$AF$15:$AK$29,6,FALSE),IF(AND(J71="Alumínio",F71="Monofásico"),"N/A",IF(AND(J71="Alumínio",F71="Trifásico"),"N/A"))))</f>
        <v>95</v>
      </c>
      <c r="BW71" s="611">
        <v>69</v>
      </c>
      <c r="BX71" s="583"/>
      <c r="BY71" s="612">
        <f>VLOOKUP(M71,Consulta!$W$6:$AB$23,4,FALSE)</f>
        <v>25</v>
      </c>
      <c r="BZ71" s="612">
        <f>VLOOKUP(M71,Consulta!$W$6:$AB$23,6,FALSE)</f>
        <v>32</v>
      </c>
      <c r="CA71" s="612">
        <f>VLOOKUP(M71,Consulta!$AK$6:$AP$23,4,FALSE)</f>
        <v>32</v>
      </c>
      <c r="CB71" s="612">
        <f>VLOOKUP(M71,Consulta!$AK$6:$AP$23,6,FALSE)</f>
        <v>32</v>
      </c>
      <c r="CC71" s="585">
        <f>VLOOKUP(M71,Consulta!$AD$6:$AI$19,4,FALSE)</f>
        <v>32</v>
      </c>
      <c r="CD71" s="585">
        <f>VLOOKUP(M71,Consulta!$AD$6:$AI$19,6,FALSE)</f>
        <v>40</v>
      </c>
      <c r="CE71" s="585">
        <f>VLOOKUP(M71,Consulta!$AR$6:$AW$19,4,FALSE)</f>
        <v>50</v>
      </c>
      <c r="CF71" s="586">
        <f>VLOOKUP(M71,Consulta!$AR$6:$AW$19,6,FALSE)</f>
        <v>50</v>
      </c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</row>
    <row r="72" spans="1:212" s="528" customFormat="1" ht="16.5" customHeight="1" x14ac:dyDescent="0.2">
      <c r="A72" s="570"/>
      <c r="B72" s="1114" t="s">
        <v>813</v>
      </c>
      <c r="C72" s="846" t="s">
        <v>859</v>
      </c>
      <c r="D72" s="677">
        <v>3.6</v>
      </c>
      <c r="E72" s="677">
        <f>2.18+5.65+1.33+0.3+3+4.8+3.57+6.87+3.2</f>
        <v>30.900000000000002</v>
      </c>
      <c r="F72" s="677" t="s">
        <v>244</v>
      </c>
      <c r="G72" s="677" t="s">
        <v>808</v>
      </c>
      <c r="H72" s="677">
        <v>1</v>
      </c>
      <c r="I72" s="678" t="s">
        <v>13</v>
      </c>
      <c r="J72" s="677" t="s">
        <v>242</v>
      </c>
      <c r="K72" s="677" t="s">
        <v>363</v>
      </c>
      <c r="L72" s="677">
        <v>1</v>
      </c>
      <c r="M72" s="679">
        <v>4</v>
      </c>
      <c r="N72" s="677" t="s">
        <v>453</v>
      </c>
      <c r="O72" s="677">
        <v>4</v>
      </c>
      <c r="P72" s="563">
        <f t="shared" si="92"/>
        <v>30</v>
      </c>
      <c r="Q72" s="677">
        <v>3</v>
      </c>
      <c r="R72" s="677">
        <v>0.8</v>
      </c>
      <c r="S72" s="563">
        <f t="shared" ref="S72:S102" si="95">IF(F72="Monofásico",(((D72*10^3)/H72)/230),(((D72*10^3)/H72)/(SQRT(3)*400)))</f>
        <v>15.652173913043478</v>
      </c>
      <c r="T72" s="699">
        <f t="shared" si="84"/>
        <v>24</v>
      </c>
      <c r="U72" s="677" t="s">
        <v>499</v>
      </c>
      <c r="V72" s="563">
        <v>16</v>
      </c>
      <c r="W72" s="677">
        <f>IF(U72="C.C.Fusíveis",VLOOKUP(V72,Consulta!$L$5:$N$31,3,FALSE),VLOOKUP(V72,Consulta!$P$5:$R$34,3,FALSE))</f>
        <v>21.6</v>
      </c>
      <c r="X72" s="697">
        <f t="shared" si="93"/>
        <v>44</v>
      </c>
      <c r="Y72" s="875">
        <f t="shared" si="85"/>
        <v>0.65217391304347827</v>
      </c>
      <c r="Z72" s="682" t="str">
        <f t="shared" si="94"/>
        <v>Sim</v>
      </c>
      <c r="AA72" s="847">
        <f t="shared" ref="AA72:AA104" si="96">$AA$11+SQRT($AB$11^2+$AC$11^2)</f>
        <v>6.5243555363796182E-2</v>
      </c>
      <c r="AB72" s="847">
        <f t="shared" ref="AB72:AB98" si="97">(IF(J72="Cobre",(1.25*0.0225),(1.25*0.036)))*((E72/M72)/L72)</f>
        <v>0.21726562499999999</v>
      </c>
      <c r="AC72" s="847">
        <f t="shared" ref="AC72:AC98" si="98">(IF(M72&lt;10,0,(0.00008)))*(E72)</f>
        <v>0</v>
      </c>
      <c r="AD72" s="680">
        <f>$AE$11</f>
        <v>1.851110134115298</v>
      </c>
      <c r="AE72" s="680">
        <f t="shared" ref="AE72:AE104" si="99">IF(F72="Trifásico",S72*(AB72*H72+AC72*SIN(ACOS(H72))),2*S72*(AB72*H72+AC72*SIN(ACOS(H72))))</f>
        <v>6.8013586956521737</v>
      </c>
      <c r="AF72" s="680">
        <f t="shared" ref="AF72:AF104" si="100">AD72+AE72</f>
        <v>8.6524688297674714</v>
      </c>
      <c r="AG72" s="681">
        <f t="shared" si="34"/>
        <v>2.9571124763705103E-2</v>
      </c>
      <c r="AH72" s="848">
        <f t="shared" si="34"/>
        <v>3.7619429694641181E-2</v>
      </c>
      <c r="AI72" s="680">
        <f t="shared" ref="AI72:AI104" si="101">IF(F72="Monofásico",(0.23/(SQRT((AB72^2)+(AC72^2))+AA72)),(0.4/(SQRT(3)*(SQRT((AB72^2)+(AC72^2))+AA72))))</f>
        <v>0.81413283527219038</v>
      </c>
      <c r="AJ72" s="677">
        <v>3</v>
      </c>
      <c r="AK72" s="680">
        <v>0.1</v>
      </c>
      <c r="AL72" s="697">
        <f t="shared" si="89"/>
        <v>115</v>
      </c>
      <c r="AM72" s="680">
        <f t="shared" si="90"/>
        <v>2.2387078933832965</v>
      </c>
      <c r="AN72" s="682">
        <f t="shared" si="86"/>
        <v>1</v>
      </c>
      <c r="AO72" s="682" t="s">
        <v>563</v>
      </c>
      <c r="AP72" s="682" t="s">
        <v>523</v>
      </c>
      <c r="AQ72" s="682" t="str">
        <f t="shared" si="87"/>
        <v>3G</v>
      </c>
      <c r="AR72" s="682">
        <f t="shared" si="88"/>
        <v>4</v>
      </c>
      <c r="AS72" s="895" t="str">
        <f t="shared" si="91"/>
        <v/>
      </c>
      <c r="AT72" s="895" t="str">
        <f>IF(OR(AQ72="3G",AQ72="5G"),"",VLOOKUP(AR72,Consulta!$T$5:$U$25,2,FALSE))</f>
        <v/>
      </c>
      <c r="AU72" s="896" t="s">
        <v>565</v>
      </c>
      <c r="AV72" s="682" t="s">
        <v>23</v>
      </c>
      <c r="AW72" s="682" t="s">
        <v>564</v>
      </c>
      <c r="AX72" s="682">
        <f t="shared" si="30"/>
        <v>32</v>
      </c>
      <c r="AY72" s="683" t="s">
        <v>24</v>
      </c>
      <c r="AZ72" s="564"/>
      <c r="BA72" s="584">
        <f>IF(AND(J72="Cobre",F72="Monofásico"),VLOOKUP(M72,'Iz''s'!$B$8:$E$23,2,FALSE),IF(AND(J72="Cobre",F72="Trifásico"),VLOOKUP(M72,'Iz''s'!$L$8:$O$23,2,FALSE),IF(AND(J72="Alumínio",F72="Monofásico"),VLOOKUP(M72,'Iz''s'!$B$25:$E$39,2,FALSE),IF(AND(J72="Alumínio",F72="Trifásico"),VLOOKUP(M72,'Iz''s'!$L$25:$O$39,2,FALSE)))))</f>
        <v>26</v>
      </c>
      <c r="BB72" s="531">
        <f>IF(AND(J72="Cobre",F72="Monofásico"),VLOOKUP(M72,'Iz''s'!$CD$9:$CH$24,2,FALSE),IF(AND(J72="Cobre",F72="Trifásico"),VLOOKUP(M72,'Iz''s'!$CD$9:$CH$24,4,FALSE),IF(AND(J72="Alumínio",F72="Monofásico"),VLOOKUP(M72,'Iz''s'!$CD$26:$CH$40,2,FALSE),IF(AND(J72="Alumínio",F72="Trifásico"),VLOOKUP(M72,'Iz''s'!$CD$26:$CH$40,4,FALSE)))))</f>
        <v>25</v>
      </c>
      <c r="BC72" s="531">
        <f>IF(AND(J72="Cobre",F72="Monofásico"),VLOOKUP(M72,'Iz''s'!$B$8:$E$23,3,FALSE),IF(AND(J72="Cobre",F72="Trifásico"),VLOOKUP(M72,'Iz''s'!$L$8:$O$23,3,FALSE),IF(AND(J72="Alumínio",F72="Monofásico"),VLOOKUP(M72,'Iz''s'!$B$25:$E$39,3,FALSE),IF(AND(J72="Alumínio",F72="Trifásico"),VLOOKUP(M72,'Iz''s'!$L$25:$O$39,3,FALSE)))))</f>
        <v>32</v>
      </c>
      <c r="BD72" s="531">
        <f>IF(AND(J72="Cobre",F72="Monofásico"),VLOOKUP(M72,'Iz''s'!$CD$9:$CH$24,3,FALSE),IF(AND(J72="Cobre",F72="Trifásico"),VLOOKUP(M72,'Iz''s'!$CD$9:$CH$24,5,FALSE),IF(AND(J72="Alumínio",F72="Monofásico"),VLOOKUP(M72,'Iz''s'!$CD$26:$CH$40,3,FALSE),IF(AND(J72="Alumínio",F72="Trifásico"),VLOOKUP(M72,'Iz''s'!$CD$26:$CH$40,5,FALSE)))))</f>
        <v>30</v>
      </c>
      <c r="BE72" s="531">
        <f>IF(AND(J72="Cobre",F72="Monofásico"),VLOOKUP(M72,'Iz''s'!$B$8:$E$23,4,FALSE),IF(AND(J72="Cobre",F72="Trifásico"),VLOOKUP(M72,'Iz''s'!$L$8:$O$23,4,FALSE),IF(AND(J72="Alumínio",F72="Monofásico"),VLOOKUP(M72,'Iz''s'!$B$25:$E$39,4,FALSE),IF(AND(J72="Alumínio",F72="Trifásico"),VLOOKUP(M72,'Iz''s'!$L$25:$O$39,4,FALSE)))))</f>
        <v>36</v>
      </c>
      <c r="BF72" s="531">
        <f>IF(AND(J72="Cobre",F72="Monofásico"),VLOOKUP(M72,'Iz''s'!$CP$9:$CT$24,3,FALSE),IF(AND(J72="Cobre",F72="Trifásico"),VLOOKUP(M72,'Iz''s'!$CP$9:$CT$24,2,FALSE),IF(AND(J72="Alumínio",F72="Monofásico"),VLOOKUP(M72,'Iz''s'!$CP$26:$CT$37,3,FALSE),IF(AND(J72="Alumínio",F72="Trifásico"),VLOOKUP(M72,'Iz''s'!$CP$26:$CT$37,2,FALSE)))))</f>
        <v>54</v>
      </c>
      <c r="BG72" s="531">
        <f>IF(AND(J72="Cobre",F72="Monofásico"),VLOOKUP(M72,'Iz''s'!$AT$10:$BA$28,2,FALSE),IF(AND(J72="Cobre",F72="Trifásico"),VLOOKUP(M72,'Iz''s'!$AT$10:$BA$28,3,FALSE),IF(AND(J72="Alumínio",F72="Monofásico"),VLOOKUP(M72,'Iz''s'!$BC$10:$BJ$27,2,FALSE),IF(AND(J72="Alumínio",F72="Trifásico"),VLOOKUP(M72,'Iz''s'!$BC$10:$BJ$27,3,FALSE)))))</f>
        <v>40</v>
      </c>
      <c r="BH72" s="609" t="str">
        <f>IF(AND(J72="Cobre",F72="Monofásico"),VLOOKUP(M72,'Iz''s'!$AT$10:$BA$28,4,FALSE),IF(AND(J72="Cobre",F72="Trifásico"),VLOOKUP(M72,'Iz''s'!$AT$10:$BA$28,5,FALSE),IF(AND(J72="Alumínio",F72="Monofásico"),VLOOKUP(M72,'Iz''s'!$BC$10:$BJ$27,4,FALSE),IF(AND(J72="Alumínio",F72="Trifásico"),VLOOKUP(M72,'Iz''s'!$BC$10:$BJ$27,5,FALSE)))))</f>
        <v xml:space="preserve"> --- </v>
      </c>
      <c r="BI72" s="609" t="str">
        <f>IF(AND(J72="Cobre",F72="Monofásico"),"N/A",IF(AND(J72="Cobre",F72="Trifásico"),VLOOKUP(M72,'Iz''s'!$AT$10:$BA$28,8,FALSE),IF(AND(J72="Alumínio",F72="Monofásico"),"N/A",IF(AND(J72="Alumínio",F72="Trifásico"),VLOOKUP(M72,'Iz''s'!$BC$10:$BJ$27,8,FALSE)))))</f>
        <v>N/A</v>
      </c>
      <c r="BJ72" s="531">
        <f>IF(AND(J72="Cobre",F72="Monofásico"),VLOOKUP(M72,'Iz''s'!$G$8:$J$23,2,FALSE),IF(AND(J72="Cobre",F72="Trifásico"),VLOOKUP(M72,'Iz''s'!$Q$8:$T$23,2,FALSE),IF(AND(J72="Alumínio",F72="Monofásico"),VLOOKUP(M72,'Iz''s'!$G$25:$J$39,2,FALSE),IF(AND(J72="Alumínio",F72="Trifásico"),VLOOKUP(M72,'Iz''s'!$Q$25:$T$39,2,FALSE)))))</f>
        <v>35</v>
      </c>
      <c r="BK72" s="609">
        <f>IF(AND(J72="Cobre",F72="Monofásico"),VLOOKUP(M72,'Iz''s'!$CJ$9:$CN$24,2,FALSE),IF(AND(J72="Cobre",F72="Trifásico"),VLOOKUP(M72,'Iz''s'!$CJ$9:$CN$24,4,FALSE),IF(AND(J72="Alumínio",F72="Monofásico"),VLOOKUP(M72,'Iz''s'!$CJ$26:$CN$40,2,FALSE),IF(AND(J72="Alumínio",F72="Trifásico"),VLOOKUP(M72,'Iz''s'!$CJ$26:$CN$40,4,FALSE)))))</f>
        <v>33</v>
      </c>
      <c r="BL72" s="609">
        <f>IF(AND(J72="Cobre",F72="Monofásico"),VLOOKUP(M72,'Iz''s'!$G$8:$J$23,3,FALSE),IF(AND(J72="Cobre",F72="Trifásico"),VLOOKUP(M72,'Iz''s'!$Q$8:$T$23,3,FALSE),IF(AND(J72="Alumínio",F72="Monofásico"),VLOOKUP(M72,'Iz''s'!$G$25:$J$39,3,FALSE),IF(AND(J72="Alumínio",F72="Trifásico"),VLOOKUP(M72,'Iz''s'!$Q$25:$T$39,3,FALSE)))))</f>
        <v>42</v>
      </c>
      <c r="BM72" s="609">
        <f>IF(AND(J72="Cobre",F72="Monofásico"),VLOOKUP(M72,'Iz''s'!$CJ$9:$CN$24,3,FALSE),IF(AND(J72="Cobre",F72="Trifásico"),VLOOKUP(M72,'Iz''s'!$CJ$9:$CN$24,5,FALSE),IF(AND(J72="Alumínio",F72="Monofásico"),VLOOKUP(M72,'Iz''s'!$CJ$26:$CN$40,3,FALSE),IF(AND(J72="Alumínio",F72="Trifásico"),VLOOKUP(M72,'Iz''s'!$CJ$26:$CN$40,5,FALSE)))))</f>
        <v>40</v>
      </c>
      <c r="BN72" s="609">
        <f>IF(AND(J72="Cobre",F72="Monofásico"),VLOOKUP(M72,'Iz''s'!$G$8:$J$23,4,FALSE),IF(AND(J72="Cobre",F72="Trifásico"),VLOOKUP(M72,'Iz''s'!$Q$8:$T$23,4,FALSE),IF(AND(J72="Alumínio",F72="Monofásico"),VLOOKUP(M72,'Iz''s'!$G$25:$J$39,4,FALSE),IF(AND(J72="Alumínio",F72="Trifásico"),VLOOKUP(M72,'Iz''s'!$Q$25:$T$39,4,FALSE)))))</f>
        <v>45</v>
      </c>
      <c r="BO72" s="609">
        <f>IF(AND(J72="Cobre",F72="Monofásico"),VLOOKUP(M72,'Iz''s'!$CP$9:$CT$24,5,FALSE),IF(AND(J72="Cobre",F72="Trifásico"),VLOOKUP(M72,'Iz''s'!$CP$9:$CT$24,4,FALSE),IF(AND(J72="Alumínio",F72="Monofásico"),VLOOKUP(M72,'Iz''s'!$CP$26:$CT$37,5,FALSE),IF(AND(J72="Alumínio",F72="Trifásico"),VLOOKUP(M72,'Iz''s'!$CP$26:$CT$37,4,FALSE)))))</f>
        <v>63</v>
      </c>
      <c r="BP72" s="609">
        <f>IF(AND(J72="Cobre",F72="Monofásico"),VLOOKUP(M72,'Iz''s'!$BL$10:$BS$28,2,FALSE),IF(AND(J72="Cobre",F72="Trifásico"),VLOOKUP(M72,'Iz''s'!$BL$10:$BS$28,3,FALSE),IF(AND(J72="Alumínio",F72="Monofásico"),VLOOKUP(M72,'Iz''s'!$BU$10:$CB$27,2,FALSE),IF(AND(J72="Alumínio",F72="Trifásico"),VLOOKUP(M72,'Iz''s'!$BU$10:$CB$27,3,FALSE)))))</f>
        <v>49</v>
      </c>
      <c r="BQ72" s="531" t="str">
        <f>IF(AND(J72="Cobre",F72="Monofásico"),VLOOKUP(M72,'Iz''s'!$BL$10:$BS$28,4,FALSE),IF(AND(J72="Cobre",F72="Trifásico"),VLOOKUP(M72,'Iz''s'!$BL$10:$BS$28,5,FALSE),IF(AND(J72="Alumínio",F72="Monofásico"),VLOOKUP(M72,'Iz''s'!$BU$10:$CB$27,4,FALSE),IF(AND(J72="Alumínio",F72="Trifásico"),VLOOKUP(M72,'Iz''s'!$BU$10:$CB$27,5,FALSE)))))</f>
        <v xml:space="preserve"> --- </v>
      </c>
      <c r="BR72" s="609" t="str">
        <f>IF(AND(J72="Cobre",F72="Monofásico"),"N/A",IF(AND(J72="Cobre",F72="Trifásico"),VLOOKUP(M72,'Iz''s'!$BL$10:$BS$28,8,FALSE),IF(AND(J72="Alumínio",F72="Monofásico"),"N/A",IF(AND(J72="Alumínio",F72="Trifásico"),VLOOKUP(M72,'Iz''s'!$BU$10:$CB$27,8,FALSE)))))</f>
        <v>N/A</v>
      </c>
      <c r="BS72" s="609">
        <f>IF(AND(J72="Cobre",F72="Monofásico"),VLOOKUP(M72,'Iz''s'!$V$14:$Y$28,2,FALSE),IF(AND(J72="Cobre",F72="Trifásico"),VLOOKUP(M72,'Iz''s'!$V$14:$Y$28,3,FALSE),IF(AND(J72="Alumínio",F72="Monofásico"),VLOOKUP(M72,"N/A",4,FALSE),IF(AND(J72="Alumínio",F72="Trifásico"),VLOOKUP(M72,"N/A",4,FALSE)))))</f>
        <v>45</v>
      </c>
      <c r="BT72" s="609">
        <f>IF(AND(J72="Cobre",F72="Monofásico"),VLOOKUP(M72,'Iz''s'!$AF$15:$AK$29,2,FALSE),IF(AND(J72="Cobre",F72="Trifásico"),VLOOKUP(M72,'Iz''s'!$AF$15:$AK$29,3,FALSE),IF(AND(J72="Alumínio",F72="Monofásico"),"N/A",IF(AND(J72="Alumínio",F72="Trifásico"),"N/A"))))</f>
        <v>47</v>
      </c>
      <c r="BU72" s="609">
        <f>IF(AND(J72="Cobre",F72="Monofásico"),VLOOKUP(M72,'Iz''s'!$AF$15:$AK$29,2,FALSE),IF(AND(J72="Cobre",F72="Trifásico"),VLOOKUP(M72,'Iz''s'!$AF$15:$AK$29,3,FALSE),IF(AND(J72="Alumínio",F72="Monofásico"),"N/A",IF(AND(J72="Alumínio",F72="Trifásico"),"N/A"))))</f>
        <v>47</v>
      </c>
      <c r="BV72" s="610" t="str">
        <f>IF(AND(J72="Cobre",F72="Monofásico"),"N/A",IF(AND(J72="Cobre",F72="Trifásico"),VLOOKUP(M72,'Iz''s'!$AF$15:$AK$29,6,FALSE),IF(AND(J72="Alumínio",F72="Monofásico"),"N/A",IF(AND(J72="Alumínio",F72="Trifásico"),"N/A"))))</f>
        <v>N/A</v>
      </c>
      <c r="BW72" s="611">
        <v>70</v>
      </c>
      <c r="BX72" s="565"/>
      <c r="BY72" s="612">
        <f>VLOOKUP(M72,Consulta!$W$6:$AB$23,4,FALSE)</f>
        <v>20</v>
      </c>
      <c r="BZ72" s="612">
        <f>VLOOKUP(M72,Consulta!$W$6:$AB$23,6,FALSE)</f>
        <v>25</v>
      </c>
      <c r="CA72" s="612">
        <f>VLOOKUP(M72,Consulta!$AK$6:$AP$23,4,FALSE)</f>
        <v>25</v>
      </c>
      <c r="CB72" s="612">
        <f>VLOOKUP(M72,Consulta!$AK$6:$AP$23,6,FALSE)</f>
        <v>25</v>
      </c>
      <c r="CC72" s="585" t="e">
        <f>VLOOKUP(M72,Consulta!$AD$6:$AI$19,4,FALSE)</f>
        <v>#N/A</v>
      </c>
      <c r="CD72" s="585" t="e">
        <f>VLOOKUP(M72,Consulta!$AD$6:$AI$19,6,FALSE)</f>
        <v>#N/A</v>
      </c>
      <c r="CE72" s="585" t="e">
        <f>VLOOKUP(M72,Consulta!$AR$6:$AW$19,4,FALSE)</f>
        <v>#N/A</v>
      </c>
      <c r="CF72" s="586" t="e">
        <f>VLOOKUP(M72,Consulta!$AR$6:$AW$19,6,FALSE)</f>
        <v>#N/A</v>
      </c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</row>
    <row r="73" spans="1:212" s="532" customFormat="1" ht="16.5" customHeight="1" x14ac:dyDescent="0.2">
      <c r="A73" s="571"/>
      <c r="B73" s="1115"/>
      <c r="C73" s="819" t="s">
        <v>860</v>
      </c>
      <c r="D73" s="684">
        <v>3.6</v>
      </c>
      <c r="E73" s="700">
        <f>1.44+4.12+3.5+4.4+6.57+3.2</f>
        <v>23.23</v>
      </c>
      <c r="F73" s="684" t="s">
        <v>244</v>
      </c>
      <c r="G73" s="684" t="s">
        <v>808</v>
      </c>
      <c r="H73" s="684">
        <v>1</v>
      </c>
      <c r="I73" s="760" t="s">
        <v>13</v>
      </c>
      <c r="J73" s="684" t="s">
        <v>242</v>
      </c>
      <c r="K73" s="684" t="s">
        <v>363</v>
      </c>
      <c r="L73" s="684">
        <v>1</v>
      </c>
      <c r="M73" s="685">
        <v>2.5</v>
      </c>
      <c r="N73" s="684" t="s">
        <v>453</v>
      </c>
      <c r="O73" s="684">
        <v>4</v>
      </c>
      <c r="P73" s="555">
        <f t="shared" si="92"/>
        <v>23</v>
      </c>
      <c r="Q73" s="684">
        <v>3</v>
      </c>
      <c r="R73" s="684">
        <v>0.8</v>
      </c>
      <c r="S73" s="555">
        <f t="shared" si="95"/>
        <v>15.652173913043478</v>
      </c>
      <c r="T73" s="696">
        <f t="shared" si="84"/>
        <v>18.400000000000002</v>
      </c>
      <c r="U73" s="684" t="s">
        <v>499</v>
      </c>
      <c r="V73" s="555">
        <v>16</v>
      </c>
      <c r="W73" s="684">
        <f>IF(U73="C.C.Fusíveis",VLOOKUP(V73,Consulta!$L$5:$N$31,3,FALSE),VLOOKUP(V73,Consulta!$P$5:$R$34,3,FALSE))</f>
        <v>21.6</v>
      </c>
      <c r="X73" s="698">
        <f t="shared" si="93"/>
        <v>34</v>
      </c>
      <c r="Y73" s="821">
        <f t="shared" si="85"/>
        <v>0.85066162570888459</v>
      </c>
      <c r="Z73" s="689" t="str">
        <f t="shared" si="94"/>
        <v>Sim</v>
      </c>
      <c r="AA73" s="762">
        <f t="shared" si="96"/>
        <v>6.5243555363796182E-2</v>
      </c>
      <c r="AB73" s="762">
        <f t="shared" si="97"/>
        <v>0.26133749999999994</v>
      </c>
      <c r="AC73" s="762">
        <f t="shared" si="98"/>
        <v>0</v>
      </c>
      <c r="AD73" s="686">
        <f t="shared" ref="AD73:AD82" si="102">$AE$11</f>
        <v>1.851110134115298</v>
      </c>
      <c r="AE73" s="686">
        <f t="shared" si="99"/>
        <v>8.1809999999999992</v>
      </c>
      <c r="AF73" s="686">
        <f t="shared" si="100"/>
        <v>10.032110134115298</v>
      </c>
      <c r="AG73" s="687">
        <f t="shared" si="34"/>
        <v>3.5569565217391304E-2</v>
      </c>
      <c r="AH73" s="763">
        <f t="shared" si="34"/>
        <v>4.3617870148327381E-2</v>
      </c>
      <c r="AI73" s="686">
        <f t="shared" si="101"/>
        <v>0.70426620351199087</v>
      </c>
      <c r="AJ73" s="684">
        <v>3</v>
      </c>
      <c r="AK73" s="686">
        <v>0.1</v>
      </c>
      <c r="AL73" s="698">
        <f t="shared" si="89"/>
        <v>115</v>
      </c>
      <c r="AM73" s="686">
        <f t="shared" si="90"/>
        <v>1.9365958975457098</v>
      </c>
      <c r="AN73" s="689">
        <f t="shared" si="86"/>
        <v>1</v>
      </c>
      <c r="AO73" s="689" t="s">
        <v>563</v>
      </c>
      <c r="AP73" s="689" t="s">
        <v>523</v>
      </c>
      <c r="AQ73" s="689" t="str">
        <f t="shared" si="87"/>
        <v>3G</v>
      </c>
      <c r="AR73" s="689">
        <f t="shared" si="88"/>
        <v>2.5</v>
      </c>
      <c r="AS73" s="897" t="str">
        <f t="shared" si="91"/>
        <v/>
      </c>
      <c r="AT73" s="897" t="str">
        <f>IF(OR(AQ73="3G",AQ73="5G"),"",VLOOKUP(AR73,Consulta!$T$5:$U$25,2,FALSE))</f>
        <v/>
      </c>
      <c r="AU73" s="898" t="s">
        <v>565</v>
      </c>
      <c r="AV73" s="689" t="s">
        <v>23</v>
      </c>
      <c r="AW73" s="689" t="s">
        <v>564</v>
      </c>
      <c r="AX73" s="689">
        <f t="shared" si="30"/>
        <v>25</v>
      </c>
      <c r="AY73" s="690" t="s">
        <v>24</v>
      </c>
      <c r="AZ73" s="564"/>
      <c r="BA73" s="584">
        <f>IF(AND(J73="Cobre",F73="Monofásico"),VLOOKUP(M73,'Iz''s'!$B$8:$E$23,2,FALSE),IF(AND(J73="Cobre",F73="Trifásico"),VLOOKUP(M73,'Iz''s'!$L$8:$O$23,2,FALSE),IF(AND(J73="Alumínio",F73="Monofásico"),VLOOKUP(M73,'Iz''s'!$B$25:$E$39,2,FALSE),IF(AND(J73="Alumínio",F73="Trifásico"),VLOOKUP(M73,'Iz''s'!$L$25:$O$39,2,FALSE)))))</f>
        <v>19.5</v>
      </c>
      <c r="BB73" s="531">
        <f>IF(AND(J73="Cobre",F73="Monofásico"),VLOOKUP(M73,'Iz''s'!$CD$9:$CH$24,2,FALSE),IF(AND(J73="Cobre",F73="Trifásico"),VLOOKUP(M73,'Iz''s'!$CD$9:$CH$24,4,FALSE),IF(AND(J73="Alumínio",F73="Monofásico"),VLOOKUP(M73,'Iz''s'!$CD$26:$CH$40,2,FALSE),IF(AND(J73="Alumínio",F73="Trifásico"),VLOOKUP(M73,'Iz''s'!$CD$26:$CH$40,4,FALSE)))))</f>
        <v>18.5</v>
      </c>
      <c r="BC73" s="531">
        <f>IF(AND(J73="Cobre",F73="Monofásico"),VLOOKUP(M73,'Iz''s'!$B$8:$E$23,3,FALSE),IF(AND(J73="Cobre",F73="Trifásico"),VLOOKUP(M73,'Iz''s'!$L$8:$O$23,3,FALSE),IF(AND(J73="Alumínio",F73="Monofásico"),VLOOKUP(M73,'Iz''s'!$B$25:$E$39,3,FALSE),IF(AND(J73="Alumínio",F73="Trifásico"),VLOOKUP(M73,'Iz''s'!$L$25:$O$39,3,FALSE)))))</f>
        <v>24</v>
      </c>
      <c r="BD73" s="531">
        <f>IF(AND(J73="Cobre",F73="Monofásico"),VLOOKUP(M73,'Iz''s'!$CD$9:$CH$24,3,FALSE),IF(AND(J73="Cobre",F73="Trifásico"),VLOOKUP(M73,'Iz''s'!$CD$9:$CH$24,5,FALSE),IF(AND(J73="Alumínio",F73="Monofásico"),VLOOKUP(M73,'Iz''s'!$CD$26:$CH$40,3,FALSE),IF(AND(J73="Alumínio",F73="Trifásico"),VLOOKUP(M73,'Iz''s'!$CD$26:$CH$40,5,FALSE)))))</f>
        <v>23</v>
      </c>
      <c r="BE73" s="531">
        <f>IF(AND(J73="Cobre",F73="Monofásico"),VLOOKUP(M73,'Iz''s'!$B$8:$E$23,4,FALSE),IF(AND(J73="Cobre",F73="Trifásico"),VLOOKUP(M73,'Iz''s'!$L$8:$O$23,4,FALSE),IF(AND(J73="Alumínio",F73="Monofásico"),VLOOKUP(M73,'Iz''s'!$B$25:$E$39,4,FALSE),IF(AND(J73="Alumínio",F73="Trifásico"),VLOOKUP(M73,'Iz''s'!$L$25:$O$39,4,FALSE)))))</f>
        <v>27</v>
      </c>
      <c r="BF73" s="531">
        <f>IF(AND(J73="Cobre",F73="Monofásico"),VLOOKUP(M73,'Iz''s'!$CP$9:$CT$24,3,FALSE),IF(AND(J73="Cobre",F73="Trifásico"),VLOOKUP(M73,'Iz''s'!$CP$9:$CT$24,2,FALSE),IF(AND(J73="Alumínio",F73="Monofásico"),VLOOKUP(M73,'Iz''s'!$CP$26:$CT$37,3,FALSE),IF(AND(J73="Alumínio",F73="Trifásico"),VLOOKUP(M73,'Iz''s'!$CP$26:$CT$37,2,FALSE)))))</f>
        <v>42</v>
      </c>
      <c r="BG73" s="531">
        <f>IF(AND(J73="Cobre",F73="Monofásico"),VLOOKUP(M73,'Iz''s'!$AT$10:$BA$28,2,FALSE),IF(AND(J73="Cobre",F73="Trifásico"),VLOOKUP(M73,'Iz''s'!$AT$10:$BA$28,3,FALSE),IF(AND(J73="Alumínio",F73="Monofásico"),VLOOKUP(M73,'Iz''s'!$BC$10:$BJ$27,2,FALSE),IF(AND(J73="Alumínio",F73="Trifásico"),VLOOKUP(M73,'Iz''s'!$BC$10:$BJ$27,3,FALSE)))))</f>
        <v>30</v>
      </c>
      <c r="BH73" s="609" t="str">
        <f>IF(AND(J73="Cobre",F73="Monofásico"),VLOOKUP(M73,'Iz''s'!$AT$10:$BA$28,4,FALSE),IF(AND(J73="Cobre",F73="Trifásico"),VLOOKUP(M73,'Iz''s'!$AT$10:$BA$28,5,FALSE),IF(AND(J73="Alumínio",F73="Monofásico"),VLOOKUP(M73,'Iz''s'!$BC$10:$BJ$27,4,FALSE),IF(AND(J73="Alumínio",F73="Trifásico"),VLOOKUP(M73,'Iz''s'!$BC$10:$BJ$27,5,FALSE)))))</f>
        <v xml:space="preserve"> --- </v>
      </c>
      <c r="BI73" s="609" t="str">
        <f>IF(AND(J73="Cobre",F73="Monofásico"),"N/A",IF(AND(J73="Cobre",F73="Trifásico"),VLOOKUP(M73,'Iz''s'!$AT$10:$BA$28,8,FALSE),IF(AND(J73="Alumínio",F73="Monofásico"),"N/A",IF(AND(J73="Alumínio",F73="Trifásico"),VLOOKUP(M73,'Iz''s'!$BC$10:$BJ$27,8,FALSE)))))</f>
        <v>N/A</v>
      </c>
      <c r="BJ73" s="531">
        <f>IF(AND(J73="Cobre",F73="Monofásico"),VLOOKUP(M73,'Iz''s'!$G$8:$J$23,2,FALSE),IF(AND(J73="Cobre",F73="Trifásico"),VLOOKUP(M73,'Iz''s'!$Q$8:$T$23,2,FALSE),IF(AND(J73="Alumínio",F73="Monofásico"),VLOOKUP(M73,'Iz''s'!$G$25:$J$39,2,FALSE),IF(AND(J73="Alumínio",F73="Trifásico"),VLOOKUP(M73,'Iz''s'!$Q$25:$T$39,2,FALSE)))))</f>
        <v>26</v>
      </c>
      <c r="BK73" s="609">
        <f>IF(AND(J73="Cobre",F73="Monofásico"),VLOOKUP(M73,'Iz''s'!$CJ$9:$CN$24,2,FALSE),IF(AND(J73="Cobre",F73="Trifásico"),VLOOKUP(M73,'Iz''s'!$CJ$9:$CN$24,4,FALSE),IF(AND(J73="Alumínio",F73="Monofásico"),VLOOKUP(M73,'Iz''s'!$CJ$26:$CN$40,2,FALSE),IF(AND(J73="Alumínio",F73="Trifásico"),VLOOKUP(M73,'Iz''s'!$CJ$26:$CN$40,4,FALSE)))))</f>
        <v>25</v>
      </c>
      <c r="BL73" s="609">
        <f>IF(AND(J73="Cobre",F73="Monofásico"),VLOOKUP(M73,'Iz''s'!$G$8:$J$23,3,FALSE),IF(AND(J73="Cobre",F73="Trifásico"),VLOOKUP(M73,'Iz''s'!$Q$8:$T$23,3,FALSE),IF(AND(J73="Alumínio",F73="Monofásico"),VLOOKUP(M73,'Iz''s'!$G$25:$J$39,3,FALSE),IF(AND(J73="Alumínio",F73="Trifásico"),VLOOKUP(M73,'Iz''s'!$Q$25:$T$39,3,FALSE)))))</f>
        <v>31</v>
      </c>
      <c r="BM73" s="609">
        <f>IF(AND(J73="Cobre",F73="Monofásico"),VLOOKUP(M73,'Iz''s'!$CJ$9:$CN$24,3,FALSE),IF(AND(J73="Cobre",F73="Trifásico"),VLOOKUP(M73,'Iz''s'!$CJ$9:$CN$24,5,FALSE),IF(AND(J73="Alumínio",F73="Monofásico"),VLOOKUP(M73,'Iz''s'!$CJ$26:$CN$40,3,FALSE),IF(AND(J73="Alumínio",F73="Trifásico"),VLOOKUP(M73,'Iz''s'!$CJ$26:$CN$40,5,FALSE)))))</f>
        <v>30</v>
      </c>
      <c r="BN73" s="609">
        <f>IF(AND(J73="Cobre",F73="Monofásico"),VLOOKUP(M73,'Iz''s'!$G$8:$J$23,4,FALSE),IF(AND(J73="Cobre",F73="Trifásico"),VLOOKUP(M73,'Iz''s'!$Q$8:$T$23,4,FALSE),IF(AND(J73="Alumínio",F73="Monofásico"),VLOOKUP(M73,'Iz''s'!$G$25:$J$39,4,FALSE),IF(AND(J73="Alumínio",F73="Trifásico"),VLOOKUP(M73,'Iz''s'!$Q$25:$T$39,4,FALSE)))))</f>
        <v>33</v>
      </c>
      <c r="BO73" s="609">
        <f>IF(AND(J73="Cobre",F73="Monofásico"),VLOOKUP(M73,'Iz''s'!$CP$9:$CT$24,5,FALSE),IF(AND(J73="Cobre",F73="Trifásico"),VLOOKUP(M73,'Iz''s'!$CP$9:$CT$24,4,FALSE),IF(AND(J73="Alumínio",F73="Monofásico"),VLOOKUP(M73,'Iz''s'!$CP$26:$CT$37,5,FALSE),IF(AND(J73="Alumínio",F73="Trifásico"),VLOOKUP(M73,'Iz''s'!$CP$26:$CT$37,4,FALSE)))))</f>
        <v>48</v>
      </c>
      <c r="BP73" s="609">
        <f>IF(AND(J73="Cobre",F73="Monofásico"),VLOOKUP(M73,'Iz''s'!$BL$10:$BS$28,2,FALSE),IF(AND(J73="Cobre",F73="Trifásico"),VLOOKUP(M73,'Iz''s'!$BL$10:$BS$28,3,FALSE),IF(AND(J73="Alumínio",F73="Monofásico"),VLOOKUP(M73,'Iz''s'!$BU$10:$CB$27,2,FALSE),IF(AND(J73="Alumínio",F73="Trifásico"),VLOOKUP(M73,'Iz''s'!$BU$10:$CB$27,3,FALSE)))))</f>
        <v>36</v>
      </c>
      <c r="BQ73" s="531" t="str">
        <f>IF(AND(J73="Cobre",F73="Monofásico"),VLOOKUP(M73,'Iz''s'!$BL$10:$BS$28,4,FALSE),IF(AND(J73="Cobre",F73="Trifásico"),VLOOKUP(M73,'Iz''s'!$BL$10:$BS$28,5,FALSE),IF(AND(J73="Alumínio",F73="Monofásico"),VLOOKUP(M73,'Iz''s'!$BU$10:$CB$27,4,FALSE),IF(AND(J73="Alumínio",F73="Trifásico"),VLOOKUP(M73,'Iz''s'!$BU$10:$CB$27,5,FALSE)))))</f>
        <v xml:space="preserve"> --- </v>
      </c>
      <c r="BR73" s="609" t="str">
        <f>IF(AND(J73="Cobre",F73="Monofásico"),"N/A",IF(AND(J73="Cobre",F73="Trifásico"),VLOOKUP(M73,'Iz''s'!$BL$10:$BS$28,8,FALSE),IF(AND(J73="Alumínio",F73="Monofásico"),"N/A",IF(AND(J73="Alumínio",F73="Trifásico"),VLOOKUP(M73,'Iz''s'!$BU$10:$CB$27,8,FALSE)))))</f>
        <v>N/A</v>
      </c>
      <c r="BS73" s="609">
        <f>IF(AND(J73="Cobre",F73="Monofásico"),VLOOKUP(M73,'Iz''s'!$V$14:$Y$28,2,FALSE),IF(AND(J73="Cobre",F73="Trifásico"),VLOOKUP(M73,'Iz''s'!$V$14:$Y$28,3,FALSE),IF(AND(J73="Alumínio",F73="Monofásico"),VLOOKUP(M73,"N/A",4,FALSE),IF(AND(J73="Alumínio",F73="Trifásico"),VLOOKUP(M73,"N/A",4,FALSE)))))</f>
        <v>34</v>
      </c>
      <c r="BT73" s="609">
        <f>IF(AND(J73="Cobre",F73="Monofásico"),VLOOKUP(M73,'Iz''s'!$AF$15:$AK$29,2,FALSE),IF(AND(J73="Cobre",F73="Trifásico"),VLOOKUP(M73,'Iz''s'!$AF$15:$AK$29,3,FALSE),IF(AND(J73="Alumínio",F73="Monofásico"),"N/A",IF(AND(J73="Alumínio",F73="Trifásico"),"N/A"))))</f>
        <v>36</v>
      </c>
      <c r="BU73" s="609">
        <f>IF(AND(J73="Cobre",F73="Monofásico"),VLOOKUP(M73,'Iz''s'!$AF$15:$AK$29,2,FALSE),IF(AND(J73="Cobre",F73="Trifásico"),VLOOKUP(M73,'Iz''s'!$AF$15:$AK$29,3,FALSE),IF(AND(J73="Alumínio",F73="Monofásico"),"N/A",IF(AND(J73="Alumínio",F73="Trifásico"),"N/A"))))</f>
        <v>36</v>
      </c>
      <c r="BV73" s="610" t="str">
        <f>IF(AND(J73="Cobre",F73="Monofásico"),"N/A",IF(AND(J73="Cobre",F73="Trifásico"),VLOOKUP(M73,'Iz''s'!$AF$15:$AK$29,6,FALSE),IF(AND(J73="Alumínio",F73="Monofásico"),"N/A",IF(AND(J73="Alumínio",F73="Trifásico"),"N/A"))))</f>
        <v>N/A</v>
      </c>
      <c r="BW73" s="611">
        <v>71</v>
      </c>
      <c r="BX73" s="565"/>
      <c r="BY73" s="612">
        <f>VLOOKUP(M73,Consulta!$W$6:$AB$23,4,FALSE)</f>
        <v>16</v>
      </c>
      <c r="BZ73" s="612">
        <f>VLOOKUP(M73,Consulta!$W$6:$AB$23,6,FALSE)</f>
        <v>20</v>
      </c>
      <c r="CA73" s="612">
        <f>VLOOKUP(M73,Consulta!$AK$6:$AP$23,4,FALSE)</f>
        <v>20</v>
      </c>
      <c r="CB73" s="612">
        <f>VLOOKUP(M73,Consulta!$AK$6:$AP$23,6,FALSE)</f>
        <v>25</v>
      </c>
      <c r="CC73" s="585" t="e">
        <f>VLOOKUP(M73,Consulta!$AD$6:$AI$19,4,FALSE)</f>
        <v>#N/A</v>
      </c>
      <c r="CD73" s="585" t="e">
        <f>VLOOKUP(M73,Consulta!$AD$6:$AI$19,6,FALSE)</f>
        <v>#N/A</v>
      </c>
      <c r="CE73" s="585" t="e">
        <f>VLOOKUP(M73,Consulta!$AR$6:$AW$19,4,FALSE)</f>
        <v>#N/A</v>
      </c>
      <c r="CF73" s="586" t="e">
        <f>VLOOKUP(M73,Consulta!$AR$6:$AW$19,6,FALSE)</f>
        <v>#N/A</v>
      </c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</row>
    <row r="74" spans="1:212" s="532" customFormat="1" ht="16.5" customHeight="1" x14ac:dyDescent="0.2">
      <c r="A74" s="571"/>
      <c r="B74" s="1115"/>
      <c r="C74" s="819" t="s">
        <v>861</v>
      </c>
      <c r="D74" s="684">
        <v>3.6</v>
      </c>
      <c r="E74" s="684">
        <f>0.35+0.35+0.35+1.125+2.245+1.225+0.25+1.275+1.45+2.43+3.3+0.83</f>
        <v>15.179999999999998</v>
      </c>
      <c r="F74" s="684" t="s">
        <v>244</v>
      </c>
      <c r="G74" s="684" t="s">
        <v>808</v>
      </c>
      <c r="H74" s="684">
        <v>1</v>
      </c>
      <c r="I74" s="760" t="s">
        <v>13</v>
      </c>
      <c r="J74" s="684" t="s">
        <v>242</v>
      </c>
      <c r="K74" s="684" t="s">
        <v>363</v>
      </c>
      <c r="L74" s="684">
        <v>1</v>
      </c>
      <c r="M74" s="685">
        <v>2.5</v>
      </c>
      <c r="N74" s="684" t="s">
        <v>453</v>
      </c>
      <c r="O74" s="684">
        <v>4</v>
      </c>
      <c r="P74" s="555">
        <f t="shared" si="92"/>
        <v>23</v>
      </c>
      <c r="Q74" s="684">
        <v>3</v>
      </c>
      <c r="R74" s="684">
        <v>1</v>
      </c>
      <c r="S74" s="555">
        <f t="shared" si="95"/>
        <v>15.652173913043478</v>
      </c>
      <c r="T74" s="696">
        <f t="shared" si="84"/>
        <v>23</v>
      </c>
      <c r="U74" s="684" t="s">
        <v>499</v>
      </c>
      <c r="V74" s="555">
        <v>16</v>
      </c>
      <c r="W74" s="684">
        <f>IF(U74="C.C.Fusíveis",VLOOKUP(V74,Consulta!$L$5:$N$31,3,FALSE),VLOOKUP(V74,Consulta!$P$5:$R$34,3,FALSE))</f>
        <v>21.6</v>
      </c>
      <c r="X74" s="698">
        <f t="shared" si="93"/>
        <v>34</v>
      </c>
      <c r="Y74" s="821">
        <f t="shared" si="85"/>
        <v>0.68052930056710781</v>
      </c>
      <c r="Z74" s="689" t="str">
        <f t="shared" si="94"/>
        <v>Sim</v>
      </c>
      <c r="AA74" s="762">
        <f t="shared" si="96"/>
        <v>6.5243555363796182E-2</v>
      </c>
      <c r="AB74" s="762">
        <f t="shared" si="97"/>
        <v>0.17077499999999995</v>
      </c>
      <c r="AC74" s="762">
        <f t="shared" si="98"/>
        <v>0</v>
      </c>
      <c r="AD74" s="686">
        <f t="shared" si="102"/>
        <v>1.851110134115298</v>
      </c>
      <c r="AE74" s="686">
        <f t="shared" si="99"/>
        <v>5.3459999999999983</v>
      </c>
      <c r="AF74" s="686">
        <f t="shared" si="100"/>
        <v>7.1971101341152961</v>
      </c>
      <c r="AG74" s="687">
        <f t="shared" si="34"/>
        <v>2.3243478260869557E-2</v>
      </c>
      <c r="AH74" s="763">
        <f t="shared" si="34"/>
        <v>3.1291783191805637E-2</v>
      </c>
      <c r="AI74" s="686">
        <f t="shared" si="101"/>
        <v>0.97449965171374264</v>
      </c>
      <c r="AJ74" s="684">
        <v>3</v>
      </c>
      <c r="AK74" s="686">
        <v>0.1</v>
      </c>
      <c r="AL74" s="698">
        <f t="shared" si="89"/>
        <v>115</v>
      </c>
      <c r="AM74" s="686">
        <f t="shared" si="90"/>
        <v>2.6796856334402044</v>
      </c>
      <c r="AN74" s="689">
        <f t="shared" si="86"/>
        <v>1</v>
      </c>
      <c r="AO74" s="689" t="s">
        <v>563</v>
      </c>
      <c r="AP74" s="689" t="s">
        <v>523</v>
      </c>
      <c r="AQ74" s="689" t="str">
        <f t="shared" si="87"/>
        <v>3G</v>
      </c>
      <c r="AR74" s="689">
        <f t="shared" si="88"/>
        <v>2.5</v>
      </c>
      <c r="AS74" s="897" t="str">
        <f t="shared" si="91"/>
        <v/>
      </c>
      <c r="AT74" s="897" t="str">
        <f>IF(OR(AQ74="3G",AQ74="5G"),"",VLOOKUP(AR74,Consulta!$T$5:$U$25,2,FALSE))</f>
        <v/>
      </c>
      <c r="AU74" s="898" t="s">
        <v>565</v>
      </c>
      <c r="AV74" s="689" t="s">
        <v>23</v>
      </c>
      <c r="AW74" s="689" t="s">
        <v>564</v>
      </c>
      <c r="AX74" s="689">
        <f t="shared" si="30"/>
        <v>20</v>
      </c>
      <c r="AY74" s="690" t="s">
        <v>24</v>
      </c>
      <c r="AZ74" s="564"/>
      <c r="BA74" s="584">
        <f>IF(AND(J74="Cobre",F74="Monofásico"),VLOOKUP(M74,'Iz''s'!$B$8:$E$23,2,FALSE),IF(AND(J74="Cobre",F74="Trifásico"),VLOOKUP(M74,'Iz''s'!$L$8:$O$23,2,FALSE),IF(AND(J74="Alumínio",F74="Monofásico"),VLOOKUP(M74,'Iz''s'!$B$25:$E$39,2,FALSE),IF(AND(J74="Alumínio",F74="Trifásico"),VLOOKUP(M74,'Iz''s'!$L$25:$O$39,2,FALSE)))))</f>
        <v>19.5</v>
      </c>
      <c r="BB74" s="531">
        <f>IF(AND(J74="Cobre",F74="Monofásico"),VLOOKUP(M74,'Iz''s'!$CD$9:$CH$24,2,FALSE),IF(AND(J74="Cobre",F74="Trifásico"),VLOOKUP(M74,'Iz''s'!$CD$9:$CH$24,4,FALSE),IF(AND(J74="Alumínio",F74="Monofásico"),VLOOKUP(M74,'Iz''s'!$CD$26:$CH$40,2,FALSE),IF(AND(J74="Alumínio",F74="Trifásico"),VLOOKUP(M74,'Iz''s'!$CD$26:$CH$40,4,FALSE)))))</f>
        <v>18.5</v>
      </c>
      <c r="BC74" s="531">
        <f>IF(AND(J74="Cobre",F74="Monofásico"),VLOOKUP(M74,'Iz''s'!$B$8:$E$23,3,FALSE),IF(AND(J74="Cobre",F74="Trifásico"),VLOOKUP(M74,'Iz''s'!$L$8:$O$23,3,FALSE),IF(AND(J74="Alumínio",F74="Monofásico"),VLOOKUP(M74,'Iz''s'!$B$25:$E$39,3,FALSE),IF(AND(J74="Alumínio",F74="Trifásico"),VLOOKUP(M74,'Iz''s'!$L$25:$O$39,3,FALSE)))))</f>
        <v>24</v>
      </c>
      <c r="BD74" s="531">
        <f>IF(AND(J74="Cobre",F74="Monofásico"),VLOOKUP(M74,'Iz''s'!$CD$9:$CH$24,3,FALSE),IF(AND(J74="Cobre",F74="Trifásico"),VLOOKUP(M74,'Iz''s'!$CD$9:$CH$24,5,FALSE),IF(AND(J74="Alumínio",F74="Monofásico"),VLOOKUP(M74,'Iz''s'!$CD$26:$CH$40,3,FALSE),IF(AND(J74="Alumínio",F74="Trifásico"),VLOOKUP(M74,'Iz''s'!$CD$26:$CH$40,5,FALSE)))))</f>
        <v>23</v>
      </c>
      <c r="BE74" s="531">
        <f>IF(AND(J74="Cobre",F74="Monofásico"),VLOOKUP(M74,'Iz''s'!$B$8:$E$23,4,FALSE),IF(AND(J74="Cobre",F74="Trifásico"),VLOOKUP(M74,'Iz''s'!$L$8:$O$23,4,FALSE),IF(AND(J74="Alumínio",F74="Monofásico"),VLOOKUP(M74,'Iz''s'!$B$25:$E$39,4,FALSE),IF(AND(J74="Alumínio",F74="Trifásico"),VLOOKUP(M74,'Iz''s'!$L$25:$O$39,4,FALSE)))))</f>
        <v>27</v>
      </c>
      <c r="BF74" s="531">
        <f>IF(AND(J74="Cobre",F74="Monofásico"),VLOOKUP(M74,'Iz''s'!$CP$9:$CT$24,3,FALSE),IF(AND(J74="Cobre",F74="Trifásico"),VLOOKUP(M74,'Iz''s'!$CP$9:$CT$24,2,FALSE),IF(AND(J74="Alumínio",F74="Monofásico"),VLOOKUP(M74,'Iz''s'!$CP$26:$CT$37,3,FALSE),IF(AND(J74="Alumínio",F74="Trifásico"),VLOOKUP(M74,'Iz''s'!$CP$26:$CT$37,2,FALSE)))))</f>
        <v>42</v>
      </c>
      <c r="BG74" s="531">
        <f>IF(AND(J74="Cobre",F74="Monofásico"),VLOOKUP(M74,'Iz''s'!$AT$10:$BA$28,2,FALSE),IF(AND(J74="Cobre",F74="Trifásico"),VLOOKUP(M74,'Iz''s'!$AT$10:$BA$28,3,FALSE),IF(AND(J74="Alumínio",F74="Monofásico"),VLOOKUP(M74,'Iz''s'!$BC$10:$BJ$27,2,FALSE),IF(AND(J74="Alumínio",F74="Trifásico"),VLOOKUP(M74,'Iz''s'!$BC$10:$BJ$27,3,FALSE)))))</f>
        <v>30</v>
      </c>
      <c r="BH74" s="609" t="str">
        <f>IF(AND(J74="Cobre",F74="Monofásico"),VLOOKUP(M74,'Iz''s'!$AT$10:$BA$28,4,FALSE),IF(AND(J74="Cobre",F74="Trifásico"),VLOOKUP(M74,'Iz''s'!$AT$10:$BA$28,5,FALSE),IF(AND(J74="Alumínio",F74="Monofásico"),VLOOKUP(M74,'Iz''s'!$BC$10:$BJ$27,4,FALSE),IF(AND(J74="Alumínio",F74="Trifásico"),VLOOKUP(M74,'Iz''s'!$BC$10:$BJ$27,5,FALSE)))))</f>
        <v xml:space="preserve"> --- </v>
      </c>
      <c r="BI74" s="609" t="str">
        <f>IF(AND(J74="Cobre",F74="Monofásico"),"N/A",IF(AND(J74="Cobre",F74="Trifásico"),VLOOKUP(M74,'Iz''s'!$AT$10:$BA$28,8,FALSE),IF(AND(J74="Alumínio",F74="Monofásico"),"N/A",IF(AND(J74="Alumínio",F74="Trifásico"),VLOOKUP(M74,'Iz''s'!$BC$10:$BJ$27,8,FALSE)))))</f>
        <v>N/A</v>
      </c>
      <c r="BJ74" s="531">
        <f>IF(AND(J74="Cobre",F74="Monofásico"),VLOOKUP(M74,'Iz''s'!$G$8:$J$23,2,FALSE),IF(AND(J74="Cobre",F74="Trifásico"),VLOOKUP(M74,'Iz''s'!$Q$8:$T$23,2,FALSE),IF(AND(J74="Alumínio",F74="Monofásico"),VLOOKUP(M74,'Iz''s'!$G$25:$J$39,2,FALSE),IF(AND(J74="Alumínio",F74="Trifásico"),VLOOKUP(M74,'Iz''s'!$Q$25:$T$39,2,FALSE)))))</f>
        <v>26</v>
      </c>
      <c r="BK74" s="609">
        <f>IF(AND(J74="Cobre",F74="Monofásico"),VLOOKUP(M74,'Iz''s'!$CJ$9:$CN$24,2,FALSE),IF(AND(J74="Cobre",F74="Trifásico"),VLOOKUP(M74,'Iz''s'!$CJ$9:$CN$24,4,FALSE),IF(AND(J74="Alumínio",F74="Monofásico"),VLOOKUP(M74,'Iz''s'!$CJ$26:$CN$40,2,FALSE),IF(AND(J74="Alumínio",F74="Trifásico"),VLOOKUP(M74,'Iz''s'!$CJ$26:$CN$40,4,FALSE)))))</f>
        <v>25</v>
      </c>
      <c r="BL74" s="609">
        <f>IF(AND(J74="Cobre",F74="Monofásico"),VLOOKUP(M74,'Iz''s'!$G$8:$J$23,3,FALSE),IF(AND(J74="Cobre",F74="Trifásico"),VLOOKUP(M74,'Iz''s'!$Q$8:$T$23,3,FALSE),IF(AND(J74="Alumínio",F74="Monofásico"),VLOOKUP(M74,'Iz''s'!$G$25:$J$39,3,FALSE),IF(AND(J74="Alumínio",F74="Trifásico"),VLOOKUP(M74,'Iz''s'!$Q$25:$T$39,3,FALSE)))))</f>
        <v>31</v>
      </c>
      <c r="BM74" s="609">
        <f>IF(AND(J74="Cobre",F74="Monofásico"),VLOOKUP(M74,'Iz''s'!$CJ$9:$CN$24,3,FALSE),IF(AND(J74="Cobre",F74="Trifásico"),VLOOKUP(M74,'Iz''s'!$CJ$9:$CN$24,5,FALSE),IF(AND(J74="Alumínio",F74="Monofásico"),VLOOKUP(M74,'Iz''s'!$CJ$26:$CN$40,3,FALSE),IF(AND(J74="Alumínio",F74="Trifásico"),VLOOKUP(M74,'Iz''s'!$CJ$26:$CN$40,5,FALSE)))))</f>
        <v>30</v>
      </c>
      <c r="BN74" s="609">
        <f>IF(AND(J74="Cobre",F74="Monofásico"),VLOOKUP(M74,'Iz''s'!$G$8:$J$23,4,FALSE),IF(AND(J74="Cobre",F74="Trifásico"),VLOOKUP(M74,'Iz''s'!$Q$8:$T$23,4,FALSE),IF(AND(J74="Alumínio",F74="Monofásico"),VLOOKUP(M74,'Iz''s'!$G$25:$J$39,4,FALSE),IF(AND(J74="Alumínio",F74="Trifásico"),VLOOKUP(M74,'Iz''s'!$Q$25:$T$39,4,FALSE)))))</f>
        <v>33</v>
      </c>
      <c r="BO74" s="609">
        <f>IF(AND(J74="Cobre",F74="Monofásico"),VLOOKUP(M74,'Iz''s'!$CP$9:$CT$24,5,FALSE),IF(AND(J74="Cobre",F74="Trifásico"),VLOOKUP(M74,'Iz''s'!$CP$9:$CT$24,4,FALSE),IF(AND(J74="Alumínio",F74="Monofásico"),VLOOKUP(M74,'Iz''s'!$CP$26:$CT$37,5,FALSE),IF(AND(J74="Alumínio",F74="Trifásico"),VLOOKUP(M74,'Iz''s'!$CP$26:$CT$37,4,FALSE)))))</f>
        <v>48</v>
      </c>
      <c r="BP74" s="609">
        <f>IF(AND(J74="Cobre",F74="Monofásico"),VLOOKUP(M74,'Iz''s'!$BL$10:$BS$28,2,FALSE),IF(AND(J74="Cobre",F74="Trifásico"),VLOOKUP(M74,'Iz''s'!$BL$10:$BS$28,3,FALSE),IF(AND(J74="Alumínio",F74="Monofásico"),VLOOKUP(M74,'Iz''s'!$BU$10:$CB$27,2,FALSE),IF(AND(J74="Alumínio",F74="Trifásico"),VLOOKUP(M74,'Iz''s'!$BU$10:$CB$27,3,FALSE)))))</f>
        <v>36</v>
      </c>
      <c r="BQ74" s="531" t="str">
        <f>IF(AND(J74="Cobre",F74="Monofásico"),VLOOKUP(M74,'Iz''s'!$BL$10:$BS$28,4,FALSE),IF(AND(J74="Cobre",F74="Trifásico"),VLOOKUP(M74,'Iz''s'!$BL$10:$BS$28,5,FALSE),IF(AND(J74="Alumínio",F74="Monofásico"),VLOOKUP(M74,'Iz''s'!$BU$10:$CB$27,4,FALSE),IF(AND(J74="Alumínio",F74="Trifásico"),VLOOKUP(M74,'Iz''s'!$BU$10:$CB$27,5,FALSE)))))</f>
        <v xml:space="preserve"> --- </v>
      </c>
      <c r="BR74" s="609" t="str">
        <f>IF(AND(J74="Cobre",F74="Monofásico"),"N/A",IF(AND(J74="Cobre",F74="Trifásico"),VLOOKUP(M74,'Iz''s'!$BL$10:$BS$28,8,FALSE),IF(AND(J74="Alumínio",F74="Monofásico"),"N/A",IF(AND(J74="Alumínio",F74="Trifásico"),VLOOKUP(M74,'Iz''s'!$BU$10:$CB$27,8,FALSE)))))</f>
        <v>N/A</v>
      </c>
      <c r="BS74" s="609">
        <f>IF(AND(J74="Cobre",F74="Monofásico"),VLOOKUP(M74,'Iz''s'!$V$14:$Y$28,2,FALSE),IF(AND(J74="Cobre",F74="Trifásico"),VLOOKUP(M74,'Iz''s'!$V$14:$Y$28,3,FALSE),IF(AND(J74="Alumínio",F74="Monofásico"),VLOOKUP(M74,"N/A",4,FALSE),IF(AND(J74="Alumínio",F74="Trifásico"),VLOOKUP(M74,"N/A",4,FALSE)))))</f>
        <v>34</v>
      </c>
      <c r="BT74" s="609">
        <f>IF(AND(J74="Cobre",F74="Monofásico"),VLOOKUP(M74,'Iz''s'!$AF$15:$AK$29,2,FALSE),IF(AND(J74="Cobre",F74="Trifásico"),VLOOKUP(M74,'Iz''s'!$AF$15:$AK$29,3,FALSE),IF(AND(J74="Alumínio",F74="Monofásico"),"N/A",IF(AND(J74="Alumínio",F74="Trifásico"),"N/A"))))</f>
        <v>36</v>
      </c>
      <c r="BU74" s="609">
        <f>IF(AND(J74="Cobre",F74="Monofásico"),VLOOKUP(M74,'Iz''s'!$AF$15:$AK$29,2,FALSE),IF(AND(J74="Cobre",F74="Trifásico"),VLOOKUP(M74,'Iz''s'!$AF$15:$AK$29,3,FALSE),IF(AND(J74="Alumínio",F74="Monofásico"),"N/A",IF(AND(J74="Alumínio",F74="Trifásico"),"N/A"))))</f>
        <v>36</v>
      </c>
      <c r="BV74" s="610" t="str">
        <f>IF(AND(J74="Cobre",F74="Monofásico"),"N/A",IF(AND(J74="Cobre",F74="Trifásico"),VLOOKUP(M74,'Iz''s'!$AF$15:$AK$29,6,FALSE),IF(AND(J74="Alumínio",F74="Monofásico"),"N/A",IF(AND(J74="Alumínio",F74="Trifásico"),"N/A"))))</f>
        <v>N/A</v>
      </c>
      <c r="BW74" s="611">
        <v>72</v>
      </c>
      <c r="BX74" s="565"/>
      <c r="BY74" s="612">
        <f>VLOOKUP(M74,Consulta!$W$6:$AB$23,4,FALSE)</f>
        <v>16</v>
      </c>
      <c r="BZ74" s="612">
        <f>VLOOKUP(M74,Consulta!$W$6:$AB$23,6,FALSE)</f>
        <v>20</v>
      </c>
      <c r="CA74" s="612">
        <f>VLOOKUP(M74,Consulta!$AK$6:$AP$23,4,FALSE)</f>
        <v>20</v>
      </c>
      <c r="CB74" s="612">
        <f>VLOOKUP(M74,Consulta!$AK$6:$AP$23,6,FALSE)</f>
        <v>25</v>
      </c>
      <c r="CC74" s="585" t="e">
        <f>VLOOKUP(M74,Consulta!$AD$6:$AI$19,4,FALSE)</f>
        <v>#N/A</v>
      </c>
      <c r="CD74" s="585" t="e">
        <f>VLOOKUP(M74,Consulta!$AD$6:$AI$19,6,FALSE)</f>
        <v>#N/A</v>
      </c>
      <c r="CE74" s="585" t="e">
        <f>VLOOKUP(M74,Consulta!$AR$6:$AW$19,4,FALSE)</f>
        <v>#N/A</v>
      </c>
      <c r="CF74" s="586" t="e">
        <f>VLOOKUP(M74,Consulta!$AR$6:$AW$19,6,FALSE)</f>
        <v>#N/A</v>
      </c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</row>
    <row r="75" spans="1:212" s="532" customFormat="1" ht="16.5" customHeight="1" x14ac:dyDescent="0.2">
      <c r="A75" s="571"/>
      <c r="B75" s="1115"/>
      <c r="C75" s="819" t="s">
        <v>862</v>
      </c>
      <c r="D75" s="684">
        <v>3.6</v>
      </c>
      <c r="E75" s="684">
        <f>4.35+8.237</f>
        <v>12.587</v>
      </c>
      <c r="F75" s="684" t="s">
        <v>244</v>
      </c>
      <c r="G75" s="684" t="s">
        <v>808</v>
      </c>
      <c r="H75" s="684">
        <v>1</v>
      </c>
      <c r="I75" s="760" t="s">
        <v>13</v>
      </c>
      <c r="J75" s="684" t="s">
        <v>242</v>
      </c>
      <c r="K75" s="684" t="s">
        <v>363</v>
      </c>
      <c r="L75" s="684">
        <v>1</v>
      </c>
      <c r="M75" s="685">
        <v>2.5</v>
      </c>
      <c r="N75" s="684" t="s">
        <v>453</v>
      </c>
      <c r="O75" s="684">
        <v>4</v>
      </c>
      <c r="P75" s="555">
        <f t="shared" si="92"/>
        <v>23</v>
      </c>
      <c r="Q75" s="684">
        <v>3</v>
      </c>
      <c r="R75" s="684">
        <v>0.7</v>
      </c>
      <c r="S75" s="555">
        <f t="shared" si="95"/>
        <v>15.652173913043478</v>
      </c>
      <c r="T75" s="696">
        <f t="shared" si="84"/>
        <v>16.099999999999998</v>
      </c>
      <c r="U75" s="684" t="s">
        <v>499</v>
      </c>
      <c r="V75" s="555">
        <v>16</v>
      </c>
      <c r="W75" s="684">
        <f>IF(U75="C.C.Fusíveis",VLOOKUP(V75,Consulta!$L$5:$N$31,3,FALSE),VLOOKUP(V75,Consulta!$P$5:$R$34,3,FALSE))</f>
        <v>21.6</v>
      </c>
      <c r="X75" s="698">
        <f t="shared" si="93"/>
        <v>34</v>
      </c>
      <c r="Y75" s="821">
        <f t="shared" si="85"/>
        <v>0.97218471509586835</v>
      </c>
      <c r="Z75" s="689" t="str">
        <f t="shared" si="94"/>
        <v>Sim</v>
      </c>
      <c r="AA75" s="762">
        <f t="shared" si="96"/>
        <v>6.5243555363796182E-2</v>
      </c>
      <c r="AB75" s="762">
        <f t="shared" si="97"/>
        <v>0.14160374999999997</v>
      </c>
      <c r="AC75" s="762">
        <f t="shared" si="98"/>
        <v>0</v>
      </c>
      <c r="AD75" s="686">
        <f t="shared" si="102"/>
        <v>1.851110134115298</v>
      </c>
      <c r="AE75" s="686">
        <f t="shared" si="99"/>
        <v>4.4328130434782604</v>
      </c>
      <c r="AF75" s="686">
        <f t="shared" si="100"/>
        <v>6.2839231775935582</v>
      </c>
      <c r="AG75" s="687">
        <f t="shared" si="34"/>
        <v>1.9273100189035913E-2</v>
      </c>
      <c r="AH75" s="763">
        <f t="shared" si="34"/>
        <v>2.7321405119971991E-2</v>
      </c>
      <c r="AI75" s="686">
        <f t="shared" si="101"/>
        <v>1.1119313330936735</v>
      </c>
      <c r="AJ75" s="684">
        <v>3</v>
      </c>
      <c r="AK75" s="686">
        <v>0.1</v>
      </c>
      <c r="AL75" s="698">
        <f t="shared" si="89"/>
        <v>115</v>
      </c>
      <c r="AM75" s="686">
        <f t="shared" si="90"/>
        <v>3.0575961863333645</v>
      </c>
      <c r="AN75" s="689">
        <f t="shared" si="86"/>
        <v>1</v>
      </c>
      <c r="AO75" s="689" t="s">
        <v>563</v>
      </c>
      <c r="AP75" s="689" t="s">
        <v>523</v>
      </c>
      <c r="AQ75" s="689" t="str">
        <f t="shared" si="87"/>
        <v>3G</v>
      </c>
      <c r="AR75" s="689">
        <f t="shared" si="88"/>
        <v>2.5</v>
      </c>
      <c r="AS75" s="897" t="str">
        <f t="shared" si="91"/>
        <v/>
      </c>
      <c r="AT75" s="897" t="str">
        <f>IF(OR(AQ75="3G",AQ75="5G"),"",VLOOKUP(AR75,Consulta!$T$5:$U$25,2,FALSE))</f>
        <v/>
      </c>
      <c r="AU75" s="898" t="s">
        <v>565</v>
      </c>
      <c r="AV75" s="689" t="s">
        <v>23</v>
      </c>
      <c r="AW75" s="689" t="s">
        <v>564</v>
      </c>
      <c r="AX75" s="689">
        <f t="shared" si="30"/>
        <v>20</v>
      </c>
      <c r="AY75" s="690" t="s">
        <v>24</v>
      </c>
      <c r="AZ75" s="564"/>
      <c r="BA75" s="584">
        <f>IF(AND(J75="Cobre",F75="Monofásico"),VLOOKUP(M75,'Iz''s'!$B$8:$E$23,2,FALSE),IF(AND(J75="Cobre",F75="Trifásico"),VLOOKUP(M75,'Iz''s'!$L$8:$O$23,2,FALSE),IF(AND(J75="Alumínio",F75="Monofásico"),VLOOKUP(M75,'Iz''s'!$B$25:$E$39,2,FALSE),IF(AND(J75="Alumínio",F75="Trifásico"),VLOOKUP(M75,'Iz''s'!$L$25:$O$39,2,FALSE)))))</f>
        <v>19.5</v>
      </c>
      <c r="BB75" s="531">
        <f>IF(AND(J75="Cobre",F75="Monofásico"),VLOOKUP(M75,'Iz''s'!$CD$9:$CH$24,2,FALSE),IF(AND(J75="Cobre",F75="Trifásico"),VLOOKUP(M75,'Iz''s'!$CD$9:$CH$24,4,FALSE),IF(AND(J75="Alumínio",F75="Monofásico"),VLOOKUP(M75,'Iz''s'!$CD$26:$CH$40,2,FALSE),IF(AND(J75="Alumínio",F75="Trifásico"),VLOOKUP(M75,'Iz''s'!$CD$26:$CH$40,4,FALSE)))))</f>
        <v>18.5</v>
      </c>
      <c r="BC75" s="531">
        <f>IF(AND(J75="Cobre",F75="Monofásico"),VLOOKUP(M75,'Iz''s'!$B$8:$E$23,3,FALSE),IF(AND(J75="Cobre",F75="Trifásico"),VLOOKUP(M75,'Iz''s'!$L$8:$O$23,3,FALSE),IF(AND(J75="Alumínio",F75="Monofásico"),VLOOKUP(M75,'Iz''s'!$B$25:$E$39,3,FALSE),IF(AND(J75="Alumínio",F75="Trifásico"),VLOOKUP(M75,'Iz''s'!$L$25:$O$39,3,FALSE)))))</f>
        <v>24</v>
      </c>
      <c r="BD75" s="531">
        <f>IF(AND(J75="Cobre",F75="Monofásico"),VLOOKUP(M75,'Iz''s'!$CD$9:$CH$24,3,FALSE),IF(AND(J75="Cobre",F75="Trifásico"),VLOOKUP(M75,'Iz''s'!$CD$9:$CH$24,5,FALSE),IF(AND(J75="Alumínio",F75="Monofásico"),VLOOKUP(M75,'Iz''s'!$CD$26:$CH$40,3,FALSE),IF(AND(J75="Alumínio",F75="Trifásico"),VLOOKUP(M75,'Iz''s'!$CD$26:$CH$40,5,FALSE)))))</f>
        <v>23</v>
      </c>
      <c r="BE75" s="531">
        <f>IF(AND(J75="Cobre",F75="Monofásico"),VLOOKUP(M75,'Iz''s'!$B$8:$E$23,4,FALSE),IF(AND(J75="Cobre",F75="Trifásico"),VLOOKUP(M75,'Iz''s'!$L$8:$O$23,4,FALSE),IF(AND(J75="Alumínio",F75="Monofásico"),VLOOKUP(M75,'Iz''s'!$B$25:$E$39,4,FALSE),IF(AND(J75="Alumínio",F75="Trifásico"),VLOOKUP(M75,'Iz''s'!$L$25:$O$39,4,FALSE)))))</f>
        <v>27</v>
      </c>
      <c r="BF75" s="531">
        <f>IF(AND(J75="Cobre",F75="Monofásico"),VLOOKUP(M75,'Iz''s'!$CP$9:$CT$24,3,FALSE),IF(AND(J75="Cobre",F75="Trifásico"),VLOOKUP(M75,'Iz''s'!$CP$9:$CT$24,2,FALSE),IF(AND(J75="Alumínio",F75="Monofásico"),VLOOKUP(M75,'Iz''s'!$CP$26:$CT$37,3,FALSE),IF(AND(J75="Alumínio",F75="Trifásico"),VLOOKUP(M75,'Iz''s'!$CP$26:$CT$37,2,FALSE)))))</f>
        <v>42</v>
      </c>
      <c r="BG75" s="531">
        <f>IF(AND(J75="Cobre",F75="Monofásico"),VLOOKUP(M75,'Iz''s'!$AT$10:$BA$28,2,FALSE),IF(AND(J75="Cobre",F75="Trifásico"),VLOOKUP(M75,'Iz''s'!$AT$10:$BA$28,3,FALSE),IF(AND(J75="Alumínio",F75="Monofásico"),VLOOKUP(M75,'Iz''s'!$BC$10:$BJ$27,2,FALSE),IF(AND(J75="Alumínio",F75="Trifásico"),VLOOKUP(M75,'Iz''s'!$BC$10:$BJ$27,3,FALSE)))))</f>
        <v>30</v>
      </c>
      <c r="BH75" s="609" t="str">
        <f>IF(AND(J75="Cobre",F75="Monofásico"),VLOOKUP(M75,'Iz''s'!$AT$10:$BA$28,4,FALSE),IF(AND(J75="Cobre",F75="Trifásico"),VLOOKUP(M75,'Iz''s'!$AT$10:$BA$28,5,FALSE),IF(AND(J75="Alumínio",F75="Monofásico"),VLOOKUP(M75,'Iz''s'!$BC$10:$BJ$27,4,FALSE),IF(AND(J75="Alumínio",F75="Trifásico"),VLOOKUP(M75,'Iz''s'!$BC$10:$BJ$27,5,FALSE)))))</f>
        <v xml:space="preserve"> --- </v>
      </c>
      <c r="BI75" s="609" t="str">
        <f>IF(AND(J75="Cobre",F75="Monofásico"),"N/A",IF(AND(J75="Cobre",F75="Trifásico"),VLOOKUP(M75,'Iz''s'!$AT$10:$BA$28,8,FALSE),IF(AND(J75="Alumínio",F75="Monofásico"),"N/A",IF(AND(J75="Alumínio",F75="Trifásico"),VLOOKUP(M75,'Iz''s'!$BC$10:$BJ$27,8,FALSE)))))</f>
        <v>N/A</v>
      </c>
      <c r="BJ75" s="531">
        <f>IF(AND(J75="Cobre",F75="Monofásico"),VLOOKUP(M75,'Iz''s'!$G$8:$J$23,2,FALSE),IF(AND(J75="Cobre",F75="Trifásico"),VLOOKUP(M75,'Iz''s'!$Q$8:$T$23,2,FALSE),IF(AND(J75="Alumínio",F75="Monofásico"),VLOOKUP(M75,'Iz''s'!$G$25:$J$39,2,FALSE),IF(AND(J75="Alumínio",F75="Trifásico"),VLOOKUP(M75,'Iz''s'!$Q$25:$T$39,2,FALSE)))))</f>
        <v>26</v>
      </c>
      <c r="BK75" s="609">
        <f>IF(AND(J75="Cobre",F75="Monofásico"),VLOOKUP(M75,'Iz''s'!$CJ$9:$CN$24,2,FALSE),IF(AND(J75="Cobre",F75="Trifásico"),VLOOKUP(M75,'Iz''s'!$CJ$9:$CN$24,4,FALSE),IF(AND(J75="Alumínio",F75="Monofásico"),VLOOKUP(M75,'Iz''s'!$CJ$26:$CN$40,2,FALSE),IF(AND(J75="Alumínio",F75="Trifásico"),VLOOKUP(M75,'Iz''s'!$CJ$26:$CN$40,4,FALSE)))))</f>
        <v>25</v>
      </c>
      <c r="BL75" s="609">
        <f>IF(AND(J75="Cobre",F75="Monofásico"),VLOOKUP(M75,'Iz''s'!$G$8:$J$23,3,FALSE),IF(AND(J75="Cobre",F75="Trifásico"),VLOOKUP(M75,'Iz''s'!$Q$8:$T$23,3,FALSE),IF(AND(J75="Alumínio",F75="Monofásico"),VLOOKUP(M75,'Iz''s'!$G$25:$J$39,3,FALSE),IF(AND(J75="Alumínio",F75="Trifásico"),VLOOKUP(M75,'Iz''s'!$Q$25:$T$39,3,FALSE)))))</f>
        <v>31</v>
      </c>
      <c r="BM75" s="609">
        <f>IF(AND(J75="Cobre",F75="Monofásico"),VLOOKUP(M75,'Iz''s'!$CJ$9:$CN$24,3,FALSE),IF(AND(J75="Cobre",F75="Trifásico"),VLOOKUP(M75,'Iz''s'!$CJ$9:$CN$24,5,FALSE),IF(AND(J75="Alumínio",F75="Monofásico"),VLOOKUP(M75,'Iz''s'!$CJ$26:$CN$40,3,FALSE),IF(AND(J75="Alumínio",F75="Trifásico"),VLOOKUP(M75,'Iz''s'!$CJ$26:$CN$40,5,FALSE)))))</f>
        <v>30</v>
      </c>
      <c r="BN75" s="609">
        <f>IF(AND(J75="Cobre",F75="Monofásico"),VLOOKUP(M75,'Iz''s'!$G$8:$J$23,4,FALSE),IF(AND(J75="Cobre",F75="Trifásico"),VLOOKUP(M75,'Iz''s'!$Q$8:$T$23,4,FALSE),IF(AND(J75="Alumínio",F75="Monofásico"),VLOOKUP(M75,'Iz''s'!$G$25:$J$39,4,FALSE),IF(AND(J75="Alumínio",F75="Trifásico"),VLOOKUP(M75,'Iz''s'!$Q$25:$T$39,4,FALSE)))))</f>
        <v>33</v>
      </c>
      <c r="BO75" s="609">
        <f>IF(AND(J75="Cobre",F75="Monofásico"),VLOOKUP(M75,'Iz''s'!$CP$9:$CT$24,5,FALSE),IF(AND(J75="Cobre",F75="Trifásico"),VLOOKUP(M75,'Iz''s'!$CP$9:$CT$24,4,FALSE),IF(AND(J75="Alumínio",F75="Monofásico"),VLOOKUP(M75,'Iz''s'!$CP$26:$CT$37,5,FALSE),IF(AND(J75="Alumínio",F75="Trifásico"),VLOOKUP(M75,'Iz''s'!$CP$26:$CT$37,4,FALSE)))))</f>
        <v>48</v>
      </c>
      <c r="BP75" s="609">
        <f>IF(AND(J75="Cobre",F75="Monofásico"),VLOOKUP(M75,'Iz''s'!$BL$10:$BS$28,2,FALSE),IF(AND(J75="Cobre",F75="Trifásico"),VLOOKUP(M75,'Iz''s'!$BL$10:$BS$28,3,FALSE),IF(AND(J75="Alumínio",F75="Monofásico"),VLOOKUP(M75,'Iz''s'!$BU$10:$CB$27,2,FALSE),IF(AND(J75="Alumínio",F75="Trifásico"),VLOOKUP(M75,'Iz''s'!$BU$10:$CB$27,3,FALSE)))))</f>
        <v>36</v>
      </c>
      <c r="BQ75" s="531" t="str">
        <f>IF(AND(J75="Cobre",F75="Monofásico"),VLOOKUP(M75,'Iz''s'!$BL$10:$BS$28,4,FALSE),IF(AND(J75="Cobre",F75="Trifásico"),VLOOKUP(M75,'Iz''s'!$BL$10:$BS$28,5,FALSE),IF(AND(J75="Alumínio",F75="Monofásico"),VLOOKUP(M75,'Iz''s'!$BU$10:$CB$27,4,FALSE),IF(AND(J75="Alumínio",F75="Trifásico"),VLOOKUP(M75,'Iz''s'!$BU$10:$CB$27,5,FALSE)))))</f>
        <v xml:space="preserve"> --- </v>
      </c>
      <c r="BR75" s="609" t="str">
        <f>IF(AND(J75="Cobre",F75="Monofásico"),"N/A",IF(AND(J75="Cobre",F75="Trifásico"),VLOOKUP(M75,'Iz''s'!$BL$10:$BS$28,8,FALSE),IF(AND(J75="Alumínio",F75="Monofásico"),"N/A",IF(AND(J75="Alumínio",F75="Trifásico"),VLOOKUP(M75,'Iz''s'!$BU$10:$CB$27,8,FALSE)))))</f>
        <v>N/A</v>
      </c>
      <c r="BS75" s="609">
        <f>IF(AND(J75="Cobre",F75="Monofásico"),VLOOKUP(M75,'Iz''s'!$V$14:$Y$28,2,FALSE),IF(AND(J75="Cobre",F75="Trifásico"),VLOOKUP(M75,'Iz''s'!$V$14:$Y$28,3,FALSE),IF(AND(J75="Alumínio",F75="Monofásico"),VLOOKUP(M75,"N/A",4,FALSE),IF(AND(J75="Alumínio",F75="Trifásico"),VLOOKUP(M75,"N/A",4,FALSE)))))</f>
        <v>34</v>
      </c>
      <c r="BT75" s="609">
        <f>IF(AND(J75="Cobre",F75="Monofásico"),VLOOKUP(M75,'Iz''s'!$AF$15:$AK$29,2,FALSE),IF(AND(J75="Cobre",F75="Trifásico"),VLOOKUP(M75,'Iz''s'!$AF$15:$AK$29,3,FALSE),IF(AND(J75="Alumínio",F75="Monofásico"),"N/A",IF(AND(J75="Alumínio",F75="Trifásico"),"N/A"))))</f>
        <v>36</v>
      </c>
      <c r="BU75" s="609">
        <f>IF(AND(J75="Cobre",F75="Monofásico"),VLOOKUP(M75,'Iz''s'!$AF$15:$AK$29,2,FALSE),IF(AND(J75="Cobre",F75="Trifásico"),VLOOKUP(M75,'Iz''s'!$AF$15:$AK$29,3,FALSE),IF(AND(J75="Alumínio",F75="Monofásico"),"N/A",IF(AND(J75="Alumínio",F75="Trifásico"),"N/A"))))</f>
        <v>36</v>
      </c>
      <c r="BV75" s="610" t="str">
        <f>IF(AND(J75="Cobre",F75="Monofásico"),"N/A",IF(AND(J75="Cobre",F75="Trifásico"),VLOOKUP(M75,'Iz''s'!$AF$15:$AK$29,6,FALSE),IF(AND(J75="Alumínio",F75="Monofásico"),"N/A",IF(AND(J75="Alumínio",F75="Trifásico"),"N/A"))))</f>
        <v>N/A</v>
      </c>
      <c r="BW75" s="611">
        <v>73</v>
      </c>
      <c r="BX75" s="565"/>
      <c r="BY75" s="612">
        <f>VLOOKUP(M75,Consulta!$W$6:$AB$23,4,FALSE)</f>
        <v>16</v>
      </c>
      <c r="BZ75" s="612">
        <f>VLOOKUP(M75,Consulta!$W$6:$AB$23,6,FALSE)</f>
        <v>20</v>
      </c>
      <c r="CA75" s="612">
        <f>VLOOKUP(M75,Consulta!$AK$6:$AP$23,4,FALSE)</f>
        <v>20</v>
      </c>
      <c r="CB75" s="612">
        <f>VLOOKUP(M75,Consulta!$AK$6:$AP$23,6,FALSE)</f>
        <v>25</v>
      </c>
      <c r="CC75" s="585" t="e">
        <f>VLOOKUP(M75,Consulta!$AD$6:$AI$19,4,FALSE)</f>
        <v>#N/A</v>
      </c>
      <c r="CD75" s="585" t="e">
        <f>VLOOKUP(M75,Consulta!$AD$6:$AI$19,6,FALSE)</f>
        <v>#N/A</v>
      </c>
      <c r="CE75" s="585" t="e">
        <f>VLOOKUP(M75,Consulta!$AR$6:$AW$19,4,FALSE)</f>
        <v>#N/A</v>
      </c>
      <c r="CF75" s="586" t="e">
        <f>VLOOKUP(M75,Consulta!$AR$6:$AW$19,6,FALSE)</f>
        <v>#N/A</v>
      </c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</row>
    <row r="76" spans="1:212" s="532" customFormat="1" ht="16.5" customHeight="1" x14ac:dyDescent="0.2">
      <c r="A76" s="571"/>
      <c r="B76" s="1115"/>
      <c r="C76" s="819" t="s">
        <v>862</v>
      </c>
      <c r="D76" s="684">
        <v>3.6</v>
      </c>
      <c r="E76" s="684">
        <f>5.39+2.3+0.2</f>
        <v>7.89</v>
      </c>
      <c r="F76" s="684" t="s">
        <v>244</v>
      </c>
      <c r="G76" s="684" t="s">
        <v>808</v>
      </c>
      <c r="H76" s="684">
        <v>1</v>
      </c>
      <c r="I76" s="760" t="s">
        <v>13</v>
      </c>
      <c r="J76" s="684" t="s">
        <v>242</v>
      </c>
      <c r="K76" s="684" t="s">
        <v>363</v>
      </c>
      <c r="L76" s="684">
        <v>1</v>
      </c>
      <c r="M76" s="685">
        <v>2.5</v>
      </c>
      <c r="N76" s="684" t="s">
        <v>453</v>
      </c>
      <c r="O76" s="684">
        <v>4</v>
      </c>
      <c r="P76" s="555">
        <f t="shared" si="92"/>
        <v>23</v>
      </c>
      <c r="Q76" s="684">
        <v>3</v>
      </c>
      <c r="R76" s="684">
        <v>0.7</v>
      </c>
      <c r="S76" s="555">
        <f t="shared" si="95"/>
        <v>15.652173913043478</v>
      </c>
      <c r="T76" s="696">
        <f t="shared" si="84"/>
        <v>16.099999999999998</v>
      </c>
      <c r="U76" s="684" t="s">
        <v>499</v>
      </c>
      <c r="V76" s="555">
        <v>16</v>
      </c>
      <c r="W76" s="684">
        <f>IF(U76="C.C.Fusíveis",VLOOKUP(V76,Consulta!$L$5:$N$31,3,FALSE),VLOOKUP(V76,Consulta!$P$5:$R$34,3,FALSE))</f>
        <v>21.6</v>
      </c>
      <c r="X76" s="698">
        <f t="shared" si="93"/>
        <v>34</v>
      </c>
      <c r="Y76" s="821">
        <f t="shared" si="85"/>
        <v>0.97218471509586835</v>
      </c>
      <c r="Z76" s="689" t="str">
        <f t="shared" si="94"/>
        <v>Sim</v>
      </c>
      <c r="AA76" s="762">
        <f t="shared" si="96"/>
        <v>6.5243555363796182E-2</v>
      </c>
      <c r="AB76" s="762">
        <f t="shared" si="97"/>
        <v>8.876249999999998E-2</v>
      </c>
      <c r="AC76" s="762">
        <f t="shared" si="98"/>
        <v>0</v>
      </c>
      <c r="AD76" s="686">
        <f t="shared" si="102"/>
        <v>1.851110134115298</v>
      </c>
      <c r="AE76" s="686">
        <f t="shared" si="99"/>
        <v>2.7786521739130428</v>
      </c>
      <c r="AF76" s="686">
        <f t="shared" si="100"/>
        <v>4.629762308028341</v>
      </c>
      <c r="AG76" s="687">
        <f t="shared" si="34"/>
        <v>1.2081096408317577E-2</v>
      </c>
      <c r="AH76" s="763">
        <f t="shared" si="34"/>
        <v>2.0129401339253658E-2</v>
      </c>
      <c r="AI76" s="686">
        <f t="shared" si="101"/>
        <v>1.4934477703275331</v>
      </c>
      <c r="AJ76" s="684">
        <v>3</v>
      </c>
      <c r="AK76" s="686">
        <v>0.1</v>
      </c>
      <c r="AL76" s="698">
        <f t="shared" si="89"/>
        <v>115</v>
      </c>
      <c r="AM76" s="686">
        <f t="shared" si="90"/>
        <v>4.106692626726117</v>
      </c>
      <c r="AN76" s="689">
        <f t="shared" si="86"/>
        <v>1</v>
      </c>
      <c r="AO76" s="689" t="s">
        <v>563</v>
      </c>
      <c r="AP76" s="689" t="s">
        <v>523</v>
      </c>
      <c r="AQ76" s="689" t="str">
        <f t="shared" si="87"/>
        <v>3G</v>
      </c>
      <c r="AR76" s="689">
        <f t="shared" si="88"/>
        <v>2.5</v>
      </c>
      <c r="AS76" s="897" t="str">
        <f t="shared" si="91"/>
        <v/>
      </c>
      <c r="AT76" s="897" t="str">
        <f>IF(OR(AQ76="3G",AQ76="5G"),"",VLOOKUP(AR76,Consulta!$T$5:$U$25,2,FALSE))</f>
        <v/>
      </c>
      <c r="AU76" s="898" t="s">
        <v>565</v>
      </c>
      <c r="AV76" s="689" t="s">
        <v>23</v>
      </c>
      <c r="AW76" s="689" t="s">
        <v>564</v>
      </c>
      <c r="AX76" s="689">
        <f t="shared" ref="AX76:AX102" si="103">IF(AND(F76="Monofásico",I76="Fio/Canalizações"),BY75,IF(AND(F76="Trifásico",I76="Fio/Canalizações"),BZ75,IF(AND(F76="Monofásico",I76="Cabo/Canalizações"),CA75,IF(AND(F76="Trifásico",I76="Cabo/Canalizações"),CB75,IF(AND(F76="Monofásico",I76="Fio/Colunas&amp;Entradas"),CC75,IF(AND(F76="Trifásico",I76="Fio/Colunas&amp;Entradas"),CD75,IF(AND(F76="Monofásico",I76="Cabo/Colunas&amp;Entradas"),CE75,IF(AND(F76="Trifásico",I76="Cabo/Colunas&amp;Entradas"),CF75))))))))</f>
        <v>20</v>
      </c>
      <c r="AY76" s="690" t="s">
        <v>24</v>
      </c>
      <c r="AZ76" s="564"/>
      <c r="BA76" s="584">
        <f>IF(AND(J76="Cobre",F76="Monofásico"),VLOOKUP(M76,'Iz''s'!$B$8:$E$23,2,FALSE),IF(AND(J76="Cobre",F76="Trifásico"),VLOOKUP(M76,'Iz''s'!$L$8:$O$23,2,FALSE),IF(AND(J76="Alumínio",F76="Monofásico"),VLOOKUP(M76,'Iz''s'!$B$25:$E$39,2,FALSE),IF(AND(J76="Alumínio",F76="Trifásico"),VLOOKUP(M76,'Iz''s'!$L$25:$O$39,2,FALSE)))))</f>
        <v>19.5</v>
      </c>
      <c r="BB76" s="531">
        <f>IF(AND(J76="Cobre",F76="Monofásico"),VLOOKUP(M76,'Iz''s'!$CD$9:$CH$24,2,FALSE),IF(AND(J76="Cobre",F76="Trifásico"),VLOOKUP(M76,'Iz''s'!$CD$9:$CH$24,4,FALSE),IF(AND(J76="Alumínio",F76="Monofásico"),VLOOKUP(M76,'Iz''s'!$CD$26:$CH$40,2,FALSE),IF(AND(J76="Alumínio",F76="Trifásico"),VLOOKUP(M76,'Iz''s'!$CD$26:$CH$40,4,FALSE)))))</f>
        <v>18.5</v>
      </c>
      <c r="BC76" s="531">
        <f>IF(AND(J76="Cobre",F76="Monofásico"),VLOOKUP(M76,'Iz''s'!$B$8:$E$23,3,FALSE),IF(AND(J76="Cobre",F76="Trifásico"),VLOOKUP(M76,'Iz''s'!$L$8:$O$23,3,FALSE),IF(AND(J76="Alumínio",F76="Monofásico"),VLOOKUP(M76,'Iz''s'!$B$25:$E$39,3,FALSE),IF(AND(J76="Alumínio",F76="Trifásico"),VLOOKUP(M76,'Iz''s'!$L$25:$O$39,3,FALSE)))))</f>
        <v>24</v>
      </c>
      <c r="BD76" s="531">
        <f>IF(AND(J76="Cobre",F76="Monofásico"),VLOOKUP(M76,'Iz''s'!$CD$9:$CH$24,3,FALSE),IF(AND(J76="Cobre",F76="Trifásico"),VLOOKUP(M76,'Iz''s'!$CD$9:$CH$24,5,FALSE),IF(AND(J76="Alumínio",F76="Monofásico"),VLOOKUP(M76,'Iz''s'!$CD$26:$CH$40,3,FALSE),IF(AND(J76="Alumínio",F76="Trifásico"),VLOOKUP(M76,'Iz''s'!$CD$26:$CH$40,5,FALSE)))))</f>
        <v>23</v>
      </c>
      <c r="BE76" s="531">
        <f>IF(AND(J76="Cobre",F76="Monofásico"),VLOOKUP(M76,'Iz''s'!$B$8:$E$23,4,FALSE),IF(AND(J76="Cobre",F76="Trifásico"),VLOOKUP(M76,'Iz''s'!$L$8:$O$23,4,FALSE),IF(AND(J76="Alumínio",F76="Monofásico"),VLOOKUP(M76,'Iz''s'!$B$25:$E$39,4,FALSE),IF(AND(J76="Alumínio",F76="Trifásico"),VLOOKUP(M76,'Iz''s'!$L$25:$O$39,4,FALSE)))))</f>
        <v>27</v>
      </c>
      <c r="BF76" s="531">
        <f>IF(AND(J76="Cobre",F76="Monofásico"),VLOOKUP(M76,'Iz''s'!$CP$9:$CT$24,3,FALSE),IF(AND(J76="Cobre",F76="Trifásico"),VLOOKUP(M76,'Iz''s'!$CP$9:$CT$24,2,FALSE),IF(AND(J76="Alumínio",F76="Monofásico"),VLOOKUP(M76,'Iz''s'!$CP$26:$CT$37,3,FALSE),IF(AND(J76="Alumínio",F76="Trifásico"),VLOOKUP(M76,'Iz''s'!$CP$26:$CT$37,2,FALSE)))))</f>
        <v>42</v>
      </c>
      <c r="BG76" s="531">
        <f>IF(AND(J76="Cobre",F76="Monofásico"),VLOOKUP(M76,'Iz''s'!$AT$10:$BA$28,2,FALSE),IF(AND(J76="Cobre",F76="Trifásico"),VLOOKUP(M76,'Iz''s'!$AT$10:$BA$28,3,FALSE),IF(AND(J76="Alumínio",F76="Monofásico"),VLOOKUP(M76,'Iz''s'!$BC$10:$BJ$27,2,FALSE),IF(AND(J76="Alumínio",F76="Trifásico"),VLOOKUP(M76,'Iz''s'!$BC$10:$BJ$27,3,FALSE)))))</f>
        <v>30</v>
      </c>
      <c r="BH76" s="609" t="str">
        <f>IF(AND(J76="Cobre",F76="Monofásico"),VLOOKUP(M76,'Iz''s'!$AT$10:$BA$28,4,FALSE),IF(AND(J76="Cobre",F76="Trifásico"),VLOOKUP(M76,'Iz''s'!$AT$10:$BA$28,5,FALSE),IF(AND(J76="Alumínio",F76="Monofásico"),VLOOKUP(M76,'Iz''s'!$BC$10:$BJ$27,4,FALSE),IF(AND(J76="Alumínio",F76="Trifásico"),VLOOKUP(M76,'Iz''s'!$BC$10:$BJ$27,5,FALSE)))))</f>
        <v xml:space="preserve"> --- </v>
      </c>
      <c r="BI76" s="609" t="str">
        <f>IF(AND(J76="Cobre",F76="Monofásico"),"N/A",IF(AND(J76="Cobre",F76="Trifásico"),VLOOKUP(M76,'Iz''s'!$AT$10:$BA$28,8,FALSE),IF(AND(J76="Alumínio",F76="Monofásico"),"N/A",IF(AND(J76="Alumínio",F76="Trifásico"),VLOOKUP(M76,'Iz''s'!$BC$10:$BJ$27,8,FALSE)))))</f>
        <v>N/A</v>
      </c>
      <c r="BJ76" s="531">
        <f>IF(AND(J76="Cobre",F76="Monofásico"),VLOOKUP(M76,'Iz''s'!$G$8:$J$23,2,FALSE),IF(AND(J76="Cobre",F76="Trifásico"),VLOOKUP(M76,'Iz''s'!$Q$8:$T$23,2,FALSE),IF(AND(J76="Alumínio",F76="Monofásico"),VLOOKUP(M76,'Iz''s'!$G$25:$J$39,2,FALSE),IF(AND(J76="Alumínio",F76="Trifásico"),VLOOKUP(M76,'Iz''s'!$Q$25:$T$39,2,FALSE)))))</f>
        <v>26</v>
      </c>
      <c r="BK76" s="609">
        <f>IF(AND(J76="Cobre",F76="Monofásico"),VLOOKUP(M76,'Iz''s'!$CJ$9:$CN$24,2,FALSE),IF(AND(J76="Cobre",F76="Trifásico"),VLOOKUP(M76,'Iz''s'!$CJ$9:$CN$24,4,FALSE),IF(AND(J76="Alumínio",F76="Monofásico"),VLOOKUP(M76,'Iz''s'!$CJ$26:$CN$40,2,FALSE),IF(AND(J76="Alumínio",F76="Trifásico"),VLOOKUP(M76,'Iz''s'!$CJ$26:$CN$40,4,FALSE)))))</f>
        <v>25</v>
      </c>
      <c r="BL76" s="609">
        <f>IF(AND(J76="Cobre",F76="Monofásico"),VLOOKUP(M76,'Iz''s'!$G$8:$J$23,3,FALSE),IF(AND(J76="Cobre",F76="Trifásico"),VLOOKUP(M76,'Iz''s'!$Q$8:$T$23,3,FALSE),IF(AND(J76="Alumínio",F76="Monofásico"),VLOOKUP(M76,'Iz''s'!$G$25:$J$39,3,FALSE),IF(AND(J76="Alumínio",F76="Trifásico"),VLOOKUP(M76,'Iz''s'!$Q$25:$T$39,3,FALSE)))))</f>
        <v>31</v>
      </c>
      <c r="BM76" s="609">
        <f>IF(AND(J76="Cobre",F76="Monofásico"),VLOOKUP(M76,'Iz''s'!$CJ$9:$CN$24,3,FALSE),IF(AND(J76="Cobre",F76="Trifásico"),VLOOKUP(M76,'Iz''s'!$CJ$9:$CN$24,5,FALSE),IF(AND(J76="Alumínio",F76="Monofásico"),VLOOKUP(M76,'Iz''s'!$CJ$26:$CN$40,3,FALSE),IF(AND(J76="Alumínio",F76="Trifásico"),VLOOKUP(M76,'Iz''s'!$CJ$26:$CN$40,5,FALSE)))))</f>
        <v>30</v>
      </c>
      <c r="BN76" s="609">
        <f>IF(AND(J76="Cobre",F76="Monofásico"),VLOOKUP(M76,'Iz''s'!$G$8:$J$23,4,FALSE),IF(AND(J76="Cobre",F76="Trifásico"),VLOOKUP(M76,'Iz''s'!$Q$8:$T$23,4,FALSE),IF(AND(J76="Alumínio",F76="Monofásico"),VLOOKUP(M76,'Iz''s'!$G$25:$J$39,4,FALSE),IF(AND(J76="Alumínio",F76="Trifásico"),VLOOKUP(M76,'Iz''s'!$Q$25:$T$39,4,FALSE)))))</f>
        <v>33</v>
      </c>
      <c r="BO76" s="609">
        <f>IF(AND(J76="Cobre",F76="Monofásico"),VLOOKUP(M76,'Iz''s'!$CP$9:$CT$24,5,FALSE),IF(AND(J76="Cobre",F76="Trifásico"),VLOOKUP(M76,'Iz''s'!$CP$9:$CT$24,4,FALSE),IF(AND(J76="Alumínio",F76="Monofásico"),VLOOKUP(M76,'Iz''s'!$CP$26:$CT$37,5,FALSE),IF(AND(J76="Alumínio",F76="Trifásico"),VLOOKUP(M76,'Iz''s'!$CP$26:$CT$37,4,FALSE)))))</f>
        <v>48</v>
      </c>
      <c r="BP76" s="609">
        <f>IF(AND(J76="Cobre",F76="Monofásico"),VLOOKUP(M76,'Iz''s'!$BL$10:$BS$28,2,FALSE),IF(AND(J76="Cobre",F76="Trifásico"),VLOOKUP(M76,'Iz''s'!$BL$10:$BS$28,3,FALSE),IF(AND(J76="Alumínio",F76="Monofásico"),VLOOKUP(M76,'Iz''s'!$BU$10:$CB$27,2,FALSE),IF(AND(J76="Alumínio",F76="Trifásico"),VLOOKUP(M76,'Iz''s'!$BU$10:$CB$27,3,FALSE)))))</f>
        <v>36</v>
      </c>
      <c r="BQ76" s="531" t="str">
        <f>IF(AND(J76="Cobre",F76="Monofásico"),VLOOKUP(M76,'Iz''s'!$BL$10:$BS$28,4,FALSE),IF(AND(J76="Cobre",F76="Trifásico"),VLOOKUP(M76,'Iz''s'!$BL$10:$BS$28,5,FALSE),IF(AND(J76="Alumínio",F76="Monofásico"),VLOOKUP(M76,'Iz''s'!$BU$10:$CB$27,4,FALSE),IF(AND(J76="Alumínio",F76="Trifásico"),VLOOKUP(M76,'Iz''s'!$BU$10:$CB$27,5,FALSE)))))</f>
        <v xml:space="preserve"> --- </v>
      </c>
      <c r="BR76" s="609" t="str">
        <f>IF(AND(J76="Cobre",F76="Monofásico"),"N/A",IF(AND(J76="Cobre",F76="Trifásico"),VLOOKUP(M76,'Iz''s'!$BL$10:$BS$28,8,FALSE),IF(AND(J76="Alumínio",F76="Monofásico"),"N/A",IF(AND(J76="Alumínio",F76="Trifásico"),VLOOKUP(M76,'Iz''s'!$BU$10:$CB$27,8,FALSE)))))</f>
        <v>N/A</v>
      </c>
      <c r="BS76" s="609">
        <f>IF(AND(J76="Cobre",F76="Monofásico"),VLOOKUP(M76,'Iz''s'!$V$14:$Y$28,2,FALSE),IF(AND(J76="Cobre",F76="Trifásico"),VLOOKUP(M76,'Iz''s'!$V$14:$Y$28,3,FALSE),IF(AND(J76="Alumínio",F76="Monofásico"),VLOOKUP(M76,"N/A",4,FALSE),IF(AND(J76="Alumínio",F76="Trifásico"),VLOOKUP(M76,"N/A",4,FALSE)))))</f>
        <v>34</v>
      </c>
      <c r="BT76" s="609">
        <f>IF(AND(J76="Cobre",F76="Monofásico"),VLOOKUP(M76,'Iz''s'!$AF$15:$AK$29,2,FALSE),IF(AND(J76="Cobre",F76="Trifásico"),VLOOKUP(M76,'Iz''s'!$AF$15:$AK$29,3,FALSE),IF(AND(J76="Alumínio",F76="Monofásico"),"N/A",IF(AND(J76="Alumínio",F76="Trifásico"),"N/A"))))</f>
        <v>36</v>
      </c>
      <c r="BU76" s="609">
        <f>IF(AND(J76="Cobre",F76="Monofásico"),VLOOKUP(M76,'Iz''s'!$AF$15:$AK$29,2,FALSE),IF(AND(J76="Cobre",F76="Trifásico"),VLOOKUP(M76,'Iz''s'!$AF$15:$AK$29,3,FALSE),IF(AND(J76="Alumínio",F76="Monofásico"),"N/A",IF(AND(J76="Alumínio",F76="Trifásico"),"N/A"))))</f>
        <v>36</v>
      </c>
      <c r="BV76" s="610" t="str">
        <f>IF(AND(J76="Cobre",F76="Monofásico"),"N/A",IF(AND(J76="Cobre",F76="Trifásico"),VLOOKUP(M76,'Iz''s'!$AF$15:$AK$29,6,FALSE),IF(AND(J76="Alumínio",F76="Monofásico"),"N/A",IF(AND(J76="Alumínio",F76="Trifásico"),"N/A"))))</f>
        <v>N/A</v>
      </c>
      <c r="BW76" s="611">
        <v>74</v>
      </c>
      <c r="BX76" s="565"/>
      <c r="BY76" s="612">
        <f>VLOOKUP(M76,Consulta!$W$6:$AB$23,4,FALSE)</f>
        <v>16</v>
      </c>
      <c r="BZ76" s="612">
        <f>VLOOKUP(M76,Consulta!$W$6:$AB$23,6,FALSE)</f>
        <v>20</v>
      </c>
      <c r="CA76" s="612">
        <f>VLOOKUP(M76,Consulta!$AK$6:$AP$23,4,FALSE)</f>
        <v>20</v>
      </c>
      <c r="CB76" s="612">
        <f>VLOOKUP(M76,Consulta!$AK$6:$AP$23,6,FALSE)</f>
        <v>25</v>
      </c>
      <c r="CC76" s="585" t="e">
        <f>VLOOKUP(M76,Consulta!$AD$6:$AI$19,4,FALSE)</f>
        <v>#N/A</v>
      </c>
      <c r="CD76" s="585" t="e">
        <f>VLOOKUP(M76,Consulta!$AD$6:$AI$19,6,FALSE)</f>
        <v>#N/A</v>
      </c>
      <c r="CE76" s="585" t="e">
        <f>VLOOKUP(M76,Consulta!$AR$6:$AW$19,4,FALSE)</f>
        <v>#N/A</v>
      </c>
      <c r="CF76" s="586" t="e">
        <f>VLOOKUP(M76,Consulta!$AR$6:$AW$19,6,FALSE)</f>
        <v>#N/A</v>
      </c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</row>
    <row r="77" spans="1:212" s="532" customFormat="1" ht="16.5" customHeight="1" x14ac:dyDescent="0.2">
      <c r="A77" s="571"/>
      <c r="B77" s="1115"/>
      <c r="C77" s="819" t="s">
        <v>862</v>
      </c>
      <c r="D77" s="684">
        <v>3.6</v>
      </c>
      <c r="E77" s="684">
        <f>9.54+2.83</f>
        <v>12.37</v>
      </c>
      <c r="F77" s="684" t="s">
        <v>244</v>
      </c>
      <c r="G77" s="684" t="s">
        <v>808</v>
      </c>
      <c r="H77" s="684">
        <v>1</v>
      </c>
      <c r="I77" s="760" t="s">
        <v>13</v>
      </c>
      <c r="J77" s="684" t="s">
        <v>242</v>
      </c>
      <c r="K77" s="684" t="s">
        <v>363</v>
      </c>
      <c r="L77" s="684">
        <v>1</v>
      </c>
      <c r="M77" s="685">
        <v>2.5</v>
      </c>
      <c r="N77" s="684" t="s">
        <v>453</v>
      </c>
      <c r="O77" s="684">
        <v>4</v>
      </c>
      <c r="P77" s="555">
        <f t="shared" si="92"/>
        <v>23</v>
      </c>
      <c r="Q77" s="684">
        <v>3</v>
      </c>
      <c r="R77" s="684">
        <v>0.8</v>
      </c>
      <c r="S77" s="555">
        <f t="shared" si="95"/>
        <v>15.652173913043478</v>
      </c>
      <c r="T77" s="696">
        <f t="shared" si="84"/>
        <v>18.400000000000002</v>
      </c>
      <c r="U77" s="684" t="s">
        <v>499</v>
      </c>
      <c r="V77" s="555">
        <v>16</v>
      </c>
      <c r="W77" s="684">
        <f>IF(U77="C.C.Fusíveis",VLOOKUP(V77,Consulta!$L$5:$N$31,3,FALSE),VLOOKUP(V77,Consulta!$P$5:$R$34,3,FALSE))</f>
        <v>21.6</v>
      </c>
      <c r="X77" s="698">
        <f t="shared" si="93"/>
        <v>34</v>
      </c>
      <c r="Y77" s="821">
        <f t="shared" si="85"/>
        <v>0.85066162570888459</v>
      </c>
      <c r="Z77" s="689" t="str">
        <f t="shared" si="94"/>
        <v>Sim</v>
      </c>
      <c r="AA77" s="762">
        <f t="shared" si="96"/>
        <v>6.5243555363796182E-2</v>
      </c>
      <c r="AB77" s="762">
        <f t="shared" si="97"/>
        <v>0.13916249999999997</v>
      </c>
      <c r="AC77" s="762">
        <f t="shared" si="98"/>
        <v>0</v>
      </c>
      <c r="AD77" s="686">
        <f t="shared" si="102"/>
        <v>1.851110134115298</v>
      </c>
      <c r="AE77" s="686">
        <f t="shared" si="99"/>
        <v>4.3563913043478255</v>
      </c>
      <c r="AF77" s="686">
        <f t="shared" si="100"/>
        <v>6.2075014384631233</v>
      </c>
      <c r="AG77" s="687">
        <f t="shared" si="34"/>
        <v>1.8940831758034023E-2</v>
      </c>
      <c r="AH77" s="763">
        <f t="shared" si="34"/>
        <v>2.69891366889701E-2</v>
      </c>
      <c r="AI77" s="686">
        <f t="shared" si="101"/>
        <v>1.1252112839350699</v>
      </c>
      <c r="AJ77" s="684">
        <v>3</v>
      </c>
      <c r="AK77" s="686">
        <v>0.1</v>
      </c>
      <c r="AL77" s="698">
        <f t="shared" si="89"/>
        <v>115</v>
      </c>
      <c r="AM77" s="686">
        <f t="shared" si="90"/>
        <v>3.0941134836150002</v>
      </c>
      <c r="AN77" s="689">
        <f t="shared" si="86"/>
        <v>1</v>
      </c>
      <c r="AO77" s="689" t="s">
        <v>563</v>
      </c>
      <c r="AP77" s="689" t="s">
        <v>523</v>
      </c>
      <c r="AQ77" s="689" t="str">
        <f t="shared" si="87"/>
        <v>3G</v>
      </c>
      <c r="AR77" s="689">
        <f t="shared" si="88"/>
        <v>2.5</v>
      </c>
      <c r="AS77" s="897" t="str">
        <f t="shared" si="91"/>
        <v/>
      </c>
      <c r="AT77" s="897" t="str">
        <f>IF(OR(AQ77="3G",AQ77="5G"),"",VLOOKUP(AR77,Consulta!$T$5:$U$25,2,FALSE))</f>
        <v/>
      </c>
      <c r="AU77" s="898" t="s">
        <v>565</v>
      </c>
      <c r="AV77" s="689" t="s">
        <v>23</v>
      </c>
      <c r="AW77" s="689" t="s">
        <v>564</v>
      </c>
      <c r="AX77" s="689">
        <f t="shared" si="103"/>
        <v>20</v>
      </c>
      <c r="AY77" s="690" t="s">
        <v>24</v>
      </c>
      <c r="AZ77" s="564"/>
      <c r="BA77" s="584">
        <f>IF(AND(J77="Cobre",F77="Monofásico"),VLOOKUP(M77,'Iz''s'!$B$8:$E$23,2,FALSE),IF(AND(J77="Cobre",F77="Trifásico"),VLOOKUP(M77,'Iz''s'!$L$8:$O$23,2,FALSE),IF(AND(J77="Alumínio",F77="Monofásico"),VLOOKUP(M77,'Iz''s'!$B$25:$E$39,2,FALSE),IF(AND(J77="Alumínio",F77="Trifásico"),VLOOKUP(M77,'Iz''s'!$L$25:$O$39,2,FALSE)))))</f>
        <v>19.5</v>
      </c>
      <c r="BB77" s="531">
        <f>IF(AND(J77="Cobre",F77="Monofásico"),VLOOKUP(M77,'Iz''s'!$CD$9:$CH$24,2,FALSE),IF(AND(J77="Cobre",F77="Trifásico"),VLOOKUP(M77,'Iz''s'!$CD$9:$CH$24,4,FALSE),IF(AND(J77="Alumínio",F77="Monofásico"),VLOOKUP(M77,'Iz''s'!$CD$26:$CH$40,2,FALSE),IF(AND(J77="Alumínio",F77="Trifásico"),VLOOKUP(M77,'Iz''s'!$CD$26:$CH$40,4,FALSE)))))</f>
        <v>18.5</v>
      </c>
      <c r="BC77" s="531">
        <f>IF(AND(J77="Cobre",F77="Monofásico"),VLOOKUP(M77,'Iz''s'!$B$8:$E$23,3,FALSE),IF(AND(J77="Cobre",F77="Trifásico"),VLOOKUP(M77,'Iz''s'!$L$8:$O$23,3,FALSE),IF(AND(J77="Alumínio",F77="Monofásico"),VLOOKUP(M77,'Iz''s'!$B$25:$E$39,3,FALSE),IF(AND(J77="Alumínio",F77="Trifásico"),VLOOKUP(M77,'Iz''s'!$L$25:$O$39,3,FALSE)))))</f>
        <v>24</v>
      </c>
      <c r="BD77" s="531">
        <f>IF(AND(J77="Cobre",F77="Monofásico"),VLOOKUP(M77,'Iz''s'!$CD$9:$CH$24,3,FALSE),IF(AND(J77="Cobre",F77="Trifásico"),VLOOKUP(M77,'Iz''s'!$CD$9:$CH$24,5,FALSE),IF(AND(J77="Alumínio",F77="Monofásico"),VLOOKUP(M77,'Iz''s'!$CD$26:$CH$40,3,FALSE),IF(AND(J77="Alumínio",F77="Trifásico"),VLOOKUP(M77,'Iz''s'!$CD$26:$CH$40,5,FALSE)))))</f>
        <v>23</v>
      </c>
      <c r="BE77" s="531">
        <f>IF(AND(J77="Cobre",F77="Monofásico"),VLOOKUP(M77,'Iz''s'!$B$8:$E$23,4,FALSE),IF(AND(J77="Cobre",F77="Trifásico"),VLOOKUP(M77,'Iz''s'!$L$8:$O$23,4,FALSE),IF(AND(J77="Alumínio",F77="Monofásico"),VLOOKUP(M77,'Iz''s'!$B$25:$E$39,4,FALSE),IF(AND(J77="Alumínio",F77="Trifásico"),VLOOKUP(M77,'Iz''s'!$L$25:$O$39,4,FALSE)))))</f>
        <v>27</v>
      </c>
      <c r="BF77" s="531">
        <f>IF(AND(J77="Cobre",F77="Monofásico"),VLOOKUP(M77,'Iz''s'!$CP$9:$CT$24,3,FALSE),IF(AND(J77="Cobre",F77="Trifásico"),VLOOKUP(M77,'Iz''s'!$CP$9:$CT$24,2,FALSE),IF(AND(J77="Alumínio",F77="Monofásico"),VLOOKUP(M77,'Iz''s'!$CP$26:$CT$37,3,FALSE),IF(AND(J77="Alumínio",F77="Trifásico"),VLOOKUP(M77,'Iz''s'!$CP$26:$CT$37,2,FALSE)))))</f>
        <v>42</v>
      </c>
      <c r="BG77" s="531">
        <f>IF(AND(J77="Cobre",F77="Monofásico"),VLOOKUP(M77,'Iz''s'!$AT$10:$BA$28,2,FALSE),IF(AND(J77="Cobre",F77="Trifásico"),VLOOKUP(M77,'Iz''s'!$AT$10:$BA$28,3,FALSE),IF(AND(J77="Alumínio",F77="Monofásico"),VLOOKUP(M77,'Iz''s'!$BC$10:$BJ$27,2,FALSE),IF(AND(J77="Alumínio",F77="Trifásico"),VLOOKUP(M77,'Iz''s'!$BC$10:$BJ$27,3,FALSE)))))</f>
        <v>30</v>
      </c>
      <c r="BH77" s="609" t="str">
        <f>IF(AND(J77="Cobre",F77="Monofásico"),VLOOKUP(M77,'Iz''s'!$AT$10:$BA$28,4,FALSE),IF(AND(J77="Cobre",F77="Trifásico"),VLOOKUP(M77,'Iz''s'!$AT$10:$BA$28,5,FALSE),IF(AND(J77="Alumínio",F77="Monofásico"),VLOOKUP(M77,'Iz''s'!$BC$10:$BJ$27,4,FALSE),IF(AND(J77="Alumínio",F77="Trifásico"),VLOOKUP(M77,'Iz''s'!$BC$10:$BJ$27,5,FALSE)))))</f>
        <v xml:space="preserve"> --- </v>
      </c>
      <c r="BI77" s="609" t="str">
        <f>IF(AND(J77="Cobre",F77="Monofásico"),"N/A",IF(AND(J77="Cobre",F77="Trifásico"),VLOOKUP(M77,'Iz''s'!$AT$10:$BA$28,8,FALSE),IF(AND(J77="Alumínio",F77="Monofásico"),"N/A",IF(AND(J77="Alumínio",F77="Trifásico"),VLOOKUP(M77,'Iz''s'!$BC$10:$BJ$27,8,FALSE)))))</f>
        <v>N/A</v>
      </c>
      <c r="BJ77" s="531">
        <f>IF(AND(J77="Cobre",F77="Monofásico"),VLOOKUP(M77,'Iz''s'!$G$8:$J$23,2,FALSE),IF(AND(J77="Cobre",F77="Trifásico"),VLOOKUP(M77,'Iz''s'!$Q$8:$T$23,2,FALSE),IF(AND(J77="Alumínio",F77="Monofásico"),VLOOKUP(M77,'Iz''s'!$G$25:$J$39,2,FALSE),IF(AND(J77="Alumínio",F77="Trifásico"),VLOOKUP(M77,'Iz''s'!$Q$25:$T$39,2,FALSE)))))</f>
        <v>26</v>
      </c>
      <c r="BK77" s="609">
        <f>IF(AND(J77="Cobre",F77="Monofásico"),VLOOKUP(M77,'Iz''s'!$CJ$9:$CN$24,2,FALSE),IF(AND(J77="Cobre",F77="Trifásico"),VLOOKUP(M77,'Iz''s'!$CJ$9:$CN$24,4,FALSE),IF(AND(J77="Alumínio",F77="Monofásico"),VLOOKUP(M77,'Iz''s'!$CJ$26:$CN$40,2,FALSE),IF(AND(J77="Alumínio",F77="Trifásico"),VLOOKUP(M77,'Iz''s'!$CJ$26:$CN$40,4,FALSE)))))</f>
        <v>25</v>
      </c>
      <c r="BL77" s="609">
        <f>IF(AND(J77="Cobre",F77="Monofásico"),VLOOKUP(M77,'Iz''s'!$G$8:$J$23,3,FALSE),IF(AND(J77="Cobre",F77="Trifásico"),VLOOKUP(M77,'Iz''s'!$Q$8:$T$23,3,FALSE),IF(AND(J77="Alumínio",F77="Monofásico"),VLOOKUP(M77,'Iz''s'!$G$25:$J$39,3,FALSE),IF(AND(J77="Alumínio",F77="Trifásico"),VLOOKUP(M77,'Iz''s'!$Q$25:$T$39,3,FALSE)))))</f>
        <v>31</v>
      </c>
      <c r="BM77" s="609">
        <f>IF(AND(J77="Cobre",F77="Monofásico"),VLOOKUP(M77,'Iz''s'!$CJ$9:$CN$24,3,FALSE),IF(AND(J77="Cobre",F77="Trifásico"),VLOOKUP(M77,'Iz''s'!$CJ$9:$CN$24,5,FALSE),IF(AND(J77="Alumínio",F77="Monofásico"),VLOOKUP(M77,'Iz''s'!$CJ$26:$CN$40,3,FALSE),IF(AND(J77="Alumínio",F77="Trifásico"),VLOOKUP(M77,'Iz''s'!$CJ$26:$CN$40,5,FALSE)))))</f>
        <v>30</v>
      </c>
      <c r="BN77" s="609">
        <f>IF(AND(J77="Cobre",F77="Monofásico"),VLOOKUP(M77,'Iz''s'!$G$8:$J$23,4,FALSE),IF(AND(J77="Cobre",F77="Trifásico"),VLOOKUP(M77,'Iz''s'!$Q$8:$T$23,4,FALSE),IF(AND(J77="Alumínio",F77="Monofásico"),VLOOKUP(M77,'Iz''s'!$G$25:$J$39,4,FALSE),IF(AND(J77="Alumínio",F77="Trifásico"),VLOOKUP(M77,'Iz''s'!$Q$25:$T$39,4,FALSE)))))</f>
        <v>33</v>
      </c>
      <c r="BO77" s="609">
        <f>IF(AND(J77="Cobre",F77="Monofásico"),VLOOKUP(M77,'Iz''s'!$CP$9:$CT$24,5,FALSE),IF(AND(J77="Cobre",F77="Trifásico"),VLOOKUP(M77,'Iz''s'!$CP$9:$CT$24,4,FALSE),IF(AND(J77="Alumínio",F77="Monofásico"),VLOOKUP(M77,'Iz''s'!$CP$26:$CT$37,5,FALSE),IF(AND(J77="Alumínio",F77="Trifásico"),VLOOKUP(M77,'Iz''s'!$CP$26:$CT$37,4,FALSE)))))</f>
        <v>48</v>
      </c>
      <c r="BP77" s="609">
        <f>IF(AND(J77="Cobre",F77="Monofásico"),VLOOKUP(M77,'Iz''s'!$BL$10:$BS$28,2,FALSE),IF(AND(J77="Cobre",F77="Trifásico"),VLOOKUP(M77,'Iz''s'!$BL$10:$BS$28,3,FALSE),IF(AND(J77="Alumínio",F77="Monofásico"),VLOOKUP(M77,'Iz''s'!$BU$10:$CB$27,2,FALSE),IF(AND(J77="Alumínio",F77="Trifásico"),VLOOKUP(M77,'Iz''s'!$BU$10:$CB$27,3,FALSE)))))</f>
        <v>36</v>
      </c>
      <c r="BQ77" s="531" t="str">
        <f>IF(AND(J77="Cobre",F77="Monofásico"),VLOOKUP(M77,'Iz''s'!$BL$10:$BS$28,4,FALSE),IF(AND(J77="Cobre",F77="Trifásico"),VLOOKUP(M77,'Iz''s'!$BL$10:$BS$28,5,FALSE),IF(AND(J77="Alumínio",F77="Monofásico"),VLOOKUP(M77,'Iz''s'!$BU$10:$CB$27,4,FALSE),IF(AND(J77="Alumínio",F77="Trifásico"),VLOOKUP(M77,'Iz''s'!$BU$10:$CB$27,5,FALSE)))))</f>
        <v xml:space="preserve"> --- </v>
      </c>
      <c r="BR77" s="609" t="str">
        <f>IF(AND(J77="Cobre",F77="Monofásico"),"N/A",IF(AND(J77="Cobre",F77="Trifásico"),VLOOKUP(M77,'Iz''s'!$BL$10:$BS$28,8,FALSE),IF(AND(J77="Alumínio",F77="Monofásico"),"N/A",IF(AND(J77="Alumínio",F77="Trifásico"),VLOOKUP(M77,'Iz''s'!$BU$10:$CB$27,8,FALSE)))))</f>
        <v>N/A</v>
      </c>
      <c r="BS77" s="609">
        <f>IF(AND(J77="Cobre",F77="Monofásico"),VLOOKUP(M77,'Iz''s'!$V$14:$Y$28,2,FALSE),IF(AND(J77="Cobre",F77="Trifásico"),VLOOKUP(M77,'Iz''s'!$V$14:$Y$28,3,FALSE),IF(AND(J77="Alumínio",F77="Monofásico"),VLOOKUP(M77,"N/A",4,FALSE),IF(AND(J77="Alumínio",F77="Trifásico"),VLOOKUP(M77,"N/A",4,FALSE)))))</f>
        <v>34</v>
      </c>
      <c r="BT77" s="609">
        <f>IF(AND(J77="Cobre",F77="Monofásico"),VLOOKUP(M77,'Iz''s'!$AF$15:$AK$29,2,FALSE),IF(AND(J77="Cobre",F77="Trifásico"),VLOOKUP(M77,'Iz''s'!$AF$15:$AK$29,3,FALSE),IF(AND(J77="Alumínio",F77="Monofásico"),"N/A",IF(AND(J77="Alumínio",F77="Trifásico"),"N/A"))))</f>
        <v>36</v>
      </c>
      <c r="BU77" s="609">
        <f>IF(AND(J77="Cobre",F77="Monofásico"),VLOOKUP(M77,'Iz''s'!$AF$15:$AK$29,2,FALSE),IF(AND(J77="Cobre",F77="Trifásico"),VLOOKUP(M77,'Iz''s'!$AF$15:$AK$29,3,FALSE),IF(AND(J77="Alumínio",F77="Monofásico"),"N/A",IF(AND(J77="Alumínio",F77="Trifásico"),"N/A"))))</f>
        <v>36</v>
      </c>
      <c r="BV77" s="610" t="str">
        <f>IF(AND(J77="Cobre",F77="Monofásico"),"N/A",IF(AND(J77="Cobre",F77="Trifásico"),VLOOKUP(M77,'Iz''s'!$AF$15:$AK$29,6,FALSE),IF(AND(J77="Alumínio",F77="Monofásico"),"N/A",IF(AND(J77="Alumínio",F77="Trifásico"),"N/A"))))</f>
        <v>N/A</v>
      </c>
      <c r="BW77" s="611">
        <v>75</v>
      </c>
      <c r="BX77" s="565"/>
      <c r="BY77" s="612">
        <f>VLOOKUP(M77,Consulta!$W$6:$AB$23,4,FALSE)</f>
        <v>16</v>
      </c>
      <c r="BZ77" s="612">
        <f>VLOOKUP(M77,Consulta!$W$6:$AB$23,6,FALSE)</f>
        <v>20</v>
      </c>
      <c r="CA77" s="612">
        <f>VLOOKUP(M77,Consulta!$AK$6:$AP$23,4,FALSE)</f>
        <v>20</v>
      </c>
      <c r="CB77" s="612">
        <f>VLOOKUP(M77,Consulta!$AK$6:$AP$23,6,FALSE)</f>
        <v>25</v>
      </c>
      <c r="CC77" s="585" t="e">
        <f>VLOOKUP(M77,Consulta!$AD$6:$AI$19,4,FALSE)</f>
        <v>#N/A</v>
      </c>
      <c r="CD77" s="585" t="e">
        <f>VLOOKUP(M77,Consulta!$AD$6:$AI$19,6,FALSE)</f>
        <v>#N/A</v>
      </c>
      <c r="CE77" s="585" t="e">
        <f>VLOOKUP(M77,Consulta!$AR$6:$AW$19,4,FALSE)</f>
        <v>#N/A</v>
      </c>
      <c r="CF77" s="586" t="e">
        <f>VLOOKUP(M77,Consulta!$AR$6:$AW$19,6,FALSE)</f>
        <v>#N/A</v>
      </c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</row>
    <row r="78" spans="1:212" s="532" customFormat="1" ht="16.5" customHeight="1" x14ac:dyDescent="0.2">
      <c r="A78" s="571"/>
      <c r="B78" s="1115"/>
      <c r="C78" s="819" t="s">
        <v>863</v>
      </c>
      <c r="D78" s="684">
        <v>3.6</v>
      </c>
      <c r="E78" s="684">
        <f>14.77+5.45+4.72+4.55</f>
        <v>29.49</v>
      </c>
      <c r="F78" s="684" t="s">
        <v>244</v>
      </c>
      <c r="G78" s="684" t="s">
        <v>808</v>
      </c>
      <c r="H78" s="684">
        <v>1</v>
      </c>
      <c r="I78" s="760" t="s">
        <v>13</v>
      </c>
      <c r="J78" s="684" t="s">
        <v>242</v>
      </c>
      <c r="K78" s="684" t="s">
        <v>363</v>
      </c>
      <c r="L78" s="684">
        <v>1</v>
      </c>
      <c r="M78" s="685">
        <v>2.5</v>
      </c>
      <c r="N78" s="684" t="s">
        <v>453</v>
      </c>
      <c r="O78" s="684">
        <v>4</v>
      </c>
      <c r="P78" s="555">
        <f t="shared" si="92"/>
        <v>23</v>
      </c>
      <c r="Q78" s="684">
        <v>3</v>
      </c>
      <c r="R78" s="684">
        <v>0.7</v>
      </c>
      <c r="S78" s="555">
        <f t="shared" si="95"/>
        <v>15.652173913043478</v>
      </c>
      <c r="T78" s="696">
        <f t="shared" si="84"/>
        <v>16.099999999999998</v>
      </c>
      <c r="U78" s="684" t="s">
        <v>499</v>
      </c>
      <c r="V78" s="555">
        <v>16</v>
      </c>
      <c r="W78" s="684">
        <f>IF(U78="C.C.Fusíveis",VLOOKUP(V78,Consulta!$L$5:$N$31,3,FALSE),VLOOKUP(V78,Consulta!$P$5:$R$34,3,FALSE))</f>
        <v>21.6</v>
      </c>
      <c r="X78" s="698">
        <f t="shared" si="93"/>
        <v>34</v>
      </c>
      <c r="Y78" s="821">
        <f t="shared" si="85"/>
        <v>0.97218471509586835</v>
      </c>
      <c r="Z78" s="689" t="str">
        <f t="shared" si="94"/>
        <v>Sim</v>
      </c>
      <c r="AA78" s="762">
        <f t="shared" si="96"/>
        <v>6.5243555363796182E-2</v>
      </c>
      <c r="AB78" s="762">
        <f t="shared" si="97"/>
        <v>0.33176249999999996</v>
      </c>
      <c r="AC78" s="762">
        <f t="shared" si="98"/>
        <v>0</v>
      </c>
      <c r="AD78" s="686">
        <f t="shared" si="102"/>
        <v>1.851110134115298</v>
      </c>
      <c r="AE78" s="686">
        <f t="shared" si="99"/>
        <v>10.385608695652174</v>
      </c>
      <c r="AF78" s="686">
        <f t="shared" si="100"/>
        <v>12.236718829767472</v>
      </c>
      <c r="AG78" s="687">
        <f t="shared" si="34"/>
        <v>4.5154820415879017E-2</v>
      </c>
      <c r="AH78" s="763">
        <f t="shared" si="34"/>
        <v>5.3203125346815094E-2</v>
      </c>
      <c r="AI78" s="686">
        <f t="shared" si="101"/>
        <v>0.57933625165802505</v>
      </c>
      <c r="AJ78" s="684">
        <v>3</v>
      </c>
      <c r="AK78" s="686">
        <v>0.1</v>
      </c>
      <c r="AL78" s="698">
        <f t="shared" si="89"/>
        <v>115</v>
      </c>
      <c r="AM78" s="686">
        <f t="shared" si="90"/>
        <v>1.5930626837772686</v>
      </c>
      <c r="AN78" s="689">
        <f t="shared" si="86"/>
        <v>1</v>
      </c>
      <c r="AO78" s="689" t="s">
        <v>563</v>
      </c>
      <c r="AP78" s="689" t="s">
        <v>523</v>
      </c>
      <c r="AQ78" s="689" t="str">
        <f t="shared" si="87"/>
        <v>3G</v>
      </c>
      <c r="AR78" s="689">
        <f t="shared" si="88"/>
        <v>2.5</v>
      </c>
      <c r="AS78" s="897" t="str">
        <f t="shared" si="91"/>
        <v/>
      </c>
      <c r="AT78" s="897" t="str">
        <f>IF(OR(AQ78="3G",AQ78="5G"),"",VLOOKUP(AR78,Consulta!$T$5:$U$25,2,FALSE))</f>
        <v/>
      </c>
      <c r="AU78" s="898" t="s">
        <v>565</v>
      </c>
      <c r="AV78" s="689" t="s">
        <v>23</v>
      </c>
      <c r="AW78" s="689" t="s">
        <v>564</v>
      </c>
      <c r="AX78" s="689">
        <f t="shared" si="103"/>
        <v>20</v>
      </c>
      <c r="AY78" s="690" t="s">
        <v>24</v>
      </c>
      <c r="AZ78" s="564"/>
      <c r="BA78" s="584">
        <f>IF(AND(J78="Cobre",F78="Monofásico"),VLOOKUP(M78,'Iz''s'!$B$8:$E$23,2,FALSE),IF(AND(J78="Cobre",F78="Trifásico"),VLOOKUP(M78,'Iz''s'!$L$8:$O$23,2,FALSE),IF(AND(J78="Alumínio",F78="Monofásico"),VLOOKUP(M78,'Iz''s'!$B$25:$E$39,2,FALSE),IF(AND(J78="Alumínio",F78="Trifásico"),VLOOKUP(M78,'Iz''s'!$L$25:$O$39,2,FALSE)))))</f>
        <v>19.5</v>
      </c>
      <c r="BB78" s="531">
        <f>IF(AND(J78="Cobre",F78="Monofásico"),VLOOKUP(M78,'Iz''s'!$CD$9:$CH$24,2,FALSE),IF(AND(J78="Cobre",F78="Trifásico"),VLOOKUP(M78,'Iz''s'!$CD$9:$CH$24,4,FALSE),IF(AND(J78="Alumínio",F78="Monofásico"),VLOOKUP(M78,'Iz''s'!$CD$26:$CH$40,2,FALSE),IF(AND(J78="Alumínio",F78="Trifásico"),VLOOKUP(M78,'Iz''s'!$CD$26:$CH$40,4,FALSE)))))</f>
        <v>18.5</v>
      </c>
      <c r="BC78" s="531">
        <f>IF(AND(J78="Cobre",F78="Monofásico"),VLOOKUP(M78,'Iz''s'!$B$8:$E$23,3,FALSE),IF(AND(J78="Cobre",F78="Trifásico"),VLOOKUP(M78,'Iz''s'!$L$8:$O$23,3,FALSE),IF(AND(J78="Alumínio",F78="Monofásico"),VLOOKUP(M78,'Iz''s'!$B$25:$E$39,3,FALSE),IF(AND(J78="Alumínio",F78="Trifásico"),VLOOKUP(M78,'Iz''s'!$L$25:$O$39,3,FALSE)))))</f>
        <v>24</v>
      </c>
      <c r="BD78" s="531">
        <f>IF(AND(J78="Cobre",F78="Monofásico"),VLOOKUP(M78,'Iz''s'!$CD$9:$CH$24,3,FALSE),IF(AND(J78="Cobre",F78="Trifásico"),VLOOKUP(M78,'Iz''s'!$CD$9:$CH$24,5,FALSE),IF(AND(J78="Alumínio",F78="Monofásico"),VLOOKUP(M78,'Iz''s'!$CD$26:$CH$40,3,FALSE),IF(AND(J78="Alumínio",F78="Trifásico"),VLOOKUP(M78,'Iz''s'!$CD$26:$CH$40,5,FALSE)))))</f>
        <v>23</v>
      </c>
      <c r="BE78" s="531">
        <f>IF(AND(J78="Cobre",F78="Monofásico"),VLOOKUP(M78,'Iz''s'!$B$8:$E$23,4,FALSE),IF(AND(J78="Cobre",F78="Trifásico"),VLOOKUP(M78,'Iz''s'!$L$8:$O$23,4,FALSE),IF(AND(J78="Alumínio",F78="Monofásico"),VLOOKUP(M78,'Iz''s'!$B$25:$E$39,4,FALSE),IF(AND(J78="Alumínio",F78="Trifásico"),VLOOKUP(M78,'Iz''s'!$L$25:$O$39,4,FALSE)))))</f>
        <v>27</v>
      </c>
      <c r="BF78" s="531">
        <f>IF(AND(J78="Cobre",F78="Monofásico"),VLOOKUP(M78,'Iz''s'!$CP$9:$CT$24,3,FALSE),IF(AND(J78="Cobre",F78="Trifásico"),VLOOKUP(M78,'Iz''s'!$CP$9:$CT$24,2,FALSE),IF(AND(J78="Alumínio",F78="Monofásico"),VLOOKUP(M78,'Iz''s'!$CP$26:$CT$37,3,FALSE),IF(AND(J78="Alumínio",F78="Trifásico"),VLOOKUP(M78,'Iz''s'!$CP$26:$CT$37,2,FALSE)))))</f>
        <v>42</v>
      </c>
      <c r="BG78" s="531">
        <f>IF(AND(J78="Cobre",F78="Monofásico"),VLOOKUP(M78,'Iz''s'!$AT$10:$BA$28,2,FALSE),IF(AND(J78="Cobre",F78="Trifásico"),VLOOKUP(M78,'Iz''s'!$AT$10:$BA$28,3,FALSE),IF(AND(J78="Alumínio",F78="Monofásico"),VLOOKUP(M78,'Iz''s'!$BC$10:$BJ$27,2,FALSE),IF(AND(J78="Alumínio",F78="Trifásico"),VLOOKUP(M78,'Iz''s'!$BC$10:$BJ$27,3,FALSE)))))</f>
        <v>30</v>
      </c>
      <c r="BH78" s="609" t="str">
        <f>IF(AND(J78="Cobre",F78="Monofásico"),VLOOKUP(M78,'Iz''s'!$AT$10:$BA$28,4,FALSE),IF(AND(J78="Cobre",F78="Trifásico"),VLOOKUP(M78,'Iz''s'!$AT$10:$BA$28,5,FALSE),IF(AND(J78="Alumínio",F78="Monofásico"),VLOOKUP(M78,'Iz''s'!$BC$10:$BJ$27,4,FALSE),IF(AND(J78="Alumínio",F78="Trifásico"),VLOOKUP(M78,'Iz''s'!$BC$10:$BJ$27,5,FALSE)))))</f>
        <v xml:space="preserve"> --- </v>
      </c>
      <c r="BI78" s="609" t="str">
        <f>IF(AND(J78="Cobre",F78="Monofásico"),"N/A",IF(AND(J78="Cobre",F78="Trifásico"),VLOOKUP(M78,'Iz''s'!$AT$10:$BA$28,8,FALSE),IF(AND(J78="Alumínio",F78="Monofásico"),"N/A",IF(AND(J78="Alumínio",F78="Trifásico"),VLOOKUP(M78,'Iz''s'!$BC$10:$BJ$27,8,FALSE)))))</f>
        <v>N/A</v>
      </c>
      <c r="BJ78" s="531">
        <f>IF(AND(J78="Cobre",F78="Monofásico"),VLOOKUP(M78,'Iz''s'!$G$8:$J$23,2,FALSE),IF(AND(J78="Cobre",F78="Trifásico"),VLOOKUP(M78,'Iz''s'!$Q$8:$T$23,2,FALSE),IF(AND(J78="Alumínio",F78="Monofásico"),VLOOKUP(M78,'Iz''s'!$G$25:$J$39,2,FALSE),IF(AND(J78="Alumínio",F78="Trifásico"),VLOOKUP(M78,'Iz''s'!$Q$25:$T$39,2,FALSE)))))</f>
        <v>26</v>
      </c>
      <c r="BK78" s="609">
        <f>IF(AND(J78="Cobre",F78="Monofásico"),VLOOKUP(M78,'Iz''s'!$CJ$9:$CN$24,2,FALSE),IF(AND(J78="Cobre",F78="Trifásico"),VLOOKUP(M78,'Iz''s'!$CJ$9:$CN$24,4,FALSE),IF(AND(J78="Alumínio",F78="Monofásico"),VLOOKUP(M78,'Iz''s'!$CJ$26:$CN$40,2,FALSE),IF(AND(J78="Alumínio",F78="Trifásico"),VLOOKUP(M78,'Iz''s'!$CJ$26:$CN$40,4,FALSE)))))</f>
        <v>25</v>
      </c>
      <c r="BL78" s="609">
        <f>IF(AND(J78="Cobre",F78="Monofásico"),VLOOKUP(M78,'Iz''s'!$G$8:$J$23,3,FALSE),IF(AND(J78="Cobre",F78="Trifásico"),VLOOKUP(M78,'Iz''s'!$Q$8:$T$23,3,FALSE),IF(AND(J78="Alumínio",F78="Monofásico"),VLOOKUP(M78,'Iz''s'!$G$25:$J$39,3,FALSE),IF(AND(J78="Alumínio",F78="Trifásico"),VLOOKUP(M78,'Iz''s'!$Q$25:$T$39,3,FALSE)))))</f>
        <v>31</v>
      </c>
      <c r="BM78" s="609">
        <f>IF(AND(J78="Cobre",F78="Monofásico"),VLOOKUP(M78,'Iz''s'!$CJ$9:$CN$24,3,FALSE),IF(AND(J78="Cobre",F78="Trifásico"),VLOOKUP(M78,'Iz''s'!$CJ$9:$CN$24,5,FALSE),IF(AND(J78="Alumínio",F78="Monofásico"),VLOOKUP(M78,'Iz''s'!$CJ$26:$CN$40,3,FALSE),IF(AND(J78="Alumínio",F78="Trifásico"),VLOOKUP(M78,'Iz''s'!$CJ$26:$CN$40,5,FALSE)))))</f>
        <v>30</v>
      </c>
      <c r="BN78" s="609">
        <f>IF(AND(J78="Cobre",F78="Monofásico"),VLOOKUP(M78,'Iz''s'!$G$8:$J$23,4,FALSE),IF(AND(J78="Cobre",F78="Trifásico"),VLOOKUP(M78,'Iz''s'!$Q$8:$T$23,4,FALSE),IF(AND(J78="Alumínio",F78="Monofásico"),VLOOKUP(M78,'Iz''s'!$G$25:$J$39,4,FALSE),IF(AND(J78="Alumínio",F78="Trifásico"),VLOOKUP(M78,'Iz''s'!$Q$25:$T$39,4,FALSE)))))</f>
        <v>33</v>
      </c>
      <c r="BO78" s="609">
        <f>IF(AND(J78="Cobre",F78="Monofásico"),VLOOKUP(M78,'Iz''s'!$CP$9:$CT$24,5,FALSE),IF(AND(J78="Cobre",F78="Trifásico"),VLOOKUP(M78,'Iz''s'!$CP$9:$CT$24,4,FALSE),IF(AND(J78="Alumínio",F78="Monofásico"),VLOOKUP(M78,'Iz''s'!$CP$26:$CT$37,5,FALSE),IF(AND(J78="Alumínio",F78="Trifásico"),VLOOKUP(M78,'Iz''s'!$CP$26:$CT$37,4,FALSE)))))</f>
        <v>48</v>
      </c>
      <c r="BP78" s="609">
        <f>IF(AND(J78="Cobre",F78="Monofásico"),VLOOKUP(M78,'Iz''s'!$BL$10:$BS$28,2,FALSE),IF(AND(J78="Cobre",F78="Trifásico"),VLOOKUP(M78,'Iz''s'!$BL$10:$BS$28,3,FALSE),IF(AND(J78="Alumínio",F78="Monofásico"),VLOOKUP(M78,'Iz''s'!$BU$10:$CB$27,2,FALSE),IF(AND(J78="Alumínio",F78="Trifásico"),VLOOKUP(M78,'Iz''s'!$BU$10:$CB$27,3,FALSE)))))</f>
        <v>36</v>
      </c>
      <c r="BQ78" s="531" t="str">
        <f>IF(AND(J78="Cobre",F78="Monofásico"),VLOOKUP(M78,'Iz''s'!$BL$10:$BS$28,4,FALSE),IF(AND(J78="Cobre",F78="Trifásico"),VLOOKUP(M78,'Iz''s'!$BL$10:$BS$28,5,FALSE),IF(AND(J78="Alumínio",F78="Monofásico"),VLOOKUP(M78,'Iz''s'!$BU$10:$CB$27,4,FALSE),IF(AND(J78="Alumínio",F78="Trifásico"),VLOOKUP(M78,'Iz''s'!$BU$10:$CB$27,5,FALSE)))))</f>
        <v xml:space="preserve"> --- </v>
      </c>
      <c r="BR78" s="609" t="str">
        <f>IF(AND(J78="Cobre",F78="Monofásico"),"N/A",IF(AND(J78="Cobre",F78="Trifásico"),VLOOKUP(M78,'Iz''s'!$BL$10:$BS$28,8,FALSE),IF(AND(J78="Alumínio",F78="Monofásico"),"N/A",IF(AND(J78="Alumínio",F78="Trifásico"),VLOOKUP(M78,'Iz''s'!$BU$10:$CB$27,8,FALSE)))))</f>
        <v>N/A</v>
      </c>
      <c r="BS78" s="609">
        <f>IF(AND(J78="Cobre",F78="Monofásico"),VLOOKUP(M78,'Iz''s'!$V$14:$Y$28,2,FALSE),IF(AND(J78="Cobre",F78="Trifásico"),VLOOKUP(M78,'Iz''s'!$V$14:$Y$28,3,FALSE),IF(AND(J78="Alumínio",F78="Monofásico"),VLOOKUP(M78,"N/A",4,FALSE),IF(AND(J78="Alumínio",F78="Trifásico"),VLOOKUP(M78,"N/A",4,FALSE)))))</f>
        <v>34</v>
      </c>
      <c r="BT78" s="609">
        <f>IF(AND(J78="Cobre",F78="Monofásico"),VLOOKUP(M78,'Iz''s'!$AF$15:$AK$29,2,FALSE),IF(AND(J78="Cobre",F78="Trifásico"),VLOOKUP(M78,'Iz''s'!$AF$15:$AK$29,3,FALSE),IF(AND(J78="Alumínio",F78="Monofásico"),"N/A",IF(AND(J78="Alumínio",F78="Trifásico"),"N/A"))))</f>
        <v>36</v>
      </c>
      <c r="BU78" s="609">
        <f>IF(AND(J78="Cobre",F78="Monofásico"),VLOOKUP(M78,'Iz''s'!$AF$15:$AK$29,2,FALSE),IF(AND(J78="Cobre",F78="Trifásico"),VLOOKUP(M78,'Iz''s'!$AF$15:$AK$29,3,FALSE),IF(AND(J78="Alumínio",F78="Monofásico"),"N/A",IF(AND(J78="Alumínio",F78="Trifásico"),"N/A"))))</f>
        <v>36</v>
      </c>
      <c r="BV78" s="610" t="str">
        <f>IF(AND(J78="Cobre",F78="Monofásico"),"N/A",IF(AND(J78="Cobre",F78="Trifásico"),VLOOKUP(M78,'Iz''s'!$AF$15:$AK$29,6,FALSE),IF(AND(J78="Alumínio",F78="Monofásico"),"N/A",IF(AND(J78="Alumínio",F78="Trifásico"),"N/A"))))</f>
        <v>N/A</v>
      </c>
      <c r="BW78" s="611">
        <v>76</v>
      </c>
      <c r="BX78" s="565"/>
      <c r="BY78" s="612">
        <f>VLOOKUP(M78,Consulta!$W$6:$AB$23,4,FALSE)</f>
        <v>16</v>
      </c>
      <c r="BZ78" s="612">
        <f>VLOOKUP(M78,Consulta!$W$6:$AB$23,6,FALSE)</f>
        <v>20</v>
      </c>
      <c r="CA78" s="612">
        <f>VLOOKUP(M78,Consulta!$AK$6:$AP$23,4,FALSE)</f>
        <v>20</v>
      </c>
      <c r="CB78" s="612">
        <f>VLOOKUP(M78,Consulta!$AK$6:$AP$23,6,FALSE)</f>
        <v>25</v>
      </c>
      <c r="CC78" s="585" t="e">
        <f>VLOOKUP(M78,Consulta!$AD$6:$AI$19,4,FALSE)</f>
        <v>#N/A</v>
      </c>
      <c r="CD78" s="585" t="e">
        <f>VLOOKUP(M78,Consulta!$AD$6:$AI$19,6,FALSE)</f>
        <v>#N/A</v>
      </c>
      <c r="CE78" s="585" t="e">
        <f>VLOOKUP(M78,Consulta!$AR$6:$AW$19,4,FALSE)</f>
        <v>#N/A</v>
      </c>
      <c r="CF78" s="586" t="e">
        <f>VLOOKUP(M78,Consulta!$AR$6:$AW$19,6,FALSE)</f>
        <v>#N/A</v>
      </c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</row>
    <row r="79" spans="1:212" s="532" customFormat="1" ht="16.5" customHeight="1" x14ac:dyDescent="0.2">
      <c r="A79" s="571"/>
      <c r="B79" s="1115"/>
      <c r="C79" s="819" t="s">
        <v>864</v>
      </c>
      <c r="D79" s="684">
        <v>3.6</v>
      </c>
      <c r="E79" s="684">
        <f>3.2+1.38+14.95+5.75+9.6+5.4+6.22</f>
        <v>46.5</v>
      </c>
      <c r="F79" s="684" t="s">
        <v>244</v>
      </c>
      <c r="G79" s="684" t="s">
        <v>808</v>
      </c>
      <c r="H79" s="684">
        <v>1</v>
      </c>
      <c r="I79" s="760" t="s">
        <v>13</v>
      </c>
      <c r="J79" s="684" t="s">
        <v>242</v>
      </c>
      <c r="K79" s="684" t="s">
        <v>363</v>
      </c>
      <c r="L79" s="684">
        <v>1</v>
      </c>
      <c r="M79" s="685">
        <v>4</v>
      </c>
      <c r="N79" s="684" t="s">
        <v>453</v>
      </c>
      <c r="O79" s="684">
        <v>4</v>
      </c>
      <c r="P79" s="555">
        <f t="shared" si="92"/>
        <v>30</v>
      </c>
      <c r="Q79" s="684">
        <v>3</v>
      </c>
      <c r="R79" s="684">
        <v>0.7</v>
      </c>
      <c r="S79" s="555">
        <f t="shared" si="95"/>
        <v>15.652173913043478</v>
      </c>
      <c r="T79" s="696">
        <f t="shared" si="84"/>
        <v>21</v>
      </c>
      <c r="U79" s="684" t="s">
        <v>499</v>
      </c>
      <c r="V79" s="555">
        <v>16</v>
      </c>
      <c r="W79" s="684">
        <f>IF(U79="C.C.Fusíveis",VLOOKUP(V79,Consulta!$L$5:$N$31,3,FALSE),VLOOKUP(V79,Consulta!$P$5:$R$34,3,FALSE))</f>
        <v>21.6</v>
      </c>
      <c r="X79" s="698">
        <f t="shared" si="93"/>
        <v>44</v>
      </c>
      <c r="Y79" s="821">
        <f t="shared" si="85"/>
        <v>0.74534161490683226</v>
      </c>
      <c r="Z79" s="689" t="str">
        <f t="shared" si="94"/>
        <v>Sim</v>
      </c>
      <c r="AA79" s="762">
        <f t="shared" si="96"/>
        <v>6.5243555363796182E-2</v>
      </c>
      <c r="AB79" s="762">
        <f t="shared" si="97"/>
        <v>0.32695312499999996</v>
      </c>
      <c r="AC79" s="762">
        <f t="shared" si="98"/>
        <v>0</v>
      </c>
      <c r="AD79" s="686">
        <f t="shared" si="102"/>
        <v>1.851110134115298</v>
      </c>
      <c r="AE79" s="686">
        <f t="shared" si="99"/>
        <v>10.235054347826086</v>
      </c>
      <c r="AF79" s="686">
        <f t="shared" si="100"/>
        <v>12.086164481941385</v>
      </c>
      <c r="AG79" s="687">
        <f t="shared" si="34"/>
        <v>4.4500236294896023E-2</v>
      </c>
      <c r="AH79" s="763">
        <f t="shared" si="34"/>
        <v>5.2548541225832107E-2</v>
      </c>
      <c r="AI79" s="686">
        <f t="shared" si="101"/>
        <v>0.58644045581073057</v>
      </c>
      <c r="AJ79" s="684">
        <v>3</v>
      </c>
      <c r="AK79" s="686">
        <v>0.1</v>
      </c>
      <c r="AL79" s="698">
        <f t="shared" si="89"/>
        <v>115</v>
      </c>
      <c r="AM79" s="686">
        <f t="shared" si="90"/>
        <v>1.6125978716775955</v>
      </c>
      <c r="AN79" s="689">
        <f t="shared" si="86"/>
        <v>1</v>
      </c>
      <c r="AO79" s="689" t="s">
        <v>563</v>
      </c>
      <c r="AP79" s="689" t="s">
        <v>523</v>
      </c>
      <c r="AQ79" s="689" t="str">
        <f t="shared" si="87"/>
        <v>3G</v>
      </c>
      <c r="AR79" s="689">
        <f t="shared" si="88"/>
        <v>4</v>
      </c>
      <c r="AS79" s="897" t="str">
        <f t="shared" si="91"/>
        <v/>
      </c>
      <c r="AT79" s="897" t="str">
        <f>IF(OR(AQ79="3G",AQ79="5G"),"",VLOOKUP(AR79,Consulta!$T$5:$U$25,2,FALSE))</f>
        <v/>
      </c>
      <c r="AU79" s="898" t="s">
        <v>565</v>
      </c>
      <c r="AV79" s="689" t="s">
        <v>23</v>
      </c>
      <c r="AW79" s="689" t="s">
        <v>564</v>
      </c>
      <c r="AX79" s="689">
        <f t="shared" si="103"/>
        <v>20</v>
      </c>
      <c r="AY79" s="690" t="s">
        <v>24</v>
      </c>
      <c r="AZ79" s="564"/>
      <c r="BA79" s="584">
        <f>IF(AND(J79="Cobre",F79="Monofásico"),VLOOKUP(M79,'Iz''s'!$B$8:$E$23,2,FALSE),IF(AND(J79="Cobre",F79="Trifásico"),VLOOKUP(M79,'Iz''s'!$L$8:$O$23,2,FALSE),IF(AND(J79="Alumínio",F79="Monofásico"),VLOOKUP(M79,'Iz''s'!$B$25:$E$39,2,FALSE),IF(AND(J79="Alumínio",F79="Trifásico"),VLOOKUP(M79,'Iz''s'!$L$25:$O$39,2,FALSE)))))</f>
        <v>26</v>
      </c>
      <c r="BB79" s="531">
        <f>IF(AND(J79="Cobre",F79="Monofásico"),VLOOKUP(M79,'Iz''s'!$CD$9:$CH$24,2,FALSE),IF(AND(J79="Cobre",F79="Trifásico"),VLOOKUP(M79,'Iz''s'!$CD$9:$CH$24,4,FALSE),IF(AND(J79="Alumínio",F79="Monofásico"),VLOOKUP(M79,'Iz''s'!$CD$26:$CH$40,2,FALSE),IF(AND(J79="Alumínio",F79="Trifásico"),VLOOKUP(M79,'Iz''s'!$CD$26:$CH$40,4,FALSE)))))</f>
        <v>25</v>
      </c>
      <c r="BC79" s="531">
        <f>IF(AND(J79="Cobre",F79="Monofásico"),VLOOKUP(M79,'Iz''s'!$B$8:$E$23,3,FALSE),IF(AND(J79="Cobre",F79="Trifásico"),VLOOKUP(M79,'Iz''s'!$L$8:$O$23,3,FALSE),IF(AND(J79="Alumínio",F79="Monofásico"),VLOOKUP(M79,'Iz''s'!$B$25:$E$39,3,FALSE),IF(AND(J79="Alumínio",F79="Trifásico"),VLOOKUP(M79,'Iz''s'!$L$25:$O$39,3,FALSE)))))</f>
        <v>32</v>
      </c>
      <c r="BD79" s="531">
        <f>IF(AND(J79="Cobre",F79="Monofásico"),VLOOKUP(M79,'Iz''s'!$CD$9:$CH$24,3,FALSE),IF(AND(J79="Cobre",F79="Trifásico"),VLOOKUP(M79,'Iz''s'!$CD$9:$CH$24,5,FALSE),IF(AND(J79="Alumínio",F79="Monofásico"),VLOOKUP(M79,'Iz''s'!$CD$26:$CH$40,3,FALSE),IF(AND(J79="Alumínio",F79="Trifásico"),VLOOKUP(M79,'Iz''s'!$CD$26:$CH$40,5,FALSE)))))</f>
        <v>30</v>
      </c>
      <c r="BE79" s="531">
        <f>IF(AND(J79="Cobre",F79="Monofásico"),VLOOKUP(M79,'Iz''s'!$B$8:$E$23,4,FALSE),IF(AND(J79="Cobre",F79="Trifásico"),VLOOKUP(M79,'Iz''s'!$L$8:$O$23,4,FALSE),IF(AND(J79="Alumínio",F79="Monofásico"),VLOOKUP(M79,'Iz''s'!$B$25:$E$39,4,FALSE),IF(AND(J79="Alumínio",F79="Trifásico"),VLOOKUP(M79,'Iz''s'!$L$25:$O$39,4,FALSE)))))</f>
        <v>36</v>
      </c>
      <c r="BF79" s="531">
        <f>IF(AND(J79="Cobre",F79="Monofásico"),VLOOKUP(M79,'Iz''s'!$CP$9:$CT$24,3,FALSE),IF(AND(J79="Cobre",F79="Trifásico"),VLOOKUP(M79,'Iz''s'!$CP$9:$CT$24,2,FALSE),IF(AND(J79="Alumínio",F79="Monofásico"),VLOOKUP(M79,'Iz''s'!$CP$26:$CT$37,3,FALSE),IF(AND(J79="Alumínio",F79="Trifásico"),VLOOKUP(M79,'Iz''s'!$CP$26:$CT$37,2,FALSE)))))</f>
        <v>54</v>
      </c>
      <c r="BG79" s="531">
        <f>IF(AND(J79="Cobre",F79="Monofásico"),VLOOKUP(M79,'Iz''s'!$AT$10:$BA$28,2,FALSE),IF(AND(J79="Cobre",F79="Trifásico"),VLOOKUP(M79,'Iz''s'!$AT$10:$BA$28,3,FALSE),IF(AND(J79="Alumínio",F79="Monofásico"),VLOOKUP(M79,'Iz''s'!$BC$10:$BJ$27,2,FALSE),IF(AND(J79="Alumínio",F79="Trifásico"),VLOOKUP(M79,'Iz''s'!$BC$10:$BJ$27,3,FALSE)))))</f>
        <v>40</v>
      </c>
      <c r="BH79" s="609" t="str">
        <f>IF(AND(J79="Cobre",F79="Monofásico"),VLOOKUP(M79,'Iz''s'!$AT$10:$BA$28,4,FALSE),IF(AND(J79="Cobre",F79="Trifásico"),VLOOKUP(M79,'Iz''s'!$AT$10:$BA$28,5,FALSE),IF(AND(J79="Alumínio",F79="Monofásico"),VLOOKUP(M79,'Iz''s'!$BC$10:$BJ$27,4,FALSE),IF(AND(J79="Alumínio",F79="Trifásico"),VLOOKUP(M79,'Iz''s'!$BC$10:$BJ$27,5,FALSE)))))</f>
        <v xml:space="preserve"> --- </v>
      </c>
      <c r="BI79" s="609" t="str">
        <f>IF(AND(J79="Cobre",F79="Monofásico"),"N/A",IF(AND(J79="Cobre",F79="Trifásico"),VLOOKUP(M79,'Iz''s'!$AT$10:$BA$28,8,FALSE),IF(AND(J79="Alumínio",F79="Monofásico"),"N/A",IF(AND(J79="Alumínio",F79="Trifásico"),VLOOKUP(M79,'Iz''s'!$BC$10:$BJ$27,8,FALSE)))))</f>
        <v>N/A</v>
      </c>
      <c r="BJ79" s="531">
        <f>IF(AND(J79="Cobre",F79="Monofásico"),VLOOKUP(M79,'Iz''s'!$G$8:$J$23,2,FALSE),IF(AND(J79="Cobre",F79="Trifásico"),VLOOKUP(M79,'Iz''s'!$Q$8:$T$23,2,FALSE),IF(AND(J79="Alumínio",F79="Monofásico"),VLOOKUP(M79,'Iz''s'!$G$25:$J$39,2,FALSE),IF(AND(J79="Alumínio",F79="Trifásico"),VLOOKUP(M79,'Iz''s'!$Q$25:$T$39,2,FALSE)))))</f>
        <v>35</v>
      </c>
      <c r="BK79" s="609">
        <f>IF(AND(J79="Cobre",F79="Monofásico"),VLOOKUP(M79,'Iz''s'!$CJ$9:$CN$24,2,FALSE),IF(AND(J79="Cobre",F79="Trifásico"),VLOOKUP(M79,'Iz''s'!$CJ$9:$CN$24,4,FALSE),IF(AND(J79="Alumínio",F79="Monofásico"),VLOOKUP(M79,'Iz''s'!$CJ$26:$CN$40,2,FALSE),IF(AND(J79="Alumínio",F79="Trifásico"),VLOOKUP(M79,'Iz''s'!$CJ$26:$CN$40,4,FALSE)))))</f>
        <v>33</v>
      </c>
      <c r="BL79" s="609">
        <f>IF(AND(J79="Cobre",F79="Monofásico"),VLOOKUP(M79,'Iz''s'!$G$8:$J$23,3,FALSE),IF(AND(J79="Cobre",F79="Trifásico"),VLOOKUP(M79,'Iz''s'!$Q$8:$T$23,3,FALSE),IF(AND(J79="Alumínio",F79="Monofásico"),VLOOKUP(M79,'Iz''s'!$G$25:$J$39,3,FALSE),IF(AND(J79="Alumínio",F79="Trifásico"),VLOOKUP(M79,'Iz''s'!$Q$25:$T$39,3,FALSE)))))</f>
        <v>42</v>
      </c>
      <c r="BM79" s="609">
        <f>IF(AND(J79="Cobre",F79="Monofásico"),VLOOKUP(M79,'Iz''s'!$CJ$9:$CN$24,3,FALSE),IF(AND(J79="Cobre",F79="Trifásico"),VLOOKUP(M79,'Iz''s'!$CJ$9:$CN$24,5,FALSE),IF(AND(J79="Alumínio",F79="Monofásico"),VLOOKUP(M79,'Iz''s'!$CJ$26:$CN$40,3,FALSE),IF(AND(J79="Alumínio",F79="Trifásico"),VLOOKUP(M79,'Iz''s'!$CJ$26:$CN$40,5,FALSE)))))</f>
        <v>40</v>
      </c>
      <c r="BN79" s="609">
        <f>IF(AND(J79="Cobre",F79="Monofásico"),VLOOKUP(M79,'Iz''s'!$G$8:$J$23,4,FALSE),IF(AND(J79="Cobre",F79="Trifásico"),VLOOKUP(M79,'Iz''s'!$Q$8:$T$23,4,FALSE),IF(AND(J79="Alumínio",F79="Monofásico"),VLOOKUP(M79,'Iz''s'!$G$25:$J$39,4,FALSE),IF(AND(J79="Alumínio",F79="Trifásico"),VLOOKUP(M79,'Iz''s'!$Q$25:$T$39,4,FALSE)))))</f>
        <v>45</v>
      </c>
      <c r="BO79" s="609">
        <f>IF(AND(J79="Cobre",F79="Monofásico"),VLOOKUP(M79,'Iz''s'!$CP$9:$CT$24,5,FALSE),IF(AND(J79="Cobre",F79="Trifásico"),VLOOKUP(M79,'Iz''s'!$CP$9:$CT$24,4,FALSE),IF(AND(J79="Alumínio",F79="Monofásico"),VLOOKUP(M79,'Iz''s'!$CP$26:$CT$37,5,FALSE),IF(AND(J79="Alumínio",F79="Trifásico"),VLOOKUP(M79,'Iz''s'!$CP$26:$CT$37,4,FALSE)))))</f>
        <v>63</v>
      </c>
      <c r="BP79" s="609">
        <f>IF(AND(J79="Cobre",F79="Monofásico"),VLOOKUP(M79,'Iz''s'!$BL$10:$BS$28,2,FALSE),IF(AND(J79="Cobre",F79="Trifásico"),VLOOKUP(M79,'Iz''s'!$BL$10:$BS$28,3,FALSE),IF(AND(J79="Alumínio",F79="Monofásico"),VLOOKUP(M79,'Iz''s'!$BU$10:$CB$27,2,FALSE),IF(AND(J79="Alumínio",F79="Trifásico"),VLOOKUP(M79,'Iz''s'!$BU$10:$CB$27,3,FALSE)))))</f>
        <v>49</v>
      </c>
      <c r="BQ79" s="531" t="str">
        <f>IF(AND(J79="Cobre",F79="Monofásico"),VLOOKUP(M79,'Iz''s'!$BL$10:$BS$28,4,FALSE),IF(AND(J79="Cobre",F79="Trifásico"),VLOOKUP(M79,'Iz''s'!$BL$10:$BS$28,5,FALSE),IF(AND(J79="Alumínio",F79="Monofásico"),VLOOKUP(M79,'Iz''s'!$BU$10:$CB$27,4,FALSE),IF(AND(J79="Alumínio",F79="Trifásico"),VLOOKUP(M79,'Iz''s'!$BU$10:$CB$27,5,FALSE)))))</f>
        <v xml:space="preserve"> --- </v>
      </c>
      <c r="BR79" s="609" t="str">
        <f>IF(AND(J79="Cobre",F79="Monofásico"),"N/A",IF(AND(J79="Cobre",F79="Trifásico"),VLOOKUP(M79,'Iz''s'!$BL$10:$BS$28,8,FALSE),IF(AND(J79="Alumínio",F79="Monofásico"),"N/A",IF(AND(J79="Alumínio",F79="Trifásico"),VLOOKUP(M79,'Iz''s'!$BU$10:$CB$27,8,FALSE)))))</f>
        <v>N/A</v>
      </c>
      <c r="BS79" s="609">
        <f>IF(AND(J79="Cobre",F79="Monofásico"),VLOOKUP(M79,'Iz''s'!$V$14:$Y$28,2,FALSE),IF(AND(J79="Cobre",F79="Trifásico"),VLOOKUP(M79,'Iz''s'!$V$14:$Y$28,3,FALSE),IF(AND(J79="Alumínio",F79="Monofásico"),VLOOKUP(M79,"N/A",4,FALSE),IF(AND(J79="Alumínio",F79="Trifásico"),VLOOKUP(M79,"N/A",4,FALSE)))))</f>
        <v>45</v>
      </c>
      <c r="BT79" s="609">
        <f>IF(AND(J79="Cobre",F79="Monofásico"),VLOOKUP(M79,'Iz''s'!$AF$15:$AK$29,2,FALSE),IF(AND(J79="Cobre",F79="Trifásico"),VLOOKUP(M79,'Iz''s'!$AF$15:$AK$29,3,FALSE),IF(AND(J79="Alumínio",F79="Monofásico"),"N/A",IF(AND(J79="Alumínio",F79="Trifásico"),"N/A"))))</f>
        <v>47</v>
      </c>
      <c r="BU79" s="609">
        <f>IF(AND(J79="Cobre",F79="Monofásico"),VLOOKUP(M79,'Iz''s'!$AF$15:$AK$29,2,FALSE),IF(AND(J79="Cobre",F79="Trifásico"),VLOOKUP(M79,'Iz''s'!$AF$15:$AK$29,3,FALSE),IF(AND(J79="Alumínio",F79="Monofásico"),"N/A",IF(AND(J79="Alumínio",F79="Trifásico"),"N/A"))))</f>
        <v>47</v>
      </c>
      <c r="BV79" s="610" t="str">
        <f>IF(AND(J79="Cobre",F79="Monofásico"),"N/A",IF(AND(J79="Cobre",F79="Trifásico"),VLOOKUP(M79,'Iz''s'!$AF$15:$AK$29,6,FALSE),IF(AND(J79="Alumínio",F79="Monofásico"),"N/A",IF(AND(J79="Alumínio",F79="Trifásico"),"N/A"))))</f>
        <v>N/A</v>
      </c>
      <c r="BW79" s="611">
        <v>77</v>
      </c>
      <c r="BX79" s="565"/>
      <c r="BY79" s="612">
        <f>VLOOKUP(M79,Consulta!$W$6:$AB$23,4,FALSE)</f>
        <v>20</v>
      </c>
      <c r="BZ79" s="612">
        <f>VLOOKUP(M79,Consulta!$W$6:$AB$23,6,FALSE)</f>
        <v>25</v>
      </c>
      <c r="CA79" s="612">
        <f>VLOOKUP(M79,Consulta!$AK$6:$AP$23,4,FALSE)</f>
        <v>25</v>
      </c>
      <c r="CB79" s="612">
        <f>VLOOKUP(M79,Consulta!$AK$6:$AP$23,6,FALSE)</f>
        <v>25</v>
      </c>
      <c r="CC79" s="585" t="e">
        <f>VLOOKUP(M79,Consulta!$AD$6:$AI$19,4,FALSE)</f>
        <v>#N/A</v>
      </c>
      <c r="CD79" s="585" t="e">
        <f>VLOOKUP(M79,Consulta!$AD$6:$AI$19,6,FALSE)</f>
        <v>#N/A</v>
      </c>
      <c r="CE79" s="585" t="e">
        <f>VLOOKUP(M79,Consulta!$AR$6:$AW$19,4,FALSE)</f>
        <v>#N/A</v>
      </c>
      <c r="CF79" s="586" t="e">
        <f>VLOOKUP(M79,Consulta!$AR$6:$AW$19,6,FALSE)</f>
        <v>#N/A</v>
      </c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</row>
    <row r="80" spans="1:212" s="532" customFormat="1" ht="16.5" customHeight="1" x14ac:dyDescent="0.2">
      <c r="A80" s="571"/>
      <c r="B80" s="1115"/>
      <c r="C80" s="819" t="s">
        <v>865</v>
      </c>
      <c r="D80" s="684">
        <v>3.6</v>
      </c>
      <c r="E80" s="684">
        <f>15.1+4.4+3.97+4.4+3</f>
        <v>30.869999999999997</v>
      </c>
      <c r="F80" s="684" t="s">
        <v>244</v>
      </c>
      <c r="G80" s="684" t="s">
        <v>808</v>
      </c>
      <c r="H80" s="684">
        <v>1</v>
      </c>
      <c r="I80" s="760" t="s">
        <v>13</v>
      </c>
      <c r="J80" s="684" t="s">
        <v>242</v>
      </c>
      <c r="K80" s="684" t="s">
        <v>363</v>
      </c>
      <c r="L80" s="684">
        <v>1</v>
      </c>
      <c r="M80" s="685">
        <v>4</v>
      </c>
      <c r="N80" s="684" t="s">
        <v>453</v>
      </c>
      <c r="O80" s="684">
        <v>4</v>
      </c>
      <c r="P80" s="555">
        <f t="shared" si="92"/>
        <v>30</v>
      </c>
      <c r="Q80" s="684">
        <v>3</v>
      </c>
      <c r="R80" s="684">
        <v>0.7</v>
      </c>
      <c r="S80" s="555">
        <f t="shared" si="95"/>
        <v>15.652173913043478</v>
      </c>
      <c r="T80" s="696">
        <f t="shared" si="84"/>
        <v>21</v>
      </c>
      <c r="U80" s="684" t="s">
        <v>499</v>
      </c>
      <c r="V80" s="555">
        <v>16</v>
      </c>
      <c r="W80" s="684">
        <f>IF(U80="C.C.Fusíveis",VLOOKUP(V80,Consulta!$L$5:$N$31,3,FALSE),VLOOKUP(V80,Consulta!$P$5:$R$34,3,FALSE))</f>
        <v>21.6</v>
      </c>
      <c r="X80" s="698">
        <f t="shared" si="93"/>
        <v>44</v>
      </c>
      <c r="Y80" s="821">
        <f t="shared" si="85"/>
        <v>0.74534161490683226</v>
      </c>
      <c r="Z80" s="689" t="str">
        <f t="shared" si="94"/>
        <v>Sim</v>
      </c>
      <c r="AA80" s="762">
        <f t="shared" si="96"/>
        <v>6.5243555363796182E-2</v>
      </c>
      <c r="AB80" s="762">
        <f t="shared" si="97"/>
        <v>0.21705468749999995</v>
      </c>
      <c r="AC80" s="762">
        <f t="shared" si="98"/>
        <v>0</v>
      </c>
      <c r="AD80" s="686">
        <f t="shared" si="102"/>
        <v>1.851110134115298</v>
      </c>
      <c r="AE80" s="686">
        <f t="shared" si="99"/>
        <v>6.7947554347826076</v>
      </c>
      <c r="AF80" s="686">
        <f t="shared" si="100"/>
        <v>8.6458655688979054</v>
      </c>
      <c r="AG80" s="687">
        <f t="shared" si="34"/>
        <v>2.9542414933837424E-2</v>
      </c>
      <c r="AH80" s="763">
        <f t="shared" si="34"/>
        <v>3.7590719864773504E-2</v>
      </c>
      <c r="AI80" s="686">
        <f t="shared" si="101"/>
        <v>0.81474116759193194</v>
      </c>
      <c r="AJ80" s="684">
        <v>3</v>
      </c>
      <c r="AK80" s="686">
        <v>0.1</v>
      </c>
      <c r="AL80" s="698">
        <f t="shared" si="89"/>
        <v>115</v>
      </c>
      <c r="AM80" s="686">
        <f t="shared" si="90"/>
        <v>2.2403806896482332</v>
      </c>
      <c r="AN80" s="689">
        <f t="shared" si="86"/>
        <v>1</v>
      </c>
      <c r="AO80" s="689" t="s">
        <v>563</v>
      </c>
      <c r="AP80" s="689" t="s">
        <v>523</v>
      </c>
      <c r="AQ80" s="689" t="str">
        <f t="shared" si="87"/>
        <v>3G</v>
      </c>
      <c r="AR80" s="689">
        <f t="shared" si="88"/>
        <v>4</v>
      </c>
      <c r="AS80" s="897" t="str">
        <f t="shared" si="91"/>
        <v/>
      </c>
      <c r="AT80" s="897" t="str">
        <f>IF(OR(AQ80="3G",AQ80="5G"),"",VLOOKUP(AR80,Consulta!$T$5:$U$25,2,FALSE))</f>
        <v/>
      </c>
      <c r="AU80" s="898" t="s">
        <v>565</v>
      </c>
      <c r="AV80" s="689" t="s">
        <v>23</v>
      </c>
      <c r="AW80" s="689" t="s">
        <v>564</v>
      </c>
      <c r="AX80" s="689">
        <f t="shared" si="103"/>
        <v>25</v>
      </c>
      <c r="AY80" s="690" t="s">
        <v>24</v>
      </c>
      <c r="AZ80" s="564"/>
      <c r="BA80" s="584">
        <f>IF(AND(J80="Cobre",F80="Monofásico"),VLOOKUP(M80,'Iz''s'!$B$8:$E$23,2,FALSE),IF(AND(J80="Cobre",F80="Trifásico"),VLOOKUP(M80,'Iz''s'!$L$8:$O$23,2,FALSE),IF(AND(J80="Alumínio",F80="Monofásico"),VLOOKUP(M80,'Iz''s'!$B$25:$E$39,2,FALSE),IF(AND(J80="Alumínio",F80="Trifásico"),VLOOKUP(M80,'Iz''s'!$L$25:$O$39,2,FALSE)))))</f>
        <v>26</v>
      </c>
      <c r="BB80" s="531">
        <f>IF(AND(J80="Cobre",F80="Monofásico"),VLOOKUP(M80,'Iz''s'!$CD$9:$CH$24,2,FALSE),IF(AND(J80="Cobre",F80="Trifásico"),VLOOKUP(M80,'Iz''s'!$CD$9:$CH$24,4,FALSE),IF(AND(J80="Alumínio",F80="Monofásico"),VLOOKUP(M80,'Iz''s'!$CD$26:$CH$40,2,FALSE),IF(AND(J80="Alumínio",F80="Trifásico"),VLOOKUP(M80,'Iz''s'!$CD$26:$CH$40,4,FALSE)))))</f>
        <v>25</v>
      </c>
      <c r="BC80" s="531">
        <f>IF(AND(J80="Cobre",F80="Monofásico"),VLOOKUP(M80,'Iz''s'!$B$8:$E$23,3,FALSE),IF(AND(J80="Cobre",F80="Trifásico"),VLOOKUP(M80,'Iz''s'!$L$8:$O$23,3,FALSE),IF(AND(J80="Alumínio",F80="Monofásico"),VLOOKUP(M80,'Iz''s'!$B$25:$E$39,3,FALSE),IF(AND(J80="Alumínio",F80="Trifásico"),VLOOKUP(M80,'Iz''s'!$L$25:$O$39,3,FALSE)))))</f>
        <v>32</v>
      </c>
      <c r="BD80" s="531">
        <f>IF(AND(J80="Cobre",F80="Monofásico"),VLOOKUP(M80,'Iz''s'!$CD$9:$CH$24,3,FALSE),IF(AND(J80="Cobre",F80="Trifásico"),VLOOKUP(M80,'Iz''s'!$CD$9:$CH$24,5,FALSE),IF(AND(J80="Alumínio",F80="Monofásico"),VLOOKUP(M80,'Iz''s'!$CD$26:$CH$40,3,FALSE),IF(AND(J80="Alumínio",F80="Trifásico"),VLOOKUP(M80,'Iz''s'!$CD$26:$CH$40,5,FALSE)))))</f>
        <v>30</v>
      </c>
      <c r="BE80" s="531">
        <f>IF(AND(J80="Cobre",F80="Monofásico"),VLOOKUP(M80,'Iz''s'!$B$8:$E$23,4,FALSE),IF(AND(J80="Cobre",F80="Trifásico"),VLOOKUP(M80,'Iz''s'!$L$8:$O$23,4,FALSE),IF(AND(J80="Alumínio",F80="Monofásico"),VLOOKUP(M80,'Iz''s'!$B$25:$E$39,4,FALSE),IF(AND(J80="Alumínio",F80="Trifásico"),VLOOKUP(M80,'Iz''s'!$L$25:$O$39,4,FALSE)))))</f>
        <v>36</v>
      </c>
      <c r="BF80" s="531">
        <f>IF(AND(J80="Cobre",F80="Monofásico"),VLOOKUP(M80,'Iz''s'!$CP$9:$CT$24,3,FALSE),IF(AND(J80="Cobre",F80="Trifásico"),VLOOKUP(M80,'Iz''s'!$CP$9:$CT$24,2,FALSE),IF(AND(J80="Alumínio",F80="Monofásico"),VLOOKUP(M80,'Iz''s'!$CP$26:$CT$37,3,FALSE),IF(AND(J80="Alumínio",F80="Trifásico"),VLOOKUP(M80,'Iz''s'!$CP$26:$CT$37,2,FALSE)))))</f>
        <v>54</v>
      </c>
      <c r="BG80" s="531">
        <f>IF(AND(J80="Cobre",F80="Monofásico"),VLOOKUP(M80,'Iz''s'!$AT$10:$BA$28,2,FALSE),IF(AND(J80="Cobre",F80="Trifásico"),VLOOKUP(M80,'Iz''s'!$AT$10:$BA$28,3,FALSE),IF(AND(J80="Alumínio",F80="Monofásico"),VLOOKUP(M80,'Iz''s'!$BC$10:$BJ$27,2,FALSE),IF(AND(J80="Alumínio",F80="Trifásico"),VLOOKUP(M80,'Iz''s'!$BC$10:$BJ$27,3,FALSE)))))</f>
        <v>40</v>
      </c>
      <c r="BH80" s="609" t="str">
        <f>IF(AND(J80="Cobre",F80="Monofásico"),VLOOKUP(M80,'Iz''s'!$AT$10:$BA$28,4,FALSE),IF(AND(J80="Cobre",F80="Trifásico"),VLOOKUP(M80,'Iz''s'!$AT$10:$BA$28,5,FALSE),IF(AND(J80="Alumínio",F80="Monofásico"),VLOOKUP(M80,'Iz''s'!$BC$10:$BJ$27,4,FALSE),IF(AND(J80="Alumínio",F80="Trifásico"),VLOOKUP(M80,'Iz''s'!$BC$10:$BJ$27,5,FALSE)))))</f>
        <v xml:space="preserve"> --- </v>
      </c>
      <c r="BI80" s="609" t="str">
        <f>IF(AND(J80="Cobre",F80="Monofásico"),"N/A",IF(AND(J80="Cobre",F80="Trifásico"),VLOOKUP(M80,'Iz''s'!$AT$10:$BA$28,8,FALSE),IF(AND(J80="Alumínio",F80="Monofásico"),"N/A",IF(AND(J80="Alumínio",F80="Trifásico"),VLOOKUP(M80,'Iz''s'!$BC$10:$BJ$27,8,FALSE)))))</f>
        <v>N/A</v>
      </c>
      <c r="BJ80" s="531">
        <f>IF(AND(J80="Cobre",F80="Monofásico"),VLOOKUP(M80,'Iz''s'!$G$8:$J$23,2,FALSE),IF(AND(J80="Cobre",F80="Trifásico"),VLOOKUP(M80,'Iz''s'!$Q$8:$T$23,2,FALSE),IF(AND(J80="Alumínio",F80="Monofásico"),VLOOKUP(M80,'Iz''s'!$G$25:$J$39,2,FALSE),IF(AND(J80="Alumínio",F80="Trifásico"),VLOOKUP(M80,'Iz''s'!$Q$25:$T$39,2,FALSE)))))</f>
        <v>35</v>
      </c>
      <c r="BK80" s="609">
        <f>IF(AND(J80="Cobre",F80="Monofásico"),VLOOKUP(M80,'Iz''s'!$CJ$9:$CN$24,2,FALSE),IF(AND(J80="Cobre",F80="Trifásico"),VLOOKUP(M80,'Iz''s'!$CJ$9:$CN$24,4,FALSE),IF(AND(J80="Alumínio",F80="Monofásico"),VLOOKUP(M80,'Iz''s'!$CJ$26:$CN$40,2,FALSE),IF(AND(J80="Alumínio",F80="Trifásico"),VLOOKUP(M80,'Iz''s'!$CJ$26:$CN$40,4,FALSE)))))</f>
        <v>33</v>
      </c>
      <c r="BL80" s="609">
        <f>IF(AND(J80="Cobre",F80="Monofásico"),VLOOKUP(M80,'Iz''s'!$G$8:$J$23,3,FALSE),IF(AND(J80="Cobre",F80="Trifásico"),VLOOKUP(M80,'Iz''s'!$Q$8:$T$23,3,FALSE),IF(AND(J80="Alumínio",F80="Monofásico"),VLOOKUP(M80,'Iz''s'!$G$25:$J$39,3,FALSE),IF(AND(J80="Alumínio",F80="Trifásico"),VLOOKUP(M80,'Iz''s'!$Q$25:$T$39,3,FALSE)))))</f>
        <v>42</v>
      </c>
      <c r="BM80" s="609">
        <f>IF(AND(J80="Cobre",F80="Monofásico"),VLOOKUP(M80,'Iz''s'!$CJ$9:$CN$24,3,FALSE),IF(AND(J80="Cobre",F80="Trifásico"),VLOOKUP(M80,'Iz''s'!$CJ$9:$CN$24,5,FALSE),IF(AND(J80="Alumínio",F80="Monofásico"),VLOOKUP(M80,'Iz''s'!$CJ$26:$CN$40,3,FALSE),IF(AND(J80="Alumínio",F80="Trifásico"),VLOOKUP(M80,'Iz''s'!$CJ$26:$CN$40,5,FALSE)))))</f>
        <v>40</v>
      </c>
      <c r="BN80" s="609">
        <f>IF(AND(J80="Cobre",F80="Monofásico"),VLOOKUP(M80,'Iz''s'!$G$8:$J$23,4,FALSE),IF(AND(J80="Cobre",F80="Trifásico"),VLOOKUP(M80,'Iz''s'!$Q$8:$T$23,4,FALSE),IF(AND(J80="Alumínio",F80="Monofásico"),VLOOKUP(M80,'Iz''s'!$G$25:$J$39,4,FALSE),IF(AND(J80="Alumínio",F80="Trifásico"),VLOOKUP(M80,'Iz''s'!$Q$25:$T$39,4,FALSE)))))</f>
        <v>45</v>
      </c>
      <c r="BO80" s="609">
        <f>IF(AND(J80="Cobre",F80="Monofásico"),VLOOKUP(M80,'Iz''s'!$CP$9:$CT$24,5,FALSE),IF(AND(J80="Cobre",F80="Trifásico"),VLOOKUP(M80,'Iz''s'!$CP$9:$CT$24,4,FALSE),IF(AND(J80="Alumínio",F80="Monofásico"),VLOOKUP(M80,'Iz''s'!$CP$26:$CT$37,5,FALSE),IF(AND(J80="Alumínio",F80="Trifásico"),VLOOKUP(M80,'Iz''s'!$CP$26:$CT$37,4,FALSE)))))</f>
        <v>63</v>
      </c>
      <c r="BP80" s="609">
        <f>IF(AND(J80="Cobre",F80="Monofásico"),VLOOKUP(M80,'Iz''s'!$BL$10:$BS$28,2,FALSE),IF(AND(J80="Cobre",F80="Trifásico"),VLOOKUP(M80,'Iz''s'!$BL$10:$BS$28,3,FALSE),IF(AND(J80="Alumínio",F80="Monofásico"),VLOOKUP(M80,'Iz''s'!$BU$10:$CB$27,2,FALSE),IF(AND(J80="Alumínio",F80="Trifásico"),VLOOKUP(M80,'Iz''s'!$BU$10:$CB$27,3,FALSE)))))</f>
        <v>49</v>
      </c>
      <c r="BQ80" s="531" t="str">
        <f>IF(AND(J80="Cobre",F80="Monofásico"),VLOOKUP(M80,'Iz''s'!$BL$10:$BS$28,4,FALSE),IF(AND(J80="Cobre",F80="Trifásico"),VLOOKUP(M80,'Iz''s'!$BL$10:$BS$28,5,FALSE),IF(AND(J80="Alumínio",F80="Monofásico"),VLOOKUP(M80,'Iz''s'!$BU$10:$CB$27,4,FALSE),IF(AND(J80="Alumínio",F80="Trifásico"),VLOOKUP(M80,'Iz''s'!$BU$10:$CB$27,5,FALSE)))))</f>
        <v xml:space="preserve"> --- </v>
      </c>
      <c r="BR80" s="609" t="str">
        <f>IF(AND(J80="Cobre",F80="Monofásico"),"N/A",IF(AND(J80="Cobre",F80="Trifásico"),VLOOKUP(M80,'Iz''s'!$BL$10:$BS$28,8,FALSE),IF(AND(J80="Alumínio",F80="Monofásico"),"N/A",IF(AND(J80="Alumínio",F80="Trifásico"),VLOOKUP(M80,'Iz''s'!$BU$10:$CB$27,8,FALSE)))))</f>
        <v>N/A</v>
      </c>
      <c r="BS80" s="609">
        <f>IF(AND(J80="Cobre",F80="Monofásico"),VLOOKUP(M80,'Iz''s'!$V$14:$Y$28,2,FALSE),IF(AND(J80="Cobre",F80="Trifásico"),VLOOKUP(M80,'Iz''s'!$V$14:$Y$28,3,FALSE),IF(AND(J80="Alumínio",F80="Monofásico"),VLOOKUP(M80,"N/A",4,FALSE),IF(AND(J80="Alumínio",F80="Trifásico"),VLOOKUP(M80,"N/A",4,FALSE)))))</f>
        <v>45</v>
      </c>
      <c r="BT80" s="609">
        <f>IF(AND(J80="Cobre",F80="Monofásico"),VLOOKUP(M80,'Iz''s'!$AF$15:$AK$29,2,FALSE),IF(AND(J80="Cobre",F80="Trifásico"),VLOOKUP(M80,'Iz''s'!$AF$15:$AK$29,3,FALSE),IF(AND(J80="Alumínio",F80="Monofásico"),"N/A",IF(AND(J80="Alumínio",F80="Trifásico"),"N/A"))))</f>
        <v>47</v>
      </c>
      <c r="BU80" s="609">
        <f>IF(AND(J80="Cobre",F80="Monofásico"),VLOOKUP(M80,'Iz''s'!$AF$15:$AK$29,2,FALSE),IF(AND(J80="Cobre",F80="Trifásico"),VLOOKUP(M80,'Iz''s'!$AF$15:$AK$29,3,FALSE),IF(AND(J80="Alumínio",F80="Monofásico"),"N/A",IF(AND(J80="Alumínio",F80="Trifásico"),"N/A"))))</f>
        <v>47</v>
      </c>
      <c r="BV80" s="610" t="str">
        <f>IF(AND(J80="Cobre",F80="Monofásico"),"N/A",IF(AND(J80="Cobre",F80="Trifásico"),VLOOKUP(M80,'Iz''s'!$AF$15:$AK$29,6,FALSE),IF(AND(J80="Alumínio",F80="Monofásico"),"N/A",IF(AND(J80="Alumínio",F80="Trifásico"),"N/A"))))</f>
        <v>N/A</v>
      </c>
      <c r="BW80" s="611">
        <v>78</v>
      </c>
      <c r="BX80" s="565"/>
      <c r="BY80" s="612">
        <f>VLOOKUP(M80,Consulta!$W$6:$AB$23,4,FALSE)</f>
        <v>20</v>
      </c>
      <c r="BZ80" s="612">
        <f>VLOOKUP(M80,Consulta!$W$6:$AB$23,6,FALSE)</f>
        <v>25</v>
      </c>
      <c r="CA80" s="612">
        <f>VLOOKUP(M80,Consulta!$AK$6:$AP$23,4,FALSE)</f>
        <v>25</v>
      </c>
      <c r="CB80" s="612">
        <f>VLOOKUP(M80,Consulta!$AK$6:$AP$23,6,FALSE)</f>
        <v>25</v>
      </c>
      <c r="CC80" s="585" t="e">
        <f>VLOOKUP(M80,Consulta!$AD$6:$AI$19,4,FALSE)</f>
        <v>#N/A</v>
      </c>
      <c r="CD80" s="585" t="e">
        <f>VLOOKUP(M80,Consulta!$AD$6:$AI$19,6,FALSE)</f>
        <v>#N/A</v>
      </c>
      <c r="CE80" s="585" t="e">
        <f>VLOOKUP(M80,Consulta!$AR$6:$AW$19,4,FALSE)</f>
        <v>#N/A</v>
      </c>
      <c r="CF80" s="586" t="e">
        <f>VLOOKUP(M80,Consulta!$AR$6:$AW$19,6,FALSE)</f>
        <v>#N/A</v>
      </c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</row>
    <row r="81" spans="1:212" s="532" customFormat="1" ht="16.5" customHeight="1" x14ac:dyDescent="0.2">
      <c r="A81" s="571"/>
      <c r="B81" s="1115"/>
      <c r="C81" s="819" t="s">
        <v>865</v>
      </c>
      <c r="D81" s="684">
        <v>3.6</v>
      </c>
      <c r="E81" s="684">
        <f>15.1+2.8+1.8</f>
        <v>19.7</v>
      </c>
      <c r="F81" s="684" t="s">
        <v>244</v>
      </c>
      <c r="G81" s="684" t="s">
        <v>808</v>
      </c>
      <c r="H81" s="684">
        <v>1</v>
      </c>
      <c r="I81" s="760" t="s">
        <v>13</v>
      </c>
      <c r="J81" s="684" t="s">
        <v>242</v>
      </c>
      <c r="K81" s="684" t="s">
        <v>363</v>
      </c>
      <c r="L81" s="684">
        <v>1</v>
      </c>
      <c r="M81" s="685">
        <v>2.5</v>
      </c>
      <c r="N81" s="684" t="s">
        <v>453</v>
      </c>
      <c r="O81" s="684">
        <v>4</v>
      </c>
      <c r="P81" s="555">
        <f t="shared" si="92"/>
        <v>23</v>
      </c>
      <c r="Q81" s="684">
        <v>3</v>
      </c>
      <c r="R81" s="684">
        <v>0.7</v>
      </c>
      <c r="S81" s="555">
        <f t="shared" si="95"/>
        <v>15.652173913043478</v>
      </c>
      <c r="T81" s="696">
        <f t="shared" si="84"/>
        <v>16.099999999999998</v>
      </c>
      <c r="U81" s="684" t="s">
        <v>499</v>
      </c>
      <c r="V81" s="555">
        <v>16</v>
      </c>
      <c r="W81" s="684">
        <f>IF(U81="C.C.Fusíveis",VLOOKUP(V81,Consulta!$L$5:$N$31,3,FALSE),VLOOKUP(V81,Consulta!$P$5:$R$34,3,FALSE))</f>
        <v>21.6</v>
      </c>
      <c r="X81" s="698">
        <f t="shared" si="93"/>
        <v>34</v>
      </c>
      <c r="Y81" s="821">
        <f t="shared" si="85"/>
        <v>0.97218471509586835</v>
      </c>
      <c r="Z81" s="689" t="str">
        <f t="shared" si="94"/>
        <v>Sim</v>
      </c>
      <c r="AA81" s="762">
        <f t="shared" si="96"/>
        <v>6.5243555363796182E-2</v>
      </c>
      <c r="AB81" s="762">
        <f t="shared" si="97"/>
        <v>0.22162499999999999</v>
      </c>
      <c r="AC81" s="762">
        <f t="shared" si="98"/>
        <v>0</v>
      </c>
      <c r="AD81" s="686">
        <f t="shared" si="102"/>
        <v>1.851110134115298</v>
      </c>
      <c r="AE81" s="686">
        <f t="shared" si="99"/>
        <v>6.9378260869565214</v>
      </c>
      <c r="AF81" s="686">
        <f t="shared" si="100"/>
        <v>8.78893622107182</v>
      </c>
      <c r="AG81" s="687">
        <f t="shared" si="34"/>
        <v>3.016446124763705E-2</v>
      </c>
      <c r="AH81" s="763">
        <f t="shared" si="34"/>
        <v>3.8212766178573131E-2</v>
      </c>
      <c r="AI81" s="686">
        <f t="shared" si="101"/>
        <v>0.80176093091946743</v>
      </c>
      <c r="AJ81" s="684">
        <v>3</v>
      </c>
      <c r="AK81" s="686">
        <v>0.1</v>
      </c>
      <c r="AL81" s="698">
        <f t="shared" si="89"/>
        <v>115</v>
      </c>
      <c r="AM81" s="686">
        <f t="shared" si="90"/>
        <v>2.2046875483847264</v>
      </c>
      <c r="AN81" s="689">
        <f t="shared" si="86"/>
        <v>1</v>
      </c>
      <c r="AO81" s="689" t="s">
        <v>563</v>
      </c>
      <c r="AP81" s="689" t="s">
        <v>523</v>
      </c>
      <c r="AQ81" s="689" t="str">
        <f t="shared" si="87"/>
        <v>3G</v>
      </c>
      <c r="AR81" s="689">
        <f t="shared" si="88"/>
        <v>2.5</v>
      </c>
      <c r="AS81" s="897" t="str">
        <f t="shared" si="91"/>
        <v/>
      </c>
      <c r="AT81" s="897" t="str">
        <f>IF(OR(AQ81="3G",AQ81="5G"),"",VLOOKUP(AR81,Consulta!$T$5:$U$25,2,FALSE))</f>
        <v/>
      </c>
      <c r="AU81" s="898" t="s">
        <v>565</v>
      </c>
      <c r="AV81" s="689" t="s">
        <v>23</v>
      </c>
      <c r="AW81" s="689" t="s">
        <v>564</v>
      </c>
      <c r="AX81" s="689">
        <f t="shared" si="103"/>
        <v>25</v>
      </c>
      <c r="AY81" s="690" t="s">
        <v>24</v>
      </c>
      <c r="AZ81" s="564"/>
      <c r="BA81" s="584">
        <f>IF(AND(J81="Cobre",F81="Monofásico"),VLOOKUP(M81,'Iz''s'!$B$8:$E$23,2,FALSE),IF(AND(J81="Cobre",F81="Trifásico"),VLOOKUP(M81,'Iz''s'!$L$8:$O$23,2,FALSE),IF(AND(J81="Alumínio",F81="Monofásico"),VLOOKUP(M81,'Iz''s'!$B$25:$E$39,2,FALSE),IF(AND(J81="Alumínio",F81="Trifásico"),VLOOKUP(M81,'Iz''s'!$L$25:$O$39,2,FALSE)))))</f>
        <v>19.5</v>
      </c>
      <c r="BB81" s="531">
        <f>IF(AND(J81="Cobre",F81="Monofásico"),VLOOKUP(M81,'Iz''s'!$CD$9:$CH$24,2,FALSE),IF(AND(J81="Cobre",F81="Trifásico"),VLOOKUP(M81,'Iz''s'!$CD$9:$CH$24,4,FALSE),IF(AND(J81="Alumínio",F81="Monofásico"),VLOOKUP(M81,'Iz''s'!$CD$26:$CH$40,2,FALSE),IF(AND(J81="Alumínio",F81="Trifásico"),VLOOKUP(M81,'Iz''s'!$CD$26:$CH$40,4,FALSE)))))</f>
        <v>18.5</v>
      </c>
      <c r="BC81" s="531">
        <f>IF(AND(J81="Cobre",F81="Monofásico"),VLOOKUP(M81,'Iz''s'!$B$8:$E$23,3,FALSE),IF(AND(J81="Cobre",F81="Trifásico"),VLOOKUP(M81,'Iz''s'!$L$8:$O$23,3,FALSE),IF(AND(J81="Alumínio",F81="Monofásico"),VLOOKUP(M81,'Iz''s'!$B$25:$E$39,3,FALSE),IF(AND(J81="Alumínio",F81="Trifásico"),VLOOKUP(M81,'Iz''s'!$L$25:$O$39,3,FALSE)))))</f>
        <v>24</v>
      </c>
      <c r="BD81" s="531">
        <f>IF(AND(J81="Cobre",F81="Monofásico"),VLOOKUP(M81,'Iz''s'!$CD$9:$CH$24,3,FALSE),IF(AND(J81="Cobre",F81="Trifásico"),VLOOKUP(M81,'Iz''s'!$CD$9:$CH$24,5,FALSE),IF(AND(J81="Alumínio",F81="Monofásico"),VLOOKUP(M81,'Iz''s'!$CD$26:$CH$40,3,FALSE),IF(AND(J81="Alumínio",F81="Trifásico"),VLOOKUP(M81,'Iz''s'!$CD$26:$CH$40,5,FALSE)))))</f>
        <v>23</v>
      </c>
      <c r="BE81" s="531">
        <f>IF(AND(J81="Cobre",F81="Monofásico"),VLOOKUP(M81,'Iz''s'!$B$8:$E$23,4,FALSE),IF(AND(J81="Cobre",F81="Trifásico"),VLOOKUP(M81,'Iz''s'!$L$8:$O$23,4,FALSE),IF(AND(J81="Alumínio",F81="Monofásico"),VLOOKUP(M81,'Iz''s'!$B$25:$E$39,4,FALSE),IF(AND(J81="Alumínio",F81="Trifásico"),VLOOKUP(M81,'Iz''s'!$L$25:$O$39,4,FALSE)))))</f>
        <v>27</v>
      </c>
      <c r="BF81" s="531">
        <f>IF(AND(J81="Cobre",F81="Monofásico"),VLOOKUP(M81,'Iz''s'!$CP$9:$CT$24,3,FALSE),IF(AND(J81="Cobre",F81="Trifásico"),VLOOKUP(M81,'Iz''s'!$CP$9:$CT$24,2,FALSE),IF(AND(J81="Alumínio",F81="Monofásico"),VLOOKUP(M81,'Iz''s'!$CP$26:$CT$37,3,FALSE),IF(AND(J81="Alumínio",F81="Trifásico"),VLOOKUP(M81,'Iz''s'!$CP$26:$CT$37,2,FALSE)))))</f>
        <v>42</v>
      </c>
      <c r="BG81" s="531">
        <f>IF(AND(J81="Cobre",F81="Monofásico"),VLOOKUP(M81,'Iz''s'!$AT$10:$BA$28,2,FALSE),IF(AND(J81="Cobre",F81="Trifásico"),VLOOKUP(M81,'Iz''s'!$AT$10:$BA$28,3,FALSE),IF(AND(J81="Alumínio",F81="Monofásico"),VLOOKUP(M81,'Iz''s'!$BC$10:$BJ$27,2,FALSE),IF(AND(J81="Alumínio",F81="Trifásico"),VLOOKUP(M81,'Iz''s'!$BC$10:$BJ$27,3,FALSE)))))</f>
        <v>30</v>
      </c>
      <c r="BH81" s="609" t="str">
        <f>IF(AND(J81="Cobre",F81="Monofásico"),VLOOKUP(M81,'Iz''s'!$AT$10:$BA$28,4,FALSE),IF(AND(J81="Cobre",F81="Trifásico"),VLOOKUP(M81,'Iz''s'!$AT$10:$BA$28,5,FALSE),IF(AND(J81="Alumínio",F81="Monofásico"),VLOOKUP(M81,'Iz''s'!$BC$10:$BJ$27,4,FALSE),IF(AND(J81="Alumínio",F81="Trifásico"),VLOOKUP(M81,'Iz''s'!$BC$10:$BJ$27,5,FALSE)))))</f>
        <v xml:space="preserve"> --- </v>
      </c>
      <c r="BI81" s="609" t="str">
        <f>IF(AND(J81="Cobre",F81="Monofásico"),"N/A",IF(AND(J81="Cobre",F81="Trifásico"),VLOOKUP(M81,'Iz''s'!$AT$10:$BA$28,8,FALSE),IF(AND(J81="Alumínio",F81="Monofásico"),"N/A",IF(AND(J81="Alumínio",F81="Trifásico"),VLOOKUP(M81,'Iz''s'!$BC$10:$BJ$27,8,FALSE)))))</f>
        <v>N/A</v>
      </c>
      <c r="BJ81" s="531">
        <f>IF(AND(J81="Cobre",F81="Monofásico"),VLOOKUP(M81,'Iz''s'!$G$8:$J$23,2,FALSE),IF(AND(J81="Cobre",F81="Trifásico"),VLOOKUP(M81,'Iz''s'!$Q$8:$T$23,2,FALSE),IF(AND(J81="Alumínio",F81="Monofásico"),VLOOKUP(M81,'Iz''s'!$G$25:$J$39,2,FALSE),IF(AND(J81="Alumínio",F81="Trifásico"),VLOOKUP(M81,'Iz''s'!$Q$25:$T$39,2,FALSE)))))</f>
        <v>26</v>
      </c>
      <c r="BK81" s="609">
        <f>IF(AND(J81="Cobre",F81="Monofásico"),VLOOKUP(M81,'Iz''s'!$CJ$9:$CN$24,2,FALSE),IF(AND(J81="Cobre",F81="Trifásico"),VLOOKUP(M81,'Iz''s'!$CJ$9:$CN$24,4,FALSE),IF(AND(J81="Alumínio",F81="Monofásico"),VLOOKUP(M81,'Iz''s'!$CJ$26:$CN$40,2,FALSE),IF(AND(J81="Alumínio",F81="Trifásico"),VLOOKUP(M81,'Iz''s'!$CJ$26:$CN$40,4,FALSE)))))</f>
        <v>25</v>
      </c>
      <c r="BL81" s="609">
        <f>IF(AND(J81="Cobre",F81="Monofásico"),VLOOKUP(M81,'Iz''s'!$G$8:$J$23,3,FALSE),IF(AND(J81="Cobre",F81="Trifásico"),VLOOKUP(M81,'Iz''s'!$Q$8:$T$23,3,FALSE),IF(AND(J81="Alumínio",F81="Monofásico"),VLOOKUP(M81,'Iz''s'!$G$25:$J$39,3,FALSE),IF(AND(J81="Alumínio",F81="Trifásico"),VLOOKUP(M81,'Iz''s'!$Q$25:$T$39,3,FALSE)))))</f>
        <v>31</v>
      </c>
      <c r="BM81" s="609">
        <f>IF(AND(J81="Cobre",F81="Monofásico"),VLOOKUP(M81,'Iz''s'!$CJ$9:$CN$24,3,FALSE),IF(AND(J81="Cobre",F81="Trifásico"),VLOOKUP(M81,'Iz''s'!$CJ$9:$CN$24,5,FALSE),IF(AND(J81="Alumínio",F81="Monofásico"),VLOOKUP(M81,'Iz''s'!$CJ$26:$CN$40,3,FALSE),IF(AND(J81="Alumínio",F81="Trifásico"),VLOOKUP(M81,'Iz''s'!$CJ$26:$CN$40,5,FALSE)))))</f>
        <v>30</v>
      </c>
      <c r="BN81" s="609">
        <f>IF(AND(J81="Cobre",F81="Monofásico"),VLOOKUP(M81,'Iz''s'!$G$8:$J$23,4,FALSE),IF(AND(J81="Cobre",F81="Trifásico"),VLOOKUP(M81,'Iz''s'!$Q$8:$T$23,4,FALSE),IF(AND(J81="Alumínio",F81="Monofásico"),VLOOKUP(M81,'Iz''s'!$G$25:$J$39,4,FALSE),IF(AND(J81="Alumínio",F81="Trifásico"),VLOOKUP(M81,'Iz''s'!$Q$25:$T$39,4,FALSE)))))</f>
        <v>33</v>
      </c>
      <c r="BO81" s="609">
        <f>IF(AND(J81="Cobre",F81="Monofásico"),VLOOKUP(M81,'Iz''s'!$CP$9:$CT$24,5,FALSE),IF(AND(J81="Cobre",F81="Trifásico"),VLOOKUP(M81,'Iz''s'!$CP$9:$CT$24,4,FALSE),IF(AND(J81="Alumínio",F81="Monofásico"),VLOOKUP(M81,'Iz''s'!$CP$26:$CT$37,5,FALSE),IF(AND(J81="Alumínio",F81="Trifásico"),VLOOKUP(M81,'Iz''s'!$CP$26:$CT$37,4,FALSE)))))</f>
        <v>48</v>
      </c>
      <c r="BP81" s="609">
        <f>IF(AND(J81="Cobre",F81="Monofásico"),VLOOKUP(M81,'Iz''s'!$BL$10:$BS$28,2,FALSE),IF(AND(J81="Cobre",F81="Trifásico"),VLOOKUP(M81,'Iz''s'!$BL$10:$BS$28,3,FALSE),IF(AND(J81="Alumínio",F81="Monofásico"),VLOOKUP(M81,'Iz''s'!$BU$10:$CB$27,2,FALSE),IF(AND(J81="Alumínio",F81="Trifásico"),VLOOKUP(M81,'Iz''s'!$BU$10:$CB$27,3,FALSE)))))</f>
        <v>36</v>
      </c>
      <c r="BQ81" s="531" t="str">
        <f>IF(AND(J81="Cobre",F81="Monofásico"),VLOOKUP(M81,'Iz''s'!$BL$10:$BS$28,4,FALSE),IF(AND(J81="Cobre",F81="Trifásico"),VLOOKUP(M81,'Iz''s'!$BL$10:$BS$28,5,FALSE),IF(AND(J81="Alumínio",F81="Monofásico"),VLOOKUP(M81,'Iz''s'!$BU$10:$CB$27,4,FALSE),IF(AND(J81="Alumínio",F81="Trifásico"),VLOOKUP(M81,'Iz''s'!$BU$10:$CB$27,5,FALSE)))))</f>
        <v xml:space="preserve"> --- </v>
      </c>
      <c r="BR81" s="609" t="str">
        <f>IF(AND(J81="Cobre",F81="Monofásico"),"N/A",IF(AND(J81="Cobre",F81="Trifásico"),VLOOKUP(M81,'Iz''s'!$BL$10:$BS$28,8,FALSE),IF(AND(J81="Alumínio",F81="Monofásico"),"N/A",IF(AND(J81="Alumínio",F81="Trifásico"),VLOOKUP(M81,'Iz''s'!$BU$10:$CB$27,8,FALSE)))))</f>
        <v>N/A</v>
      </c>
      <c r="BS81" s="609">
        <f>IF(AND(J81="Cobre",F81="Monofásico"),VLOOKUP(M81,'Iz''s'!$V$14:$Y$28,2,FALSE),IF(AND(J81="Cobre",F81="Trifásico"),VLOOKUP(M81,'Iz''s'!$V$14:$Y$28,3,FALSE),IF(AND(J81="Alumínio",F81="Monofásico"),VLOOKUP(M81,"N/A",4,FALSE),IF(AND(J81="Alumínio",F81="Trifásico"),VLOOKUP(M81,"N/A",4,FALSE)))))</f>
        <v>34</v>
      </c>
      <c r="BT81" s="609">
        <f>IF(AND(J81="Cobre",F81="Monofásico"),VLOOKUP(M81,'Iz''s'!$AF$15:$AK$29,2,FALSE),IF(AND(J81="Cobre",F81="Trifásico"),VLOOKUP(M81,'Iz''s'!$AF$15:$AK$29,3,FALSE),IF(AND(J81="Alumínio",F81="Monofásico"),"N/A",IF(AND(J81="Alumínio",F81="Trifásico"),"N/A"))))</f>
        <v>36</v>
      </c>
      <c r="BU81" s="609">
        <f>IF(AND(J81="Cobre",F81="Monofásico"),VLOOKUP(M81,'Iz''s'!$AF$15:$AK$29,2,FALSE),IF(AND(J81="Cobre",F81="Trifásico"),VLOOKUP(M81,'Iz''s'!$AF$15:$AK$29,3,FALSE),IF(AND(J81="Alumínio",F81="Monofásico"),"N/A",IF(AND(J81="Alumínio",F81="Trifásico"),"N/A"))))</f>
        <v>36</v>
      </c>
      <c r="BV81" s="610" t="str">
        <f>IF(AND(J81="Cobre",F81="Monofásico"),"N/A",IF(AND(J81="Cobre",F81="Trifásico"),VLOOKUP(M81,'Iz''s'!$AF$15:$AK$29,6,FALSE),IF(AND(J81="Alumínio",F81="Monofásico"),"N/A",IF(AND(J81="Alumínio",F81="Trifásico"),"N/A"))))</f>
        <v>N/A</v>
      </c>
      <c r="BW81" s="611">
        <v>79</v>
      </c>
      <c r="BX81" s="565"/>
      <c r="BY81" s="612">
        <f>VLOOKUP(M81,Consulta!$W$6:$AB$23,4,FALSE)</f>
        <v>16</v>
      </c>
      <c r="BZ81" s="612">
        <f>VLOOKUP(M81,Consulta!$W$6:$AB$23,6,FALSE)</f>
        <v>20</v>
      </c>
      <c r="CA81" s="612">
        <f>VLOOKUP(M81,Consulta!$AK$6:$AP$23,4,FALSE)</f>
        <v>20</v>
      </c>
      <c r="CB81" s="612">
        <f>VLOOKUP(M81,Consulta!$AK$6:$AP$23,6,FALSE)</f>
        <v>25</v>
      </c>
      <c r="CC81" s="585" t="e">
        <f>VLOOKUP(M81,Consulta!$AD$6:$AI$19,4,FALSE)</f>
        <v>#N/A</v>
      </c>
      <c r="CD81" s="585" t="e">
        <f>VLOOKUP(M81,Consulta!$AD$6:$AI$19,6,FALSE)</f>
        <v>#N/A</v>
      </c>
      <c r="CE81" s="585" t="e">
        <f>VLOOKUP(M81,Consulta!$AR$6:$AW$19,4,FALSE)</f>
        <v>#N/A</v>
      </c>
      <c r="CF81" s="586" t="e">
        <f>VLOOKUP(M81,Consulta!$AR$6:$AW$19,6,FALSE)</f>
        <v>#N/A</v>
      </c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</row>
    <row r="82" spans="1:212" s="532" customFormat="1" ht="16.5" customHeight="1" x14ac:dyDescent="0.2">
      <c r="A82" s="571"/>
      <c r="B82" s="1115"/>
      <c r="C82" s="819" t="s">
        <v>866</v>
      </c>
      <c r="D82" s="684">
        <v>3.6</v>
      </c>
      <c r="E82" s="684">
        <f>5+15.1+3.1+0.4+0.4+1.3+5.65+4.72+3.3</f>
        <v>38.97</v>
      </c>
      <c r="F82" s="684" t="s">
        <v>244</v>
      </c>
      <c r="G82" s="684" t="s">
        <v>808</v>
      </c>
      <c r="H82" s="684">
        <v>1</v>
      </c>
      <c r="I82" s="760" t="s">
        <v>13</v>
      </c>
      <c r="J82" s="684" t="s">
        <v>242</v>
      </c>
      <c r="K82" s="684" t="s">
        <v>363</v>
      </c>
      <c r="L82" s="684">
        <v>1</v>
      </c>
      <c r="M82" s="685">
        <v>4</v>
      </c>
      <c r="N82" s="684" t="s">
        <v>453</v>
      </c>
      <c r="O82" s="684">
        <v>4</v>
      </c>
      <c r="P82" s="555">
        <f t="shared" si="92"/>
        <v>30</v>
      </c>
      <c r="Q82" s="684">
        <v>3</v>
      </c>
      <c r="R82" s="684">
        <v>0.7</v>
      </c>
      <c r="S82" s="555">
        <f t="shared" si="95"/>
        <v>15.652173913043478</v>
      </c>
      <c r="T82" s="696">
        <f t="shared" si="84"/>
        <v>21</v>
      </c>
      <c r="U82" s="684" t="s">
        <v>499</v>
      </c>
      <c r="V82" s="555">
        <v>16</v>
      </c>
      <c r="W82" s="684">
        <f>IF(U82="C.C.Fusíveis",VLOOKUP(V82,Consulta!$L$5:$N$31,3,FALSE),VLOOKUP(V82,Consulta!$P$5:$R$34,3,FALSE))</f>
        <v>21.6</v>
      </c>
      <c r="X82" s="698">
        <f t="shared" si="93"/>
        <v>44</v>
      </c>
      <c r="Y82" s="821">
        <f t="shared" si="85"/>
        <v>0.74534161490683226</v>
      </c>
      <c r="Z82" s="689" t="str">
        <f t="shared" si="94"/>
        <v>Sim</v>
      </c>
      <c r="AA82" s="762">
        <f t="shared" si="96"/>
        <v>6.5243555363796182E-2</v>
      </c>
      <c r="AB82" s="762">
        <f t="shared" si="97"/>
        <v>0.27400781249999995</v>
      </c>
      <c r="AC82" s="762">
        <f t="shared" si="98"/>
        <v>0</v>
      </c>
      <c r="AD82" s="686">
        <f t="shared" si="102"/>
        <v>1.851110134115298</v>
      </c>
      <c r="AE82" s="686">
        <f t="shared" si="99"/>
        <v>8.5776358695652153</v>
      </c>
      <c r="AF82" s="686">
        <f t="shared" si="100"/>
        <v>10.428746003680514</v>
      </c>
      <c r="AG82" s="687">
        <f t="shared" si="34"/>
        <v>3.7294068998109629E-2</v>
      </c>
      <c r="AH82" s="763">
        <f t="shared" si="34"/>
        <v>4.5342373929045714E-2</v>
      </c>
      <c r="AI82" s="686">
        <f t="shared" si="101"/>
        <v>0.67796336813103508</v>
      </c>
      <c r="AJ82" s="684">
        <v>3</v>
      </c>
      <c r="AK82" s="686">
        <v>0.1</v>
      </c>
      <c r="AL82" s="698">
        <f t="shared" si="89"/>
        <v>115</v>
      </c>
      <c r="AM82" s="686">
        <f t="shared" si="90"/>
        <v>1.8642681856115506</v>
      </c>
      <c r="AN82" s="689">
        <f t="shared" si="86"/>
        <v>1</v>
      </c>
      <c r="AO82" s="689" t="s">
        <v>563</v>
      </c>
      <c r="AP82" s="689" t="s">
        <v>523</v>
      </c>
      <c r="AQ82" s="689" t="str">
        <f t="shared" si="87"/>
        <v>3G</v>
      </c>
      <c r="AR82" s="689">
        <f t="shared" si="88"/>
        <v>4</v>
      </c>
      <c r="AS82" s="897" t="str">
        <f t="shared" si="91"/>
        <v/>
      </c>
      <c r="AT82" s="897" t="str">
        <f>IF(OR(AQ82="3G",AQ82="5G"),"",VLOOKUP(AR82,Consulta!$T$5:$U$25,2,FALSE))</f>
        <v/>
      </c>
      <c r="AU82" s="898" t="s">
        <v>565</v>
      </c>
      <c r="AV82" s="689" t="s">
        <v>23</v>
      </c>
      <c r="AW82" s="689" t="s">
        <v>564</v>
      </c>
      <c r="AX82" s="689">
        <f t="shared" si="103"/>
        <v>20</v>
      </c>
      <c r="AY82" s="690" t="s">
        <v>24</v>
      </c>
      <c r="AZ82" s="564"/>
      <c r="BA82" s="584">
        <f>IF(AND(J82="Cobre",F82="Monofásico"),VLOOKUP(M82,'Iz''s'!$B$8:$E$23,2,FALSE),IF(AND(J82="Cobre",F82="Trifásico"),VLOOKUP(M82,'Iz''s'!$L$8:$O$23,2,FALSE),IF(AND(J82="Alumínio",F82="Monofásico"),VLOOKUP(M82,'Iz''s'!$B$25:$E$39,2,FALSE),IF(AND(J82="Alumínio",F82="Trifásico"),VLOOKUP(M82,'Iz''s'!$L$25:$O$39,2,FALSE)))))</f>
        <v>26</v>
      </c>
      <c r="BB82" s="531">
        <f>IF(AND(J82="Cobre",F82="Monofásico"),VLOOKUP(M82,'Iz''s'!$CD$9:$CH$24,2,FALSE),IF(AND(J82="Cobre",F82="Trifásico"),VLOOKUP(M82,'Iz''s'!$CD$9:$CH$24,4,FALSE),IF(AND(J82="Alumínio",F82="Monofásico"),VLOOKUP(M82,'Iz''s'!$CD$26:$CH$40,2,FALSE),IF(AND(J82="Alumínio",F82="Trifásico"),VLOOKUP(M82,'Iz''s'!$CD$26:$CH$40,4,FALSE)))))</f>
        <v>25</v>
      </c>
      <c r="BC82" s="531">
        <f>IF(AND(J82="Cobre",F82="Monofásico"),VLOOKUP(M82,'Iz''s'!$B$8:$E$23,3,FALSE),IF(AND(J82="Cobre",F82="Trifásico"),VLOOKUP(M82,'Iz''s'!$L$8:$O$23,3,FALSE),IF(AND(J82="Alumínio",F82="Monofásico"),VLOOKUP(M82,'Iz''s'!$B$25:$E$39,3,FALSE),IF(AND(J82="Alumínio",F82="Trifásico"),VLOOKUP(M82,'Iz''s'!$L$25:$O$39,3,FALSE)))))</f>
        <v>32</v>
      </c>
      <c r="BD82" s="531">
        <f>IF(AND(J82="Cobre",F82="Monofásico"),VLOOKUP(M82,'Iz''s'!$CD$9:$CH$24,3,FALSE),IF(AND(J82="Cobre",F82="Trifásico"),VLOOKUP(M82,'Iz''s'!$CD$9:$CH$24,5,FALSE),IF(AND(J82="Alumínio",F82="Monofásico"),VLOOKUP(M82,'Iz''s'!$CD$26:$CH$40,3,FALSE),IF(AND(J82="Alumínio",F82="Trifásico"),VLOOKUP(M82,'Iz''s'!$CD$26:$CH$40,5,FALSE)))))</f>
        <v>30</v>
      </c>
      <c r="BE82" s="531">
        <f>IF(AND(J82="Cobre",F82="Monofásico"),VLOOKUP(M82,'Iz''s'!$B$8:$E$23,4,FALSE),IF(AND(J82="Cobre",F82="Trifásico"),VLOOKUP(M82,'Iz''s'!$L$8:$O$23,4,FALSE),IF(AND(J82="Alumínio",F82="Monofásico"),VLOOKUP(M82,'Iz''s'!$B$25:$E$39,4,FALSE),IF(AND(J82="Alumínio",F82="Trifásico"),VLOOKUP(M82,'Iz''s'!$L$25:$O$39,4,FALSE)))))</f>
        <v>36</v>
      </c>
      <c r="BF82" s="531">
        <f>IF(AND(J82="Cobre",F82="Monofásico"),VLOOKUP(M82,'Iz''s'!$CP$9:$CT$24,3,FALSE),IF(AND(J82="Cobre",F82="Trifásico"),VLOOKUP(M82,'Iz''s'!$CP$9:$CT$24,2,FALSE),IF(AND(J82="Alumínio",F82="Monofásico"),VLOOKUP(M82,'Iz''s'!$CP$26:$CT$37,3,FALSE),IF(AND(J82="Alumínio",F82="Trifásico"),VLOOKUP(M82,'Iz''s'!$CP$26:$CT$37,2,FALSE)))))</f>
        <v>54</v>
      </c>
      <c r="BG82" s="531">
        <f>IF(AND(J82="Cobre",F82="Monofásico"),VLOOKUP(M82,'Iz''s'!$AT$10:$BA$28,2,FALSE),IF(AND(J82="Cobre",F82="Trifásico"),VLOOKUP(M82,'Iz''s'!$AT$10:$BA$28,3,FALSE),IF(AND(J82="Alumínio",F82="Monofásico"),VLOOKUP(M82,'Iz''s'!$BC$10:$BJ$27,2,FALSE),IF(AND(J82="Alumínio",F82="Trifásico"),VLOOKUP(M82,'Iz''s'!$BC$10:$BJ$27,3,FALSE)))))</f>
        <v>40</v>
      </c>
      <c r="BH82" s="609" t="str">
        <f>IF(AND(J82="Cobre",F82="Monofásico"),VLOOKUP(M82,'Iz''s'!$AT$10:$BA$28,4,FALSE),IF(AND(J82="Cobre",F82="Trifásico"),VLOOKUP(M82,'Iz''s'!$AT$10:$BA$28,5,FALSE),IF(AND(J82="Alumínio",F82="Monofásico"),VLOOKUP(M82,'Iz''s'!$BC$10:$BJ$27,4,FALSE),IF(AND(J82="Alumínio",F82="Trifásico"),VLOOKUP(M82,'Iz''s'!$BC$10:$BJ$27,5,FALSE)))))</f>
        <v xml:space="preserve"> --- </v>
      </c>
      <c r="BI82" s="609" t="str">
        <f>IF(AND(J82="Cobre",F82="Monofásico"),"N/A",IF(AND(J82="Cobre",F82="Trifásico"),VLOOKUP(M82,'Iz''s'!$AT$10:$BA$28,8,FALSE),IF(AND(J82="Alumínio",F82="Monofásico"),"N/A",IF(AND(J82="Alumínio",F82="Trifásico"),VLOOKUP(M82,'Iz''s'!$BC$10:$BJ$27,8,FALSE)))))</f>
        <v>N/A</v>
      </c>
      <c r="BJ82" s="531">
        <f>IF(AND(J82="Cobre",F82="Monofásico"),VLOOKUP(M82,'Iz''s'!$G$8:$J$23,2,FALSE),IF(AND(J82="Cobre",F82="Trifásico"),VLOOKUP(M82,'Iz''s'!$Q$8:$T$23,2,FALSE),IF(AND(J82="Alumínio",F82="Monofásico"),VLOOKUP(M82,'Iz''s'!$G$25:$J$39,2,FALSE),IF(AND(J82="Alumínio",F82="Trifásico"),VLOOKUP(M82,'Iz''s'!$Q$25:$T$39,2,FALSE)))))</f>
        <v>35</v>
      </c>
      <c r="BK82" s="609">
        <f>IF(AND(J82="Cobre",F82="Monofásico"),VLOOKUP(M82,'Iz''s'!$CJ$9:$CN$24,2,FALSE),IF(AND(J82="Cobre",F82="Trifásico"),VLOOKUP(M82,'Iz''s'!$CJ$9:$CN$24,4,FALSE),IF(AND(J82="Alumínio",F82="Monofásico"),VLOOKUP(M82,'Iz''s'!$CJ$26:$CN$40,2,FALSE),IF(AND(J82="Alumínio",F82="Trifásico"),VLOOKUP(M82,'Iz''s'!$CJ$26:$CN$40,4,FALSE)))))</f>
        <v>33</v>
      </c>
      <c r="BL82" s="609">
        <f>IF(AND(J82="Cobre",F82="Monofásico"),VLOOKUP(M82,'Iz''s'!$G$8:$J$23,3,FALSE),IF(AND(J82="Cobre",F82="Trifásico"),VLOOKUP(M82,'Iz''s'!$Q$8:$T$23,3,FALSE),IF(AND(J82="Alumínio",F82="Monofásico"),VLOOKUP(M82,'Iz''s'!$G$25:$J$39,3,FALSE),IF(AND(J82="Alumínio",F82="Trifásico"),VLOOKUP(M82,'Iz''s'!$Q$25:$T$39,3,FALSE)))))</f>
        <v>42</v>
      </c>
      <c r="BM82" s="609">
        <f>IF(AND(J82="Cobre",F82="Monofásico"),VLOOKUP(M82,'Iz''s'!$CJ$9:$CN$24,3,FALSE),IF(AND(J82="Cobre",F82="Trifásico"),VLOOKUP(M82,'Iz''s'!$CJ$9:$CN$24,5,FALSE),IF(AND(J82="Alumínio",F82="Monofásico"),VLOOKUP(M82,'Iz''s'!$CJ$26:$CN$40,3,FALSE),IF(AND(J82="Alumínio",F82="Trifásico"),VLOOKUP(M82,'Iz''s'!$CJ$26:$CN$40,5,FALSE)))))</f>
        <v>40</v>
      </c>
      <c r="BN82" s="609">
        <f>IF(AND(J82="Cobre",F82="Monofásico"),VLOOKUP(M82,'Iz''s'!$G$8:$J$23,4,FALSE),IF(AND(J82="Cobre",F82="Trifásico"),VLOOKUP(M82,'Iz''s'!$Q$8:$T$23,4,FALSE),IF(AND(J82="Alumínio",F82="Monofásico"),VLOOKUP(M82,'Iz''s'!$G$25:$J$39,4,FALSE),IF(AND(J82="Alumínio",F82="Trifásico"),VLOOKUP(M82,'Iz''s'!$Q$25:$T$39,4,FALSE)))))</f>
        <v>45</v>
      </c>
      <c r="BO82" s="609">
        <f>IF(AND(J82="Cobre",F82="Monofásico"),VLOOKUP(M82,'Iz''s'!$CP$9:$CT$24,5,FALSE),IF(AND(J82="Cobre",F82="Trifásico"),VLOOKUP(M82,'Iz''s'!$CP$9:$CT$24,4,FALSE),IF(AND(J82="Alumínio",F82="Monofásico"),VLOOKUP(M82,'Iz''s'!$CP$26:$CT$37,5,FALSE),IF(AND(J82="Alumínio",F82="Trifásico"),VLOOKUP(M82,'Iz''s'!$CP$26:$CT$37,4,FALSE)))))</f>
        <v>63</v>
      </c>
      <c r="BP82" s="609">
        <f>IF(AND(J82="Cobre",F82="Monofásico"),VLOOKUP(M82,'Iz''s'!$BL$10:$BS$28,2,FALSE),IF(AND(J82="Cobre",F82="Trifásico"),VLOOKUP(M82,'Iz''s'!$BL$10:$BS$28,3,FALSE),IF(AND(J82="Alumínio",F82="Monofásico"),VLOOKUP(M82,'Iz''s'!$BU$10:$CB$27,2,FALSE),IF(AND(J82="Alumínio",F82="Trifásico"),VLOOKUP(M82,'Iz''s'!$BU$10:$CB$27,3,FALSE)))))</f>
        <v>49</v>
      </c>
      <c r="BQ82" s="531" t="str">
        <f>IF(AND(J82="Cobre",F82="Monofásico"),VLOOKUP(M82,'Iz''s'!$BL$10:$BS$28,4,FALSE),IF(AND(J82="Cobre",F82="Trifásico"),VLOOKUP(M82,'Iz''s'!$BL$10:$BS$28,5,FALSE),IF(AND(J82="Alumínio",F82="Monofásico"),VLOOKUP(M82,'Iz''s'!$BU$10:$CB$27,4,FALSE),IF(AND(J82="Alumínio",F82="Trifásico"),VLOOKUP(M82,'Iz''s'!$BU$10:$CB$27,5,FALSE)))))</f>
        <v xml:space="preserve"> --- </v>
      </c>
      <c r="BR82" s="609" t="str">
        <f>IF(AND(J82="Cobre",F82="Monofásico"),"N/A",IF(AND(J82="Cobre",F82="Trifásico"),VLOOKUP(M82,'Iz''s'!$BL$10:$BS$28,8,FALSE),IF(AND(J82="Alumínio",F82="Monofásico"),"N/A",IF(AND(J82="Alumínio",F82="Trifásico"),VLOOKUP(M82,'Iz''s'!$BU$10:$CB$27,8,FALSE)))))</f>
        <v>N/A</v>
      </c>
      <c r="BS82" s="609">
        <f>IF(AND(J82="Cobre",F82="Monofásico"),VLOOKUP(M82,'Iz''s'!$V$14:$Y$28,2,FALSE),IF(AND(J82="Cobre",F82="Trifásico"),VLOOKUP(M82,'Iz''s'!$V$14:$Y$28,3,FALSE),IF(AND(J82="Alumínio",F82="Monofásico"),VLOOKUP(M82,"N/A",4,FALSE),IF(AND(J82="Alumínio",F82="Trifásico"),VLOOKUP(M82,"N/A",4,FALSE)))))</f>
        <v>45</v>
      </c>
      <c r="BT82" s="609">
        <f>IF(AND(J82="Cobre",F82="Monofásico"),VLOOKUP(M82,'Iz''s'!$AF$15:$AK$29,2,FALSE),IF(AND(J82="Cobre",F82="Trifásico"),VLOOKUP(M82,'Iz''s'!$AF$15:$AK$29,3,FALSE),IF(AND(J82="Alumínio",F82="Monofásico"),"N/A",IF(AND(J82="Alumínio",F82="Trifásico"),"N/A"))))</f>
        <v>47</v>
      </c>
      <c r="BU82" s="609">
        <f>IF(AND(J82="Cobre",F82="Monofásico"),VLOOKUP(M82,'Iz''s'!$AF$15:$AK$29,2,FALSE),IF(AND(J82="Cobre",F82="Trifásico"),VLOOKUP(M82,'Iz''s'!$AF$15:$AK$29,3,FALSE),IF(AND(J82="Alumínio",F82="Monofásico"),"N/A",IF(AND(J82="Alumínio",F82="Trifásico"),"N/A"))))</f>
        <v>47</v>
      </c>
      <c r="BV82" s="610" t="str">
        <f>IF(AND(J82="Cobre",F82="Monofásico"),"N/A",IF(AND(J82="Cobre",F82="Trifásico"),VLOOKUP(M82,'Iz''s'!$AF$15:$AK$29,6,FALSE),IF(AND(J82="Alumínio",F82="Monofásico"),"N/A",IF(AND(J82="Alumínio",F82="Trifásico"),"N/A"))))</f>
        <v>N/A</v>
      </c>
      <c r="BW82" s="611">
        <v>80</v>
      </c>
      <c r="BX82" s="565"/>
      <c r="BY82" s="612">
        <f>VLOOKUP(M82,Consulta!$W$6:$AB$23,4,FALSE)</f>
        <v>20</v>
      </c>
      <c r="BZ82" s="612">
        <f>VLOOKUP(M82,Consulta!$W$6:$AB$23,6,FALSE)</f>
        <v>25</v>
      </c>
      <c r="CA82" s="612">
        <f>VLOOKUP(M82,Consulta!$AK$6:$AP$23,4,FALSE)</f>
        <v>25</v>
      </c>
      <c r="CB82" s="612">
        <f>VLOOKUP(M82,Consulta!$AK$6:$AP$23,6,FALSE)</f>
        <v>25</v>
      </c>
      <c r="CC82" s="585" t="e">
        <f>VLOOKUP(M82,Consulta!$AD$6:$AI$19,4,FALSE)</f>
        <v>#N/A</v>
      </c>
      <c r="CD82" s="585" t="e">
        <f>VLOOKUP(M82,Consulta!$AD$6:$AI$19,6,FALSE)</f>
        <v>#N/A</v>
      </c>
      <c r="CE82" s="585" t="e">
        <f>VLOOKUP(M82,Consulta!$AR$6:$AW$19,4,FALSE)</f>
        <v>#N/A</v>
      </c>
      <c r="CF82" s="586" t="e">
        <f>VLOOKUP(M82,Consulta!$AR$6:$AW$19,6,FALSE)</f>
        <v>#N/A</v>
      </c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</row>
    <row r="83" spans="1:212" s="532" customFormat="1" ht="16.5" customHeight="1" x14ac:dyDescent="0.2">
      <c r="A83" s="571"/>
      <c r="B83" s="1115"/>
      <c r="C83" s="820" t="s">
        <v>851</v>
      </c>
      <c r="D83" s="701">
        <f>6*35.5/1000</f>
        <v>0.21299999999999999</v>
      </c>
      <c r="E83" s="701">
        <f>4.17+2.3+4.17+1.04+0.28+0.2+7.2+2.16+1.4+1.7+0.25+0.83</f>
        <v>25.699999999999996</v>
      </c>
      <c r="F83" s="701" t="s">
        <v>244</v>
      </c>
      <c r="G83" s="701" t="s">
        <v>808</v>
      </c>
      <c r="H83" s="701">
        <v>1</v>
      </c>
      <c r="I83" s="765" t="s">
        <v>13</v>
      </c>
      <c r="J83" s="701" t="s">
        <v>242</v>
      </c>
      <c r="K83" s="701" t="s">
        <v>363</v>
      </c>
      <c r="L83" s="701">
        <v>1</v>
      </c>
      <c r="M83" s="702">
        <v>1.5</v>
      </c>
      <c r="N83" s="701" t="s">
        <v>453</v>
      </c>
      <c r="O83" s="701">
        <v>4</v>
      </c>
      <c r="P83" s="555">
        <f t="shared" si="92"/>
        <v>16.5</v>
      </c>
      <c r="Q83" s="701">
        <v>3</v>
      </c>
      <c r="R83" s="701">
        <v>0.8</v>
      </c>
      <c r="S83" s="555">
        <f t="shared" si="95"/>
        <v>0.92608695652173911</v>
      </c>
      <c r="T83" s="712">
        <f t="shared" si="84"/>
        <v>13.200000000000001</v>
      </c>
      <c r="U83" s="701" t="s">
        <v>499</v>
      </c>
      <c r="V83" s="555">
        <v>10</v>
      </c>
      <c r="W83" s="701">
        <f>IF(U83="C.C.Fusíveis",VLOOKUP(V83,Consulta!$L$5:$N$31,3,FALSE),VLOOKUP(V83,Consulta!$P$5:$R$34,3,FALSE))</f>
        <v>13.5</v>
      </c>
      <c r="X83" s="713">
        <f t="shared" si="93"/>
        <v>24</v>
      </c>
      <c r="Y83" s="822">
        <f t="shared" si="85"/>
        <v>7.0158102766798416E-2</v>
      </c>
      <c r="Z83" s="706" t="str">
        <f t="shared" si="94"/>
        <v>Sim</v>
      </c>
      <c r="AA83" s="767">
        <f t="shared" si="96"/>
        <v>6.5243555363796182E-2</v>
      </c>
      <c r="AB83" s="767">
        <f t="shared" si="97"/>
        <v>0.48187499999999983</v>
      </c>
      <c r="AC83" s="767">
        <f t="shared" si="98"/>
        <v>0</v>
      </c>
      <c r="AD83" s="703">
        <f t="shared" ref="AD83:AD104" si="104">$AE$9</f>
        <v>1.7498652207576615</v>
      </c>
      <c r="AE83" s="703">
        <f t="shared" si="99"/>
        <v>0.89251630434782581</v>
      </c>
      <c r="AF83" s="703">
        <f t="shared" si="100"/>
        <v>2.6423815251054874</v>
      </c>
      <c r="AG83" s="704">
        <f t="shared" si="34"/>
        <v>3.8805056710775037E-3</v>
      </c>
      <c r="AH83" s="768">
        <f t="shared" si="34"/>
        <v>1.1488615326545597E-2</v>
      </c>
      <c r="AI83" s="703">
        <f t="shared" si="101"/>
        <v>0.42038420694225204</v>
      </c>
      <c r="AJ83" s="701">
        <v>3</v>
      </c>
      <c r="AK83" s="703">
        <v>0.1</v>
      </c>
      <c r="AL83" s="713">
        <f t="shared" si="89"/>
        <v>115</v>
      </c>
      <c r="AM83" s="703">
        <f t="shared" si="90"/>
        <v>1.1559752924357256</v>
      </c>
      <c r="AN83" s="706">
        <f t="shared" si="86"/>
        <v>1</v>
      </c>
      <c r="AO83" s="706" t="s">
        <v>563</v>
      </c>
      <c r="AP83" s="706" t="s">
        <v>523</v>
      </c>
      <c r="AQ83" s="706" t="str">
        <f t="shared" si="87"/>
        <v>3G</v>
      </c>
      <c r="AR83" s="706">
        <f t="shared" si="88"/>
        <v>1.5</v>
      </c>
      <c r="AS83" s="893" t="str">
        <f t="shared" si="91"/>
        <v/>
      </c>
      <c r="AT83" s="893" t="str">
        <f>IF(OR(AQ83="3G",AQ83="5G"),"",VLOOKUP(AR83,Consulta!$T$5:$U$25,2,FALSE))</f>
        <v/>
      </c>
      <c r="AU83" s="894" t="s">
        <v>565</v>
      </c>
      <c r="AV83" s="706" t="s">
        <v>23</v>
      </c>
      <c r="AW83" s="706" t="s">
        <v>564</v>
      </c>
      <c r="AX83" s="706">
        <f t="shared" si="103"/>
        <v>25</v>
      </c>
      <c r="AY83" s="707" t="s">
        <v>24</v>
      </c>
      <c r="AZ83" s="564"/>
      <c r="BA83" s="584">
        <f>IF(AND(J83="Cobre",F83="Monofásico"),VLOOKUP(M83,'Iz''s'!$B$8:$E$23,2,FALSE),IF(AND(J83="Cobre",F83="Trifásico"),VLOOKUP(M83,'Iz''s'!$L$8:$O$23,2,FALSE),IF(AND(J83="Alumínio",F83="Monofásico"),VLOOKUP(M83,'Iz''s'!$B$25:$E$39,2,FALSE),IF(AND(J83="Alumínio",F83="Trifásico"),VLOOKUP(M83,'Iz''s'!$L$25:$O$39,2,FALSE)))))</f>
        <v>14.5</v>
      </c>
      <c r="BB83" s="531">
        <f>IF(AND(J83="Cobre",F83="Monofásico"),VLOOKUP(M83,'Iz''s'!$CD$9:$CH$24,2,FALSE),IF(AND(J83="Cobre",F83="Trifásico"),VLOOKUP(M83,'Iz''s'!$CD$9:$CH$24,4,FALSE),IF(AND(J83="Alumínio",F83="Monofásico"),VLOOKUP(M83,'Iz''s'!$CD$26:$CH$40,2,FALSE),IF(AND(J83="Alumínio",F83="Trifásico"),VLOOKUP(M83,'Iz''s'!$CD$26:$CH$40,4,FALSE)))))</f>
        <v>14</v>
      </c>
      <c r="BC83" s="531">
        <f>IF(AND(J83="Cobre",F83="Monofásico"),VLOOKUP(M83,'Iz''s'!$B$8:$E$23,3,FALSE),IF(AND(J83="Cobre",F83="Trifásico"),VLOOKUP(M83,'Iz''s'!$L$8:$O$23,3,FALSE),IF(AND(J83="Alumínio",F83="Monofásico"),VLOOKUP(M83,'Iz''s'!$B$25:$E$39,3,FALSE),IF(AND(J83="Alumínio",F83="Trifásico"),VLOOKUP(M83,'Iz''s'!$L$25:$O$39,3,FALSE)))))</f>
        <v>17.5</v>
      </c>
      <c r="BD83" s="531">
        <f>IF(AND(J83="Cobre",F83="Monofásico"),VLOOKUP(M83,'Iz''s'!$CD$9:$CH$24,3,FALSE),IF(AND(J83="Cobre",F83="Trifásico"),VLOOKUP(M83,'Iz''s'!$CD$9:$CH$24,5,FALSE),IF(AND(J83="Alumínio",F83="Monofásico"),VLOOKUP(M83,'Iz''s'!$CD$26:$CH$40,3,FALSE),IF(AND(J83="Alumínio",F83="Trifásico"),VLOOKUP(M83,'Iz''s'!$CD$26:$CH$40,5,FALSE)))))</f>
        <v>16.5</v>
      </c>
      <c r="BE83" s="531">
        <f>IF(AND(J83="Cobre",F83="Monofásico"),VLOOKUP(M83,'Iz''s'!$B$8:$E$23,4,FALSE),IF(AND(J83="Cobre",F83="Trifásico"),VLOOKUP(M83,'Iz''s'!$L$8:$O$23,4,FALSE),IF(AND(J83="Alumínio",F83="Monofásico"),VLOOKUP(M83,'Iz''s'!$B$25:$E$39,4,FALSE),IF(AND(J83="Alumínio",F83="Trifásico"),VLOOKUP(M83,'Iz''s'!$L$25:$O$39,4,FALSE)))))</f>
        <v>19.5</v>
      </c>
      <c r="BF83" s="531">
        <f>IF(AND(J83="Cobre",F83="Monofásico"),VLOOKUP(M83,'Iz''s'!$CP$9:$CT$24,3,FALSE),IF(AND(J83="Cobre",F83="Trifásico"),VLOOKUP(M83,'Iz''s'!$CP$9:$CT$24,2,FALSE),IF(AND(J83="Alumínio",F83="Monofásico"),VLOOKUP(M83,'Iz''s'!$CP$26:$CT$37,3,FALSE),IF(AND(J83="Alumínio",F83="Trifásico"),VLOOKUP(M83,'Iz''s'!$CP$26:$CT$37,2,FALSE)))))</f>
        <v>32</v>
      </c>
      <c r="BG83" s="531">
        <f>IF(AND(J83="Cobre",F83="Monofásico"),VLOOKUP(M83,'Iz''s'!$AT$10:$BA$28,2,FALSE),IF(AND(J83="Cobre",F83="Trifásico"),VLOOKUP(M83,'Iz''s'!$AT$10:$BA$28,3,FALSE),IF(AND(J83="Alumínio",F83="Monofásico"),VLOOKUP(M83,'Iz''s'!$BC$10:$BJ$27,2,FALSE),IF(AND(J83="Alumínio",F83="Trifásico"),VLOOKUP(M83,'Iz''s'!$BC$10:$BJ$27,3,FALSE)))))</f>
        <v>22</v>
      </c>
      <c r="BH83" s="609" t="str">
        <f>IF(AND(J83="Cobre",F83="Monofásico"),VLOOKUP(M83,'Iz''s'!$AT$10:$BA$28,4,FALSE),IF(AND(J83="Cobre",F83="Trifásico"),VLOOKUP(M83,'Iz''s'!$AT$10:$BA$28,5,FALSE),IF(AND(J83="Alumínio",F83="Monofásico"),VLOOKUP(M83,'Iz''s'!$BC$10:$BJ$27,4,FALSE),IF(AND(J83="Alumínio",F83="Trifásico"),VLOOKUP(M83,'Iz''s'!$BC$10:$BJ$27,5,FALSE)))))</f>
        <v xml:space="preserve"> --- </v>
      </c>
      <c r="BI83" s="609" t="str">
        <f>IF(AND(J83="Cobre",F83="Monofásico"),"N/A",IF(AND(J83="Cobre",F83="Trifásico"),VLOOKUP(M83,'Iz''s'!$AT$10:$BA$28,8,FALSE),IF(AND(J83="Alumínio",F83="Monofásico"),"N/A",IF(AND(J83="Alumínio",F83="Trifásico"),VLOOKUP(M83,'Iz''s'!$BC$10:$BJ$27,8,FALSE)))))</f>
        <v>N/A</v>
      </c>
      <c r="BJ83" s="531">
        <f>IF(AND(J83="Cobre",F83="Monofásico"),VLOOKUP(M83,'Iz''s'!$G$8:$J$23,2,FALSE),IF(AND(J83="Cobre",F83="Trifásico"),VLOOKUP(M83,'Iz''s'!$Q$8:$T$23,2,FALSE),IF(AND(J83="Alumínio",F83="Monofásico"),VLOOKUP(M83,'Iz''s'!$G$25:$J$39,2,FALSE),IF(AND(J83="Alumínio",F83="Trifásico"),VLOOKUP(M83,'Iz''s'!$Q$25:$T$39,2,FALSE)))))</f>
        <v>19</v>
      </c>
      <c r="BK83" s="609">
        <f>IF(AND(J83="Cobre",F83="Monofásico"),VLOOKUP(M83,'Iz''s'!$CJ$9:$CN$24,2,FALSE),IF(AND(J83="Cobre",F83="Trifásico"),VLOOKUP(M83,'Iz''s'!$CJ$9:$CN$24,4,FALSE),IF(AND(J83="Alumínio",F83="Monofásico"),VLOOKUP(M83,'Iz''s'!$CJ$26:$CN$40,2,FALSE),IF(AND(J83="Alumínio",F83="Trifásico"),VLOOKUP(M83,'Iz''s'!$CJ$26:$CN$40,4,FALSE)))))</f>
        <v>18.5</v>
      </c>
      <c r="BL83" s="609">
        <f>IF(AND(J83="Cobre",F83="Monofásico"),VLOOKUP(M83,'Iz''s'!$G$8:$J$23,3,FALSE),IF(AND(J83="Cobre",F83="Trifásico"),VLOOKUP(M83,'Iz''s'!$Q$8:$T$23,3,FALSE),IF(AND(J83="Alumínio",F83="Monofásico"),VLOOKUP(M83,'Iz''s'!$G$25:$J$39,3,FALSE),IF(AND(J83="Alumínio",F83="Trifásico"),VLOOKUP(M83,'Iz''s'!$Q$25:$T$39,3,FALSE)))))</f>
        <v>23</v>
      </c>
      <c r="BM83" s="609">
        <f>IF(AND(J83="Cobre",F83="Monofásico"),VLOOKUP(M83,'Iz''s'!$CJ$9:$CN$24,3,FALSE),IF(AND(J83="Cobre",F83="Trifásico"),VLOOKUP(M83,'Iz''s'!$CJ$9:$CN$24,5,FALSE),IF(AND(J83="Alumínio",F83="Monofásico"),VLOOKUP(M83,'Iz''s'!$CJ$26:$CN$40,3,FALSE),IF(AND(J83="Alumínio",F83="Trifásico"),VLOOKUP(M83,'Iz''s'!$CJ$26:$CN$40,5,FALSE)))))</f>
        <v>22</v>
      </c>
      <c r="BN83" s="609">
        <f>IF(AND(J83="Cobre",F83="Monofásico"),VLOOKUP(M83,'Iz''s'!$G$8:$J$23,4,FALSE),IF(AND(J83="Cobre",F83="Trifásico"),VLOOKUP(M83,'Iz''s'!$Q$8:$T$23,4,FALSE),IF(AND(J83="Alumínio",F83="Monofásico"),VLOOKUP(M83,'Iz''s'!$G$25:$J$39,4,FALSE),IF(AND(J83="Alumínio",F83="Trifásico"),VLOOKUP(M83,'Iz''s'!$Q$25:$T$39,4,FALSE)))))</f>
        <v>24</v>
      </c>
      <c r="BO83" s="609">
        <f>IF(AND(J83="Cobre",F83="Monofásico"),VLOOKUP(M83,'Iz''s'!$CP$9:$CT$24,5,FALSE),IF(AND(J83="Cobre",F83="Trifásico"),VLOOKUP(M83,'Iz''s'!$CP$9:$CT$24,4,FALSE),IF(AND(J83="Alumínio",F83="Monofásico"),VLOOKUP(M83,'Iz''s'!$CP$26:$CT$37,5,FALSE),IF(AND(J83="Alumínio",F83="Trifásico"),VLOOKUP(M83,'Iz''s'!$CP$26:$CT$37,4,FALSE)))))</f>
        <v>37</v>
      </c>
      <c r="BP83" s="609">
        <f>IF(AND(J83="Cobre",F83="Monofásico"),VLOOKUP(M83,'Iz''s'!$BL$10:$BS$28,2,FALSE),IF(AND(J83="Cobre",F83="Trifásico"),VLOOKUP(M83,'Iz''s'!$BL$10:$BS$28,3,FALSE),IF(AND(J83="Alumínio",F83="Monofásico"),VLOOKUP(M83,'Iz''s'!$BU$10:$CB$27,2,FALSE),IF(AND(J83="Alumínio",F83="Trifásico"),VLOOKUP(M83,'Iz''s'!$BU$10:$CB$27,3,FALSE)))))</f>
        <v>26</v>
      </c>
      <c r="BQ83" s="531" t="str">
        <f>IF(AND(J83="Cobre",F83="Monofásico"),VLOOKUP(M83,'Iz''s'!$BL$10:$BS$28,4,FALSE),IF(AND(J83="Cobre",F83="Trifásico"),VLOOKUP(M83,'Iz''s'!$BL$10:$BS$28,5,FALSE),IF(AND(J83="Alumínio",F83="Monofásico"),VLOOKUP(M83,'Iz''s'!$BU$10:$CB$27,4,FALSE),IF(AND(J83="Alumínio",F83="Trifásico"),VLOOKUP(M83,'Iz''s'!$BU$10:$CB$27,5,FALSE)))))</f>
        <v xml:space="preserve"> --- </v>
      </c>
      <c r="BR83" s="609" t="str">
        <f>IF(AND(J83="Cobre",F83="Monofásico"),"N/A",IF(AND(J83="Cobre",F83="Trifásico"),VLOOKUP(M83,'Iz''s'!$BL$10:$BS$28,8,FALSE),IF(AND(J83="Alumínio",F83="Monofásico"),"N/A",IF(AND(J83="Alumínio",F83="Trifásico"),VLOOKUP(M83,'Iz''s'!$BU$10:$CB$27,8,FALSE)))))</f>
        <v>N/A</v>
      </c>
      <c r="BS83" s="609">
        <f>IF(AND(J83="Cobre",F83="Monofásico"),VLOOKUP(M83,'Iz''s'!$V$14:$Y$28,2,FALSE),IF(AND(J83="Cobre",F83="Trifásico"),VLOOKUP(M83,'Iz''s'!$V$14:$Y$28,3,FALSE),IF(AND(J83="Alumínio",F83="Monofásico"),VLOOKUP(M83,"N/A",4,FALSE),IF(AND(J83="Alumínio",F83="Trifásico"),VLOOKUP(M83,"N/A",4,FALSE)))))</f>
        <v>25</v>
      </c>
      <c r="BT83" s="609">
        <f>IF(AND(J83="Cobre",F83="Monofásico"),VLOOKUP(M83,'Iz''s'!$AF$15:$AK$29,2,FALSE),IF(AND(J83="Cobre",F83="Trifásico"),VLOOKUP(M83,'Iz''s'!$AF$15:$AK$29,3,FALSE),IF(AND(J83="Alumínio",F83="Monofásico"),"N/A",IF(AND(J83="Alumínio",F83="Trifásico"),"N/A"))))</f>
        <v>26</v>
      </c>
      <c r="BU83" s="609">
        <f>IF(AND(J83="Cobre",F83="Monofásico"),VLOOKUP(M83,'Iz''s'!$AF$15:$AK$29,2,FALSE),IF(AND(J83="Cobre",F83="Trifásico"),VLOOKUP(M83,'Iz''s'!$AF$15:$AK$29,3,FALSE),IF(AND(J83="Alumínio",F83="Monofásico"),"N/A",IF(AND(J83="Alumínio",F83="Trifásico"),"N/A"))))</f>
        <v>26</v>
      </c>
      <c r="BV83" s="610" t="str">
        <f>IF(AND(J83="Cobre",F83="Monofásico"),"N/A",IF(AND(J83="Cobre",F83="Trifásico"),VLOOKUP(M83,'Iz''s'!$AF$15:$AK$29,6,FALSE),IF(AND(J83="Alumínio",F83="Monofásico"),"N/A",IF(AND(J83="Alumínio",F83="Trifásico"),"N/A"))))</f>
        <v>N/A</v>
      </c>
      <c r="BW83" s="611">
        <v>81</v>
      </c>
      <c r="BX83" s="565"/>
      <c r="BY83" s="612">
        <f>VLOOKUP(M83,Consulta!$W$6:$AB$23,4,FALSE)</f>
        <v>16</v>
      </c>
      <c r="BZ83" s="612">
        <f>VLOOKUP(M83,Consulta!$W$6:$AB$23,6,FALSE)</f>
        <v>20</v>
      </c>
      <c r="CA83" s="612">
        <f>VLOOKUP(M83,Consulta!$AK$6:$AP$23,4,FALSE)</f>
        <v>20</v>
      </c>
      <c r="CB83" s="612">
        <f>VLOOKUP(M83,Consulta!$AK$6:$AP$23,6,FALSE)</f>
        <v>20</v>
      </c>
      <c r="CC83" s="585" t="e">
        <f>VLOOKUP(M83,Consulta!$AD$6:$AI$19,4,FALSE)</f>
        <v>#N/A</v>
      </c>
      <c r="CD83" s="585" t="e">
        <f>VLOOKUP(M83,Consulta!$AD$6:$AI$19,6,FALSE)</f>
        <v>#N/A</v>
      </c>
      <c r="CE83" s="585" t="e">
        <f>VLOOKUP(M83,Consulta!$AR$6:$AW$19,4,FALSE)</f>
        <v>#N/A</v>
      </c>
      <c r="CF83" s="586" t="e">
        <f>VLOOKUP(M83,Consulta!$AR$6:$AW$19,6,FALSE)</f>
        <v>#N/A</v>
      </c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</row>
    <row r="84" spans="1:212" s="532" customFormat="1" ht="16.5" customHeight="1" x14ac:dyDescent="0.2">
      <c r="A84" s="571"/>
      <c r="B84" s="1115"/>
      <c r="C84" s="820" t="s">
        <v>850</v>
      </c>
      <c r="D84" s="701">
        <f>8*13/1000</f>
        <v>0.104</v>
      </c>
      <c r="E84" s="701">
        <f>5.32+5.32+0.7+3.66+3.42+0.55+1</f>
        <v>19.970000000000002</v>
      </c>
      <c r="F84" s="701" t="s">
        <v>244</v>
      </c>
      <c r="G84" s="701" t="s">
        <v>808</v>
      </c>
      <c r="H84" s="701">
        <v>1</v>
      </c>
      <c r="I84" s="765" t="s">
        <v>13</v>
      </c>
      <c r="J84" s="701" t="s">
        <v>242</v>
      </c>
      <c r="K84" s="701" t="s">
        <v>363</v>
      </c>
      <c r="L84" s="701">
        <v>1</v>
      </c>
      <c r="M84" s="702">
        <v>1.5</v>
      </c>
      <c r="N84" s="701" t="s">
        <v>453</v>
      </c>
      <c r="O84" s="701">
        <v>4</v>
      </c>
      <c r="P84" s="555">
        <f t="shared" si="92"/>
        <v>16.5</v>
      </c>
      <c r="Q84" s="701">
        <v>3</v>
      </c>
      <c r="R84" s="701">
        <v>1</v>
      </c>
      <c r="S84" s="555">
        <f t="shared" si="95"/>
        <v>0.45217391304347826</v>
      </c>
      <c r="T84" s="712">
        <f t="shared" si="84"/>
        <v>16.5</v>
      </c>
      <c r="U84" s="701" t="s">
        <v>499</v>
      </c>
      <c r="V84" s="555">
        <v>10</v>
      </c>
      <c r="W84" s="701">
        <f>IF(U84="C.C.Fusíveis",VLOOKUP(V84,Consulta!$L$5:$N$31,3,FALSE),VLOOKUP(V84,Consulta!$P$5:$R$34,3,FALSE))</f>
        <v>13.5</v>
      </c>
      <c r="X84" s="713">
        <f t="shared" si="93"/>
        <v>24</v>
      </c>
      <c r="Y84" s="822">
        <f t="shared" si="85"/>
        <v>2.7404479578392621E-2</v>
      </c>
      <c r="Z84" s="706" t="str">
        <f t="shared" si="94"/>
        <v>Sim</v>
      </c>
      <c r="AA84" s="767">
        <f t="shared" si="96"/>
        <v>6.5243555363796182E-2</v>
      </c>
      <c r="AB84" s="767">
        <f t="shared" si="97"/>
        <v>0.37443749999999998</v>
      </c>
      <c r="AC84" s="767">
        <f t="shared" si="98"/>
        <v>0</v>
      </c>
      <c r="AD84" s="703">
        <f t="shared" si="104"/>
        <v>1.7498652207576615</v>
      </c>
      <c r="AE84" s="703">
        <f t="shared" si="99"/>
        <v>0.33862173913043475</v>
      </c>
      <c r="AF84" s="703">
        <f t="shared" si="100"/>
        <v>2.0884869598880962</v>
      </c>
      <c r="AG84" s="704">
        <f t="shared" si="34"/>
        <v>1.4722684310018903E-3</v>
      </c>
      <c r="AH84" s="768">
        <f t="shared" si="34"/>
        <v>9.080378086469984E-3</v>
      </c>
      <c r="AI84" s="703">
        <f t="shared" si="101"/>
        <v>0.52310645908929576</v>
      </c>
      <c r="AJ84" s="701">
        <v>3</v>
      </c>
      <c r="AK84" s="703">
        <v>0.1</v>
      </c>
      <c r="AL84" s="713">
        <f t="shared" si="89"/>
        <v>115</v>
      </c>
      <c r="AM84" s="703">
        <f t="shared" si="90"/>
        <v>1.4384416256242298</v>
      </c>
      <c r="AN84" s="706">
        <f t="shared" si="86"/>
        <v>1</v>
      </c>
      <c r="AO84" s="706" t="s">
        <v>563</v>
      </c>
      <c r="AP84" s="706" t="s">
        <v>523</v>
      </c>
      <c r="AQ84" s="706" t="str">
        <f t="shared" si="87"/>
        <v>3G</v>
      </c>
      <c r="AR84" s="706">
        <f t="shared" si="88"/>
        <v>1.5</v>
      </c>
      <c r="AS84" s="893" t="str">
        <f t="shared" si="91"/>
        <v/>
      </c>
      <c r="AT84" s="893" t="str">
        <f>IF(OR(AQ84="3G",AQ84="5G"),"",VLOOKUP(AR84,Consulta!$T$5:$U$25,2,FALSE))</f>
        <v/>
      </c>
      <c r="AU84" s="894" t="s">
        <v>565</v>
      </c>
      <c r="AV84" s="706" t="s">
        <v>23</v>
      </c>
      <c r="AW84" s="706" t="s">
        <v>564</v>
      </c>
      <c r="AX84" s="706">
        <f t="shared" si="103"/>
        <v>20</v>
      </c>
      <c r="AY84" s="707" t="s">
        <v>24</v>
      </c>
      <c r="AZ84" s="564"/>
      <c r="BA84" s="584">
        <f>IF(AND(J84="Cobre",F84="Monofásico"),VLOOKUP(M84,'Iz''s'!$B$8:$E$23,2,FALSE),IF(AND(J84="Cobre",F84="Trifásico"),VLOOKUP(M84,'Iz''s'!$L$8:$O$23,2,FALSE),IF(AND(J84="Alumínio",F84="Monofásico"),VLOOKUP(M84,'Iz''s'!$B$25:$E$39,2,FALSE),IF(AND(J84="Alumínio",F84="Trifásico"),VLOOKUP(M84,'Iz''s'!$L$25:$O$39,2,FALSE)))))</f>
        <v>14.5</v>
      </c>
      <c r="BB84" s="531">
        <f>IF(AND(J84="Cobre",F84="Monofásico"),VLOOKUP(M84,'Iz''s'!$CD$9:$CH$24,2,FALSE),IF(AND(J84="Cobre",F84="Trifásico"),VLOOKUP(M84,'Iz''s'!$CD$9:$CH$24,4,FALSE),IF(AND(J84="Alumínio",F84="Monofásico"),VLOOKUP(M84,'Iz''s'!$CD$26:$CH$40,2,FALSE),IF(AND(J84="Alumínio",F84="Trifásico"),VLOOKUP(M84,'Iz''s'!$CD$26:$CH$40,4,FALSE)))))</f>
        <v>14</v>
      </c>
      <c r="BC84" s="531">
        <f>IF(AND(J84="Cobre",F84="Monofásico"),VLOOKUP(M84,'Iz''s'!$B$8:$E$23,3,FALSE),IF(AND(J84="Cobre",F84="Trifásico"),VLOOKUP(M84,'Iz''s'!$L$8:$O$23,3,FALSE),IF(AND(J84="Alumínio",F84="Monofásico"),VLOOKUP(M84,'Iz''s'!$B$25:$E$39,3,FALSE),IF(AND(J84="Alumínio",F84="Trifásico"),VLOOKUP(M84,'Iz''s'!$L$25:$O$39,3,FALSE)))))</f>
        <v>17.5</v>
      </c>
      <c r="BD84" s="531">
        <f>IF(AND(J84="Cobre",F84="Monofásico"),VLOOKUP(M84,'Iz''s'!$CD$9:$CH$24,3,FALSE),IF(AND(J84="Cobre",F84="Trifásico"),VLOOKUP(M84,'Iz''s'!$CD$9:$CH$24,5,FALSE),IF(AND(J84="Alumínio",F84="Monofásico"),VLOOKUP(M84,'Iz''s'!$CD$26:$CH$40,3,FALSE),IF(AND(J84="Alumínio",F84="Trifásico"),VLOOKUP(M84,'Iz''s'!$CD$26:$CH$40,5,FALSE)))))</f>
        <v>16.5</v>
      </c>
      <c r="BE84" s="531">
        <f>IF(AND(J84="Cobre",F84="Monofásico"),VLOOKUP(M84,'Iz''s'!$B$8:$E$23,4,FALSE),IF(AND(J84="Cobre",F84="Trifásico"),VLOOKUP(M84,'Iz''s'!$L$8:$O$23,4,FALSE),IF(AND(J84="Alumínio",F84="Monofásico"),VLOOKUP(M84,'Iz''s'!$B$25:$E$39,4,FALSE),IF(AND(J84="Alumínio",F84="Trifásico"),VLOOKUP(M84,'Iz''s'!$L$25:$O$39,4,FALSE)))))</f>
        <v>19.5</v>
      </c>
      <c r="BF84" s="531">
        <f>IF(AND(J84="Cobre",F84="Monofásico"),VLOOKUP(M84,'Iz''s'!$CP$9:$CT$24,3,FALSE),IF(AND(J84="Cobre",F84="Trifásico"),VLOOKUP(M84,'Iz''s'!$CP$9:$CT$24,2,FALSE),IF(AND(J84="Alumínio",F84="Monofásico"),VLOOKUP(M84,'Iz''s'!$CP$26:$CT$37,3,FALSE),IF(AND(J84="Alumínio",F84="Trifásico"),VLOOKUP(M84,'Iz''s'!$CP$26:$CT$37,2,FALSE)))))</f>
        <v>32</v>
      </c>
      <c r="BG84" s="531">
        <f>IF(AND(J84="Cobre",F84="Monofásico"),VLOOKUP(M84,'Iz''s'!$AT$10:$BA$28,2,FALSE),IF(AND(J84="Cobre",F84="Trifásico"),VLOOKUP(M84,'Iz''s'!$AT$10:$BA$28,3,FALSE),IF(AND(J84="Alumínio",F84="Monofásico"),VLOOKUP(M84,'Iz''s'!$BC$10:$BJ$27,2,FALSE),IF(AND(J84="Alumínio",F84="Trifásico"),VLOOKUP(M84,'Iz''s'!$BC$10:$BJ$27,3,FALSE)))))</f>
        <v>22</v>
      </c>
      <c r="BH84" s="609" t="str">
        <f>IF(AND(J84="Cobre",F84="Monofásico"),VLOOKUP(M84,'Iz''s'!$AT$10:$BA$28,4,FALSE),IF(AND(J84="Cobre",F84="Trifásico"),VLOOKUP(M84,'Iz''s'!$AT$10:$BA$28,5,FALSE),IF(AND(J84="Alumínio",F84="Monofásico"),VLOOKUP(M84,'Iz''s'!$BC$10:$BJ$27,4,FALSE),IF(AND(J84="Alumínio",F84="Trifásico"),VLOOKUP(M84,'Iz''s'!$BC$10:$BJ$27,5,FALSE)))))</f>
        <v xml:space="preserve"> --- </v>
      </c>
      <c r="BI84" s="609" t="str">
        <f>IF(AND(J84="Cobre",F84="Monofásico"),"N/A",IF(AND(J84="Cobre",F84="Trifásico"),VLOOKUP(M84,'Iz''s'!$AT$10:$BA$28,8,FALSE),IF(AND(J84="Alumínio",F84="Monofásico"),"N/A",IF(AND(J84="Alumínio",F84="Trifásico"),VLOOKUP(M84,'Iz''s'!$BC$10:$BJ$27,8,FALSE)))))</f>
        <v>N/A</v>
      </c>
      <c r="BJ84" s="531">
        <f>IF(AND(J84="Cobre",F84="Monofásico"),VLOOKUP(M84,'Iz''s'!$G$8:$J$23,2,FALSE),IF(AND(J84="Cobre",F84="Trifásico"),VLOOKUP(M84,'Iz''s'!$Q$8:$T$23,2,FALSE),IF(AND(J84="Alumínio",F84="Monofásico"),VLOOKUP(M84,'Iz''s'!$G$25:$J$39,2,FALSE),IF(AND(J84="Alumínio",F84="Trifásico"),VLOOKUP(M84,'Iz''s'!$Q$25:$T$39,2,FALSE)))))</f>
        <v>19</v>
      </c>
      <c r="BK84" s="609">
        <f>IF(AND(J84="Cobre",F84="Monofásico"),VLOOKUP(M84,'Iz''s'!$CJ$9:$CN$24,2,FALSE),IF(AND(J84="Cobre",F84="Trifásico"),VLOOKUP(M84,'Iz''s'!$CJ$9:$CN$24,4,FALSE),IF(AND(J84="Alumínio",F84="Monofásico"),VLOOKUP(M84,'Iz''s'!$CJ$26:$CN$40,2,FALSE),IF(AND(J84="Alumínio",F84="Trifásico"),VLOOKUP(M84,'Iz''s'!$CJ$26:$CN$40,4,FALSE)))))</f>
        <v>18.5</v>
      </c>
      <c r="BL84" s="609">
        <f>IF(AND(J84="Cobre",F84="Monofásico"),VLOOKUP(M84,'Iz''s'!$G$8:$J$23,3,FALSE),IF(AND(J84="Cobre",F84="Trifásico"),VLOOKUP(M84,'Iz''s'!$Q$8:$T$23,3,FALSE),IF(AND(J84="Alumínio",F84="Monofásico"),VLOOKUP(M84,'Iz''s'!$G$25:$J$39,3,FALSE),IF(AND(J84="Alumínio",F84="Trifásico"),VLOOKUP(M84,'Iz''s'!$Q$25:$T$39,3,FALSE)))))</f>
        <v>23</v>
      </c>
      <c r="BM84" s="609">
        <f>IF(AND(J84="Cobre",F84="Monofásico"),VLOOKUP(M84,'Iz''s'!$CJ$9:$CN$24,3,FALSE),IF(AND(J84="Cobre",F84="Trifásico"),VLOOKUP(M84,'Iz''s'!$CJ$9:$CN$24,5,FALSE),IF(AND(J84="Alumínio",F84="Monofásico"),VLOOKUP(M84,'Iz''s'!$CJ$26:$CN$40,3,FALSE),IF(AND(J84="Alumínio",F84="Trifásico"),VLOOKUP(M84,'Iz''s'!$CJ$26:$CN$40,5,FALSE)))))</f>
        <v>22</v>
      </c>
      <c r="BN84" s="609">
        <f>IF(AND(J84="Cobre",F84="Monofásico"),VLOOKUP(M84,'Iz''s'!$G$8:$J$23,4,FALSE),IF(AND(J84="Cobre",F84="Trifásico"),VLOOKUP(M84,'Iz''s'!$Q$8:$T$23,4,FALSE),IF(AND(J84="Alumínio",F84="Monofásico"),VLOOKUP(M84,'Iz''s'!$G$25:$J$39,4,FALSE),IF(AND(J84="Alumínio",F84="Trifásico"),VLOOKUP(M84,'Iz''s'!$Q$25:$T$39,4,FALSE)))))</f>
        <v>24</v>
      </c>
      <c r="BO84" s="609">
        <f>IF(AND(J84="Cobre",F84="Monofásico"),VLOOKUP(M84,'Iz''s'!$CP$9:$CT$24,5,FALSE),IF(AND(J84="Cobre",F84="Trifásico"),VLOOKUP(M84,'Iz''s'!$CP$9:$CT$24,4,FALSE),IF(AND(J84="Alumínio",F84="Monofásico"),VLOOKUP(M84,'Iz''s'!$CP$26:$CT$37,5,FALSE),IF(AND(J84="Alumínio",F84="Trifásico"),VLOOKUP(M84,'Iz''s'!$CP$26:$CT$37,4,FALSE)))))</f>
        <v>37</v>
      </c>
      <c r="BP84" s="609">
        <f>IF(AND(J84="Cobre",F84="Monofásico"),VLOOKUP(M84,'Iz''s'!$BL$10:$BS$28,2,FALSE),IF(AND(J84="Cobre",F84="Trifásico"),VLOOKUP(M84,'Iz''s'!$BL$10:$BS$28,3,FALSE),IF(AND(J84="Alumínio",F84="Monofásico"),VLOOKUP(M84,'Iz''s'!$BU$10:$CB$27,2,FALSE),IF(AND(J84="Alumínio",F84="Trifásico"),VLOOKUP(M84,'Iz''s'!$BU$10:$CB$27,3,FALSE)))))</f>
        <v>26</v>
      </c>
      <c r="BQ84" s="531" t="str">
        <f>IF(AND(J84="Cobre",F84="Monofásico"),VLOOKUP(M84,'Iz''s'!$BL$10:$BS$28,4,FALSE),IF(AND(J84="Cobre",F84="Trifásico"),VLOOKUP(M84,'Iz''s'!$BL$10:$BS$28,5,FALSE),IF(AND(J84="Alumínio",F84="Monofásico"),VLOOKUP(M84,'Iz''s'!$BU$10:$CB$27,4,FALSE),IF(AND(J84="Alumínio",F84="Trifásico"),VLOOKUP(M84,'Iz''s'!$BU$10:$CB$27,5,FALSE)))))</f>
        <v xml:space="preserve"> --- </v>
      </c>
      <c r="BR84" s="609" t="str">
        <f>IF(AND(J84="Cobre",F84="Monofásico"),"N/A",IF(AND(J84="Cobre",F84="Trifásico"),VLOOKUP(M84,'Iz''s'!$BL$10:$BS$28,8,FALSE),IF(AND(J84="Alumínio",F84="Monofásico"),"N/A",IF(AND(J84="Alumínio",F84="Trifásico"),VLOOKUP(M84,'Iz''s'!$BU$10:$CB$27,8,FALSE)))))</f>
        <v>N/A</v>
      </c>
      <c r="BS84" s="609">
        <f>IF(AND(J84="Cobre",F84="Monofásico"),VLOOKUP(M84,'Iz''s'!$V$14:$Y$28,2,FALSE),IF(AND(J84="Cobre",F84="Trifásico"),VLOOKUP(M84,'Iz''s'!$V$14:$Y$28,3,FALSE),IF(AND(J84="Alumínio",F84="Monofásico"),VLOOKUP(M84,"N/A",4,FALSE),IF(AND(J84="Alumínio",F84="Trifásico"),VLOOKUP(M84,"N/A",4,FALSE)))))</f>
        <v>25</v>
      </c>
      <c r="BT84" s="609">
        <f>IF(AND(J84="Cobre",F84="Monofásico"),VLOOKUP(M84,'Iz''s'!$AF$15:$AK$29,2,FALSE),IF(AND(J84="Cobre",F84="Trifásico"),VLOOKUP(M84,'Iz''s'!$AF$15:$AK$29,3,FALSE),IF(AND(J84="Alumínio",F84="Monofásico"),"N/A",IF(AND(J84="Alumínio",F84="Trifásico"),"N/A"))))</f>
        <v>26</v>
      </c>
      <c r="BU84" s="609">
        <f>IF(AND(J84="Cobre",F84="Monofásico"),VLOOKUP(M84,'Iz''s'!$AF$15:$AK$29,2,FALSE),IF(AND(J84="Cobre",F84="Trifásico"),VLOOKUP(M84,'Iz''s'!$AF$15:$AK$29,3,FALSE),IF(AND(J84="Alumínio",F84="Monofásico"),"N/A",IF(AND(J84="Alumínio",F84="Trifásico"),"N/A"))))</f>
        <v>26</v>
      </c>
      <c r="BV84" s="610" t="str">
        <f>IF(AND(J84="Cobre",F84="Monofásico"),"N/A",IF(AND(J84="Cobre",F84="Trifásico"),VLOOKUP(M84,'Iz''s'!$AF$15:$AK$29,6,FALSE),IF(AND(J84="Alumínio",F84="Monofásico"),"N/A",IF(AND(J84="Alumínio",F84="Trifásico"),"N/A"))))</f>
        <v>N/A</v>
      </c>
      <c r="BW84" s="611">
        <v>82</v>
      </c>
      <c r="BX84" s="565"/>
      <c r="BY84" s="612">
        <f>VLOOKUP(M84,Consulta!$W$6:$AB$23,4,FALSE)</f>
        <v>16</v>
      </c>
      <c r="BZ84" s="612">
        <f>VLOOKUP(M84,Consulta!$W$6:$AB$23,6,FALSE)</f>
        <v>20</v>
      </c>
      <c r="CA84" s="612">
        <f>VLOOKUP(M84,Consulta!$AK$6:$AP$23,4,FALSE)</f>
        <v>20</v>
      </c>
      <c r="CB84" s="612">
        <f>VLOOKUP(M84,Consulta!$AK$6:$AP$23,6,FALSE)</f>
        <v>20</v>
      </c>
      <c r="CC84" s="585" t="e">
        <f>VLOOKUP(M84,Consulta!$AD$6:$AI$19,4,FALSE)</f>
        <v>#N/A</v>
      </c>
      <c r="CD84" s="585" t="e">
        <f>VLOOKUP(M84,Consulta!$AD$6:$AI$19,6,FALSE)</f>
        <v>#N/A</v>
      </c>
      <c r="CE84" s="585" t="e">
        <f>VLOOKUP(M84,Consulta!$AR$6:$AW$19,4,FALSE)</f>
        <v>#N/A</v>
      </c>
      <c r="CF84" s="586" t="e">
        <f>VLOOKUP(M84,Consulta!$AR$6:$AW$19,6,FALSE)</f>
        <v>#N/A</v>
      </c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</row>
    <row r="85" spans="1:212" s="532" customFormat="1" ht="16.5" customHeight="1" x14ac:dyDescent="0.2">
      <c r="A85" s="571"/>
      <c r="B85" s="1115"/>
      <c r="C85" s="820" t="s">
        <v>852</v>
      </c>
      <c r="D85" s="701">
        <f>15*13/1000</f>
        <v>0.19500000000000001</v>
      </c>
      <c r="E85" s="701">
        <f>2.62+1.23+3.5+2.5+3.5+0.3+4.12+2.2+1.4+1.7+0.8</f>
        <v>23.869999999999997</v>
      </c>
      <c r="F85" s="701" t="s">
        <v>244</v>
      </c>
      <c r="G85" s="701" t="s">
        <v>808</v>
      </c>
      <c r="H85" s="701">
        <v>1</v>
      </c>
      <c r="I85" s="765" t="s">
        <v>13</v>
      </c>
      <c r="J85" s="701" t="s">
        <v>242</v>
      </c>
      <c r="K85" s="701" t="s">
        <v>363</v>
      </c>
      <c r="L85" s="701">
        <v>1</v>
      </c>
      <c r="M85" s="702">
        <v>1.5</v>
      </c>
      <c r="N85" s="701" t="s">
        <v>453</v>
      </c>
      <c r="O85" s="701">
        <v>4</v>
      </c>
      <c r="P85" s="555">
        <f t="shared" si="92"/>
        <v>16.5</v>
      </c>
      <c r="Q85" s="701">
        <v>3</v>
      </c>
      <c r="R85" s="701">
        <v>0.8</v>
      </c>
      <c r="S85" s="555">
        <f t="shared" si="95"/>
        <v>0.84782608695652173</v>
      </c>
      <c r="T85" s="712">
        <f t="shared" si="84"/>
        <v>13.200000000000001</v>
      </c>
      <c r="U85" s="701" t="s">
        <v>499</v>
      </c>
      <c r="V85" s="555">
        <v>10</v>
      </c>
      <c r="W85" s="701">
        <f>IF(U85="C.C.Fusíveis",VLOOKUP(V85,Consulta!$L$5:$N$31,3,FALSE),VLOOKUP(V85,Consulta!$P$5:$R$34,3,FALSE))</f>
        <v>13.5</v>
      </c>
      <c r="X85" s="713">
        <f t="shared" si="93"/>
        <v>24</v>
      </c>
      <c r="Y85" s="822">
        <f t="shared" si="85"/>
        <v>6.4229249011857698E-2</v>
      </c>
      <c r="Z85" s="706" t="str">
        <f t="shared" si="94"/>
        <v>Sim</v>
      </c>
      <c r="AA85" s="767">
        <f t="shared" si="96"/>
        <v>6.5243555363796182E-2</v>
      </c>
      <c r="AB85" s="767">
        <f t="shared" si="97"/>
        <v>0.44756249999999992</v>
      </c>
      <c r="AC85" s="767">
        <f t="shared" si="98"/>
        <v>0</v>
      </c>
      <c r="AD85" s="703">
        <f t="shared" si="104"/>
        <v>1.7498652207576615</v>
      </c>
      <c r="AE85" s="703">
        <f t="shared" si="99"/>
        <v>0.75891032608695641</v>
      </c>
      <c r="AF85" s="703">
        <f t="shared" si="100"/>
        <v>2.508775546844618</v>
      </c>
      <c r="AG85" s="704">
        <f t="shared" si="34"/>
        <v>3.2996101134215496E-3</v>
      </c>
      <c r="AH85" s="768">
        <f t="shared" si="34"/>
        <v>1.0907719768889643E-2</v>
      </c>
      <c r="AI85" s="703">
        <f t="shared" si="101"/>
        <v>0.44851264448668193</v>
      </c>
      <c r="AJ85" s="701">
        <v>3</v>
      </c>
      <c r="AK85" s="703">
        <v>0.1</v>
      </c>
      <c r="AL85" s="713">
        <f t="shared" si="89"/>
        <v>115</v>
      </c>
      <c r="AM85" s="703">
        <f t="shared" si="90"/>
        <v>1.2333230573593712</v>
      </c>
      <c r="AN85" s="706">
        <f t="shared" si="86"/>
        <v>1</v>
      </c>
      <c r="AO85" s="706" t="s">
        <v>563</v>
      </c>
      <c r="AP85" s="706" t="s">
        <v>523</v>
      </c>
      <c r="AQ85" s="706" t="str">
        <f t="shared" si="87"/>
        <v>3G</v>
      </c>
      <c r="AR85" s="706">
        <f t="shared" si="88"/>
        <v>1.5</v>
      </c>
      <c r="AS85" s="893" t="str">
        <f t="shared" si="91"/>
        <v/>
      </c>
      <c r="AT85" s="893" t="str">
        <f>IF(OR(AQ85="3G",AQ85="5G"),"",VLOOKUP(AR85,Consulta!$T$5:$U$25,2,FALSE))</f>
        <v/>
      </c>
      <c r="AU85" s="894" t="s">
        <v>565</v>
      </c>
      <c r="AV85" s="706" t="s">
        <v>23</v>
      </c>
      <c r="AW85" s="706" t="s">
        <v>564</v>
      </c>
      <c r="AX85" s="706">
        <f t="shared" si="103"/>
        <v>20</v>
      </c>
      <c r="AY85" s="707" t="s">
        <v>24</v>
      </c>
      <c r="AZ85" s="564"/>
      <c r="BA85" s="584">
        <f>IF(AND(J85="Cobre",F85="Monofásico"),VLOOKUP(M85,'Iz''s'!$B$8:$E$23,2,FALSE),IF(AND(J85="Cobre",F85="Trifásico"),VLOOKUP(M85,'Iz''s'!$L$8:$O$23,2,FALSE),IF(AND(J85="Alumínio",F85="Monofásico"),VLOOKUP(M85,'Iz''s'!$B$25:$E$39,2,FALSE),IF(AND(J85="Alumínio",F85="Trifásico"),VLOOKUP(M85,'Iz''s'!$L$25:$O$39,2,FALSE)))))</f>
        <v>14.5</v>
      </c>
      <c r="BB85" s="531">
        <f>IF(AND(J85="Cobre",F85="Monofásico"),VLOOKUP(M85,'Iz''s'!$CD$9:$CH$24,2,FALSE),IF(AND(J85="Cobre",F85="Trifásico"),VLOOKUP(M85,'Iz''s'!$CD$9:$CH$24,4,FALSE),IF(AND(J85="Alumínio",F85="Monofásico"),VLOOKUP(M85,'Iz''s'!$CD$26:$CH$40,2,FALSE),IF(AND(J85="Alumínio",F85="Trifásico"),VLOOKUP(M85,'Iz''s'!$CD$26:$CH$40,4,FALSE)))))</f>
        <v>14</v>
      </c>
      <c r="BC85" s="531">
        <f>IF(AND(J85="Cobre",F85="Monofásico"),VLOOKUP(M85,'Iz''s'!$B$8:$E$23,3,FALSE),IF(AND(J85="Cobre",F85="Trifásico"),VLOOKUP(M85,'Iz''s'!$L$8:$O$23,3,FALSE),IF(AND(J85="Alumínio",F85="Monofásico"),VLOOKUP(M85,'Iz''s'!$B$25:$E$39,3,FALSE),IF(AND(J85="Alumínio",F85="Trifásico"),VLOOKUP(M85,'Iz''s'!$L$25:$O$39,3,FALSE)))))</f>
        <v>17.5</v>
      </c>
      <c r="BD85" s="531">
        <f>IF(AND(J85="Cobre",F85="Monofásico"),VLOOKUP(M85,'Iz''s'!$CD$9:$CH$24,3,FALSE),IF(AND(J85="Cobre",F85="Trifásico"),VLOOKUP(M85,'Iz''s'!$CD$9:$CH$24,5,FALSE),IF(AND(J85="Alumínio",F85="Monofásico"),VLOOKUP(M85,'Iz''s'!$CD$26:$CH$40,3,FALSE),IF(AND(J85="Alumínio",F85="Trifásico"),VLOOKUP(M85,'Iz''s'!$CD$26:$CH$40,5,FALSE)))))</f>
        <v>16.5</v>
      </c>
      <c r="BE85" s="531">
        <f>IF(AND(J85="Cobre",F85="Monofásico"),VLOOKUP(M85,'Iz''s'!$B$8:$E$23,4,FALSE),IF(AND(J85="Cobre",F85="Trifásico"),VLOOKUP(M85,'Iz''s'!$L$8:$O$23,4,FALSE),IF(AND(J85="Alumínio",F85="Monofásico"),VLOOKUP(M85,'Iz''s'!$B$25:$E$39,4,FALSE),IF(AND(J85="Alumínio",F85="Trifásico"),VLOOKUP(M85,'Iz''s'!$L$25:$O$39,4,FALSE)))))</f>
        <v>19.5</v>
      </c>
      <c r="BF85" s="531">
        <f>IF(AND(J85="Cobre",F85="Monofásico"),VLOOKUP(M85,'Iz''s'!$CP$9:$CT$24,3,FALSE),IF(AND(J85="Cobre",F85="Trifásico"),VLOOKUP(M85,'Iz''s'!$CP$9:$CT$24,2,FALSE),IF(AND(J85="Alumínio",F85="Monofásico"),VLOOKUP(M85,'Iz''s'!$CP$26:$CT$37,3,FALSE),IF(AND(J85="Alumínio",F85="Trifásico"),VLOOKUP(M85,'Iz''s'!$CP$26:$CT$37,2,FALSE)))))</f>
        <v>32</v>
      </c>
      <c r="BG85" s="531">
        <f>IF(AND(J85="Cobre",F85="Monofásico"),VLOOKUP(M85,'Iz''s'!$AT$10:$BA$28,2,FALSE),IF(AND(J85="Cobre",F85="Trifásico"),VLOOKUP(M85,'Iz''s'!$AT$10:$BA$28,3,FALSE),IF(AND(J85="Alumínio",F85="Monofásico"),VLOOKUP(M85,'Iz''s'!$BC$10:$BJ$27,2,FALSE),IF(AND(J85="Alumínio",F85="Trifásico"),VLOOKUP(M85,'Iz''s'!$BC$10:$BJ$27,3,FALSE)))))</f>
        <v>22</v>
      </c>
      <c r="BH85" s="609" t="str">
        <f>IF(AND(J85="Cobre",F85="Monofásico"),VLOOKUP(M85,'Iz''s'!$AT$10:$BA$28,4,FALSE),IF(AND(J85="Cobre",F85="Trifásico"),VLOOKUP(M85,'Iz''s'!$AT$10:$BA$28,5,FALSE),IF(AND(J85="Alumínio",F85="Monofásico"),VLOOKUP(M85,'Iz''s'!$BC$10:$BJ$27,4,FALSE),IF(AND(J85="Alumínio",F85="Trifásico"),VLOOKUP(M85,'Iz''s'!$BC$10:$BJ$27,5,FALSE)))))</f>
        <v xml:space="preserve"> --- </v>
      </c>
      <c r="BI85" s="609" t="str">
        <f>IF(AND(J85="Cobre",F85="Monofásico"),"N/A",IF(AND(J85="Cobre",F85="Trifásico"),VLOOKUP(M85,'Iz''s'!$AT$10:$BA$28,8,FALSE),IF(AND(J85="Alumínio",F85="Monofásico"),"N/A",IF(AND(J85="Alumínio",F85="Trifásico"),VLOOKUP(M85,'Iz''s'!$BC$10:$BJ$27,8,FALSE)))))</f>
        <v>N/A</v>
      </c>
      <c r="BJ85" s="531">
        <f>IF(AND(J85="Cobre",F85="Monofásico"),VLOOKUP(M85,'Iz''s'!$G$8:$J$23,2,FALSE),IF(AND(J85="Cobre",F85="Trifásico"),VLOOKUP(M85,'Iz''s'!$Q$8:$T$23,2,FALSE),IF(AND(J85="Alumínio",F85="Monofásico"),VLOOKUP(M85,'Iz''s'!$G$25:$J$39,2,FALSE),IF(AND(J85="Alumínio",F85="Trifásico"),VLOOKUP(M85,'Iz''s'!$Q$25:$T$39,2,FALSE)))))</f>
        <v>19</v>
      </c>
      <c r="BK85" s="609">
        <f>IF(AND(J85="Cobre",F85="Monofásico"),VLOOKUP(M85,'Iz''s'!$CJ$9:$CN$24,2,FALSE),IF(AND(J85="Cobre",F85="Trifásico"),VLOOKUP(M85,'Iz''s'!$CJ$9:$CN$24,4,FALSE),IF(AND(J85="Alumínio",F85="Monofásico"),VLOOKUP(M85,'Iz''s'!$CJ$26:$CN$40,2,FALSE),IF(AND(J85="Alumínio",F85="Trifásico"),VLOOKUP(M85,'Iz''s'!$CJ$26:$CN$40,4,FALSE)))))</f>
        <v>18.5</v>
      </c>
      <c r="BL85" s="609">
        <f>IF(AND(J85="Cobre",F85="Monofásico"),VLOOKUP(M85,'Iz''s'!$G$8:$J$23,3,FALSE),IF(AND(J85="Cobre",F85="Trifásico"),VLOOKUP(M85,'Iz''s'!$Q$8:$T$23,3,FALSE),IF(AND(J85="Alumínio",F85="Monofásico"),VLOOKUP(M85,'Iz''s'!$G$25:$J$39,3,FALSE),IF(AND(J85="Alumínio",F85="Trifásico"),VLOOKUP(M85,'Iz''s'!$Q$25:$T$39,3,FALSE)))))</f>
        <v>23</v>
      </c>
      <c r="BM85" s="609">
        <f>IF(AND(J85="Cobre",F85="Monofásico"),VLOOKUP(M85,'Iz''s'!$CJ$9:$CN$24,3,FALSE),IF(AND(J85="Cobre",F85="Trifásico"),VLOOKUP(M85,'Iz''s'!$CJ$9:$CN$24,5,FALSE),IF(AND(J85="Alumínio",F85="Monofásico"),VLOOKUP(M85,'Iz''s'!$CJ$26:$CN$40,3,FALSE),IF(AND(J85="Alumínio",F85="Trifásico"),VLOOKUP(M85,'Iz''s'!$CJ$26:$CN$40,5,FALSE)))))</f>
        <v>22</v>
      </c>
      <c r="BN85" s="609">
        <f>IF(AND(J85="Cobre",F85="Monofásico"),VLOOKUP(M85,'Iz''s'!$G$8:$J$23,4,FALSE),IF(AND(J85="Cobre",F85="Trifásico"),VLOOKUP(M85,'Iz''s'!$Q$8:$T$23,4,FALSE),IF(AND(J85="Alumínio",F85="Monofásico"),VLOOKUP(M85,'Iz''s'!$G$25:$J$39,4,FALSE),IF(AND(J85="Alumínio",F85="Trifásico"),VLOOKUP(M85,'Iz''s'!$Q$25:$T$39,4,FALSE)))))</f>
        <v>24</v>
      </c>
      <c r="BO85" s="609">
        <f>IF(AND(J85="Cobre",F85="Monofásico"),VLOOKUP(M85,'Iz''s'!$CP$9:$CT$24,5,FALSE),IF(AND(J85="Cobre",F85="Trifásico"),VLOOKUP(M85,'Iz''s'!$CP$9:$CT$24,4,FALSE),IF(AND(J85="Alumínio",F85="Monofásico"),VLOOKUP(M85,'Iz''s'!$CP$26:$CT$37,5,FALSE),IF(AND(J85="Alumínio",F85="Trifásico"),VLOOKUP(M85,'Iz''s'!$CP$26:$CT$37,4,FALSE)))))</f>
        <v>37</v>
      </c>
      <c r="BP85" s="609">
        <f>IF(AND(J85="Cobre",F85="Monofásico"),VLOOKUP(M85,'Iz''s'!$BL$10:$BS$28,2,FALSE),IF(AND(J85="Cobre",F85="Trifásico"),VLOOKUP(M85,'Iz''s'!$BL$10:$BS$28,3,FALSE),IF(AND(J85="Alumínio",F85="Monofásico"),VLOOKUP(M85,'Iz''s'!$BU$10:$CB$27,2,FALSE),IF(AND(J85="Alumínio",F85="Trifásico"),VLOOKUP(M85,'Iz''s'!$BU$10:$CB$27,3,FALSE)))))</f>
        <v>26</v>
      </c>
      <c r="BQ85" s="531" t="str">
        <f>IF(AND(J85="Cobre",F85="Monofásico"),VLOOKUP(M85,'Iz''s'!$BL$10:$BS$28,4,FALSE),IF(AND(J85="Cobre",F85="Trifásico"),VLOOKUP(M85,'Iz''s'!$BL$10:$BS$28,5,FALSE),IF(AND(J85="Alumínio",F85="Monofásico"),VLOOKUP(M85,'Iz''s'!$BU$10:$CB$27,4,FALSE),IF(AND(J85="Alumínio",F85="Trifásico"),VLOOKUP(M85,'Iz''s'!$BU$10:$CB$27,5,FALSE)))))</f>
        <v xml:space="preserve"> --- </v>
      </c>
      <c r="BR85" s="609" t="str">
        <f>IF(AND(J85="Cobre",F85="Monofásico"),"N/A",IF(AND(J85="Cobre",F85="Trifásico"),VLOOKUP(M85,'Iz''s'!$BL$10:$BS$28,8,FALSE),IF(AND(J85="Alumínio",F85="Monofásico"),"N/A",IF(AND(J85="Alumínio",F85="Trifásico"),VLOOKUP(M85,'Iz''s'!$BU$10:$CB$27,8,FALSE)))))</f>
        <v>N/A</v>
      </c>
      <c r="BS85" s="609">
        <f>IF(AND(J85="Cobre",F85="Monofásico"),VLOOKUP(M85,'Iz''s'!$V$14:$Y$28,2,FALSE),IF(AND(J85="Cobre",F85="Trifásico"),VLOOKUP(M85,'Iz''s'!$V$14:$Y$28,3,FALSE),IF(AND(J85="Alumínio",F85="Monofásico"),VLOOKUP(M85,"N/A",4,FALSE),IF(AND(J85="Alumínio",F85="Trifásico"),VLOOKUP(M85,"N/A",4,FALSE)))))</f>
        <v>25</v>
      </c>
      <c r="BT85" s="609">
        <f>IF(AND(J85="Cobre",F85="Monofásico"),VLOOKUP(M85,'Iz''s'!$AF$15:$AK$29,2,FALSE),IF(AND(J85="Cobre",F85="Trifásico"),VLOOKUP(M85,'Iz''s'!$AF$15:$AK$29,3,FALSE),IF(AND(J85="Alumínio",F85="Monofásico"),"N/A",IF(AND(J85="Alumínio",F85="Trifásico"),"N/A"))))</f>
        <v>26</v>
      </c>
      <c r="BU85" s="609">
        <f>IF(AND(J85="Cobre",F85="Monofásico"),VLOOKUP(M85,'Iz''s'!$AF$15:$AK$29,2,FALSE),IF(AND(J85="Cobre",F85="Trifásico"),VLOOKUP(M85,'Iz''s'!$AF$15:$AK$29,3,FALSE),IF(AND(J85="Alumínio",F85="Monofásico"),"N/A",IF(AND(J85="Alumínio",F85="Trifásico"),"N/A"))))</f>
        <v>26</v>
      </c>
      <c r="BV85" s="610" t="str">
        <f>IF(AND(J85="Cobre",F85="Monofásico"),"N/A",IF(AND(J85="Cobre",F85="Trifásico"),VLOOKUP(M85,'Iz''s'!$AF$15:$AK$29,6,FALSE),IF(AND(J85="Alumínio",F85="Monofásico"),"N/A",IF(AND(J85="Alumínio",F85="Trifásico"),"N/A"))))</f>
        <v>N/A</v>
      </c>
      <c r="BW85" s="611">
        <v>83</v>
      </c>
      <c r="BX85" s="565"/>
      <c r="BY85" s="612">
        <f>VLOOKUP(M85,Consulta!$W$6:$AB$23,4,FALSE)</f>
        <v>16</v>
      </c>
      <c r="BZ85" s="612">
        <f>VLOOKUP(M85,Consulta!$W$6:$AB$23,6,FALSE)</f>
        <v>20</v>
      </c>
      <c r="CA85" s="612">
        <f>VLOOKUP(M85,Consulta!$AK$6:$AP$23,4,FALSE)</f>
        <v>20</v>
      </c>
      <c r="CB85" s="612">
        <f>VLOOKUP(M85,Consulta!$AK$6:$AP$23,6,FALSE)</f>
        <v>20</v>
      </c>
      <c r="CC85" s="585" t="e">
        <f>VLOOKUP(M85,Consulta!$AD$6:$AI$19,4,FALSE)</f>
        <v>#N/A</v>
      </c>
      <c r="CD85" s="585" t="e">
        <f>VLOOKUP(M85,Consulta!$AD$6:$AI$19,6,FALSE)</f>
        <v>#N/A</v>
      </c>
      <c r="CE85" s="585" t="e">
        <f>VLOOKUP(M85,Consulta!$AR$6:$AW$19,4,FALSE)</f>
        <v>#N/A</v>
      </c>
      <c r="CF85" s="586" t="e">
        <f>VLOOKUP(M85,Consulta!$AR$6:$AW$19,6,FALSE)</f>
        <v>#N/A</v>
      </c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</row>
    <row r="86" spans="1:212" s="532" customFormat="1" ht="16.5" customHeight="1" x14ac:dyDescent="0.2">
      <c r="A86" s="571"/>
      <c r="B86" s="1115"/>
      <c r="C86" s="820" t="s">
        <v>802</v>
      </c>
      <c r="D86" s="701">
        <f>14*13/1000</f>
        <v>0.182</v>
      </c>
      <c r="E86" s="701">
        <f>0.8+1.7+1.85+2.83+2.83+0.8+1+0.7+0.52+0.78+3.22+0.8+2.2</f>
        <v>20.029999999999998</v>
      </c>
      <c r="F86" s="701" t="s">
        <v>244</v>
      </c>
      <c r="G86" s="701" t="s">
        <v>808</v>
      </c>
      <c r="H86" s="701">
        <v>1</v>
      </c>
      <c r="I86" s="765" t="s">
        <v>13</v>
      </c>
      <c r="J86" s="701" t="s">
        <v>242</v>
      </c>
      <c r="K86" s="701" t="s">
        <v>363</v>
      </c>
      <c r="L86" s="701">
        <v>1</v>
      </c>
      <c r="M86" s="702">
        <v>1.5</v>
      </c>
      <c r="N86" s="701" t="s">
        <v>453</v>
      </c>
      <c r="O86" s="701">
        <v>4</v>
      </c>
      <c r="P86" s="555">
        <f t="shared" si="92"/>
        <v>16.5</v>
      </c>
      <c r="Q86" s="701">
        <v>3</v>
      </c>
      <c r="R86" s="701">
        <v>1</v>
      </c>
      <c r="S86" s="555">
        <f t="shared" si="95"/>
        <v>0.79130434782608694</v>
      </c>
      <c r="T86" s="712">
        <f t="shared" si="84"/>
        <v>16.5</v>
      </c>
      <c r="U86" s="701" t="s">
        <v>499</v>
      </c>
      <c r="V86" s="555">
        <v>10</v>
      </c>
      <c r="W86" s="701">
        <f>IF(U86="C.C.Fusíveis",VLOOKUP(V86,Consulta!$L$5:$N$31,3,FALSE),VLOOKUP(V86,Consulta!$P$5:$R$34,3,FALSE))</f>
        <v>13.5</v>
      </c>
      <c r="X86" s="713">
        <f t="shared" si="93"/>
        <v>24</v>
      </c>
      <c r="Y86" s="822">
        <f t="shared" si="85"/>
        <v>4.7957839262187087E-2</v>
      </c>
      <c r="Z86" s="706" t="str">
        <f t="shared" si="94"/>
        <v>Sim</v>
      </c>
      <c r="AA86" s="767">
        <f t="shared" si="96"/>
        <v>6.5243555363796182E-2</v>
      </c>
      <c r="AB86" s="767">
        <f t="shared" si="97"/>
        <v>0.37556249999999991</v>
      </c>
      <c r="AC86" s="767">
        <f t="shared" si="98"/>
        <v>0</v>
      </c>
      <c r="AD86" s="703">
        <f t="shared" si="104"/>
        <v>1.7498652207576615</v>
      </c>
      <c r="AE86" s="703">
        <f t="shared" si="99"/>
        <v>0.59436847826086936</v>
      </c>
      <c r="AF86" s="703">
        <f t="shared" si="100"/>
        <v>2.3442336990185311</v>
      </c>
      <c r="AG86" s="704">
        <f t="shared" ref="AG86:AH104" si="105">AE86/230</f>
        <v>2.5842107750472581E-3</v>
      </c>
      <c r="AH86" s="768">
        <f t="shared" si="105"/>
        <v>1.0192320430515352E-2</v>
      </c>
      <c r="AI86" s="703">
        <f t="shared" si="101"/>
        <v>0.52177141670656413</v>
      </c>
      <c r="AJ86" s="701">
        <v>3</v>
      </c>
      <c r="AK86" s="703">
        <v>0.1</v>
      </c>
      <c r="AL86" s="713">
        <f t="shared" si="89"/>
        <v>115</v>
      </c>
      <c r="AM86" s="703">
        <f t="shared" si="90"/>
        <v>1.4347705171874556</v>
      </c>
      <c r="AN86" s="706">
        <f t="shared" si="86"/>
        <v>1</v>
      </c>
      <c r="AO86" s="706" t="s">
        <v>563</v>
      </c>
      <c r="AP86" s="706" t="s">
        <v>523</v>
      </c>
      <c r="AQ86" s="706" t="str">
        <f t="shared" si="87"/>
        <v>3G</v>
      </c>
      <c r="AR86" s="706">
        <f t="shared" si="88"/>
        <v>1.5</v>
      </c>
      <c r="AS86" s="893" t="str">
        <f t="shared" si="91"/>
        <v/>
      </c>
      <c r="AT86" s="893" t="str">
        <f>IF(OR(AQ86="3G",AQ86="5G"),"",VLOOKUP(AR86,Consulta!$T$5:$U$25,2,FALSE))</f>
        <v/>
      </c>
      <c r="AU86" s="894" t="s">
        <v>565</v>
      </c>
      <c r="AV86" s="706" t="s">
        <v>23</v>
      </c>
      <c r="AW86" s="706" t="s">
        <v>564</v>
      </c>
      <c r="AX86" s="706">
        <f t="shared" si="103"/>
        <v>20</v>
      </c>
      <c r="AY86" s="707" t="s">
        <v>24</v>
      </c>
      <c r="AZ86" s="564"/>
      <c r="BA86" s="584">
        <f>IF(AND(J86="Cobre",F86="Monofásico"),VLOOKUP(M86,'Iz''s'!$B$8:$E$23,2,FALSE),IF(AND(J86="Cobre",F86="Trifásico"),VLOOKUP(M86,'Iz''s'!$L$8:$O$23,2,FALSE),IF(AND(J86="Alumínio",F86="Monofásico"),VLOOKUP(M86,'Iz''s'!$B$25:$E$39,2,FALSE),IF(AND(J86="Alumínio",F86="Trifásico"),VLOOKUP(M86,'Iz''s'!$L$25:$O$39,2,FALSE)))))</f>
        <v>14.5</v>
      </c>
      <c r="BB86" s="531">
        <f>IF(AND(J86="Cobre",F86="Monofásico"),VLOOKUP(M86,'Iz''s'!$CD$9:$CH$24,2,FALSE),IF(AND(J86="Cobre",F86="Trifásico"),VLOOKUP(M86,'Iz''s'!$CD$9:$CH$24,4,FALSE),IF(AND(J86="Alumínio",F86="Monofásico"),VLOOKUP(M86,'Iz''s'!$CD$26:$CH$40,2,FALSE),IF(AND(J86="Alumínio",F86="Trifásico"),VLOOKUP(M86,'Iz''s'!$CD$26:$CH$40,4,FALSE)))))</f>
        <v>14</v>
      </c>
      <c r="BC86" s="531">
        <f>IF(AND(J86="Cobre",F86="Monofásico"),VLOOKUP(M86,'Iz''s'!$B$8:$E$23,3,FALSE),IF(AND(J86="Cobre",F86="Trifásico"),VLOOKUP(M86,'Iz''s'!$L$8:$O$23,3,FALSE),IF(AND(J86="Alumínio",F86="Monofásico"),VLOOKUP(M86,'Iz''s'!$B$25:$E$39,3,FALSE),IF(AND(J86="Alumínio",F86="Trifásico"),VLOOKUP(M86,'Iz''s'!$L$25:$O$39,3,FALSE)))))</f>
        <v>17.5</v>
      </c>
      <c r="BD86" s="531">
        <f>IF(AND(J86="Cobre",F86="Monofásico"),VLOOKUP(M86,'Iz''s'!$CD$9:$CH$24,3,FALSE),IF(AND(J86="Cobre",F86="Trifásico"),VLOOKUP(M86,'Iz''s'!$CD$9:$CH$24,5,FALSE),IF(AND(J86="Alumínio",F86="Monofásico"),VLOOKUP(M86,'Iz''s'!$CD$26:$CH$40,3,FALSE),IF(AND(J86="Alumínio",F86="Trifásico"),VLOOKUP(M86,'Iz''s'!$CD$26:$CH$40,5,FALSE)))))</f>
        <v>16.5</v>
      </c>
      <c r="BE86" s="531">
        <f>IF(AND(J86="Cobre",F86="Monofásico"),VLOOKUP(M86,'Iz''s'!$B$8:$E$23,4,FALSE),IF(AND(J86="Cobre",F86="Trifásico"),VLOOKUP(M86,'Iz''s'!$L$8:$O$23,4,FALSE),IF(AND(J86="Alumínio",F86="Monofásico"),VLOOKUP(M86,'Iz''s'!$B$25:$E$39,4,FALSE),IF(AND(J86="Alumínio",F86="Trifásico"),VLOOKUP(M86,'Iz''s'!$L$25:$O$39,4,FALSE)))))</f>
        <v>19.5</v>
      </c>
      <c r="BF86" s="531">
        <f>IF(AND(J86="Cobre",F86="Monofásico"),VLOOKUP(M86,'Iz''s'!$CP$9:$CT$24,3,FALSE),IF(AND(J86="Cobre",F86="Trifásico"),VLOOKUP(M86,'Iz''s'!$CP$9:$CT$24,2,FALSE),IF(AND(J86="Alumínio",F86="Monofásico"),VLOOKUP(M86,'Iz''s'!$CP$26:$CT$37,3,FALSE),IF(AND(J86="Alumínio",F86="Trifásico"),VLOOKUP(M86,'Iz''s'!$CP$26:$CT$37,2,FALSE)))))</f>
        <v>32</v>
      </c>
      <c r="BG86" s="531">
        <f>IF(AND(J86="Cobre",F86="Monofásico"),VLOOKUP(M86,'Iz''s'!$AT$10:$BA$28,2,FALSE),IF(AND(J86="Cobre",F86="Trifásico"),VLOOKUP(M86,'Iz''s'!$AT$10:$BA$28,3,FALSE),IF(AND(J86="Alumínio",F86="Monofásico"),VLOOKUP(M86,'Iz''s'!$BC$10:$BJ$27,2,FALSE),IF(AND(J86="Alumínio",F86="Trifásico"),VLOOKUP(M86,'Iz''s'!$BC$10:$BJ$27,3,FALSE)))))</f>
        <v>22</v>
      </c>
      <c r="BH86" s="609" t="str">
        <f>IF(AND(J86="Cobre",F86="Monofásico"),VLOOKUP(M86,'Iz''s'!$AT$10:$BA$28,4,FALSE),IF(AND(J86="Cobre",F86="Trifásico"),VLOOKUP(M86,'Iz''s'!$AT$10:$BA$28,5,FALSE),IF(AND(J86="Alumínio",F86="Monofásico"),VLOOKUP(M86,'Iz''s'!$BC$10:$BJ$27,4,FALSE),IF(AND(J86="Alumínio",F86="Trifásico"),VLOOKUP(M86,'Iz''s'!$BC$10:$BJ$27,5,FALSE)))))</f>
        <v xml:space="preserve"> --- </v>
      </c>
      <c r="BI86" s="609" t="str">
        <f>IF(AND(J86="Cobre",F86="Monofásico"),"N/A",IF(AND(J86="Cobre",F86="Trifásico"),VLOOKUP(M86,'Iz''s'!$AT$10:$BA$28,8,FALSE),IF(AND(J86="Alumínio",F86="Monofásico"),"N/A",IF(AND(J86="Alumínio",F86="Trifásico"),VLOOKUP(M86,'Iz''s'!$BC$10:$BJ$27,8,FALSE)))))</f>
        <v>N/A</v>
      </c>
      <c r="BJ86" s="531">
        <f>IF(AND(J86="Cobre",F86="Monofásico"),VLOOKUP(M86,'Iz''s'!$G$8:$J$23,2,FALSE),IF(AND(J86="Cobre",F86="Trifásico"),VLOOKUP(M86,'Iz''s'!$Q$8:$T$23,2,FALSE),IF(AND(J86="Alumínio",F86="Monofásico"),VLOOKUP(M86,'Iz''s'!$G$25:$J$39,2,FALSE),IF(AND(J86="Alumínio",F86="Trifásico"),VLOOKUP(M86,'Iz''s'!$Q$25:$T$39,2,FALSE)))))</f>
        <v>19</v>
      </c>
      <c r="BK86" s="609">
        <f>IF(AND(J86="Cobre",F86="Monofásico"),VLOOKUP(M86,'Iz''s'!$CJ$9:$CN$24,2,FALSE),IF(AND(J86="Cobre",F86="Trifásico"),VLOOKUP(M86,'Iz''s'!$CJ$9:$CN$24,4,FALSE),IF(AND(J86="Alumínio",F86="Monofásico"),VLOOKUP(M86,'Iz''s'!$CJ$26:$CN$40,2,FALSE),IF(AND(J86="Alumínio",F86="Trifásico"),VLOOKUP(M86,'Iz''s'!$CJ$26:$CN$40,4,FALSE)))))</f>
        <v>18.5</v>
      </c>
      <c r="BL86" s="609">
        <f>IF(AND(J86="Cobre",F86="Monofásico"),VLOOKUP(M86,'Iz''s'!$G$8:$J$23,3,FALSE),IF(AND(J86="Cobre",F86="Trifásico"),VLOOKUP(M86,'Iz''s'!$Q$8:$T$23,3,FALSE),IF(AND(J86="Alumínio",F86="Monofásico"),VLOOKUP(M86,'Iz''s'!$G$25:$J$39,3,FALSE),IF(AND(J86="Alumínio",F86="Trifásico"),VLOOKUP(M86,'Iz''s'!$Q$25:$T$39,3,FALSE)))))</f>
        <v>23</v>
      </c>
      <c r="BM86" s="609">
        <f>IF(AND(J86="Cobre",F86="Monofásico"),VLOOKUP(M86,'Iz''s'!$CJ$9:$CN$24,3,FALSE),IF(AND(J86="Cobre",F86="Trifásico"),VLOOKUP(M86,'Iz''s'!$CJ$9:$CN$24,5,FALSE),IF(AND(J86="Alumínio",F86="Monofásico"),VLOOKUP(M86,'Iz''s'!$CJ$26:$CN$40,3,FALSE),IF(AND(J86="Alumínio",F86="Trifásico"),VLOOKUP(M86,'Iz''s'!$CJ$26:$CN$40,5,FALSE)))))</f>
        <v>22</v>
      </c>
      <c r="BN86" s="609">
        <f>IF(AND(J86="Cobre",F86="Monofásico"),VLOOKUP(M86,'Iz''s'!$G$8:$J$23,4,FALSE),IF(AND(J86="Cobre",F86="Trifásico"),VLOOKUP(M86,'Iz''s'!$Q$8:$T$23,4,FALSE),IF(AND(J86="Alumínio",F86="Monofásico"),VLOOKUP(M86,'Iz''s'!$G$25:$J$39,4,FALSE),IF(AND(J86="Alumínio",F86="Trifásico"),VLOOKUP(M86,'Iz''s'!$Q$25:$T$39,4,FALSE)))))</f>
        <v>24</v>
      </c>
      <c r="BO86" s="609">
        <f>IF(AND(J86="Cobre",F86="Monofásico"),VLOOKUP(M86,'Iz''s'!$CP$9:$CT$24,5,FALSE),IF(AND(J86="Cobre",F86="Trifásico"),VLOOKUP(M86,'Iz''s'!$CP$9:$CT$24,4,FALSE),IF(AND(J86="Alumínio",F86="Monofásico"),VLOOKUP(M86,'Iz''s'!$CP$26:$CT$37,5,FALSE),IF(AND(J86="Alumínio",F86="Trifásico"),VLOOKUP(M86,'Iz''s'!$CP$26:$CT$37,4,FALSE)))))</f>
        <v>37</v>
      </c>
      <c r="BP86" s="609">
        <f>IF(AND(J86="Cobre",F86="Monofásico"),VLOOKUP(M86,'Iz''s'!$BL$10:$BS$28,2,FALSE),IF(AND(J86="Cobre",F86="Trifásico"),VLOOKUP(M86,'Iz''s'!$BL$10:$BS$28,3,FALSE),IF(AND(J86="Alumínio",F86="Monofásico"),VLOOKUP(M86,'Iz''s'!$BU$10:$CB$27,2,FALSE),IF(AND(J86="Alumínio",F86="Trifásico"),VLOOKUP(M86,'Iz''s'!$BU$10:$CB$27,3,FALSE)))))</f>
        <v>26</v>
      </c>
      <c r="BQ86" s="531" t="str">
        <f>IF(AND(J86="Cobre",F86="Monofásico"),VLOOKUP(M86,'Iz''s'!$BL$10:$BS$28,4,FALSE),IF(AND(J86="Cobre",F86="Trifásico"),VLOOKUP(M86,'Iz''s'!$BL$10:$BS$28,5,FALSE),IF(AND(J86="Alumínio",F86="Monofásico"),VLOOKUP(M86,'Iz''s'!$BU$10:$CB$27,4,FALSE),IF(AND(J86="Alumínio",F86="Trifásico"),VLOOKUP(M86,'Iz''s'!$BU$10:$CB$27,5,FALSE)))))</f>
        <v xml:space="preserve"> --- </v>
      </c>
      <c r="BR86" s="609" t="str">
        <f>IF(AND(J86="Cobre",F86="Monofásico"),"N/A",IF(AND(J86="Cobre",F86="Trifásico"),VLOOKUP(M86,'Iz''s'!$BL$10:$BS$28,8,FALSE),IF(AND(J86="Alumínio",F86="Monofásico"),"N/A",IF(AND(J86="Alumínio",F86="Trifásico"),VLOOKUP(M86,'Iz''s'!$BU$10:$CB$27,8,FALSE)))))</f>
        <v>N/A</v>
      </c>
      <c r="BS86" s="609">
        <f>IF(AND(J86="Cobre",F86="Monofásico"),VLOOKUP(M86,'Iz''s'!$V$14:$Y$28,2,FALSE),IF(AND(J86="Cobre",F86="Trifásico"),VLOOKUP(M86,'Iz''s'!$V$14:$Y$28,3,FALSE),IF(AND(J86="Alumínio",F86="Monofásico"),VLOOKUP(M86,"N/A",4,FALSE),IF(AND(J86="Alumínio",F86="Trifásico"),VLOOKUP(M86,"N/A",4,FALSE)))))</f>
        <v>25</v>
      </c>
      <c r="BT86" s="609">
        <f>IF(AND(J86="Cobre",F86="Monofásico"),VLOOKUP(M86,'Iz''s'!$AF$15:$AK$29,2,FALSE),IF(AND(J86="Cobre",F86="Trifásico"),VLOOKUP(M86,'Iz''s'!$AF$15:$AK$29,3,FALSE),IF(AND(J86="Alumínio",F86="Monofásico"),"N/A",IF(AND(J86="Alumínio",F86="Trifásico"),"N/A"))))</f>
        <v>26</v>
      </c>
      <c r="BU86" s="609">
        <f>IF(AND(J86="Cobre",F86="Monofásico"),VLOOKUP(M86,'Iz''s'!$AF$15:$AK$29,2,FALSE),IF(AND(J86="Cobre",F86="Trifásico"),VLOOKUP(M86,'Iz''s'!$AF$15:$AK$29,3,FALSE),IF(AND(J86="Alumínio",F86="Monofásico"),"N/A",IF(AND(J86="Alumínio",F86="Trifásico"),"N/A"))))</f>
        <v>26</v>
      </c>
      <c r="BV86" s="610" t="str">
        <f>IF(AND(J86="Cobre",F86="Monofásico"),"N/A",IF(AND(J86="Cobre",F86="Trifásico"),VLOOKUP(M86,'Iz''s'!$AF$15:$AK$29,6,FALSE),IF(AND(J86="Alumínio",F86="Monofásico"),"N/A",IF(AND(J86="Alumínio",F86="Trifásico"),"N/A"))))</f>
        <v>N/A</v>
      </c>
      <c r="BW86" s="611">
        <v>84</v>
      </c>
      <c r="BX86" s="565"/>
      <c r="BY86" s="612">
        <f>VLOOKUP(M86,Consulta!$W$6:$AB$23,4,FALSE)</f>
        <v>16</v>
      </c>
      <c r="BZ86" s="612">
        <f>VLOOKUP(M86,Consulta!$W$6:$AB$23,6,FALSE)</f>
        <v>20</v>
      </c>
      <c r="CA86" s="612">
        <f>VLOOKUP(M86,Consulta!$AK$6:$AP$23,4,FALSE)</f>
        <v>20</v>
      </c>
      <c r="CB86" s="612">
        <f>VLOOKUP(M86,Consulta!$AK$6:$AP$23,6,FALSE)</f>
        <v>20</v>
      </c>
      <c r="CC86" s="585" t="e">
        <f>VLOOKUP(M86,Consulta!$AD$6:$AI$19,4,FALSE)</f>
        <v>#N/A</v>
      </c>
      <c r="CD86" s="585" t="e">
        <f>VLOOKUP(M86,Consulta!$AD$6:$AI$19,6,FALSE)</f>
        <v>#N/A</v>
      </c>
      <c r="CE86" s="585" t="e">
        <f>VLOOKUP(M86,Consulta!$AR$6:$AW$19,4,FALSE)</f>
        <v>#N/A</v>
      </c>
      <c r="CF86" s="586" t="e">
        <f>VLOOKUP(M86,Consulta!$AR$6:$AW$19,6,FALSE)</f>
        <v>#N/A</v>
      </c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</row>
    <row r="87" spans="1:212" s="532" customFormat="1" ht="16.5" customHeight="1" x14ac:dyDescent="0.2">
      <c r="A87" s="571"/>
      <c r="B87" s="1115"/>
      <c r="C87" s="820" t="s">
        <v>853</v>
      </c>
      <c r="D87" s="701">
        <f>9*13/1000</f>
        <v>0.11700000000000001</v>
      </c>
      <c r="E87" s="701">
        <f>2.92+0.7+0.7+2.92+0.63+0.2+1+0.27+1.7+0.25+0.8</f>
        <v>12.09</v>
      </c>
      <c r="F87" s="701" t="s">
        <v>244</v>
      </c>
      <c r="G87" s="701" t="s">
        <v>808</v>
      </c>
      <c r="H87" s="701">
        <v>1</v>
      </c>
      <c r="I87" s="765" t="s">
        <v>13</v>
      </c>
      <c r="J87" s="701" t="s">
        <v>242</v>
      </c>
      <c r="K87" s="701" t="s">
        <v>363</v>
      </c>
      <c r="L87" s="701">
        <v>1</v>
      </c>
      <c r="M87" s="702">
        <v>1.5</v>
      </c>
      <c r="N87" s="701" t="s">
        <v>453</v>
      </c>
      <c r="O87" s="701">
        <v>4</v>
      </c>
      <c r="P87" s="555">
        <f t="shared" si="92"/>
        <v>16.5</v>
      </c>
      <c r="Q87" s="701">
        <v>3</v>
      </c>
      <c r="R87" s="701">
        <v>1</v>
      </c>
      <c r="S87" s="555">
        <f t="shared" si="95"/>
        <v>0.50869565217391299</v>
      </c>
      <c r="T87" s="712">
        <f t="shared" si="84"/>
        <v>16.5</v>
      </c>
      <c r="U87" s="701" t="s">
        <v>499</v>
      </c>
      <c r="V87" s="555">
        <v>10</v>
      </c>
      <c r="W87" s="701">
        <f>IF(U87="C.C.Fusíveis",VLOOKUP(V87,Consulta!$L$5:$N$31,3,FALSE),VLOOKUP(V87,Consulta!$P$5:$R$34,3,FALSE))</f>
        <v>13.5</v>
      </c>
      <c r="X87" s="713">
        <f t="shared" si="93"/>
        <v>24</v>
      </c>
      <c r="Y87" s="822">
        <f t="shared" si="85"/>
        <v>3.0830039525691695E-2</v>
      </c>
      <c r="Z87" s="706" t="str">
        <f t="shared" si="94"/>
        <v>Sim</v>
      </c>
      <c r="AA87" s="767">
        <f t="shared" si="96"/>
        <v>6.5243555363796182E-2</v>
      </c>
      <c r="AB87" s="767">
        <f t="shared" si="97"/>
        <v>0.22668749999999999</v>
      </c>
      <c r="AC87" s="767">
        <f t="shared" si="98"/>
        <v>0</v>
      </c>
      <c r="AD87" s="703">
        <f t="shared" si="104"/>
        <v>1.7498652207576615</v>
      </c>
      <c r="AE87" s="703">
        <f t="shared" si="99"/>
        <v>0.2306298913043478</v>
      </c>
      <c r="AF87" s="703">
        <f t="shared" si="100"/>
        <v>1.9804951120620093</v>
      </c>
      <c r="AG87" s="704">
        <f t="shared" si="105"/>
        <v>1.0027386578449905E-3</v>
      </c>
      <c r="AH87" s="768">
        <f t="shared" si="105"/>
        <v>8.6108483133130846E-3</v>
      </c>
      <c r="AI87" s="703">
        <f t="shared" si="101"/>
        <v>0.78785725524603945</v>
      </c>
      <c r="AJ87" s="701">
        <v>3</v>
      </c>
      <c r="AK87" s="703">
        <v>0.1</v>
      </c>
      <c r="AL87" s="713">
        <f t="shared" si="89"/>
        <v>115</v>
      </c>
      <c r="AM87" s="703">
        <f t="shared" si="90"/>
        <v>2.1664551284053282</v>
      </c>
      <c r="AN87" s="706">
        <f t="shared" si="86"/>
        <v>1</v>
      </c>
      <c r="AO87" s="706" t="s">
        <v>563</v>
      </c>
      <c r="AP87" s="706" t="s">
        <v>523</v>
      </c>
      <c r="AQ87" s="706" t="str">
        <f t="shared" si="87"/>
        <v>3G</v>
      </c>
      <c r="AR87" s="706">
        <f t="shared" si="88"/>
        <v>1.5</v>
      </c>
      <c r="AS87" s="893" t="str">
        <f t="shared" si="91"/>
        <v/>
      </c>
      <c r="AT87" s="893" t="str">
        <f>IF(OR(AQ87="3G",AQ87="5G"),"",VLOOKUP(AR87,Consulta!$T$5:$U$25,2,FALSE))</f>
        <v/>
      </c>
      <c r="AU87" s="894" t="s">
        <v>565</v>
      </c>
      <c r="AV87" s="706" t="s">
        <v>23</v>
      </c>
      <c r="AW87" s="706" t="s">
        <v>564</v>
      </c>
      <c r="AX87" s="706">
        <f t="shared" si="103"/>
        <v>20</v>
      </c>
      <c r="AY87" s="707" t="s">
        <v>24</v>
      </c>
      <c r="AZ87" s="564"/>
      <c r="BA87" s="584">
        <f>IF(AND(J87="Cobre",F87="Monofásico"),VLOOKUP(M87,'Iz''s'!$B$8:$E$23,2,FALSE),IF(AND(J87="Cobre",F87="Trifásico"),VLOOKUP(M87,'Iz''s'!$L$8:$O$23,2,FALSE),IF(AND(J87="Alumínio",F87="Monofásico"),VLOOKUP(M87,'Iz''s'!$B$25:$E$39,2,FALSE),IF(AND(J87="Alumínio",F87="Trifásico"),VLOOKUP(M87,'Iz''s'!$L$25:$O$39,2,FALSE)))))</f>
        <v>14.5</v>
      </c>
      <c r="BB87" s="531">
        <f>IF(AND(J87="Cobre",F87="Monofásico"),VLOOKUP(M87,'Iz''s'!$CD$9:$CH$24,2,FALSE),IF(AND(J87="Cobre",F87="Trifásico"),VLOOKUP(M87,'Iz''s'!$CD$9:$CH$24,4,FALSE),IF(AND(J87="Alumínio",F87="Monofásico"),VLOOKUP(M87,'Iz''s'!$CD$26:$CH$40,2,FALSE),IF(AND(J87="Alumínio",F87="Trifásico"),VLOOKUP(M87,'Iz''s'!$CD$26:$CH$40,4,FALSE)))))</f>
        <v>14</v>
      </c>
      <c r="BC87" s="531">
        <f>IF(AND(J87="Cobre",F87="Monofásico"),VLOOKUP(M87,'Iz''s'!$B$8:$E$23,3,FALSE),IF(AND(J87="Cobre",F87="Trifásico"),VLOOKUP(M87,'Iz''s'!$L$8:$O$23,3,FALSE),IF(AND(J87="Alumínio",F87="Monofásico"),VLOOKUP(M87,'Iz''s'!$B$25:$E$39,3,FALSE),IF(AND(J87="Alumínio",F87="Trifásico"),VLOOKUP(M87,'Iz''s'!$L$25:$O$39,3,FALSE)))))</f>
        <v>17.5</v>
      </c>
      <c r="BD87" s="531">
        <f>IF(AND(J87="Cobre",F87="Monofásico"),VLOOKUP(M87,'Iz''s'!$CD$9:$CH$24,3,FALSE),IF(AND(J87="Cobre",F87="Trifásico"),VLOOKUP(M87,'Iz''s'!$CD$9:$CH$24,5,FALSE),IF(AND(J87="Alumínio",F87="Monofásico"),VLOOKUP(M87,'Iz''s'!$CD$26:$CH$40,3,FALSE),IF(AND(J87="Alumínio",F87="Trifásico"),VLOOKUP(M87,'Iz''s'!$CD$26:$CH$40,5,FALSE)))))</f>
        <v>16.5</v>
      </c>
      <c r="BE87" s="531">
        <f>IF(AND(J87="Cobre",F87="Monofásico"),VLOOKUP(M87,'Iz''s'!$B$8:$E$23,4,FALSE),IF(AND(J87="Cobre",F87="Trifásico"),VLOOKUP(M87,'Iz''s'!$L$8:$O$23,4,FALSE),IF(AND(J87="Alumínio",F87="Monofásico"),VLOOKUP(M87,'Iz''s'!$B$25:$E$39,4,FALSE),IF(AND(J87="Alumínio",F87="Trifásico"),VLOOKUP(M87,'Iz''s'!$L$25:$O$39,4,FALSE)))))</f>
        <v>19.5</v>
      </c>
      <c r="BF87" s="531">
        <f>IF(AND(J87="Cobre",F87="Monofásico"),VLOOKUP(M87,'Iz''s'!$CP$9:$CT$24,3,FALSE),IF(AND(J87="Cobre",F87="Trifásico"),VLOOKUP(M87,'Iz''s'!$CP$9:$CT$24,2,FALSE),IF(AND(J87="Alumínio",F87="Monofásico"),VLOOKUP(M87,'Iz''s'!$CP$26:$CT$37,3,FALSE),IF(AND(J87="Alumínio",F87="Trifásico"),VLOOKUP(M87,'Iz''s'!$CP$26:$CT$37,2,FALSE)))))</f>
        <v>32</v>
      </c>
      <c r="BG87" s="531">
        <f>IF(AND(J87="Cobre",F87="Monofásico"),VLOOKUP(M87,'Iz''s'!$AT$10:$BA$28,2,FALSE),IF(AND(J87="Cobre",F87="Trifásico"),VLOOKUP(M87,'Iz''s'!$AT$10:$BA$28,3,FALSE),IF(AND(J87="Alumínio",F87="Monofásico"),VLOOKUP(M87,'Iz''s'!$BC$10:$BJ$27,2,FALSE),IF(AND(J87="Alumínio",F87="Trifásico"),VLOOKUP(M87,'Iz''s'!$BC$10:$BJ$27,3,FALSE)))))</f>
        <v>22</v>
      </c>
      <c r="BH87" s="609" t="str">
        <f>IF(AND(J87="Cobre",F87="Monofásico"),VLOOKUP(M87,'Iz''s'!$AT$10:$BA$28,4,FALSE),IF(AND(J87="Cobre",F87="Trifásico"),VLOOKUP(M87,'Iz''s'!$AT$10:$BA$28,5,FALSE),IF(AND(J87="Alumínio",F87="Monofásico"),VLOOKUP(M87,'Iz''s'!$BC$10:$BJ$27,4,FALSE),IF(AND(J87="Alumínio",F87="Trifásico"),VLOOKUP(M87,'Iz''s'!$BC$10:$BJ$27,5,FALSE)))))</f>
        <v xml:space="preserve"> --- </v>
      </c>
      <c r="BI87" s="609" t="str">
        <f>IF(AND(J87="Cobre",F87="Monofásico"),"N/A",IF(AND(J87="Cobre",F87="Trifásico"),VLOOKUP(M87,'Iz''s'!$AT$10:$BA$28,8,FALSE),IF(AND(J87="Alumínio",F87="Monofásico"),"N/A",IF(AND(J87="Alumínio",F87="Trifásico"),VLOOKUP(M87,'Iz''s'!$BC$10:$BJ$27,8,FALSE)))))</f>
        <v>N/A</v>
      </c>
      <c r="BJ87" s="531">
        <f>IF(AND(J87="Cobre",F87="Monofásico"),VLOOKUP(M87,'Iz''s'!$G$8:$J$23,2,FALSE),IF(AND(J87="Cobre",F87="Trifásico"),VLOOKUP(M87,'Iz''s'!$Q$8:$T$23,2,FALSE),IF(AND(J87="Alumínio",F87="Monofásico"),VLOOKUP(M87,'Iz''s'!$G$25:$J$39,2,FALSE),IF(AND(J87="Alumínio",F87="Trifásico"),VLOOKUP(M87,'Iz''s'!$Q$25:$T$39,2,FALSE)))))</f>
        <v>19</v>
      </c>
      <c r="BK87" s="609">
        <f>IF(AND(J87="Cobre",F87="Monofásico"),VLOOKUP(M87,'Iz''s'!$CJ$9:$CN$24,2,FALSE),IF(AND(J87="Cobre",F87="Trifásico"),VLOOKUP(M87,'Iz''s'!$CJ$9:$CN$24,4,FALSE),IF(AND(J87="Alumínio",F87="Monofásico"),VLOOKUP(M87,'Iz''s'!$CJ$26:$CN$40,2,FALSE),IF(AND(J87="Alumínio",F87="Trifásico"),VLOOKUP(M87,'Iz''s'!$CJ$26:$CN$40,4,FALSE)))))</f>
        <v>18.5</v>
      </c>
      <c r="BL87" s="609">
        <f>IF(AND(J87="Cobre",F87="Monofásico"),VLOOKUP(M87,'Iz''s'!$G$8:$J$23,3,FALSE),IF(AND(J87="Cobre",F87="Trifásico"),VLOOKUP(M87,'Iz''s'!$Q$8:$T$23,3,FALSE),IF(AND(J87="Alumínio",F87="Monofásico"),VLOOKUP(M87,'Iz''s'!$G$25:$J$39,3,FALSE),IF(AND(J87="Alumínio",F87="Trifásico"),VLOOKUP(M87,'Iz''s'!$Q$25:$T$39,3,FALSE)))))</f>
        <v>23</v>
      </c>
      <c r="BM87" s="609">
        <f>IF(AND(J87="Cobre",F87="Monofásico"),VLOOKUP(M87,'Iz''s'!$CJ$9:$CN$24,3,FALSE),IF(AND(J87="Cobre",F87="Trifásico"),VLOOKUP(M87,'Iz''s'!$CJ$9:$CN$24,5,FALSE),IF(AND(J87="Alumínio",F87="Monofásico"),VLOOKUP(M87,'Iz''s'!$CJ$26:$CN$40,3,FALSE),IF(AND(J87="Alumínio",F87="Trifásico"),VLOOKUP(M87,'Iz''s'!$CJ$26:$CN$40,5,FALSE)))))</f>
        <v>22</v>
      </c>
      <c r="BN87" s="609">
        <f>IF(AND(J87="Cobre",F87="Monofásico"),VLOOKUP(M87,'Iz''s'!$G$8:$J$23,4,FALSE),IF(AND(J87="Cobre",F87="Trifásico"),VLOOKUP(M87,'Iz''s'!$Q$8:$T$23,4,FALSE),IF(AND(J87="Alumínio",F87="Monofásico"),VLOOKUP(M87,'Iz''s'!$G$25:$J$39,4,FALSE),IF(AND(J87="Alumínio",F87="Trifásico"),VLOOKUP(M87,'Iz''s'!$Q$25:$T$39,4,FALSE)))))</f>
        <v>24</v>
      </c>
      <c r="BO87" s="609">
        <f>IF(AND(J87="Cobre",F87="Monofásico"),VLOOKUP(M87,'Iz''s'!$CP$9:$CT$24,5,FALSE),IF(AND(J87="Cobre",F87="Trifásico"),VLOOKUP(M87,'Iz''s'!$CP$9:$CT$24,4,FALSE),IF(AND(J87="Alumínio",F87="Monofásico"),VLOOKUP(M87,'Iz''s'!$CP$26:$CT$37,5,FALSE),IF(AND(J87="Alumínio",F87="Trifásico"),VLOOKUP(M87,'Iz''s'!$CP$26:$CT$37,4,FALSE)))))</f>
        <v>37</v>
      </c>
      <c r="BP87" s="609">
        <f>IF(AND(J87="Cobre",F87="Monofásico"),VLOOKUP(M87,'Iz''s'!$BL$10:$BS$28,2,FALSE),IF(AND(J87="Cobre",F87="Trifásico"),VLOOKUP(M87,'Iz''s'!$BL$10:$BS$28,3,FALSE),IF(AND(J87="Alumínio",F87="Monofásico"),VLOOKUP(M87,'Iz''s'!$BU$10:$CB$27,2,FALSE),IF(AND(J87="Alumínio",F87="Trifásico"),VLOOKUP(M87,'Iz''s'!$BU$10:$CB$27,3,FALSE)))))</f>
        <v>26</v>
      </c>
      <c r="BQ87" s="531" t="str">
        <f>IF(AND(J87="Cobre",F87="Monofásico"),VLOOKUP(M87,'Iz''s'!$BL$10:$BS$28,4,FALSE),IF(AND(J87="Cobre",F87="Trifásico"),VLOOKUP(M87,'Iz''s'!$BL$10:$BS$28,5,FALSE),IF(AND(J87="Alumínio",F87="Monofásico"),VLOOKUP(M87,'Iz''s'!$BU$10:$CB$27,4,FALSE),IF(AND(J87="Alumínio",F87="Trifásico"),VLOOKUP(M87,'Iz''s'!$BU$10:$CB$27,5,FALSE)))))</f>
        <v xml:space="preserve"> --- </v>
      </c>
      <c r="BR87" s="609" t="str">
        <f>IF(AND(J87="Cobre",F87="Monofásico"),"N/A",IF(AND(J87="Cobre",F87="Trifásico"),VLOOKUP(M87,'Iz''s'!$BL$10:$BS$28,8,FALSE),IF(AND(J87="Alumínio",F87="Monofásico"),"N/A",IF(AND(J87="Alumínio",F87="Trifásico"),VLOOKUP(M87,'Iz''s'!$BU$10:$CB$27,8,FALSE)))))</f>
        <v>N/A</v>
      </c>
      <c r="BS87" s="609">
        <f>IF(AND(J87="Cobre",F87="Monofásico"),VLOOKUP(M87,'Iz''s'!$V$14:$Y$28,2,FALSE),IF(AND(J87="Cobre",F87="Trifásico"),VLOOKUP(M87,'Iz''s'!$V$14:$Y$28,3,FALSE),IF(AND(J87="Alumínio",F87="Monofásico"),VLOOKUP(M87,"N/A",4,FALSE),IF(AND(J87="Alumínio",F87="Trifásico"),VLOOKUP(M87,"N/A",4,FALSE)))))</f>
        <v>25</v>
      </c>
      <c r="BT87" s="609">
        <f>IF(AND(J87="Cobre",F87="Monofásico"),VLOOKUP(M87,'Iz''s'!$AF$15:$AK$29,2,FALSE),IF(AND(J87="Cobre",F87="Trifásico"),VLOOKUP(M87,'Iz''s'!$AF$15:$AK$29,3,FALSE),IF(AND(J87="Alumínio",F87="Monofásico"),"N/A",IF(AND(J87="Alumínio",F87="Trifásico"),"N/A"))))</f>
        <v>26</v>
      </c>
      <c r="BU87" s="609">
        <f>IF(AND(J87="Cobre",F87="Monofásico"),VLOOKUP(M87,'Iz''s'!$AF$15:$AK$29,2,FALSE),IF(AND(J87="Cobre",F87="Trifásico"),VLOOKUP(M87,'Iz''s'!$AF$15:$AK$29,3,FALSE),IF(AND(J87="Alumínio",F87="Monofásico"),"N/A",IF(AND(J87="Alumínio",F87="Trifásico"),"N/A"))))</f>
        <v>26</v>
      </c>
      <c r="BV87" s="610" t="str">
        <f>IF(AND(J87="Cobre",F87="Monofásico"),"N/A",IF(AND(J87="Cobre",F87="Trifásico"),VLOOKUP(M87,'Iz''s'!$AF$15:$AK$29,6,FALSE),IF(AND(J87="Alumínio",F87="Monofásico"),"N/A",IF(AND(J87="Alumínio",F87="Trifásico"),"N/A"))))</f>
        <v>N/A</v>
      </c>
      <c r="BW87" s="611">
        <v>85</v>
      </c>
      <c r="BX87" s="565"/>
      <c r="BY87" s="612">
        <f>VLOOKUP(M87,Consulta!$W$6:$AB$23,4,FALSE)</f>
        <v>16</v>
      </c>
      <c r="BZ87" s="612">
        <f>VLOOKUP(M87,Consulta!$W$6:$AB$23,6,FALSE)</f>
        <v>20</v>
      </c>
      <c r="CA87" s="612">
        <f>VLOOKUP(M87,Consulta!$AK$6:$AP$23,4,FALSE)</f>
        <v>20</v>
      </c>
      <c r="CB87" s="612">
        <f>VLOOKUP(M87,Consulta!$AK$6:$AP$23,6,FALSE)</f>
        <v>20</v>
      </c>
      <c r="CC87" s="585" t="e">
        <f>VLOOKUP(M87,Consulta!$AD$6:$AI$19,4,FALSE)</f>
        <v>#N/A</v>
      </c>
      <c r="CD87" s="585" t="e">
        <f>VLOOKUP(M87,Consulta!$AD$6:$AI$19,6,FALSE)</f>
        <v>#N/A</v>
      </c>
      <c r="CE87" s="585" t="e">
        <f>VLOOKUP(M87,Consulta!$AR$6:$AW$19,4,FALSE)</f>
        <v>#N/A</v>
      </c>
      <c r="CF87" s="586" t="e">
        <f>VLOOKUP(M87,Consulta!$AR$6:$AW$19,6,FALSE)</f>
        <v>#N/A</v>
      </c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</row>
    <row r="88" spans="1:212" s="532" customFormat="1" ht="16.5" customHeight="1" x14ac:dyDescent="0.2">
      <c r="A88" s="571"/>
      <c r="B88" s="1115"/>
      <c r="C88" s="820" t="s">
        <v>848</v>
      </c>
      <c r="D88" s="701">
        <f>13*13/1000</f>
        <v>0.16900000000000001</v>
      </c>
      <c r="E88" s="701">
        <f>0.8+0.23+0.26+0.8+0.5+0.5+0.67+0.67+3.4+1.17+2.72+0.55+1.176+0.93</f>
        <v>14.376000000000001</v>
      </c>
      <c r="F88" s="701" t="s">
        <v>244</v>
      </c>
      <c r="G88" s="701" t="s">
        <v>808</v>
      </c>
      <c r="H88" s="701">
        <v>1</v>
      </c>
      <c r="I88" s="765" t="s">
        <v>13</v>
      </c>
      <c r="J88" s="701" t="s">
        <v>242</v>
      </c>
      <c r="K88" s="701" t="s">
        <v>363</v>
      </c>
      <c r="L88" s="701">
        <v>1</v>
      </c>
      <c r="M88" s="702">
        <v>1.5</v>
      </c>
      <c r="N88" s="701" t="s">
        <v>453</v>
      </c>
      <c r="O88" s="701">
        <v>4</v>
      </c>
      <c r="P88" s="555">
        <f t="shared" si="92"/>
        <v>16.5</v>
      </c>
      <c r="Q88" s="701">
        <v>3</v>
      </c>
      <c r="R88" s="701">
        <v>1</v>
      </c>
      <c r="S88" s="555">
        <f t="shared" si="95"/>
        <v>0.73478260869565215</v>
      </c>
      <c r="T88" s="712">
        <f t="shared" si="84"/>
        <v>16.5</v>
      </c>
      <c r="U88" s="701" t="s">
        <v>499</v>
      </c>
      <c r="V88" s="555">
        <v>10</v>
      </c>
      <c r="W88" s="701">
        <f>IF(U88="C.C.Fusíveis",VLOOKUP(V88,Consulta!$L$5:$N$31,3,FALSE),VLOOKUP(V88,Consulta!$P$5:$R$34,3,FALSE))</f>
        <v>13.5</v>
      </c>
      <c r="X88" s="713">
        <f t="shared" si="93"/>
        <v>24</v>
      </c>
      <c r="Y88" s="822">
        <f t="shared" si="85"/>
        <v>4.4532279314888013E-2</v>
      </c>
      <c r="Z88" s="706" t="str">
        <f t="shared" si="94"/>
        <v>Sim</v>
      </c>
      <c r="AA88" s="767">
        <f t="shared" si="96"/>
        <v>6.5243555363796182E-2</v>
      </c>
      <c r="AB88" s="767">
        <f>(IF(J88="Cobre",(1.25*0.0225),(1.25*0.036)))*((E88/M88)/L88)</f>
        <v>0.26955000000000001</v>
      </c>
      <c r="AC88" s="767">
        <f t="shared" si="98"/>
        <v>0</v>
      </c>
      <c r="AD88" s="703">
        <f t="shared" si="104"/>
        <v>1.7498652207576615</v>
      </c>
      <c r="AE88" s="703">
        <f t="shared" si="99"/>
        <v>0.39612130434782611</v>
      </c>
      <c r="AF88" s="703">
        <f t="shared" si="100"/>
        <v>2.1459865251054877</v>
      </c>
      <c r="AG88" s="704">
        <f t="shared" si="105"/>
        <v>1.7222665406427223E-3</v>
      </c>
      <c r="AH88" s="768">
        <f t="shared" si="105"/>
        <v>9.3303761961108164E-3</v>
      </c>
      <c r="AI88" s="703">
        <f t="shared" si="101"/>
        <v>0.68699052390681614</v>
      </c>
      <c r="AJ88" s="701">
        <v>3</v>
      </c>
      <c r="AK88" s="703">
        <v>0.1</v>
      </c>
      <c r="AL88" s="713">
        <f t="shared" si="89"/>
        <v>115</v>
      </c>
      <c r="AM88" s="703">
        <f t="shared" si="90"/>
        <v>1.8890911186938226</v>
      </c>
      <c r="AN88" s="706">
        <f t="shared" si="86"/>
        <v>1</v>
      </c>
      <c r="AO88" s="706" t="s">
        <v>563</v>
      </c>
      <c r="AP88" s="706" t="s">
        <v>523</v>
      </c>
      <c r="AQ88" s="706" t="str">
        <f t="shared" si="87"/>
        <v>3G</v>
      </c>
      <c r="AR88" s="706">
        <f t="shared" si="88"/>
        <v>1.5</v>
      </c>
      <c r="AS88" s="893" t="str">
        <f t="shared" si="91"/>
        <v/>
      </c>
      <c r="AT88" s="893" t="str">
        <f>IF(OR(AQ88="3G",AQ88="5G"),"",VLOOKUP(AR88,Consulta!$T$5:$U$25,2,FALSE))</f>
        <v/>
      </c>
      <c r="AU88" s="894" t="s">
        <v>565</v>
      </c>
      <c r="AV88" s="706" t="s">
        <v>23</v>
      </c>
      <c r="AW88" s="706" t="s">
        <v>564</v>
      </c>
      <c r="AX88" s="706">
        <f t="shared" si="103"/>
        <v>20</v>
      </c>
      <c r="AY88" s="707" t="s">
        <v>24</v>
      </c>
      <c r="AZ88" s="564"/>
      <c r="BA88" s="584">
        <f>IF(AND(J88="Cobre",F88="Monofásico"),VLOOKUP(M88,'Iz''s'!$B$8:$E$23,2,FALSE),IF(AND(J88="Cobre",F88="Trifásico"),VLOOKUP(M88,'Iz''s'!$L$8:$O$23,2,FALSE),IF(AND(J88="Alumínio",F88="Monofásico"),VLOOKUP(M88,'Iz''s'!$B$25:$E$39,2,FALSE),IF(AND(J88="Alumínio",F88="Trifásico"),VLOOKUP(M88,'Iz''s'!$L$25:$O$39,2,FALSE)))))</f>
        <v>14.5</v>
      </c>
      <c r="BB88" s="531">
        <f>IF(AND(J88="Cobre",F88="Monofásico"),VLOOKUP(M88,'Iz''s'!$CD$9:$CH$24,2,FALSE),IF(AND(J88="Cobre",F88="Trifásico"),VLOOKUP(M88,'Iz''s'!$CD$9:$CH$24,4,FALSE),IF(AND(J88="Alumínio",F88="Monofásico"),VLOOKUP(M88,'Iz''s'!$CD$26:$CH$40,2,FALSE),IF(AND(J88="Alumínio",F88="Trifásico"),VLOOKUP(M88,'Iz''s'!$CD$26:$CH$40,4,FALSE)))))</f>
        <v>14</v>
      </c>
      <c r="BC88" s="531">
        <f>IF(AND(J88="Cobre",F88="Monofásico"),VLOOKUP(M88,'Iz''s'!$B$8:$E$23,3,FALSE),IF(AND(J88="Cobre",F88="Trifásico"),VLOOKUP(M88,'Iz''s'!$L$8:$O$23,3,FALSE),IF(AND(J88="Alumínio",F88="Monofásico"),VLOOKUP(M88,'Iz''s'!$B$25:$E$39,3,FALSE),IF(AND(J88="Alumínio",F88="Trifásico"),VLOOKUP(M88,'Iz''s'!$L$25:$O$39,3,FALSE)))))</f>
        <v>17.5</v>
      </c>
      <c r="BD88" s="531">
        <f>IF(AND(J88="Cobre",F88="Monofásico"),VLOOKUP(M88,'Iz''s'!$CD$9:$CH$24,3,FALSE),IF(AND(J88="Cobre",F88="Trifásico"),VLOOKUP(M88,'Iz''s'!$CD$9:$CH$24,5,FALSE),IF(AND(J88="Alumínio",F88="Monofásico"),VLOOKUP(M88,'Iz''s'!$CD$26:$CH$40,3,FALSE),IF(AND(J88="Alumínio",F88="Trifásico"),VLOOKUP(M88,'Iz''s'!$CD$26:$CH$40,5,FALSE)))))</f>
        <v>16.5</v>
      </c>
      <c r="BE88" s="531">
        <f>IF(AND(J88="Cobre",F88="Monofásico"),VLOOKUP(M88,'Iz''s'!$B$8:$E$23,4,FALSE),IF(AND(J88="Cobre",F88="Trifásico"),VLOOKUP(M88,'Iz''s'!$L$8:$O$23,4,FALSE),IF(AND(J88="Alumínio",F88="Monofásico"),VLOOKUP(M88,'Iz''s'!$B$25:$E$39,4,FALSE),IF(AND(J88="Alumínio",F88="Trifásico"),VLOOKUP(M88,'Iz''s'!$L$25:$O$39,4,FALSE)))))</f>
        <v>19.5</v>
      </c>
      <c r="BF88" s="531">
        <f>IF(AND(J88="Cobre",F88="Monofásico"),VLOOKUP(M88,'Iz''s'!$CP$9:$CT$24,3,FALSE),IF(AND(J88="Cobre",F88="Trifásico"),VLOOKUP(M88,'Iz''s'!$CP$9:$CT$24,2,FALSE),IF(AND(J88="Alumínio",F88="Monofásico"),VLOOKUP(M88,'Iz''s'!$CP$26:$CT$37,3,FALSE),IF(AND(J88="Alumínio",F88="Trifásico"),VLOOKUP(M88,'Iz''s'!$CP$26:$CT$37,2,FALSE)))))</f>
        <v>32</v>
      </c>
      <c r="BG88" s="531">
        <f>IF(AND(J88="Cobre",F88="Monofásico"),VLOOKUP(M88,'Iz''s'!$AT$10:$BA$28,2,FALSE),IF(AND(J88="Cobre",F88="Trifásico"),VLOOKUP(M88,'Iz''s'!$AT$10:$BA$28,3,FALSE),IF(AND(J88="Alumínio",F88="Monofásico"),VLOOKUP(M88,'Iz''s'!$BC$10:$BJ$27,2,FALSE),IF(AND(J88="Alumínio",F88="Trifásico"),VLOOKUP(M88,'Iz''s'!$BC$10:$BJ$27,3,FALSE)))))</f>
        <v>22</v>
      </c>
      <c r="BH88" s="609" t="str">
        <f>IF(AND(J88="Cobre",F88="Monofásico"),VLOOKUP(M88,'Iz''s'!$AT$10:$BA$28,4,FALSE),IF(AND(J88="Cobre",F88="Trifásico"),VLOOKUP(M88,'Iz''s'!$AT$10:$BA$28,5,FALSE),IF(AND(J88="Alumínio",F88="Monofásico"),VLOOKUP(M88,'Iz''s'!$BC$10:$BJ$27,4,FALSE),IF(AND(J88="Alumínio",F88="Trifásico"),VLOOKUP(M88,'Iz''s'!$BC$10:$BJ$27,5,FALSE)))))</f>
        <v xml:space="preserve"> --- </v>
      </c>
      <c r="BI88" s="609" t="str">
        <f>IF(AND(J88="Cobre",F88="Monofásico"),"N/A",IF(AND(J88="Cobre",F88="Trifásico"),VLOOKUP(M88,'Iz''s'!$AT$10:$BA$28,8,FALSE),IF(AND(J88="Alumínio",F88="Monofásico"),"N/A",IF(AND(J88="Alumínio",F88="Trifásico"),VLOOKUP(M88,'Iz''s'!$BC$10:$BJ$27,8,FALSE)))))</f>
        <v>N/A</v>
      </c>
      <c r="BJ88" s="531">
        <f>IF(AND(J88="Cobre",F88="Monofásico"),VLOOKUP(M88,'Iz''s'!$G$8:$J$23,2,FALSE),IF(AND(J88="Cobre",F88="Trifásico"),VLOOKUP(M88,'Iz''s'!$Q$8:$T$23,2,FALSE),IF(AND(J88="Alumínio",F88="Monofásico"),VLOOKUP(M88,'Iz''s'!$G$25:$J$39,2,FALSE),IF(AND(J88="Alumínio",F88="Trifásico"),VLOOKUP(M88,'Iz''s'!$Q$25:$T$39,2,FALSE)))))</f>
        <v>19</v>
      </c>
      <c r="BK88" s="609">
        <f>IF(AND(J88="Cobre",F88="Monofásico"),VLOOKUP(M88,'Iz''s'!$CJ$9:$CN$24,2,FALSE),IF(AND(J88="Cobre",F88="Trifásico"),VLOOKUP(M88,'Iz''s'!$CJ$9:$CN$24,4,FALSE),IF(AND(J88="Alumínio",F88="Monofásico"),VLOOKUP(M88,'Iz''s'!$CJ$26:$CN$40,2,FALSE),IF(AND(J88="Alumínio",F88="Trifásico"),VLOOKUP(M88,'Iz''s'!$CJ$26:$CN$40,4,FALSE)))))</f>
        <v>18.5</v>
      </c>
      <c r="BL88" s="609">
        <f>IF(AND(J88="Cobre",F88="Monofásico"),VLOOKUP(M88,'Iz''s'!$G$8:$J$23,3,FALSE),IF(AND(J88="Cobre",F88="Trifásico"),VLOOKUP(M88,'Iz''s'!$Q$8:$T$23,3,FALSE),IF(AND(J88="Alumínio",F88="Monofásico"),VLOOKUP(M88,'Iz''s'!$G$25:$J$39,3,FALSE),IF(AND(J88="Alumínio",F88="Trifásico"),VLOOKUP(M88,'Iz''s'!$Q$25:$T$39,3,FALSE)))))</f>
        <v>23</v>
      </c>
      <c r="BM88" s="609">
        <f>IF(AND(J88="Cobre",F88="Monofásico"),VLOOKUP(M88,'Iz''s'!$CJ$9:$CN$24,3,FALSE),IF(AND(J88="Cobre",F88="Trifásico"),VLOOKUP(M88,'Iz''s'!$CJ$9:$CN$24,5,FALSE),IF(AND(J88="Alumínio",F88="Monofásico"),VLOOKUP(M88,'Iz''s'!$CJ$26:$CN$40,3,FALSE),IF(AND(J88="Alumínio",F88="Trifásico"),VLOOKUP(M88,'Iz''s'!$CJ$26:$CN$40,5,FALSE)))))</f>
        <v>22</v>
      </c>
      <c r="BN88" s="609">
        <f>IF(AND(J88="Cobre",F88="Monofásico"),VLOOKUP(M88,'Iz''s'!$G$8:$J$23,4,FALSE),IF(AND(J88="Cobre",F88="Trifásico"),VLOOKUP(M88,'Iz''s'!$Q$8:$T$23,4,FALSE),IF(AND(J88="Alumínio",F88="Monofásico"),VLOOKUP(M88,'Iz''s'!$G$25:$J$39,4,FALSE),IF(AND(J88="Alumínio",F88="Trifásico"),VLOOKUP(M88,'Iz''s'!$Q$25:$T$39,4,FALSE)))))</f>
        <v>24</v>
      </c>
      <c r="BO88" s="609">
        <f>IF(AND(J88="Cobre",F88="Monofásico"),VLOOKUP(M88,'Iz''s'!$CP$9:$CT$24,5,FALSE),IF(AND(J88="Cobre",F88="Trifásico"),VLOOKUP(M88,'Iz''s'!$CP$9:$CT$24,4,FALSE),IF(AND(J88="Alumínio",F88="Monofásico"),VLOOKUP(M88,'Iz''s'!$CP$26:$CT$37,5,FALSE),IF(AND(J88="Alumínio",F88="Trifásico"),VLOOKUP(M88,'Iz''s'!$CP$26:$CT$37,4,FALSE)))))</f>
        <v>37</v>
      </c>
      <c r="BP88" s="609">
        <f>IF(AND(J88="Cobre",F88="Monofásico"),VLOOKUP(M88,'Iz''s'!$BL$10:$BS$28,2,FALSE),IF(AND(J88="Cobre",F88="Trifásico"),VLOOKUP(M88,'Iz''s'!$BL$10:$BS$28,3,FALSE),IF(AND(J88="Alumínio",F88="Monofásico"),VLOOKUP(M88,'Iz''s'!$BU$10:$CB$27,2,FALSE),IF(AND(J88="Alumínio",F88="Trifásico"),VLOOKUP(M88,'Iz''s'!$BU$10:$CB$27,3,FALSE)))))</f>
        <v>26</v>
      </c>
      <c r="BQ88" s="531" t="str">
        <f>IF(AND(J88="Cobre",F88="Monofásico"),VLOOKUP(M88,'Iz''s'!$BL$10:$BS$28,4,FALSE),IF(AND(J88="Cobre",F88="Trifásico"),VLOOKUP(M88,'Iz''s'!$BL$10:$BS$28,5,FALSE),IF(AND(J88="Alumínio",F88="Monofásico"),VLOOKUP(M88,'Iz''s'!$BU$10:$CB$27,4,FALSE),IF(AND(J88="Alumínio",F88="Trifásico"),VLOOKUP(M88,'Iz''s'!$BU$10:$CB$27,5,FALSE)))))</f>
        <v xml:space="preserve"> --- </v>
      </c>
      <c r="BR88" s="609" t="str">
        <f>IF(AND(J88="Cobre",F88="Monofásico"),"N/A",IF(AND(J88="Cobre",F88="Trifásico"),VLOOKUP(M88,'Iz''s'!$BL$10:$BS$28,8,FALSE),IF(AND(J88="Alumínio",F88="Monofásico"),"N/A",IF(AND(J88="Alumínio",F88="Trifásico"),VLOOKUP(M88,'Iz''s'!$BU$10:$CB$27,8,FALSE)))))</f>
        <v>N/A</v>
      </c>
      <c r="BS88" s="609">
        <f>IF(AND(J88="Cobre",F88="Monofásico"),VLOOKUP(M88,'Iz''s'!$V$14:$Y$28,2,FALSE),IF(AND(J88="Cobre",F88="Trifásico"),VLOOKUP(M88,'Iz''s'!$V$14:$Y$28,3,FALSE),IF(AND(J88="Alumínio",F88="Monofásico"),VLOOKUP(M88,"N/A",4,FALSE),IF(AND(J88="Alumínio",F88="Trifásico"),VLOOKUP(M88,"N/A",4,FALSE)))))</f>
        <v>25</v>
      </c>
      <c r="BT88" s="609">
        <f>IF(AND(J88="Cobre",F88="Monofásico"),VLOOKUP(M88,'Iz''s'!$AF$15:$AK$29,2,FALSE),IF(AND(J88="Cobre",F88="Trifásico"),VLOOKUP(M88,'Iz''s'!$AF$15:$AK$29,3,FALSE),IF(AND(J88="Alumínio",F88="Monofásico"),"N/A",IF(AND(J88="Alumínio",F88="Trifásico"),"N/A"))))</f>
        <v>26</v>
      </c>
      <c r="BU88" s="609">
        <f>IF(AND(J88="Cobre",F88="Monofásico"),VLOOKUP(M88,'Iz''s'!$AF$15:$AK$29,2,FALSE),IF(AND(J88="Cobre",F88="Trifásico"),VLOOKUP(M88,'Iz''s'!$AF$15:$AK$29,3,FALSE),IF(AND(J88="Alumínio",F88="Monofásico"),"N/A",IF(AND(J88="Alumínio",F88="Trifásico"),"N/A"))))</f>
        <v>26</v>
      </c>
      <c r="BV88" s="610" t="str">
        <f>IF(AND(J88="Cobre",F88="Monofásico"),"N/A",IF(AND(J88="Cobre",F88="Trifásico"),VLOOKUP(M88,'Iz''s'!$AF$15:$AK$29,6,FALSE),IF(AND(J88="Alumínio",F88="Monofásico"),"N/A",IF(AND(J88="Alumínio",F88="Trifásico"),"N/A"))))</f>
        <v>N/A</v>
      </c>
      <c r="BW88" s="611">
        <v>86</v>
      </c>
      <c r="BX88" s="565"/>
      <c r="BY88" s="612">
        <f>VLOOKUP(M88,Consulta!$W$6:$AB$23,4,FALSE)</f>
        <v>16</v>
      </c>
      <c r="BZ88" s="612">
        <f>VLOOKUP(M88,Consulta!$W$6:$AB$23,6,FALSE)</f>
        <v>20</v>
      </c>
      <c r="CA88" s="612">
        <f>VLOOKUP(M88,Consulta!$AK$6:$AP$23,4,FALSE)</f>
        <v>20</v>
      </c>
      <c r="CB88" s="612">
        <f>VLOOKUP(M88,Consulta!$AK$6:$AP$23,6,FALSE)</f>
        <v>20</v>
      </c>
      <c r="CC88" s="585" t="e">
        <f>VLOOKUP(M88,Consulta!$AD$6:$AI$19,4,FALSE)</f>
        <v>#N/A</v>
      </c>
      <c r="CD88" s="585" t="e">
        <f>VLOOKUP(M88,Consulta!$AD$6:$AI$19,6,FALSE)</f>
        <v>#N/A</v>
      </c>
      <c r="CE88" s="585" t="e">
        <f>VLOOKUP(M88,Consulta!$AR$6:$AW$19,4,FALSE)</f>
        <v>#N/A</v>
      </c>
      <c r="CF88" s="586" t="e">
        <f>VLOOKUP(M88,Consulta!$AR$6:$AW$19,6,FALSE)</f>
        <v>#N/A</v>
      </c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</row>
    <row r="89" spans="1:212" s="532" customFormat="1" ht="16.5" customHeight="1" x14ac:dyDescent="0.2">
      <c r="A89" s="571"/>
      <c r="B89" s="1115"/>
      <c r="C89" s="820" t="s">
        <v>849</v>
      </c>
      <c r="D89" s="701">
        <f>5*35.5/1000</f>
        <v>0.17749999999999999</v>
      </c>
      <c r="E89" s="701">
        <f>8.15+0.51</f>
        <v>8.66</v>
      </c>
      <c r="F89" s="701" t="s">
        <v>244</v>
      </c>
      <c r="G89" s="701" t="s">
        <v>808</v>
      </c>
      <c r="H89" s="701">
        <v>1</v>
      </c>
      <c r="I89" s="765" t="s">
        <v>13</v>
      </c>
      <c r="J89" s="701" t="s">
        <v>242</v>
      </c>
      <c r="K89" s="701" t="s">
        <v>363</v>
      </c>
      <c r="L89" s="701">
        <v>1</v>
      </c>
      <c r="M89" s="702">
        <v>1.5</v>
      </c>
      <c r="N89" s="701" t="s">
        <v>453</v>
      </c>
      <c r="O89" s="701">
        <v>4</v>
      </c>
      <c r="P89" s="555">
        <f t="shared" si="92"/>
        <v>16.5</v>
      </c>
      <c r="Q89" s="701">
        <v>3</v>
      </c>
      <c r="R89" s="701">
        <v>1</v>
      </c>
      <c r="S89" s="555">
        <f t="shared" si="95"/>
        <v>0.77173913043478259</v>
      </c>
      <c r="T89" s="712">
        <f t="shared" si="84"/>
        <v>16.5</v>
      </c>
      <c r="U89" s="701" t="s">
        <v>499</v>
      </c>
      <c r="V89" s="555">
        <v>10</v>
      </c>
      <c r="W89" s="701">
        <f>IF(U89="C.C.Fusíveis",VLOOKUP(V89,Consulta!$L$5:$N$31,3,FALSE),VLOOKUP(V89,Consulta!$P$5:$R$34,3,FALSE))</f>
        <v>13.5</v>
      </c>
      <c r="X89" s="713">
        <f t="shared" si="93"/>
        <v>24</v>
      </c>
      <c r="Y89" s="822">
        <f t="shared" si="85"/>
        <v>4.6772068511198944E-2</v>
      </c>
      <c r="Z89" s="706" t="str">
        <f t="shared" si="94"/>
        <v>Sim</v>
      </c>
      <c r="AA89" s="767">
        <f t="shared" si="96"/>
        <v>6.5243555363796182E-2</v>
      </c>
      <c r="AB89" s="767">
        <f t="shared" si="97"/>
        <v>0.16237499999999999</v>
      </c>
      <c r="AC89" s="767">
        <f t="shared" si="98"/>
        <v>0</v>
      </c>
      <c r="AD89" s="703">
        <f t="shared" si="104"/>
        <v>1.7498652207576615</v>
      </c>
      <c r="AE89" s="703">
        <f t="shared" si="99"/>
        <v>0.25062228260869562</v>
      </c>
      <c r="AF89" s="703">
        <f t="shared" si="100"/>
        <v>2.0004875033663572</v>
      </c>
      <c r="AG89" s="704">
        <f t="shared" si="105"/>
        <v>1.0896620982986766E-3</v>
      </c>
      <c r="AH89" s="768">
        <f t="shared" si="105"/>
        <v>8.6977717537667695E-3</v>
      </c>
      <c r="AI89" s="703">
        <f t="shared" si="101"/>
        <v>1.0104624363000532</v>
      </c>
      <c r="AJ89" s="701">
        <v>3</v>
      </c>
      <c r="AK89" s="703">
        <v>0.1</v>
      </c>
      <c r="AL89" s="713">
        <f t="shared" si="89"/>
        <v>115</v>
      </c>
      <c r="AM89" s="703">
        <f t="shared" si="90"/>
        <v>2.7785763380443234</v>
      </c>
      <c r="AN89" s="706">
        <f t="shared" si="86"/>
        <v>1</v>
      </c>
      <c r="AO89" s="706" t="s">
        <v>563</v>
      </c>
      <c r="AP89" s="706" t="s">
        <v>523</v>
      </c>
      <c r="AQ89" s="706" t="str">
        <f t="shared" si="87"/>
        <v>3G</v>
      </c>
      <c r="AR89" s="706">
        <f t="shared" si="88"/>
        <v>1.5</v>
      </c>
      <c r="AS89" s="893" t="str">
        <f t="shared" si="91"/>
        <v/>
      </c>
      <c r="AT89" s="893" t="str">
        <f>IF(OR(AQ89="3G",AQ89="5G"),"",VLOOKUP(AR89,Consulta!$T$5:$U$25,2,FALSE))</f>
        <v/>
      </c>
      <c r="AU89" s="894" t="s">
        <v>565</v>
      </c>
      <c r="AV89" s="706" t="s">
        <v>23</v>
      </c>
      <c r="AW89" s="706" t="s">
        <v>564</v>
      </c>
      <c r="AX89" s="706">
        <f t="shared" si="103"/>
        <v>20</v>
      </c>
      <c r="AY89" s="707" t="s">
        <v>24</v>
      </c>
      <c r="AZ89" s="564"/>
      <c r="BA89" s="584">
        <f>IF(AND(J89="Cobre",F89="Monofásico"),VLOOKUP(M89,'Iz''s'!$B$8:$E$23,2,FALSE),IF(AND(J89="Cobre",F89="Trifásico"),VLOOKUP(M89,'Iz''s'!$L$8:$O$23,2,FALSE),IF(AND(J89="Alumínio",F89="Monofásico"),VLOOKUP(M89,'Iz''s'!$B$25:$E$39,2,FALSE),IF(AND(J89="Alumínio",F89="Trifásico"),VLOOKUP(M89,'Iz''s'!$L$25:$O$39,2,FALSE)))))</f>
        <v>14.5</v>
      </c>
      <c r="BB89" s="531">
        <f>IF(AND(J89="Cobre",F89="Monofásico"),VLOOKUP(M89,'Iz''s'!$CD$9:$CH$24,2,FALSE),IF(AND(J89="Cobre",F89="Trifásico"),VLOOKUP(M89,'Iz''s'!$CD$9:$CH$24,4,FALSE),IF(AND(J89="Alumínio",F89="Monofásico"),VLOOKUP(M89,'Iz''s'!$CD$26:$CH$40,2,FALSE),IF(AND(J89="Alumínio",F89="Trifásico"),VLOOKUP(M89,'Iz''s'!$CD$26:$CH$40,4,FALSE)))))</f>
        <v>14</v>
      </c>
      <c r="BC89" s="531">
        <f>IF(AND(J89="Cobre",F89="Monofásico"),VLOOKUP(M89,'Iz''s'!$B$8:$E$23,3,FALSE),IF(AND(J89="Cobre",F89="Trifásico"),VLOOKUP(M89,'Iz''s'!$L$8:$O$23,3,FALSE),IF(AND(J89="Alumínio",F89="Monofásico"),VLOOKUP(M89,'Iz''s'!$B$25:$E$39,3,FALSE),IF(AND(J89="Alumínio",F89="Trifásico"),VLOOKUP(M89,'Iz''s'!$L$25:$O$39,3,FALSE)))))</f>
        <v>17.5</v>
      </c>
      <c r="BD89" s="531">
        <f>IF(AND(J89="Cobre",F89="Monofásico"),VLOOKUP(M89,'Iz''s'!$CD$9:$CH$24,3,FALSE),IF(AND(J89="Cobre",F89="Trifásico"),VLOOKUP(M89,'Iz''s'!$CD$9:$CH$24,5,FALSE),IF(AND(J89="Alumínio",F89="Monofásico"),VLOOKUP(M89,'Iz''s'!$CD$26:$CH$40,3,FALSE),IF(AND(J89="Alumínio",F89="Trifásico"),VLOOKUP(M89,'Iz''s'!$CD$26:$CH$40,5,FALSE)))))</f>
        <v>16.5</v>
      </c>
      <c r="BE89" s="531">
        <f>IF(AND(J89="Cobre",F89="Monofásico"),VLOOKUP(M89,'Iz''s'!$B$8:$E$23,4,FALSE),IF(AND(J89="Cobre",F89="Trifásico"),VLOOKUP(M89,'Iz''s'!$L$8:$O$23,4,FALSE),IF(AND(J89="Alumínio",F89="Monofásico"),VLOOKUP(M89,'Iz''s'!$B$25:$E$39,4,FALSE),IF(AND(J89="Alumínio",F89="Trifásico"),VLOOKUP(M89,'Iz''s'!$L$25:$O$39,4,FALSE)))))</f>
        <v>19.5</v>
      </c>
      <c r="BF89" s="531">
        <f>IF(AND(J89="Cobre",F89="Monofásico"),VLOOKUP(M89,'Iz''s'!$CP$9:$CT$24,3,FALSE),IF(AND(J89="Cobre",F89="Trifásico"),VLOOKUP(M89,'Iz''s'!$CP$9:$CT$24,2,FALSE),IF(AND(J89="Alumínio",F89="Monofásico"),VLOOKUP(M89,'Iz''s'!$CP$26:$CT$37,3,FALSE),IF(AND(J89="Alumínio",F89="Trifásico"),VLOOKUP(M89,'Iz''s'!$CP$26:$CT$37,2,FALSE)))))</f>
        <v>32</v>
      </c>
      <c r="BG89" s="531">
        <f>IF(AND(J89="Cobre",F89="Monofásico"),VLOOKUP(M89,'Iz''s'!$AT$10:$BA$28,2,FALSE),IF(AND(J89="Cobre",F89="Trifásico"),VLOOKUP(M89,'Iz''s'!$AT$10:$BA$28,3,FALSE),IF(AND(J89="Alumínio",F89="Monofásico"),VLOOKUP(M89,'Iz''s'!$BC$10:$BJ$27,2,FALSE),IF(AND(J89="Alumínio",F89="Trifásico"),VLOOKUP(M89,'Iz''s'!$BC$10:$BJ$27,3,FALSE)))))</f>
        <v>22</v>
      </c>
      <c r="BH89" s="609" t="str">
        <f>IF(AND(J89="Cobre",F89="Monofásico"),VLOOKUP(M89,'Iz''s'!$AT$10:$BA$28,4,FALSE),IF(AND(J89="Cobre",F89="Trifásico"),VLOOKUP(M89,'Iz''s'!$AT$10:$BA$28,5,FALSE),IF(AND(J89="Alumínio",F89="Monofásico"),VLOOKUP(M89,'Iz''s'!$BC$10:$BJ$27,4,FALSE),IF(AND(J89="Alumínio",F89="Trifásico"),VLOOKUP(M89,'Iz''s'!$BC$10:$BJ$27,5,FALSE)))))</f>
        <v xml:space="preserve"> --- </v>
      </c>
      <c r="BI89" s="609" t="str">
        <f>IF(AND(J89="Cobre",F89="Monofásico"),"N/A",IF(AND(J89="Cobre",F89="Trifásico"),VLOOKUP(M89,'Iz''s'!$AT$10:$BA$28,8,FALSE),IF(AND(J89="Alumínio",F89="Monofásico"),"N/A",IF(AND(J89="Alumínio",F89="Trifásico"),VLOOKUP(M89,'Iz''s'!$BC$10:$BJ$27,8,FALSE)))))</f>
        <v>N/A</v>
      </c>
      <c r="BJ89" s="531">
        <f>IF(AND(J89="Cobre",F89="Monofásico"),VLOOKUP(M89,'Iz''s'!$G$8:$J$23,2,FALSE),IF(AND(J89="Cobre",F89="Trifásico"),VLOOKUP(M89,'Iz''s'!$Q$8:$T$23,2,FALSE),IF(AND(J89="Alumínio",F89="Monofásico"),VLOOKUP(M89,'Iz''s'!$G$25:$J$39,2,FALSE),IF(AND(J89="Alumínio",F89="Trifásico"),VLOOKUP(M89,'Iz''s'!$Q$25:$T$39,2,FALSE)))))</f>
        <v>19</v>
      </c>
      <c r="BK89" s="609">
        <f>IF(AND(J89="Cobre",F89="Monofásico"),VLOOKUP(M89,'Iz''s'!$CJ$9:$CN$24,2,FALSE),IF(AND(J89="Cobre",F89="Trifásico"),VLOOKUP(M89,'Iz''s'!$CJ$9:$CN$24,4,FALSE),IF(AND(J89="Alumínio",F89="Monofásico"),VLOOKUP(M89,'Iz''s'!$CJ$26:$CN$40,2,FALSE),IF(AND(J89="Alumínio",F89="Trifásico"),VLOOKUP(M89,'Iz''s'!$CJ$26:$CN$40,4,FALSE)))))</f>
        <v>18.5</v>
      </c>
      <c r="BL89" s="609">
        <f>IF(AND(J89="Cobre",F89="Monofásico"),VLOOKUP(M89,'Iz''s'!$G$8:$J$23,3,FALSE),IF(AND(J89="Cobre",F89="Trifásico"),VLOOKUP(M89,'Iz''s'!$Q$8:$T$23,3,FALSE),IF(AND(J89="Alumínio",F89="Monofásico"),VLOOKUP(M89,'Iz''s'!$G$25:$J$39,3,FALSE),IF(AND(J89="Alumínio",F89="Trifásico"),VLOOKUP(M89,'Iz''s'!$Q$25:$T$39,3,FALSE)))))</f>
        <v>23</v>
      </c>
      <c r="BM89" s="609">
        <f>IF(AND(J89="Cobre",F89="Monofásico"),VLOOKUP(M89,'Iz''s'!$CJ$9:$CN$24,3,FALSE),IF(AND(J89="Cobre",F89="Trifásico"),VLOOKUP(M89,'Iz''s'!$CJ$9:$CN$24,5,FALSE),IF(AND(J89="Alumínio",F89="Monofásico"),VLOOKUP(M89,'Iz''s'!$CJ$26:$CN$40,3,FALSE),IF(AND(J89="Alumínio",F89="Trifásico"),VLOOKUP(M89,'Iz''s'!$CJ$26:$CN$40,5,FALSE)))))</f>
        <v>22</v>
      </c>
      <c r="BN89" s="609">
        <f>IF(AND(J89="Cobre",F89="Monofásico"),VLOOKUP(M89,'Iz''s'!$G$8:$J$23,4,FALSE),IF(AND(J89="Cobre",F89="Trifásico"),VLOOKUP(M89,'Iz''s'!$Q$8:$T$23,4,FALSE),IF(AND(J89="Alumínio",F89="Monofásico"),VLOOKUP(M89,'Iz''s'!$G$25:$J$39,4,FALSE),IF(AND(J89="Alumínio",F89="Trifásico"),VLOOKUP(M89,'Iz''s'!$Q$25:$T$39,4,FALSE)))))</f>
        <v>24</v>
      </c>
      <c r="BO89" s="609">
        <f>IF(AND(J89="Cobre",F89="Monofásico"),VLOOKUP(M89,'Iz''s'!$CP$9:$CT$24,5,FALSE),IF(AND(J89="Cobre",F89="Trifásico"),VLOOKUP(M89,'Iz''s'!$CP$9:$CT$24,4,FALSE),IF(AND(J89="Alumínio",F89="Monofásico"),VLOOKUP(M89,'Iz''s'!$CP$26:$CT$37,5,FALSE),IF(AND(J89="Alumínio",F89="Trifásico"),VLOOKUP(M89,'Iz''s'!$CP$26:$CT$37,4,FALSE)))))</f>
        <v>37</v>
      </c>
      <c r="BP89" s="609">
        <f>IF(AND(J89="Cobre",F89="Monofásico"),VLOOKUP(M89,'Iz''s'!$BL$10:$BS$28,2,FALSE),IF(AND(J89="Cobre",F89="Trifásico"),VLOOKUP(M89,'Iz''s'!$BL$10:$BS$28,3,FALSE),IF(AND(J89="Alumínio",F89="Monofásico"),VLOOKUP(M89,'Iz''s'!$BU$10:$CB$27,2,FALSE),IF(AND(J89="Alumínio",F89="Trifásico"),VLOOKUP(M89,'Iz''s'!$BU$10:$CB$27,3,FALSE)))))</f>
        <v>26</v>
      </c>
      <c r="BQ89" s="531" t="str">
        <f>IF(AND(J89="Cobre",F89="Monofásico"),VLOOKUP(M89,'Iz''s'!$BL$10:$BS$28,4,FALSE),IF(AND(J89="Cobre",F89="Trifásico"),VLOOKUP(M89,'Iz''s'!$BL$10:$BS$28,5,FALSE),IF(AND(J89="Alumínio",F89="Monofásico"),VLOOKUP(M89,'Iz''s'!$BU$10:$CB$27,4,FALSE),IF(AND(J89="Alumínio",F89="Trifásico"),VLOOKUP(M89,'Iz''s'!$BU$10:$CB$27,5,FALSE)))))</f>
        <v xml:space="preserve"> --- </v>
      </c>
      <c r="BR89" s="609" t="str">
        <f>IF(AND(J89="Cobre",F89="Monofásico"),"N/A",IF(AND(J89="Cobre",F89="Trifásico"),VLOOKUP(M89,'Iz''s'!$BL$10:$BS$28,8,FALSE),IF(AND(J89="Alumínio",F89="Monofásico"),"N/A",IF(AND(J89="Alumínio",F89="Trifásico"),VLOOKUP(M89,'Iz''s'!$BU$10:$CB$27,8,FALSE)))))</f>
        <v>N/A</v>
      </c>
      <c r="BS89" s="609">
        <f>IF(AND(J89="Cobre",F89="Monofásico"),VLOOKUP(M89,'Iz''s'!$V$14:$Y$28,2,FALSE),IF(AND(J89="Cobre",F89="Trifásico"),VLOOKUP(M89,'Iz''s'!$V$14:$Y$28,3,FALSE),IF(AND(J89="Alumínio",F89="Monofásico"),VLOOKUP(M89,"N/A",4,FALSE),IF(AND(J89="Alumínio",F89="Trifásico"),VLOOKUP(M89,"N/A",4,FALSE)))))</f>
        <v>25</v>
      </c>
      <c r="BT89" s="609">
        <f>IF(AND(J89="Cobre",F89="Monofásico"),VLOOKUP(M89,'Iz''s'!$AF$15:$AK$29,2,FALSE),IF(AND(J89="Cobre",F89="Trifásico"),VLOOKUP(M89,'Iz''s'!$AF$15:$AK$29,3,FALSE),IF(AND(J89="Alumínio",F89="Monofásico"),"N/A",IF(AND(J89="Alumínio",F89="Trifásico"),"N/A"))))</f>
        <v>26</v>
      </c>
      <c r="BU89" s="609">
        <f>IF(AND(J89="Cobre",F89="Monofásico"),VLOOKUP(M89,'Iz''s'!$AF$15:$AK$29,2,FALSE),IF(AND(J89="Cobre",F89="Trifásico"),VLOOKUP(M89,'Iz''s'!$AF$15:$AK$29,3,FALSE),IF(AND(J89="Alumínio",F89="Monofásico"),"N/A",IF(AND(J89="Alumínio",F89="Trifásico"),"N/A"))))</f>
        <v>26</v>
      </c>
      <c r="BV89" s="610" t="str">
        <f>IF(AND(J89="Cobre",F89="Monofásico"),"N/A",IF(AND(J89="Cobre",F89="Trifásico"),VLOOKUP(M89,'Iz''s'!$AF$15:$AK$29,6,FALSE),IF(AND(J89="Alumínio",F89="Monofásico"),"N/A",IF(AND(J89="Alumínio",F89="Trifásico"),"N/A"))))</f>
        <v>N/A</v>
      </c>
      <c r="BW89" s="611">
        <v>87</v>
      </c>
      <c r="BX89" s="565"/>
      <c r="BY89" s="612">
        <f>VLOOKUP(M89,Consulta!$W$6:$AB$23,4,FALSE)</f>
        <v>16</v>
      </c>
      <c r="BZ89" s="612">
        <f>VLOOKUP(M89,Consulta!$W$6:$AB$23,6,FALSE)</f>
        <v>20</v>
      </c>
      <c r="CA89" s="612">
        <f>VLOOKUP(M89,Consulta!$AK$6:$AP$23,4,FALSE)</f>
        <v>20</v>
      </c>
      <c r="CB89" s="612">
        <f>VLOOKUP(M89,Consulta!$AK$6:$AP$23,6,FALSE)</f>
        <v>20</v>
      </c>
      <c r="CC89" s="585" t="e">
        <f>VLOOKUP(M89,Consulta!$AD$6:$AI$19,4,FALSE)</f>
        <v>#N/A</v>
      </c>
      <c r="CD89" s="585" t="e">
        <f>VLOOKUP(M89,Consulta!$AD$6:$AI$19,6,FALSE)</f>
        <v>#N/A</v>
      </c>
      <c r="CE89" s="585" t="e">
        <f>VLOOKUP(M89,Consulta!$AR$6:$AW$19,4,FALSE)</f>
        <v>#N/A</v>
      </c>
      <c r="CF89" s="586" t="e">
        <f>VLOOKUP(M89,Consulta!$AR$6:$AW$19,6,FALSE)</f>
        <v>#N/A</v>
      </c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</row>
    <row r="90" spans="1:212" s="532" customFormat="1" ht="16.5" customHeight="1" x14ac:dyDescent="0.2">
      <c r="A90" s="571"/>
      <c r="B90" s="1115"/>
      <c r="C90" s="820" t="s">
        <v>849</v>
      </c>
      <c r="D90" s="701">
        <f t="shared" ref="D90:D93" si="106">5*35.5/1000</f>
        <v>0.17749999999999999</v>
      </c>
      <c r="E90" s="701">
        <f>8.66+0.45</f>
        <v>9.11</v>
      </c>
      <c r="F90" s="701" t="s">
        <v>244</v>
      </c>
      <c r="G90" s="701" t="s">
        <v>808</v>
      </c>
      <c r="H90" s="701">
        <v>1</v>
      </c>
      <c r="I90" s="765" t="s">
        <v>13</v>
      </c>
      <c r="J90" s="701" t="s">
        <v>242</v>
      </c>
      <c r="K90" s="701" t="s">
        <v>363</v>
      </c>
      <c r="L90" s="701">
        <v>1</v>
      </c>
      <c r="M90" s="702">
        <v>1.5</v>
      </c>
      <c r="N90" s="701" t="s">
        <v>453</v>
      </c>
      <c r="O90" s="701">
        <v>4</v>
      </c>
      <c r="P90" s="555">
        <f t="shared" si="92"/>
        <v>16.5</v>
      </c>
      <c r="Q90" s="701">
        <v>3</v>
      </c>
      <c r="R90" s="701">
        <v>1</v>
      </c>
      <c r="S90" s="555">
        <f t="shared" si="95"/>
        <v>0.77173913043478259</v>
      </c>
      <c r="T90" s="712">
        <f t="shared" si="84"/>
        <v>16.5</v>
      </c>
      <c r="U90" s="701" t="s">
        <v>499</v>
      </c>
      <c r="V90" s="555">
        <v>10</v>
      </c>
      <c r="W90" s="701">
        <f>IF(U90="C.C.Fusíveis",VLOOKUP(V90,Consulta!$L$5:$N$31,3,FALSE),VLOOKUP(V90,Consulta!$P$5:$R$34,3,FALSE))</f>
        <v>13.5</v>
      </c>
      <c r="X90" s="713">
        <f t="shared" si="93"/>
        <v>24</v>
      </c>
      <c r="Y90" s="822">
        <f t="shared" si="85"/>
        <v>4.6772068511198944E-2</v>
      </c>
      <c r="Z90" s="706" t="str">
        <f t="shared" si="94"/>
        <v>Sim</v>
      </c>
      <c r="AA90" s="767">
        <f t="shared" si="96"/>
        <v>6.5243555363796182E-2</v>
      </c>
      <c r="AB90" s="767">
        <f t="shared" si="97"/>
        <v>0.17081249999999998</v>
      </c>
      <c r="AC90" s="767">
        <f t="shared" si="98"/>
        <v>0</v>
      </c>
      <c r="AD90" s="703">
        <f t="shared" si="104"/>
        <v>1.7498652207576615</v>
      </c>
      <c r="AE90" s="703">
        <f t="shared" si="99"/>
        <v>0.26364538043478258</v>
      </c>
      <c r="AF90" s="703">
        <f t="shared" si="100"/>
        <v>2.013510601192444</v>
      </c>
      <c r="AG90" s="704">
        <f t="shared" si="105"/>
        <v>1.1462842627599243E-3</v>
      </c>
      <c r="AH90" s="768">
        <f t="shared" si="105"/>
        <v>8.7543939182280171E-3</v>
      </c>
      <c r="AI90" s="703">
        <f t="shared" si="101"/>
        <v>0.97434484214157147</v>
      </c>
      <c r="AJ90" s="701">
        <v>3</v>
      </c>
      <c r="AK90" s="703">
        <v>0.1</v>
      </c>
      <c r="AL90" s="713">
        <f t="shared" si="89"/>
        <v>115</v>
      </c>
      <c r="AM90" s="703">
        <f t="shared" si="90"/>
        <v>2.6792599370474584</v>
      </c>
      <c r="AN90" s="706">
        <f t="shared" si="86"/>
        <v>1</v>
      </c>
      <c r="AO90" s="706" t="s">
        <v>563</v>
      </c>
      <c r="AP90" s="706" t="s">
        <v>523</v>
      </c>
      <c r="AQ90" s="706" t="str">
        <f t="shared" si="87"/>
        <v>3G</v>
      </c>
      <c r="AR90" s="706">
        <f t="shared" si="88"/>
        <v>1.5</v>
      </c>
      <c r="AS90" s="893" t="str">
        <f t="shared" si="91"/>
        <v/>
      </c>
      <c r="AT90" s="893" t="str">
        <f>IF(OR(AQ90="3G",AQ90="5G"),"",VLOOKUP(AR90,Consulta!$T$5:$U$25,2,FALSE))</f>
        <v/>
      </c>
      <c r="AU90" s="894" t="s">
        <v>565</v>
      </c>
      <c r="AV90" s="706" t="s">
        <v>23</v>
      </c>
      <c r="AW90" s="706" t="s">
        <v>564</v>
      </c>
      <c r="AX90" s="706">
        <f t="shared" si="103"/>
        <v>20</v>
      </c>
      <c r="AY90" s="707" t="s">
        <v>24</v>
      </c>
      <c r="AZ90" s="564"/>
      <c r="BA90" s="584">
        <f>IF(AND(J90="Cobre",F90="Monofásico"),VLOOKUP(M90,'Iz''s'!$B$8:$E$23,2,FALSE),IF(AND(J90="Cobre",F90="Trifásico"),VLOOKUP(M90,'Iz''s'!$L$8:$O$23,2,FALSE),IF(AND(J90="Alumínio",F90="Monofásico"),VLOOKUP(M90,'Iz''s'!$B$25:$E$39,2,FALSE),IF(AND(J90="Alumínio",F90="Trifásico"),VLOOKUP(M90,'Iz''s'!$L$25:$O$39,2,FALSE)))))</f>
        <v>14.5</v>
      </c>
      <c r="BB90" s="531">
        <f>IF(AND(J90="Cobre",F90="Monofásico"),VLOOKUP(M90,'Iz''s'!$CD$9:$CH$24,2,FALSE),IF(AND(J90="Cobre",F90="Trifásico"),VLOOKUP(M90,'Iz''s'!$CD$9:$CH$24,4,FALSE),IF(AND(J90="Alumínio",F90="Monofásico"),VLOOKUP(M90,'Iz''s'!$CD$26:$CH$40,2,FALSE),IF(AND(J90="Alumínio",F90="Trifásico"),VLOOKUP(M90,'Iz''s'!$CD$26:$CH$40,4,FALSE)))))</f>
        <v>14</v>
      </c>
      <c r="BC90" s="531">
        <f>IF(AND(J90="Cobre",F90="Monofásico"),VLOOKUP(M90,'Iz''s'!$B$8:$E$23,3,FALSE),IF(AND(J90="Cobre",F90="Trifásico"),VLOOKUP(M90,'Iz''s'!$L$8:$O$23,3,FALSE),IF(AND(J90="Alumínio",F90="Monofásico"),VLOOKUP(M90,'Iz''s'!$B$25:$E$39,3,FALSE),IF(AND(J90="Alumínio",F90="Trifásico"),VLOOKUP(M90,'Iz''s'!$L$25:$O$39,3,FALSE)))))</f>
        <v>17.5</v>
      </c>
      <c r="BD90" s="531">
        <f>IF(AND(J90="Cobre",F90="Monofásico"),VLOOKUP(M90,'Iz''s'!$CD$9:$CH$24,3,FALSE),IF(AND(J90="Cobre",F90="Trifásico"),VLOOKUP(M90,'Iz''s'!$CD$9:$CH$24,5,FALSE),IF(AND(J90="Alumínio",F90="Monofásico"),VLOOKUP(M90,'Iz''s'!$CD$26:$CH$40,3,FALSE),IF(AND(J90="Alumínio",F90="Trifásico"),VLOOKUP(M90,'Iz''s'!$CD$26:$CH$40,5,FALSE)))))</f>
        <v>16.5</v>
      </c>
      <c r="BE90" s="531">
        <f>IF(AND(J90="Cobre",F90="Monofásico"),VLOOKUP(M90,'Iz''s'!$B$8:$E$23,4,FALSE),IF(AND(J90="Cobre",F90="Trifásico"),VLOOKUP(M90,'Iz''s'!$L$8:$O$23,4,FALSE),IF(AND(J90="Alumínio",F90="Monofásico"),VLOOKUP(M90,'Iz''s'!$B$25:$E$39,4,FALSE),IF(AND(J90="Alumínio",F90="Trifásico"),VLOOKUP(M90,'Iz''s'!$L$25:$O$39,4,FALSE)))))</f>
        <v>19.5</v>
      </c>
      <c r="BF90" s="531">
        <f>IF(AND(J90="Cobre",F90="Monofásico"),VLOOKUP(M90,'Iz''s'!$CP$9:$CT$24,3,FALSE),IF(AND(J90="Cobre",F90="Trifásico"),VLOOKUP(M90,'Iz''s'!$CP$9:$CT$24,2,FALSE),IF(AND(J90="Alumínio",F90="Monofásico"),VLOOKUP(M90,'Iz''s'!$CP$26:$CT$37,3,FALSE),IF(AND(J90="Alumínio",F90="Trifásico"),VLOOKUP(M90,'Iz''s'!$CP$26:$CT$37,2,FALSE)))))</f>
        <v>32</v>
      </c>
      <c r="BG90" s="531">
        <f>IF(AND(J90="Cobre",F90="Monofásico"),VLOOKUP(M90,'Iz''s'!$AT$10:$BA$28,2,FALSE),IF(AND(J90="Cobre",F90="Trifásico"),VLOOKUP(M90,'Iz''s'!$AT$10:$BA$28,3,FALSE),IF(AND(J90="Alumínio",F90="Monofásico"),VLOOKUP(M90,'Iz''s'!$BC$10:$BJ$27,2,FALSE),IF(AND(J90="Alumínio",F90="Trifásico"),VLOOKUP(M90,'Iz''s'!$BC$10:$BJ$27,3,FALSE)))))</f>
        <v>22</v>
      </c>
      <c r="BH90" s="609" t="str">
        <f>IF(AND(J90="Cobre",F90="Monofásico"),VLOOKUP(M90,'Iz''s'!$AT$10:$BA$28,4,FALSE),IF(AND(J90="Cobre",F90="Trifásico"),VLOOKUP(M90,'Iz''s'!$AT$10:$BA$28,5,FALSE),IF(AND(J90="Alumínio",F90="Monofásico"),VLOOKUP(M90,'Iz''s'!$BC$10:$BJ$27,4,FALSE),IF(AND(J90="Alumínio",F90="Trifásico"),VLOOKUP(M90,'Iz''s'!$BC$10:$BJ$27,5,FALSE)))))</f>
        <v xml:space="preserve"> --- </v>
      </c>
      <c r="BI90" s="609" t="str">
        <f>IF(AND(J90="Cobre",F90="Monofásico"),"N/A",IF(AND(J90="Cobre",F90="Trifásico"),VLOOKUP(M90,'Iz''s'!$AT$10:$BA$28,8,FALSE),IF(AND(J90="Alumínio",F90="Monofásico"),"N/A",IF(AND(J90="Alumínio",F90="Trifásico"),VLOOKUP(M90,'Iz''s'!$BC$10:$BJ$27,8,FALSE)))))</f>
        <v>N/A</v>
      </c>
      <c r="BJ90" s="531">
        <f>IF(AND(J90="Cobre",F90="Monofásico"),VLOOKUP(M90,'Iz''s'!$G$8:$J$23,2,FALSE),IF(AND(J90="Cobre",F90="Trifásico"),VLOOKUP(M90,'Iz''s'!$Q$8:$T$23,2,FALSE),IF(AND(J90="Alumínio",F90="Monofásico"),VLOOKUP(M90,'Iz''s'!$G$25:$J$39,2,FALSE),IF(AND(J90="Alumínio",F90="Trifásico"),VLOOKUP(M90,'Iz''s'!$Q$25:$T$39,2,FALSE)))))</f>
        <v>19</v>
      </c>
      <c r="BK90" s="609">
        <f>IF(AND(J90="Cobre",F90="Monofásico"),VLOOKUP(M90,'Iz''s'!$CJ$9:$CN$24,2,FALSE),IF(AND(J90="Cobre",F90="Trifásico"),VLOOKUP(M90,'Iz''s'!$CJ$9:$CN$24,4,FALSE),IF(AND(J90="Alumínio",F90="Monofásico"),VLOOKUP(M90,'Iz''s'!$CJ$26:$CN$40,2,FALSE),IF(AND(J90="Alumínio",F90="Trifásico"),VLOOKUP(M90,'Iz''s'!$CJ$26:$CN$40,4,FALSE)))))</f>
        <v>18.5</v>
      </c>
      <c r="BL90" s="609">
        <f>IF(AND(J90="Cobre",F90="Monofásico"),VLOOKUP(M90,'Iz''s'!$G$8:$J$23,3,FALSE),IF(AND(J90="Cobre",F90="Trifásico"),VLOOKUP(M90,'Iz''s'!$Q$8:$T$23,3,FALSE),IF(AND(J90="Alumínio",F90="Monofásico"),VLOOKUP(M90,'Iz''s'!$G$25:$J$39,3,FALSE),IF(AND(J90="Alumínio",F90="Trifásico"),VLOOKUP(M90,'Iz''s'!$Q$25:$T$39,3,FALSE)))))</f>
        <v>23</v>
      </c>
      <c r="BM90" s="609">
        <f>IF(AND(J90="Cobre",F90="Monofásico"),VLOOKUP(M90,'Iz''s'!$CJ$9:$CN$24,3,FALSE),IF(AND(J90="Cobre",F90="Trifásico"),VLOOKUP(M90,'Iz''s'!$CJ$9:$CN$24,5,FALSE),IF(AND(J90="Alumínio",F90="Monofásico"),VLOOKUP(M90,'Iz''s'!$CJ$26:$CN$40,3,FALSE),IF(AND(J90="Alumínio",F90="Trifásico"),VLOOKUP(M90,'Iz''s'!$CJ$26:$CN$40,5,FALSE)))))</f>
        <v>22</v>
      </c>
      <c r="BN90" s="609">
        <f>IF(AND(J90="Cobre",F90="Monofásico"),VLOOKUP(M90,'Iz''s'!$G$8:$J$23,4,FALSE),IF(AND(J90="Cobre",F90="Trifásico"),VLOOKUP(M90,'Iz''s'!$Q$8:$T$23,4,FALSE),IF(AND(J90="Alumínio",F90="Monofásico"),VLOOKUP(M90,'Iz''s'!$G$25:$J$39,4,FALSE),IF(AND(J90="Alumínio",F90="Trifásico"),VLOOKUP(M90,'Iz''s'!$Q$25:$T$39,4,FALSE)))))</f>
        <v>24</v>
      </c>
      <c r="BO90" s="609">
        <f>IF(AND(J90="Cobre",F90="Monofásico"),VLOOKUP(M90,'Iz''s'!$CP$9:$CT$24,5,FALSE),IF(AND(J90="Cobre",F90="Trifásico"),VLOOKUP(M90,'Iz''s'!$CP$9:$CT$24,4,FALSE),IF(AND(J90="Alumínio",F90="Monofásico"),VLOOKUP(M90,'Iz''s'!$CP$26:$CT$37,5,FALSE),IF(AND(J90="Alumínio",F90="Trifásico"),VLOOKUP(M90,'Iz''s'!$CP$26:$CT$37,4,FALSE)))))</f>
        <v>37</v>
      </c>
      <c r="BP90" s="609">
        <f>IF(AND(J90="Cobre",F90="Monofásico"),VLOOKUP(M90,'Iz''s'!$BL$10:$BS$28,2,FALSE),IF(AND(J90="Cobre",F90="Trifásico"),VLOOKUP(M90,'Iz''s'!$BL$10:$BS$28,3,FALSE),IF(AND(J90="Alumínio",F90="Monofásico"),VLOOKUP(M90,'Iz''s'!$BU$10:$CB$27,2,FALSE),IF(AND(J90="Alumínio",F90="Trifásico"),VLOOKUP(M90,'Iz''s'!$BU$10:$CB$27,3,FALSE)))))</f>
        <v>26</v>
      </c>
      <c r="BQ90" s="531" t="str">
        <f>IF(AND(J90="Cobre",F90="Monofásico"),VLOOKUP(M90,'Iz''s'!$BL$10:$BS$28,4,FALSE),IF(AND(J90="Cobre",F90="Trifásico"),VLOOKUP(M90,'Iz''s'!$BL$10:$BS$28,5,FALSE),IF(AND(J90="Alumínio",F90="Monofásico"),VLOOKUP(M90,'Iz''s'!$BU$10:$CB$27,4,FALSE),IF(AND(J90="Alumínio",F90="Trifásico"),VLOOKUP(M90,'Iz''s'!$BU$10:$CB$27,5,FALSE)))))</f>
        <v xml:space="preserve"> --- </v>
      </c>
      <c r="BR90" s="609" t="str">
        <f>IF(AND(J90="Cobre",F90="Monofásico"),"N/A",IF(AND(J90="Cobre",F90="Trifásico"),VLOOKUP(M90,'Iz''s'!$BL$10:$BS$28,8,FALSE),IF(AND(J90="Alumínio",F90="Monofásico"),"N/A",IF(AND(J90="Alumínio",F90="Trifásico"),VLOOKUP(M90,'Iz''s'!$BU$10:$CB$27,8,FALSE)))))</f>
        <v>N/A</v>
      </c>
      <c r="BS90" s="609">
        <f>IF(AND(J90="Cobre",F90="Monofásico"),VLOOKUP(M90,'Iz''s'!$V$14:$Y$28,2,FALSE),IF(AND(J90="Cobre",F90="Trifásico"),VLOOKUP(M90,'Iz''s'!$V$14:$Y$28,3,FALSE),IF(AND(J90="Alumínio",F90="Monofásico"),VLOOKUP(M90,"N/A",4,FALSE),IF(AND(J90="Alumínio",F90="Trifásico"),VLOOKUP(M90,"N/A",4,FALSE)))))</f>
        <v>25</v>
      </c>
      <c r="BT90" s="609">
        <f>IF(AND(J90="Cobre",F90="Monofásico"),VLOOKUP(M90,'Iz''s'!$AF$15:$AK$29,2,FALSE),IF(AND(J90="Cobre",F90="Trifásico"),VLOOKUP(M90,'Iz''s'!$AF$15:$AK$29,3,FALSE),IF(AND(J90="Alumínio",F90="Monofásico"),"N/A",IF(AND(J90="Alumínio",F90="Trifásico"),"N/A"))))</f>
        <v>26</v>
      </c>
      <c r="BU90" s="609">
        <f>IF(AND(J90="Cobre",F90="Monofásico"),VLOOKUP(M90,'Iz''s'!$AF$15:$AK$29,2,FALSE),IF(AND(J90="Cobre",F90="Trifásico"),VLOOKUP(M90,'Iz''s'!$AF$15:$AK$29,3,FALSE),IF(AND(J90="Alumínio",F90="Monofásico"),"N/A",IF(AND(J90="Alumínio",F90="Trifásico"),"N/A"))))</f>
        <v>26</v>
      </c>
      <c r="BV90" s="610" t="str">
        <f>IF(AND(J90="Cobre",F90="Monofásico"),"N/A",IF(AND(J90="Cobre",F90="Trifásico"),VLOOKUP(M90,'Iz''s'!$AF$15:$AK$29,6,FALSE),IF(AND(J90="Alumínio",F90="Monofásico"),"N/A",IF(AND(J90="Alumínio",F90="Trifásico"),"N/A"))))</f>
        <v>N/A</v>
      </c>
      <c r="BW90" s="611">
        <v>88</v>
      </c>
      <c r="BX90" s="565"/>
      <c r="BY90" s="612">
        <f>VLOOKUP(M90,Consulta!$W$6:$AB$23,4,FALSE)</f>
        <v>16</v>
      </c>
      <c r="BZ90" s="612">
        <f>VLOOKUP(M90,Consulta!$W$6:$AB$23,6,FALSE)</f>
        <v>20</v>
      </c>
      <c r="CA90" s="612">
        <f>VLOOKUP(M90,Consulta!$AK$6:$AP$23,4,FALSE)</f>
        <v>20</v>
      </c>
      <c r="CB90" s="612">
        <f>VLOOKUP(M90,Consulta!$AK$6:$AP$23,6,FALSE)</f>
        <v>20</v>
      </c>
      <c r="CC90" s="585" t="e">
        <f>VLOOKUP(M90,Consulta!$AD$6:$AI$19,4,FALSE)</f>
        <v>#N/A</v>
      </c>
      <c r="CD90" s="585" t="e">
        <f>VLOOKUP(M90,Consulta!$AD$6:$AI$19,6,FALSE)</f>
        <v>#N/A</v>
      </c>
      <c r="CE90" s="585" t="e">
        <f>VLOOKUP(M90,Consulta!$AR$6:$AW$19,4,FALSE)</f>
        <v>#N/A</v>
      </c>
      <c r="CF90" s="586" t="e">
        <f>VLOOKUP(M90,Consulta!$AR$6:$AW$19,6,FALSE)</f>
        <v>#N/A</v>
      </c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</row>
    <row r="91" spans="1:212" s="532" customFormat="1" ht="16.5" customHeight="1" x14ac:dyDescent="0.2">
      <c r="A91" s="571"/>
      <c r="B91" s="1115"/>
      <c r="C91" s="820" t="s">
        <v>849</v>
      </c>
      <c r="D91" s="701">
        <f t="shared" si="106"/>
        <v>0.17749999999999999</v>
      </c>
      <c r="E91" s="701">
        <f>1.66+8.76</f>
        <v>10.42</v>
      </c>
      <c r="F91" s="701" t="s">
        <v>244</v>
      </c>
      <c r="G91" s="701" t="s">
        <v>808</v>
      </c>
      <c r="H91" s="701">
        <v>1</v>
      </c>
      <c r="I91" s="765" t="s">
        <v>13</v>
      </c>
      <c r="J91" s="701" t="s">
        <v>242</v>
      </c>
      <c r="K91" s="701" t="s">
        <v>363</v>
      </c>
      <c r="L91" s="701">
        <v>1</v>
      </c>
      <c r="M91" s="702">
        <v>1.5</v>
      </c>
      <c r="N91" s="701" t="s">
        <v>453</v>
      </c>
      <c r="O91" s="701">
        <v>4</v>
      </c>
      <c r="P91" s="555">
        <f t="shared" si="92"/>
        <v>16.5</v>
      </c>
      <c r="Q91" s="701">
        <v>3</v>
      </c>
      <c r="R91" s="701">
        <v>1</v>
      </c>
      <c r="S91" s="555">
        <f t="shared" si="95"/>
        <v>0.77173913043478259</v>
      </c>
      <c r="T91" s="712">
        <f t="shared" si="84"/>
        <v>16.5</v>
      </c>
      <c r="U91" s="701" t="s">
        <v>499</v>
      </c>
      <c r="V91" s="555">
        <v>10</v>
      </c>
      <c r="W91" s="701">
        <f>IF(U91="C.C.Fusíveis",VLOOKUP(V91,Consulta!$L$5:$N$31,3,FALSE),VLOOKUP(V91,Consulta!$P$5:$R$34,3,FALSE))</f>
        <v>13.5</v>
      </c>
      <c r="X91" s="713">
        <f t="shared" si="93"/>
        <v>24</v>
      </c>
      <c r="Y91" s="822">
        <f t="shared" si="85"/>
        <v>4.6772068511198944E-2</v>
      </c>
      <c r="Z91" s="706" t="str">
        <f t="shared" si="94"/>
        <v>Sim</v>
      </c>
      <c r="AA91" s="767">
        <f t="shared" si="96"/>
        <v>6.5243555363796182E-2</v>
      </c>
      <c r="AB91" s="767">
        <f t="shared" si="97"/>
        <v>0.19537499999999997</v>
      </c>
      <c r="AC91" s="767">
        <f t="shared" si="98"/>
        <v>0</v>
      </c>
      <c r="AD91" s="703">
        <f t="shared" si="104"/>
        <v>1.7498652207576615</v>
      </c>
      <c r="AE91" s="703">
        <f t="shared" si="99"/>
        <v>0.30155706521739123</v>
      </c>
      <c r="AF91" s="703">
        <f t="shared" si="100"/>
        <v>2.0514222859750526</v>
      </c>
      <c r="AG91" s="704">
        <f t="shared" si="105"/>
        <v>1.3111176748582228E-3</v>
      </c>
      <c r="AH91" s="768">
        <f t="shared" si="105"/>
        <v>8.919227330326315E-3</v>
      </c>
      <c r="AI91" s="703">
        <f t="shared" si="101"/>
        <v>0.88251582731300215</v>
      </c>
      <c r="AJ91" s="701">
        <v>3</v>
      </c>
      <c r="AK91" s="703">
        <v>0.1</v>
      </c>
      <c r="AL91" s="713">
        <f t="shared" si="89"/>
        <v>115</v>
      </c>
      <c r="AM91" s="703">
        <f t="shared" si="90"/>
        <v>2.4267479003973236</v>
      </c>
      <c r="AN91" s="706">
        <f t="shared" si="86"/>
        <v>1</v>
      </c>
      <c r="AO91" s="706" t="s">
        <v>563</v>
      </c>
      <c r="AP91" s="706" t="s">
        <v>523</v>
      </c>
      <c r="AQ91" s="706" t="str">
        <f t="shared" si="87"/>
        <v>3G</v>
      </c>
      <c r="AR91" s="706">
        <f t="shared" si="88"/>
        <v>1.5</v>
      </c>
      <c r="AS91" s="893" t="str">
        <f t="shared" si="91"/>
        <v/>
      </c>
      <c r="AT91" s="893" t="str">
        <f>IF(OR(AQ91="3G",AQ91="5G"),"",VLOOKUP(AR91,Consulta!$T$5:$U$25,2,FALSE))</f>
        <v/>
      </c>
      <c r="AU91" s="894" t="s">
        <v>565</v>
      </c>
      <c r="AV91" s="706" t="s">
        <v>23</v>
      </c>
      <c r="AW91" s="706" t="s">
        <v>564</v>
      </c>
      <c r="AX91" s="706">
        <f t="shared" si="103"/>
        <v>20</v>
      </c>
      <c r="AY91" s="707" t="s">
        <v>24</v>
      </c>
      <c r="AZ91" s="564"/>
      <c r="BA91" s="584">
        <f>IF(AND(J91="Cobre",F91="Monofásico"),VLOOKUP(M91,'Iz''s'!$B$8:$E$23,2,FALSE),IF(AND(J91="Cobre",F91="Trifásico"),VLOOKUP(M91,'Iz''s'!$L$8:$O$23,2,FALSE),IF(AND(J91="Alumínio",F91="Monofásico"),VLOOKUP(M91,'Iz''s'!$B$25:$E$39,2,FALSE),IF(AND(J91="Alumínio",F91="Trifásico"),VLOOKUP(M91,'Iz''s'!$L$25:$O$39,2,FALSE)))))</f>
        <v>14.5</v>
      </c>
      <c r="BB91" s="531">
        <f>IF(AND(J91="Cobre",F91="Monofásico"),VLOOKUP(M91,'Iz''s'!$CD$9:$CH$24,2,FALSE),IF(AND(J91="Cobre",F91="Trifásico"),VLOOKUP(M91,'Iz''s'!$CD$9:$CH$24,4,FALSE),IF(AND(J91="Alumínio",F91="Monofásico"),VLOOKUP(M91,'Iz''s'!$CD$26:$CH$40,2,FALSE),IF(AND(J91="Alumínio",F91="Trifásico"),VLOOKUP(M91,'Iz''s'!$CD$26:$CH$40,4,FALSE)))))</f>
        <v>14</v>
      </c>
      <c r="BC91" s="531">
        <f>IF(AND(J91="Cobre",F91="Monofásico"),VLOOKUP(M91,'Iz''s'!$B$8:$E$23,3,FALSE),IF(AND(J91="Cobre",F91="Trifásico"),VLOOKUP(M91,'Iz''s'!$L$8:$O$23,3,FALSE),IF(AND(J91="Alumínio",F91="Monofásico"),VLOOKUP(M91,'Iz''s'!$B$25:$E$39,3,FALSE),IF(AND(J91="Alumínio",F91="Trifásico"),VLOOKUP(M91,'Iz''s'!$L$25:$O$39,3,FALSE)))))</f>
        <v>17.5</v>
      </c>
      <c r="BD91" s="531">
        <f>IF(AND(J91="Cobre",F91="Monofásico"),VLOOKUP(M91,'Iz''s'!$CD$9:$CH$24,3,FALSE),IF(AND(J91="Cobre",F91="Trifásico"),VLOOKUP(M91,'Iz''s'!$CD$9:$CH$24,5,FALSE),IF(AND(J91="Alumínio",F91="Monofásico"),VLOOKUP(M91,'Iz''s'!$CD$26:$CH$40,3,FALSE),IF(AND(J91="Alumínio",F91="Trifásico"),VLOOKUP(M91,'Iz''s'!$CD$26:$CH$40,5,FALSE)))))</f>
        <v>16.5</v>
      </c>
      <c r="BE91" s="531">
        <f>IF(AND(J91="Cobre",F91="Monofásico"),VLOOKUP(M91,'Iz''s'!$B$8:$E$23,4,FALSE),IF(AND(J91="Cobre",F91="Trifásico"),VLOOKUP(M91,'Iz''s'!$L$8:$O$23,4,FALSE),IF(AND(J91="Alumínio",F91="Monofásico"),VLOOKUP(M91,'Iz''s'!$B$25:$E$39,4,FALSE),IF(AND(J91="Alumínio",F91="Trifásico"),VLOOKUP(M91,'Iz''s'!$L$25:$O$39,4,FALSE)))))</f>
        <v>19.5</v>
      </c>
      <c r="BF91" s="531">
        <f>IF(AND(J91="Cobre",F91="Monofásico"),VLOOKUP(M91,'Iz''s'!$CP$9:$CT$24,3,FALSE),IF(AND(J91="Cobre",F91="Trifásico"),VLOOKUP(M91,'Iz''s'!$CP$9:$CT$24,2,FALSE),IF(AND(J91="Alumínio",F91="Monofásico"),VLOOKUP(M91,'Iz''s'!$CP$26:$CT$37,3,FALSE),IF(AND(J91="Alumínio",F91="Trifásico"),VLOOKUP(M91,'Iz''s'!$CP$26:$CT$37,2,FALSE)))))</f>
        <v>32</v>
      </c>
      <c r="BG91" s="531">
        <f>IF(AND(J91="Cobre",F91="Monofásico"),VLOOKUP(M91,'Iz''s'!$AT$10:$BA$28,2,FALSE),IF(AND(J91="Cobre",F91="Trifásico"),VLOOKUP(M91,'Iz''s'!$AT$10:$BA$28,3,FALSE),IF(AND(J91="Alumínio",F91="Monofásico"),VLOOKUP(M91,'Iz''s'!$BC$10:$BJ$27,2,FALSE),IF(AND(J91="Alumínio",F91="Trifásico"),VLOOKUP(M91,'Iz''s'!$BC$10:$BJ$27,3,FALSE)))))</f>
        <v>22</v>
      </c>
      <c r="BH91" s="609" t="str">
        <f>IF(AND(J91="Cobre",F91="Monofásico"),VLOOKUP(M91,'Iz''s'!$AT$10:$BA$28,4,FALSE),IF(AND(J91="Cobre",F91="Trifásico"),VLOOKUP(M91,'Iz''s'!$AT$10:$BA$28,5,FALSE),IF(AND(J91="Alumínio",F91="Monofásico"),VLOOKUP(M91,'Iz''s'!$BC$10:$BJ$27,4,FALSE),IF(AND(J91="Alumínio",F91="Trifásico"),VLOOKUP(M91,'Iz''s'!$BC$10:$BJ$27,5,FALSE)))))</f>
        <v xml:space="preserve"> --- </v>
      </c>
      <c r="BI91" s="609" t="str">
        <f>IF(AND(J91="Cobre",F91="Monofásico"),"N/A",IF(AND(J91="Cobre",F91="Trifásico"),VLOOKUP(M91,'Iz''s'!$AT$10:$BA$28,8,FALSE),IF(AND(J91="Alumínio",F91="Monofásico"),"N/A",IF(AND(J91="Alumínio",F91="Trifásico"),VLOOKUP(M91,'Iz''s'!$BC$10:$BJ$27,8,FALSE)))))</f>
        <v>N/A</v>
      </c>
      <c r="BJ91" s="531">
        <f>IF(AND(J91="Cobre",F91="Monofásico"),VLOOKUP(M91,'Iz''s'!$G$8:$J$23,2,FALSE),IF(AND(J91="Cobre",F91="Trifásico"),VLOOKUP(M91,'Iz''s'!$Q$8:$T$23,2,FALSE),IF(AND(J91="Alumínio",F91="Monofásico"),VLOOKUP(M91,'Iz''s'!$G$25:$J$39,2,FALSE),IF(AND(J91="Alumínio",F91="Trifásico"),VLOOKUP(M91,'Iz''s'!$Q$25:$T$39,2,FALSE)))))</f>
        <v>19</v>
      </c>
      <c r="BK91" s="609">
        <f>IF(AND(J91="Cobre",F91="Monofásico"),VLOOKUP(M91,'Iz''s'!$CJ$9:$CN$24,2,FALSE),IF(AND(J91="Cobre",F91="Trifásico"),VLOOKUP(M91,'Iz''s'!$CJ$9:$CN$24,4,FALSE),IF(AND(J91="Alumínio",F91="Monofásico"),VLOOKUP(M91,'Iz''s'!$CJ$26:$CN$40,2,FALSE),IF(AND(J91="Alumínio",F91="Trifásico"),VLOOKUP(M91,'Iz''s'!$CJ$26:$CN$40,4,FALSE)))))</f>
        <v>18.5</v>
      </c>
      <c r="BL91" s="609">
        <f>IF(AND(J91="Cobre",F91="Monofásico"),VLOOKUP(M91,'Iz''s'!$G$8:$J$23,3,FALSE),IF(AND(J91="Cobre",F91="Trifásico"),VLOOKUP(M91,'Iz''s'!$Q$8:$T$23,3,FALSE),IF(AND(J91="Alumínio",F91="Monofásico"),VLOOKUP(M91,'Iz''s'!$G$25:$J$39,3,FALSE),IF(AND(J91="Alumínio",F91="Trifásico"),VLOOKUP(M91,'Iz''s'!$Q$25:$T$39,3,FALSE)))))</f>
        <v>23</v>
      </c>
      <c r="BM91" s="609">
        <f>IF(AND(J91="Cobre",F91="Monofásico"),VLOOKUP(M91,'Iz''s'!$CJ$9:$CN$24,3,FALSE),IF(AND(J91="Cobre",F91="Trifásico"),VLOOKUP(M91,'Iz''s'!$CJ$9:$CN$24,5,FALSE),IF(AND(J91="Alumínio",F91="Monofásico"),VLOOKUP(M91,'Iz''s'!$CJ$26:$CN$40,3,FALSE),IF(AND(J91="Alumínio",F91="Trifásico"),VLOOKUP(M91,'Iz''s'!$CJ$26:$CN$40,5,FALSE)))))</f>
        <v>22</v>
      </c>
      <c r="BN91" s="609">
        <f>IF(AND(J91="Cobre",F91="Monofásico"),VLOOKUP(M91,'Iz''s'!$G$8:$J$23,4,FALSE),IF(AND(J91="Cobre",F91="Trifásico"),VLOOKUP(M91,'Iz''s'!$Q$8:$T$23,4,FALSE),IF(AND(J91="Alumínio",F91="Monofásico"),VLOOKUP(M91,'Iz''s'!$G$25:$J$39,4,FALSE),IF(AND(J91="Alumínio",F91="Trifásico"),VLOOKUP(M91,'Iz''s'!$Q$25:$T$39,4,FALSE)))))</f>
        <v>24</v>
      </c>
      <c r="BO91" s="609">
        <f>IF(AND(J91="Cobre",F91="Monofásico"),VLOOKUP(M91,'Iz''s'!$CP$9:$CT$24,5,FALSE),IF(AND(J91="Cobre",F91="Trifásico"),VLOOKUP(M91,'Iz''s'!$CP$9:$CT$24,4,FALSE),IF(AND(J91="Alumínio",F91="Monofásico"),VLOOKUP(M91,'Iz''s'!$CP$26:$CT$37,5,FALSE),IF(AND(J91="Alumínio",F91="Trifásico"),VLOOKUP(M91,'Iz''s'!$CP$26:$CT$37,4,FALSE)))))</f>
        <v>37</v>
      </c>
      <c r="BP91" s="609">
        <f>IF(AND(J91="Cobre",F91="Monofásico"),VLOOKUP(M91,'Iz''s'!$BL$10:$BS$28,2,FALSE),IF(AND(J91="Cobre",F91="Trifásico"),VLOOKUP(M91,'Iz''s'!$BL$10:$BS$28,3,FALSE),IF(AND(J91="Alumínio",F91="Monofásico"),VLOOKUP(M91,'Iz''s'!$BU$10:$CB$27,2,FALSE),IF(AND(J91="Alumínio",F91="Trifásico"),VLOOKUP(M91,'Iz''s'!$BU$10:$CB$27,3,FALSE)))))</f>
        <v>26</v>
      </c>
      <c r="BQ91" s="531" t="str">
        <f>IF(AND(J91="Cobre",F91="Monofásico"),VLOOKUP(M91,'Iz''s'!$BL$10:$BS$28,4,FALSE),IF(AND(J91="Cobre",F91="Trifásico"),VLOOKUP(M91,'Iz''s'!$BL$10:$BS$28,5,FALSE),IF(AND(J91="Alumínio",F91="Monofásico"),VLOOKUP(M91,'Iz''s'!$BU$10:$CB$27,4,FALSE),IF(AND(J91="Alumínio",F91="Trifásico"),VLOOKUP(M91,'Iz''s'!$BU$10:$CB$27,5,FALSE)))))</f>
        <v xml:space="preserve"> --- </v>
      </c>
      <c r="BR91" s="609" t="str">
        <f>IF(AND(J91="Cobre",F91="Monofásico"),"N/A",IF(AND(J91="Cobre",F91="Trifásico"),VLOOKUP(M91,'Iz''s'!$BL$10:$BS$28,8,FALSE),IF(AND(J91="Alumínio",F91="Monofásico"),"N/A",IF(AND(J91="Alumínio",F91="Trifásico"),VLOOKUP(M91,'Iz''s'!$BU$10:$CB$27,8,FALSE)))))</f>
        <v>N/A</v>
      </c>
      <c r="BS91" s="609">
        <f>IF(AND(J91="Cobre",F91="Monofásico"),VLOOKUP(M91,'Iz''s'!$V$14:$Y$28,2,FALSE),IF(AND(J91="Cobre",F91="Trifásico"),VLOOKUP(M91,'Iz''s'!$V$14:$Y$28,3,FALSE),IF(AND(J91="Alumínio",F91="Monofásico"),VLOOKUP(M91,"N/A",4,FALSE),IF(AND(J91="Alumínio",F91="Trifásico"),VLOOKUP(M91,"N/A",4,FALSE)))))</f>
        <v>25</v>
      </c>
      <c r="BT91" s="609">
        <f>IF(AND(J91="Cobre",F91="Monofásico"),VLOOKUP(M91,'Iz''s'!$AF$15:$AK$29,2,FALSE),IF(AND(J91="Cobre",F91="Trifásico"),VLOOKUP(M91,'Iz''s'!$AF$15:$AK$29,3,FALSE),IF(AND(J91="Alumínio",F91="Monofásico"),"N/A",IF(AND(J91="Alumínio",F91="Trifásico"),"N/A"))))</f>
        <v>26</v>
      </c>
      <c r="BU91" s="609">
        <f>IF(AND(J91="Cobre",F91="Monofásico"),VLOOKUP(M91,'Iz''s'!$AF$15:$AK$29,2,FALSE),IF(AND(J91="Cobre",F91="Trifásico"),VLOOKUP(M91,'Iz''s'!$AF$15:$AK$29,3,FALSE),IF(AND(J91="Alumínio",F91="Monofásico"),"N/A",IF(AND(J91="Alumínio",F91="Trifásico"),"N/A"))))</f>
        <v>26</v>
      </c>
      <c r="BV91" s="610" t="str">
        <f>IF(AND(J91="Cobre",F91="Monofásico"),"N/A",IF(AND(J91="Cobre",F91="Trifásico"),VLOOKUP(M91,'Iz''s'!$AF$15:$AK$29,6,FALSE),IF(AND(J91="Alumínio",F91="Monofásico"),"N/A",IF(AND(J91="Alumínio",F91="Trifásico"),"N/A"))))</f>
        <v>N/A</v>
      </c>
      <c r="BW91" s="611">
        <v>89</v>
      </c>
      <c r="BX91" s="565"/>
      <c r="BY91" s="612">
        <f>VLOOKUP(M91,Consulta!$W$6:$AB$23,4,FALSE)</f>
        <v>16</v>
      </c>
      <c r="BZ91" s="612">
        <f>VLOOKUP(M91,Consulta!$W$6:$AB$23,6,FALSE)</f>
        <v>20</v>
      </c>
      <c r="CA91" s="612">
        <f>VLOOKUP(M91,Consulta!$AK$6:$AP$23,4,FALSE)</f>
        <v>20</v>
      </c>
      <c r="CB91" s="612">
        <f>VLOOKUP(M91,Consulta!$AK$6:$AP$23,6,FALSE)</f>
        <v>20</v>
      </c>
      <c r="CC91" s="585" t="e">
        <f>VLOOKUP(M91,Consulta!$AD$6:$AI$19,4,FALSE)</f>
        <v>#N/A</v>
      </c>
      <c r="CD91" s="585" t="e">
        <f>VLOOKUP(M91,Consulta!$AD$6:$AI$19,6,FALSE)</f>
        <v>#N/A</v>
      </c>
      <c r="CE91" s="585" t="e">
        <f>VLOOKUP(M91,Consulta!$AR$6:$AW$19,4,FALSE)</f>
        <v>#N/A</v>
      </c>
      <c r="CF91" s="586" t="e">
        <f>VLOOKUP(M91,Consulta!$AR$6:$AW$19,6,FALSE)</f>
        <v>#N/A</v>
      </c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</row>
    <row r="92" spans="1:212" s="532" customFormat="1" ht="16.5" customHeight="1" x14ac:dyDescent="0.2">
      <c r="A92" s="571"/>
      <c r="B92" s="1115"/>
      <c r="C92" s="820" t="s">
        <v>849</v>
      </c>
      <c r="D92" s="701">
        <f t="shared" si="106"/>
        <v>0.17749999999999999</v>
      </c>
      <c r="E92" s="701">
        <f>1.44+8.86+1.6</f>
        <v>11.899999999999999</v>
      </c>
      <c r="F92" s="701" t="s">
        <v>244</v>
      </c>
      <c r="G92" s="701" t="s">
        <v>808</v>
      </c>
      <c r="H92" s="701">
        <v>1</v>
      </c>
      <c r="I92" s="765" t="s">
        <v>13</v>
      </c>
      <c r="J92" s="701" t="s">
        <v>242</v>
      </c>
      <c r="K92" s="701" t="s">
        <v>363</v>
      </c>
      <c r="L92" s="701">
        <v>1</v>
      </c>
      <c r="M92" s="702">
        <v>1.5</v>
      </c>
      <c r="N92" s="701" t="s">
        <v>453</v>
      </c>
      <c r="O92" s="701">
        <v>4</v>
      </c>
      <c r="P92" s="555">
        <f t="shared" si="92"/>
        <v>16.5</v>
      </c>
      <c r="Q92" s="701">
        <v>3</v>
      </c>
      <c r="R92" s="701">
        <v>0.8</v>
      </c>
      <c r="S92" s="555">
        <f t="shared" si="95"/>
        <v>0.77173913043478259</v>
      </c>
      <c r="T92" s="712">
        <f t="shared" si="84"/>
        <v>13.200000000000001</v>
      </c>
      <c r="U92" s="701" t="s">
        <v>499</v>
      </c>
      <c r="V92" s="555">
        <v>10</v>
      </c>
      <c r="W92" s="701">
        <f>IF(U92="C.C.Fusíveis",VLOOKUP(V92,Consulta!$L$5:$N$31,3,FALSE),VLOOKUP(V92,Consulta!$P$5:$R$34,3,FALSE))</f>
        <v>13.5</v>
      </c>
      <c r="X92" s="713">
        <f t="shared" si="93"/>
        <v>24</v>
      </c>
      <c r="Y92" s="822">
        <f t="shared" si="85"/>
        <v>5.8465085638998673E-2</v>
      </c>
      <c r="Z92" s="706" t="str">
        <f t="shared" si="94"/>
        <v>Sim</v>
      </c>
      <c r="AA92" s="767">
        <f t="shared" si="96"/>
        <v>6.5243555363796182E-2</v>
      </c>
      <c r="AB92" s="767">
        <f t="shared" si="97"/>
        <v>0.22312499999999996</v>
      </c>
      <c r="AC92" s="767">
        <f t="shared" si="98"/>
        <v>0</v>
      </c>
      <c r="AD92" s="703">
        <f t="shared" si="104"/>
        <v>1.7498652207576615</v>
      </c>
      <c r="AE92" s="703">
        <f t="shared" si="99"/>
        <v>0.34438858695652169</v>
      </c>
      <c r="AF92" s="703">
        <f t="shared" si="100"/>
        <v>2.0942538077141832</v>
      </c>
      <c r="AG92" s="704">
        <f t="shared" si="105"/>
        <v>1.4973416824196595E-3</v>
      </c>
      <c r="AH92" s="768">
        <f t="shared" si="105"/>
        <v>9.105451337887753E-3</v>
      </c>
      <c r="AI92" s="703">
        <f t="shared" si="101"/>
        <v>0.79759042975347882</v>
      </c>
      <c r="AJ92" s="701">
        <v>3</v>
      </c>
      <c r="AK92" s="703">
        <v>0.1</v>
      </c>
      <c r="AL92" s="713">
        <f t="shared" si="89"/>
        <v>115</v>
      </c>
      <c r="AM92" s="703">
        <f t="shared" si="90"/>
        <v>2.1932194764987156</v>
      </c>
      <c r="AN92" s="706">
        <f t="shared" si="86"/>
        <v>1</v>
      </c>
      <c r="AO92" s="706" t="s">
        <v>563</v>
      </c>
      <c r="AP92" s="706" t="s">
        <v>523</v>
      </c>
      <c r="AQ92" s="706" t="str">
        <f t="shared" si="87"/>
        <v>3G</v>
      </c>
      <c r="AR92" s="706">
        <f t="shared" si="88"/>
        <v>1.5</v>
      </c>
      <c r="AS92" s="893" t="str">
        <f t="shared" si="91"/>
        <v/>
      </c>
      <c r="AT92" s="893" t="str">
        <f>IF(OR(AQ92="3G",AQ92="5G"),"",VLOOKUP(AR92,Consulta!$T$5:$U$25,2,FALSE))</f>
        <v/>
      </c>
      <c r="AU92" s="894" t="s">
        <v>565</v>
      </c>
      <c r="AV92" s="706" t="s">
        <v>23</v>
      </c>
      <c r="AW92" s="706" t="s">
        <v>564</v>
      </c>
      <c r="AX92" s="706">
        <f t="shared" si="103"/>
        <v>20</v>
      </c>
      <c r="AY92" s="707" t="s">
        <v>24</v>
      </c>
      <c r="AZ92" s="564"/>
      <c r="BA92" s="584">
        <f>IF(AND(J92="Cobre",F92="Monofásico"),VLOOKUP(M92,'Iz''s'!$B$8:$E$23,2,FALSE),IF(AND(J92="Cobre",F92="Trifásico"),VLOOKUP(M92,'Iz''s'!$L$8:$O$23,2,FALSE),IF(AND(J92="Alumínio",F92="Monofásico"),VLOOKUP(M92,'Iz''s'!$B$25:$E$39,2,FALSE),IF(AND(J92="Alumínio",F92="Trifásico"),VLOOKUP(M92,'Iz''s'!$L$25:$O$39,2,FALSE)))))</f>
        <v>14.5</v>
      </c>
      <c r="BB92" s="531">
        <f>IF(AND(J92="Cobre",F92="Monofásico"),VLOOKUP(M92,'Iz''s'!$CD$9:$CH$24,2,FALSE),IF(AND(J92="Cobre",F92="Trifásico"),VLOOKUP(M92,'Iz''s'!$CD$9:$CH$24,4,FALSE),IF(AND(J92="Alumínio",F92="Monofásico"),VLOOKUP(M92,'Iz''s'!$CD$26:$CH$40,2,FALSE),IF(AND(J92="Alumínio",F92="Trifásico"),VLOOKUP(M92,'Iz''s'!$CD$26:$CH$40,4,FALSE)))))</f>
        <v>14</v>
      </c>
      <c r="BC92" s="531">
        <f>IF(AND(J92="Cobre",F92="Monofásico"),VLOOKUP(M92,'Iz''s'!$B$8:$E$23,3,FALSE),IF(AND(J92="Cobre",F92="Trifásico"),VLOOKUP(M92,'Iz''s'!$L$8:$O$23,3,FALSE),IF(AND(J92="Alumínio",F92="Monofásico"),VLOOKUP(M92,'Iz''s'!$B$25:$E$39,3,FALSE),IF(AND(J92="Alumínio",F92="Trifásico"),VLOOKUP(M92,'Iz''s'!$L$25:$O$39,3,FALSE)))))</f>
        <v>17.5</v>
      </c>
      <c r="BD92" s="531">
        <f>IF(AND(J92="Cobre",F92="Monofásico"),VLOOKUP(M92,'Iz''s'!$CD$9:$CH$24,3,FALSE),IF(AND(J92="Cobre",F92="Trifásico"),VLOOKUP(M92,'Iz''s'!$CD$9:$CH$24,5,FALSE),IF(AND(J92="Alumínio",F92="Monofásico"),VLOOKUP(M92,'Iz''s'!$CD$26:$CH$40,3,FALSE),IF(AND(J92="Alumínio",F92="Trifásico"),VLOOKUP(M92,'Iz''s'!$CD$26:$CH$40,5,FALSE)))))</f>
        <v>16.5</v>
      </c>
      <c r="BE92" s="531">
        <f>IF(AND(J92="Cobre",F92="Monofásico"),VLOOKUP(M92,'Iz''s'!$B$8:$E$23,4,FALSE),IF(AND(J92="Cobre",F92="Trifásico"),VLOOKUP(M92,'Iz''s'!$L$8:$O$23,4,FALSE),IF(AND(J92="Alumínio",F92="Monofásico"),VLOOKUP(M92,'Iz''s'!$B$25:$E$39,4,FALSE),IF(AND(J92="Alumínio",F92="Trifásico"),VLOOKUP(M92,'Iz''s'!$L$25:$O$39,4,FALSE)))))</f>
        <v>19.5</v>
      </c>
      <c r="BF92" s="531">
        <f>IF(AND(J92="Cobre",F92="Monofásico"),VLOOKUP(M92,'Iz''s'!$CP$9:$CT$24,3,FALSE),IF(AND(J92="Cobre",F92="Trifásico"),VLOOKUP(M92,'Iz''s'!$CP$9:$CT$24,2,FALSE),IF(AND(J92="Alumínio",F92="Monofásico"),VLOOKUP(M92,'Iz''s'!$CP$26:$CT$37,3,FALSE),IF(AND(J92="Alumínio",F92="Trifásico"),VLOOKUP(M92,'Iz''s'!$CP$26:$CT$37,2,FALSE)))))</f>
        <v>32</v>
      </c>
      <c r="BG92" s="531">
        <f>IF(AND(J92="Cobre",F92="Monofásico"),VLOOKUP(M92,'Iz''s'!$AT$10:$BA$28,2,FALSE),IF(AND(J92="Cobre",F92="Trifásico"),VLOOKUP(M92,'Iz''s'!$AT$10:$BA$28,3,FALSE),IF(AND(J92="Alumínio",F92="Monofásico"),VLOOKUP(M92,'Iz''s'!$BC$10:$BJ$27,2,FALSE),IF(AND(J92="Alumínio",F92="Trifásico"),VLOOKUP(M92,'Iz''s'!$BC$10:$BJ$27,3,FALSE)))))</f>
        <v>22</v>
      </c>
      <c r="BH92" s="609" t="str">
        <f>IF(AND(J92="Cobre",F92="Monofásico"),VLOOKUP(M92,'Iz''s'!$AT$10:$BA$28,4,FALSE),IF(AND(J92="Cobre",F92="Trifásico"),VLOOKUP(M92,'Iz''s'!$AT$10:$BA$28,5,FALSE),IF(AND(J92="Alumínio",F92="Monofásico"),VLOOKUP(M92,'Iz''s'!$BC$10:$BJ$27,4,FALSE),IF(AND(J92="Alumínio",F92="Trifásico"),VLOOKUP(M92,'Iz''s'!$BC$10:$BJ$27,5,FALSE)))))</f>
        <v xml:space="preserve"> --- </v>
      </c>
      <c r="BI92" s="609" t="str">
        <f>IF(AND(J92="Cobre",F92="Monofásico"),"N/A",IF(AND(J92="Cobre",F92="Trifásico"),VLOOKUP(M92,'Iz''s'!$AT$10:$BA$28,8,FALSE),IF(AND(J92="Alumínio",F92="Monofásico"),"N/A",IF(AND(J92="Alumínio",F92="Trifásico"),VLOOKUP(M92,'Iz''s'!$BC$10:$BJ$27,8,FALSE)))))</f>
        <v>N/A</v>
      </c>
      <c r="BJ92" s="531">
        <f>IF(AND(J92="Cobre",F92="Monofásico"),VLOOKUP(M92,'Iz''s'!$G$8:$J$23,2,FALSE),IF(AND(J92="Cobre",F92="Trifásico"),VLOOKUP(M92,'Iz''s'!$Q$8:$T$23,2,FALSE),IF(AND(J92="Alumínio",F92="Monofásico"),VLOOKUP(M92,'Iz''s'!$G$25:$J$39,2,FALSE),IF(AND(J92="Alumínio",F92="Trifásico"),VLOOKUP(M92,'Iz''s'!$Q$25:$T$39,2,FALSE)))))</f>
        <v>19</v>
      </c>
      <c r="BK92" s="609">
        <f>IF(AND(J92="Cobre",F92="Monofásico"),VLOOKUP(M92,'Iz''s'!$CJ$9:$CN$24,2,FALSE),IF(AND(J92="Cobre",F92="Trifásico"),VLOOKUP(M92,'Iz''s'!$CJ$9:$CN$24,4,FALSE),IF(AND(J92="Alumínio",F92="Monofásico"),VLOOKUP(M92,'Iz''s'!$CJ$26:$CN$40,2,FALSE),IF(AND(J92="Alumínio",F92="Trifásico"),VLOOKUP(M92,'Iz''s'!$CJ$26:$CN$40,4,FALSE)))))</f>
        <v>18.5</v>
      </c>
      <c r="BL92" s="609">
        <f>IF(AND(J92="Cobre",F92="Monofásico"),VLOOKUP(M92,'Iz''s'!$G$8:$J$23,3,FALSE),IF(AND(J92="Cobre",F92="Trifásico"),VLOOKUP(M92,'Iz''s'!$Q$8:$T$23,3,FALSE),IF(AND(J92="Alumínio",F92="Monofásico"),VLOOKUP(M92,'Iz''s'!$G$25:$J$39,3,FALSE),IF(AND(J92="Alumínio",F92="Trifásico"),VLOOKUP(M92,'Iz''s'!$Q$25:$T$39,3,FALSE)))))</f>
        <v>23</v>
      </c>
      <c r="BM92" s="609">
        <f>IF(AND(J92="Cobre",F92="Monofásico"),VLOOKUP(M92,'Iz''s'!$CJ$9:$CN$24,3,FALSE),IF(AND(J92="Cobre",F92="Trifásico"),VLOOKUP(M92,'Iz''s'!$CJ$9:$CN$24,5,FALSE),IF(AND(J92="Alumínio",F92="Monofásico"),VLOOKUP(M92,'Iz''s'!$CJ$26:$CN$40,3,FALSE),IF(AND(J92="Alumínio",F92="Trifásico"),VLOOKUP(M92,'Iz''s'!$CJ$26:$CN$40,5,FALSE)))))</f>
        <v>22</v>
      </c>
      <c r="BN92" s="609">
        <f>IF(AND(J92="Cobre",F92="Monofásico"),VLOOKUP(M92,'Iz''s'!$G$8:$J$23,4,FALSE),IF(AND(J92="Cobre",F92="Trifásico"),VLOOKUP(M92,'Iz''s'!$Q$8:$T$23,4,FALSE),IF(AND(J92="Alumínio",F92="Monofásico"),VLOOKUP(M92,'Iz''s'!$G$25:$J$39,4,FALSE),IF(AND(J92="Alumínio",F92="Trifásico"),VLOOKUP(M92,'Iz''s'!$Q$25:$T$39,4,FALSE)))))</f>
        <v>24</v>
      </c>
      <c r="BO92" s="609">
        <f>IF(AND(J92="Cobre",F92="Monofásico"),VLOOKUP(M92,'Iz''s'!$CP$9:$CT$24,5,FALSE),IF(AND(J92="Cobre",F92="Trifásico"),VLOOKUP(M92,'Iz''s'!$CP$9:$CT$24,4,FALSE),IF(AND(J92="Alumínio",F92="Monofásico"),VLOOKUP(M92,'Iz''s'!$CP$26:$CT$37,5,FALSE),IF(AND(J92="Alumínio",F92="Trifásico"),VLOOKUP(M92,'Iz''s'!$CP$26:$CT$37,4,FALSE)))))</f>
        <v>37</v>
      </c>
      <c r="BP92" s="609">
        <f>IF(AND(J92="Cobre",F92="Monofásico"),VLOOKUP(M92,'Iz''s'!$BL$10:$BS$28,2,FALSE),IF(AND(J92="Cobre",F92="Trifásico"),VLOOKUP(M92,'Iz''s'!$BL$10:$BS$28,3,FALSE),IF(AND(J92="Alumínio",F92="Monofásico"),VLOOKUP(M92,'Iz''s'!$BU$10:$CB$27,2,FALSE),IF(AND(J92="Alumínio",F92="Trifásico"),VLOOKUP(M92,'Iz''s'!$BU$10:$CB$27,3,FALSE)))))</f>
        <v>26</v>
      </c>
      <c r="BQ92" s="531" t="str">
        <f>IF(AND(J92="Cobre",F92="Monofásico"),VLOOKUP(M92,'Iz''s'!$BL$10:$BS$28,4,FALSE),IF(AND(J92="Cobre",F92="Trifásico"),VLOOKUP(M92,'Iz''s'!$BL$10:$BS$28,5,FALSE),IF(AND(J92="Alumínio",F92="Monofásico"),VLOOKUP(M92,'Iz''s'!$BU$10:$CB$27,4,FALSE),IF(AND(J92="Alumínio",F92="Trifásico"),VLOOKUP(M92,'Iz''s'!$BU$10:$CB$27,5,FALSE)))))</f>
        <v xml:space="preserve"> --- </v>
      </c>
      <c r="BR92" s="609" t="str">
        <f>IF(AND(J92="Cobre",F92="Monofásico"),"N/A",IF(AND(J92="Cobre",F92="Trifásico"),VLOOKUP(M92,'Iz''s'!$BL$10:$BS$28,8,FALSE),IF(AND(J92="Alumínio",F92="Monofásico"),"N/A",IF(AND(J92="Alumínio",F92="Trifásico"),VLOOKUP(M92,'Iz''s'!$BU$10:$CB$27,8,FALSE)))))</f>
        <v>N/A</v>
      </c>
      <c r="BS92" s="609">
        <f>IF(AND(J92="Cobre",F92="Monofásico"),VLOOKUP(M92,'Iz''s'!$V$14:$Y$28,2,FALSE),IF(AND(J92="Cobre",F92="Trifásico"),VLOOKUP(M92,'Iz''s'!$V$14:$Y$28,3,FALSE),IF(AND(J92="Alumínio",F92="Monofásico"),VLOOKUP(M92,"N/A",4,FALSE),IF(AND(J92="Alumínio",F92="Trifásico"),VLOOKUP(M92,"N/A",4,FALSE)))))</f>
        <v>25</v>
      </c>
      <c r="BT92" s="609">
        <f>IF(AND(J92="Cobre",F92="Monofásico"),VLOOKUP(M92,'Iz''s'!$AF$15:$AK$29,2,FALSE),IF(AND(J92="Cobre",F92="Trifásico"),VLOOKUP(M92,'Iz''s'!$AF$15:$AK$29,3,FALSE),IF(AND(J92="Alumínio",F92="Monofásico"),"N/A",IF(AND(J92="Alumínio",F92="Trifásico"),"N/A"))))</f>
        <v>26</v>
      </c>
      <c r="BU92" s="609">
        <f>IF(AND(J92="Cobre",F92="Monofásico"),VLOOKUP(M92,'Iz''s'!$AF$15:$AK$29,2,FALSE),IF(AND(J92="Cobre",F92="Trifásico"),VLOOKUP(M92,'Iz''s'!$AF$15:$AK$29,3,FALSE),IF(AND(J92="Alumínio",F92="Monofásico"),"N/A",IF(AND(J92="Alumínio",F92="Trifásico"),"N/A"))))</f>
        <v>26</v>
      </c>
      <c r="BV92" s="610" t="str">
        <f>IF(AND(J92="Cobre",F92="Monofásico"),"N/A",IF(AND(J92="Cobre",F92="Trifásico"),VLOOKUP(M92,'Iz''s'!$AF$15:$AK$29,6,FALSE),IF(AND(J92="Alumínio",F92="Monofásico"),"N/A",IF(AND(J92="Alumínio",F92="Trifásico"),"N/A"))))</f>
        <v>N/A</v>
      </c>
      <c r="BW92" s="611">
        <v>90</v>
      </c>
      <c r="BX92" s="565"/>
      <c r="BY92" s="612">
        <f>VLOOKUP(M92,Consulta!$W$6:$AB$23,4,FALSE)</f>
        <v>16</v>
      </c>
      <c r="BZ92" s="612">
        <f>VLOOKUP(M92,Consulta!$W$6:$AB$23,6,FALSE)</f>
        <v>20</v>
      </c>
      <c r="CA92" s="612">
        <f>VLOOKUP(M92,Consulta!$AK$6:$AP$23,4,FALSE)</f>
        <v>20</v>
      </c>
      <c r="CB92" s="612">
        <f>VLOOKUP(M92,Consulta!$AK$6:$AP$23,6,FALSE)</f>
        <v>20</v>
      </c>
      <c r="CC92" s="585" t="e">
        <f>VLOOKUP(M92,Consulta!$AD$6:$AI$19,4,FALSE)</f>
        <v>#N/A</v>
      </c>
      <c r="CD92" s="585" t="e">
        <f>VLOOKUP(M92,Consulta!$AD$6:$AI$19,6,FALSE)</f>
        <v>#N/A</v>
      </c>
      <c r="CE92" s="585" t="e">
        <f>VLOOKUP(M92,Consulta!$AR$6:$AW$19,4,FALSE)</f>
        <v>#N/A</v>
      </c>
      <c r="CF92" s="586" t="e">
        <f>VLOOKUP(M92,Consulta!$AR$6:$AW$19,6,FALSE)</f>
        <v>#N/A</v>
      </c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</row>
    <row r="93" spans="1:212" s="532" customFormat="1" ht="16.5" customHeight="1" x14ac:dyDescent="0.2">
      <c r="A93" s="571"/>
      <c r="B93" s="1115"/>
      <c r="C93" s="820" t="s">
        <v>849</v>
      </c>
      <c r="D93" s="701">
        <f t="shared" si="106"/>
        <v>0.17749999999999999</v>
      </c>
      <c r="E93" s="701">
        <f>1.6+2.66+8.15+0.82</f>
        <v>13.23</v>
      </c>
      <c r="F93" s="701" t="s">
        <v>244</v>
      </c>
      <c r="G93" s="701" t="s">
        <v>808</v>
      </c>
      <c r="H93" s="701">
        <v>1</v>
      </c>
      <c r="I93" s="765" t="s">
        <v>13</v>
      </c>
      <c r="J93" s="701" t="s">
        <v>242</v>
      </c>
      <c r="K93" s="701" t="s">
        <v>363</v>
      </c>
      <c r="L93" s="701">
        <v>1</v>
      </c>
      <c r="M93" s="702">
        <v>1.5</v>
      </c>
      <c r="N93" s="701" t="s">
        <v>453</v>
      </c>
      <c r="O93" s="701">
        <v>4</v>
      </c>
      <c r="P93" s="555">
        <f t="shared" si="92"/>
        <v>16.5</v>
      </c>
      <c r="Q93" s="701">
        <v>3</v>
      </c>
      <c r="R93" s="701">
        <v>0.8</v>
      </c>
      <c r="S93" s="555">
        <f t="shared" si="95"/>
        <v>0.77173913043478259</v>
      </c>
      <c r="T93" s="712">
        <f t="shared" si="84"/>
        <v>13.200000000000001</v>
      </c>
      <c r="U93" s="701" t="s">
        <v>499</v>
      </c>
      <c r="V93" s="555">
        <v>10</v>
      </c>
      <c r="W93" s="701">
        <f>IF(U93="C.C.Fusíveis",VLOOKUP(V93,Consulta!$L$5:$N$31,3,FALSE),VLOOKUP(V93,Consulta!$P$5:$R$34,3,FALSE))</f>
        <v>13.5</v>
      </c>
      <c r="X93" s="713">
        <f t="shared" si="93"/>
        <v>24</v>
      </c>
      <c r="Y93" s="822">
        <f t="shared" si="85"/>
        <v>5.8465085638998673E-2</v>
      </c>
      <c r="Z93" s="706" t="str">
        <f t="shared" si="94"/>
        <v>Sim</v>
      </c>
      <c r="AA93" s="767">
        <f t="shared" si="96"/>
        <v>6.5243555363796182E-2</v>
      </c>
      <c r="AB93" s="767">
        <f t="shared" si="97"/>
        <v>0.24806249999999999</v>
      </c>
      <c r="AC93" s="767">
        <f t="shared" si="98"/>
        <v>0</v>
      </c>
      <c r="AD93" s="703">
        <f t="shared" si="104"/>
        <v>1.7498652207576615</v>
      </c>
      <c r="AE93" s="703">
        <f t="shared" si="99"/>
        <v>0.38287907608695648</v>
      </c>
      <c r="AF93" s="703">
        <f t="shared" si="100"/>
        <v>2.132744296844618</v>
      </c>
      <c r="AG93" s="704">
        <f t="shared" si="105"/>
        <v>1.6646916351606804E-3</v>
      </c>
      <c r="AH93" s="768">
        <f t="shared" si="105"/>
        <v>9.2728012906287734E-3</v>
      </c>
      <c r="AI93" s="703">
        <f t="shared" si="101"/>
        <v>0.73410646255443379</v>
      </c>
      <c r="AJ93" s="701">
        <v>3</v>
      </c>
      <c r="AK93" s="703">
        <v>0.1</v>
      </c>
      <c r="AL93" s="713">
        <f t="shared" si="89"/>
        <v>115</v>
      </c>
      <c r="AM93" s="703">
        <f t="shared" si="90"/>
        <v>2.0186508406270618</v>
      </c>
      <c r="AN93" s="706">
        <f t="shared" si="86"/>
        <v>1</v>
      </c>
      <c r="AO93" s="706" t="s">
        <v>563</v>
      </c>
      <c r="AP93" s="706" t="s">
        <v>523</v>
      </c>
      <c r="AQ93" s="706" t="str">
        <f t="shared" si="87"/>
        <v>3G</v>
      </c>
      <c r="AR93" s="706">
        <f t="shared" si="88"/>
        <v>1.5</v>
      </c>
      <c r="AS93" s="893" t="str">
        <f t="shared" si="91"/>
        <v/>
      </c>
      <c r="AT93" s="893" t="str">
        <f>IF(OR(AQ93="3G",AQ93="5G"),"",VLOOKUP(AR93,Consulta!$T$5:$U$25,2,FALSE))</f>
        <v/>
      </c>
      <c r="AU93" s="894" t="s">
        <v>565</v>
      </c>
      <c r="AV93" s="706" t="s">
        <v>23</v>
      </c>
      <c r="AW93" s="706" t="s">
        <v>564</v>
      </c>
      <c r="AX93" s="706">
        <f t="shared" si="103"/>
        <v>20</v>
      </c>
      <c r="AY93" s="707" t="s">
        <v>24</v>
      </c>
      <c r="AZ93" s="564"/>
      <c r="BA93" s="584">
        <f>IF(AND(J93="Cobre",F93="Monofásico"),VLOOKUP(M93,'Iz''s'!$B$8:$E$23,2,FALSE),IF(AND(J93="Cobre",F93="Trifásico"),VLOOKUP(M93,'Iz''s'!$L$8:$O$23,2,FALSE),IF(AND(J93="Alumínio",F93="Monofásico"),VLOOKUP(M93,'Iz''s'!$B$25:$E$39,2,FALSE),IF(AND(J93="Alumínio",F93="Trifásico"),VLOOKUP(M93,'Iz''s'!$L$25:$O$39,2,FALSE)))))</f>
        <v>14.5</v>
      </c>
      <c r="BB93" s="531">
        <f>IF(AND(J93="Cobre",F93="Monofásico"),VLOOKUP(M93,'Iz''s'!$CD$9:$CH$24,2,FALSE),IF(AND(J93="Cobre",F93="Trifásico"),VLOOKUP(M93,'Iz''s'!$CD$9:$CH$24,4,FALSE),IF(AND(J93="Alumínio",F93="Monofásico"),VLOOKUP(M93,'Iz''s'!$CD$26:$CH$40,2,FALSE),IF(AND(J93="Alumínio",F93="Trifásico"),VLOOKUP(M93,'Iz''s'!$CD$26:$CH$40,4,FALSE)))))</f>
        <v>14</v>
      </c>
      <c r="BC93" s="531">
        <f>IF(AND(J93="Cobre",F93="Monofásico"),VLOOKUP(M93,'Iz''s'!$B$8:$E$23,3,FALSE),IF(AND(J93="Cobre",F93="Trifásico"),VLOOKUP(M93,'Iz''s'!$L$8:$O$23,3,FALSE),IF(AND(J93="Alumínio",F93="Monofásico"),VLOOKUP(M93,'Iz''s'!$B$25:$E$39,3,FALSE),IF(AND(J93="Alumínio",F93="Trifásico"),VLOOKUP(M93,'Iz''s'!$L$25:$O$39,3,FALSE)))))</f>
        <v>17.5</v>
      </c>
      <c r="BD93" s="531">
        <f>IF(AND(J93="Cobre",F93="Monofásico"),VLOOKUP(M93,'Iz''s'!$CD$9:$CH$24,3,FALSE),IF(AND(J93="Cobre",F93="Trifásico"),VLOOKUP(M93,'Iz''s'!$CD$9:$CH$24,5,FALSE),IF(AND(J93="Alumínio",F93="Monofásico"),VLOOKUP(M93,'Iz''s'!$CD$26:$CH$40,3,FALSE),IF(AND(J93="Alumínio",F93="Trifásico"),VLOOKUP(M93,'Iz''s'!$CD$26:$CH$40,5,FALSE)))))</f>
        <v>16.5</v>
      </c>
      <c r="BE93" s="531">
        <f>IF(AND(J93="Cobre",F93="Monofásico"),VLOOKUP(M93,'Iz''s'!$B$8:$E$23,4,FALSE),IF(AND(J93="Cobre",F93="Trifásico"),VLOOKUP(M93,'Iz''s'!$L$8:$O$23,4,FALSE),IF(AND(J93="Alumínio",F93="Monofásico"),VLOOKUP(M93,'Iz''s'!$B$25:$E$39,4,FALSE),IF(AND(J93="Alumínio",F93="Trifásico"),VLOOKUP(M93,'Iz''s'!$L$25:$O$39,4,FALSE)))))</f>
        <v>19.5</v>
      </c>
      <c r="BF93" s="531">
        <f>IF(AND(J93="Cobre",F93="Monofásico"),VLOOKUP(M93,'Iz''s'!$CP$9:$CT$24,3,FALSE),IF(AND(J93="Cobre",F93="Trifásico"),VLOOKUP(M93,'Iz''s'!$CP$9:$CT$24,2,FALSE),IF(AND(J93="Alumínio",F93="Monofásico"),VLOOKUP(M93,'Iz''s'!$CP$26:$CT$37,3,FALSE),IF(AND(J93="Alumínio",F93="Trifásico"),VLOOKUP(M93,'Iz''s'!$CP$26:$CT$37,2,FALSE)))))</f>
        <v>32</v>
      </c>
      <c r="BG93" s="531">
        <f>IF(AND(J93="Cobre",F93="Monofásico"),VLOOKUP(M93,'Iz''s'!$AT$10:$BA$28,2,FALSE),IF(AND(J93="Cobre",F93="Trifásico"),VLOOKUP(M93,'Iz''s'!$AT$10:$BA$28,3,FALSE),IF(AND(J93="Alumínio",F93="Monofásico"),VLOOKUP(M93,'Iz''s'!$BC$10:$BJ$27,2,FALSE),IF(AND(J93="Alumínio",F93="Trifásico"),VLOOKUP(M93,'Iz''s'!$BC$10:$BJ$27,3,FALSE)))))</f>
        <v>22</v>
      </c>
      <c r="BH93" s="609" t="str">
        <f>IF(AND(J93="Cobre",F93="Monofásico"),VLOOKUP(M93,'Iz''s'!$AT$10:$BA$28,4,FALSE),IF(AND(J93="Cobre",F93="Trifásico"),VLOOKUP(M93,'Iz''s'!$AT$10:$BA$28,5,FALSE),IF(AND(J93="Alumínio",F93="Monofásico"),VLOOKUP(M93,'Iz''s'!$BC$10:$BJ$27,4,FALSE),IF(AND(J93="Alumínio",F93="Trifásico"),VLOOKUP(M93,'Iz''s'!$BC$10:$BJ$27,5,FALSE)))))</f>
        <v xml:space="preserve"> --- </v>
      </c>
      <c r="BI93" s="609" t="str">
        <f>IF(AND(J93="Cobre",F93="Monofásico"),"N/A",IF(AND(J93="Cobre",F93="Trifásico"),VLOOKUP(M93,'Iz''s'!$AT$10:$BA$28,8,FALSE),IF(AND(J93="Alumínio",F93="Monofásico"),"N/A",IF(AND(J93="Alumínio",F93="Trifásico"),VLOOKUP(M93,'Iz''s'!$BC$10:$BJ$27,8,FALSE)))))</f>
        <v>N/A</v>
      </c>
      <c r="BJ93" s="531">
        <f>IF(AND(J93="Cobre",F93="Monofásico"),VLOOKUP(M93,'Iz''s'!$G$8:$J$23,2,FALSE),IF(AND(J93="Cobre",F93="Trifásico"),VLOOKUP(M93,'Iz''s'!$Q$8:$T$23,2,FALSE),IF(AND(J93="Alumínio",F93="Monofásico"),VLOOKUP(M93,'Iz''s'!$G$25:$J$39,2,FALSE),IF(AND(J93="Alumínio",F93="Trifásico"),VLOOKUP(M93,'Iz''s'!$Q$25:$T$39,2,FALSE)))))</f>
        <v>19</v>
      </c>
      <c r="BK93" s="609">
        <f>IF(AND(J93="Cobre",F93="Monofásico"),VLOOKUP(M93,'Iz''s'!$CJ$9:$CN$24,2,FALSE),IF(AND(J93="Cobre",F93="Trifásico"),VLOOKUP(M93,'Iz''s'!$CJ$9:$CN$24,4,FALSE),IF(AND(J93="Alumínio",F93="Monofásico"),VLOOKUP(M93,'Iz''s'!$CJ$26:$CN$40,2,FALSE),IF(AND(J93="Alumínio",F93="Trifásico"),VLOOKUP(M93,'Iz''s'!$CJ$26:$CN$40,4,FALSE)))))</f>
        <v>18.5</v>
      </c>
      <c r="BL93" s="609">
        <f>IF(AND(J93="Cobre",F93="Monofásico"),VLOOKUP(M93,'Iz''s'!$G$8:$J$23,3,FALSE),IF(AND(J93="Cobre",F93="Trifásico"),VLOOKUP(M93,'Iz''s'!$Q$8:$T$23,3,FALSE),IF(AND(J93="Alumínio",F93="Monofásico"),VLOOKUP(M93,'Iz''s'!$G$25:$J$39,3,FALSE),IF(AND(J93="Alumínio",F93="Trifásico"),VLOOKUP(M93,'Iz''s'!$Q$25:$T$39,3,FALSE)))))</f>
        <v>23</v>
      </c>
      <c r="BM93" s="609">
        <f>IF(AND(J93="Cobre",F93="Monofásico"),VLOOKUP(M93,'Iz''s'!$CJ$9:$CN$24,3,FALSE),IF(AND(J93="Cobre",F93="Trifásico"),VLOOKUP(M93,'Iz''s'!$CJ$9:$CN$24,5,FALSE),IF(AND(J93="Alumínio",F93="Monofásico"),VLOOKUP(M93,'Iz''s'!$CJ$26:$CN$40,3,FALSE),IF(AND(J93="Alumínio",F93="Trifásico"),VLOOKUP(M93,'Iz''s'!$CJ$26:$CN$40,5,FALSE)))))</f>
        <v>22</v>
      </c>
      <c r="BN93" s="609">
        <f>IF(AND(J93="Cobre",F93="Monofásico"),VLOOKUP(M93,'Iz''s'!$G$8:$J$23,4,FALSE),IF(AND(J93="Cobre",F93="Trifásico"),VLOOKUP(M93,'Iz''s'!$Q$8:$T$23,4,FALSE),IF(AND(J93="Alumínio",F93="Monofásico"),VLOOKUP(M93,'Iz''s'!$G$25:$J$39,4,FALSE),IF(AND(J93="Alumínio",F93="Trifásico"),VLOOKUP(M93,'Iz''s'!$Q$25:$T$39,4,FALSE)))))</f>
        <v>24</v>
      </c>
      <c r="BO93" s="609">
        <f>IF(AND(J93="Cobre",F93="Monofásico"),VLOOKUP(M93,'Iz''s'!$CP$9:$CT$24,5,FALSE),IF(AND(J93="Cobre",F93="Trifásico"),VLOOKUP(M93,'Iz''s'!$CP$9:$CT$24,4,FALSE),IF(AND(J93="Alumínio",F93="Monofásico"),VLOOKUP(M93,'Iz''s'!$CP$26:$CT$37,5,FALSE),IF(AND(J93="Alumínio",F93="Trifásico"),VLOOKUP(M93,'Iz''s'!$CP$26:$CT$37,4,FALSE)))))</f>
        <v>37</v>
      </c>
      <c r="BP93" s="609">
        <f>IF(AND(J93="Cobre",F93="Monofásico"),VLOOKUP(M93,'Iz''s'!$BL$10:$BS$28,2,FALSE),IF(AND(J93="Cobre",F93="Trifásico"),VLOOKUP(M93,'Iz''s'!$BL$10:$BS$28,3,FALSE),IF(AND(J93="Alumínio",F93="Monofásico"),VLOOKUP(M93,'Iz''s'!$BU$10:$CB$27,2,FALSE),IF(AND(J93="Alumínio",F93="Trifásico"),VLOOKUP(M93,'Iz''s'!$BU$10:$CB$27,3,FALSE)))))</f>
        <v>26</v>
      </c>
      <c r="BQ93" s="531" t="str">
        <f>IF(AND(J93="Cobre",F93="Monofásico"),VLOOKUP(M93,'Iz''s'!$BL$10:$BS$28,4,FALSE),IF(AND(J93="Cobre",F93="Trifásico"),VLOOKUP(M93,'Iz''s'!$BL$10:$BS$28,5,FALSE),IF(AND(J93="Alumínio",F93="Monofásico"),VLOOKUP(M93,'Iz''s'!$BU$10:$CB$27,4,FALSE),IF(AND(J93="Alumínio",F93="Trifásico"),VLOOKUP(M93,'Iz''s'!$BU$10:$CB$27,5,FALSE)))))</f>
        <v xml:space="preserve"> --- </v>
      </c>
      <c r="BR93" s="609" t="str">
        <f>IF(AND(J93="Cobre",F93="Monofásico"),"N/A",IF(AND(J93="Cobre",F93="Trifásico"),VLOOKUP(M93,'Iz''s'!$BL$10:$BS$28,8,FALSE),IF(AND(J93="Alumínio",F93="Monofásico"),"N/A",IF(AND(J93="Alumínio",F93="Trifásico"),VLOOKUP(M93,'Iz''s'!$BU$10:$CB$27,8,FALSE)))))</f>
        <v>N/A</v>
      </c>
      <c r="BS93" s="609">
        <f>IF(AND(J93="Cobre",F93="Monofásico"),VLOOKUP(M93,'Iz''s'!$V$14:$Y$28,2,FALSE),IF(AND(J93="Cobre",F93="Trifásico"),VLOOKUP(M93,'Iz''s'!$V$14:$Y$28,3,FALSE),IF(AND(J93="Alumínio",F93="Monofásico"),VLOOKUP(M93,"N/A",4,FALSE),IF(AND(J93="Alumínio",F93="Trifásico"),VLOOKUP(M93,"N/A",4,FALSE)))))</f>
        <v>25</v>
      </c>
      <c r="BT93" s="609">
        <f>IF(AND(J93="Cobre",F93="Monofásico"),VLOOKUP(M93,'Iz''s'!$AF$15:$AK$29,2,FALSE),IF(AND(J93="Cobre",F93="Trifásico"),VLOOKUP(M93,'Iz''s'!$AF$15:$AK$29,3,FALSE),IF(AND(J93="Alumínio",F93="Monofásico"),"N/A",IF(AND(J93="Alumínio",F93="Trifásico"),"N/A"))))</f>
        <v>26</v>
      </c>
      <c r="BU93" s="609">
        <f>IF(AND(J93="Cobre",F93="Monofásico"),VLOOKUP(M93,'Iz''s'!$AF$15:$AK$29,2,FALSE),IF(AND(J93="Cobre",F93="Trifásico"),VLOOKUP(M93,'Iz''s'!$AF$15:$AK$29,3,FALSE),IF(AND(J93="Alumínio",F93="Monofásico"),"N/A",IF(AND(J93="Alumínio",F93="Trifásico"),"N/A"))))</f>
        <v>26</v>
      </c>
      <c r="BV93" s="610" t="str">
        <f>IF(AND(J93="Cobre",F93="Monofásico"),"N/A",IF(AND(J93="Cobre",F93="Trifásico"),VLOOKUP(M93,'Iz''s'!$AF$15:$AK$29,6,FALSE),IF(AND(J93="Alumínio",F93="Monofásico"),"N/A",IF(AND(J93="Alumínio",F93="Trifásico"),"N/A"))))</f>
        <v>N/A</v>
      </c>
      <c r="BW93" s="611">
        <v>91</v>
      </c>
      <c r="BX93" s="565"/>
      <c r="BY93" s="612">
        <f>VLOOKUP(M93,Consulta!$W$6:$AB$23,4,FALSE)</f>
        <v>16</v>
      </c>
      <c r="BZ93" s="612">
        <f>VLOOKUP(M93,Consulta!$W$6:$AB$23,6,FALSE)</f>
        <v>20</v>
      </c>
      <c r="CA93" s="612">
        <f>VLOOKUP(M93,Consulta!$AK$6:$AP$23,4,FALSE)</f>
        <v>20</v>
      </c>
      <c r="CB93" s="612">
        <f>VLOOKUP(M93,Consulta!$AK$6:$AP$23,6,FALSE)</f>
        <v>20</v>
      </c>
      <c r="CC93" s="585" t="e">
        <f>VLOOKUP(M93,Consulta!$AD$6:$AI$19,4,FALSE)</f>
        <v>#N/A</v>
      </c>
      <c r="CD93" s="585" t="e">
        <f>VLOOKUP(M93,Consulta!$AD$6:$AI$19,6,FALSE)</f>
        <v>#N/A</v>
      </c>
      <c r="CE93" s="585" t="e">
        <f>VLOOKUP(M93,Consulta!$AR$6:$AW$19,4,FALSE)</f>
        <v>#N/A</v>
      </c>
      <c r="CF93" s="586" t="e">
        <f>VLOOKUP(M93,Consulta!$AR$6:$AW$19,6,FALSE)</f>
        <v>#N/A</v>
      </c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</row>
    <row r="94" spans="1:212" s="532" customFormat="1" ht="16.5" customHeight="1" x14ac:dyDescent="0.2">
      <c r="A94" s="571"/>
      <c r="B94" s="1115"/>
      <c r="C94" s="820" t="s">
        <v>854</v>
      </c>
      <c r="D94" s="701">
        <f>6*35.5/1000</f>
        <v>0.21299999999999999</v>
      </c>
      <c r="E94" s="701">
        <f>9.72+0.3+3.7+0.6+1+3.9+2.45+3.9</f>
        <v>25.57</v>
      </c>
      <c r="F94" s="701" t="s">
        <v>244</v>
      </c>
      <c r="G94" s="701" t="s">
        <v>808</v>
      </c>
      <c r="H94" s="701">
        <v>1</v>
      </c>
      <c r="I94" s="765" t="s">
        <v>13</v>
      </c>
      <c r="J94" s="701" t="s">
        <v>242</v>
      </c>
      <c r="K94" s="701" t="s">
        <v>363</v>
      </c>
      <c r="L94" s="701">
        <v>1</v>
      </c>
      <c r="M94" s="702">
        <v>1.5</v>
      </c>
      <c r="N94" s="701" t="s">
        <v>453</v>
      </c>
      <c r="O94" s="701">
        <v>4</v>
      </c>
      <c r="P94" s="555">
        <f t="shared" si="92"/>
        <v>16.5</v>
      </c>
      <c r="Q94" s="701">
        <v>3</v>
      </c>
      <c r="R94" s="701">
        <v>0.6</v>
      </c>
      <c r="S94" s="555">
        <f t="shared" si="95"/>
        <v>0.92608695652173911</v>
      </c>
      <c r="T94" s="712">
        <f t="shared" si="84"/>
        <v>9.9</v>
      </c>
      <c r="U94" s="701" t="s">
        <v>499</v>
      </c>
      <c r="V94" s="555">
        <v>10</v>
      </c>
      <c r="W94" s="701">
        <f>IF(U94="C.C.Fusíveis",VLOOKUP(V94,Consulta!$L$5:$N$31,3,FALSE),VLOOKUP(V94,Consulta!$P$5:$R$34,3,FALSE))</f>
        <v>13.5</v>
      </c>
      <c r="X94" s="713">
        <f t="shared" si="93"/>
        <v>24</v>
      </c>
      <c r="Y94" s="822">
        <f t="shared" si="85"/>
        <v>9.3544137022397889E-2</v>
      </c>
      <c r="Z94" s="706" t="str">
        <f t="shared" si="94"/>
        <v>Sim</v>
      </c>
      <c r="AA94" s="767">
        <f t="shared" si="96"/>
        <v>6.5243555363796182E-2</v>
      </c>
      <c r="AB94" s="767">
        <f t="shared" si="97"/>
        <v>0.47943749999999996</v>
      </c>
      <c r="AC94" s="767">
        <f t="shared" si="98"/>
        <v>0</v>
      </c>
      <c r="AD94" s="703">
        <f t="shared" si="104"/>
        <v>1.7498652207576615</v>
      </c>
      <c r="AE94" s="703">
        <f t="shared" si="99"/>
        <v>0.88800163043478253</v>
      </c>
      <c r="AF94" s="703">
        <f t="shared" si="100"/>
        <v>2.6378668511924439</v>
      </c>
      <c r="AG94" s="704">
        <f t="shared" si="105"/>
        <v>3.860876654064272E-3</v>
      </c>
      <c r="AH94" s="768">
        <f t="shared" si="105"/>
        <v>1.1468986309532365E-2</v>
      </c>
      <c r="AI94" s="703">
        <f t="shared" si="101"/>
        <v>0.42226546661583714</v>
      </c>
      <c r="AJ94" s="701">
        <v>3</v>
      </c>
      <c r="AK94" s="703">
        <v>0.1</v>
      </c>
      <c r="AL94" s="713">
        <f t="shared" si="89"/>
        <v>115</v>
      </c>
      <c r="AM94" s="703">
        <f t="shared" si="90"/>
        <v>1.1611483928172506</v>
      </c>
      <c r="AN94" s="706">
        <f t="shared" si="86"/>
        <v>1</v>
      </c>
      <c r="AO94" s="706" t="s">
        <v>563</v>
      </c>
      <c r="AP94" s="706" t="s">
        <v>523</v>
      </c>
      <c r="AQ94" s="706" t="str">
        <f t="shared" si="87"/>
        <v>3G</v>
      </c>
      <c r="AR94" s="706">
        <f t="shared" si="88"/>
        <v>1.5</v>
      </c>
      <c r="AS94" s="893" t="str">
        <f t="shared" si="91"/>
        <v/>
      </c>
      <c r="AT94" s="893" t="str">
        <f>IF(OR(AQ94="3G",AQ94="5G"),"",VLOOKUP(AR94,Consulta!$T$5:$U$25,2,FALSE))</f>
        <v/>
      </c>
      <c r="AU94" s="894" t="s">
        <v>565</v>
      </c>
      <c r="AV94" s="706" t="s">
        <v>23</v>
      </c>
      <c r="AW94" s="706" t="s">
        <v>564</v>
      </c>
      <c r="AX94" s="706">
        <f t="shared" si="103"/>
        <v>20</v>
      </c>
      <c r="AY94" s="707" t="s">
        <v>24</v>
      </c>
      <c r="AZ94" s="564"/>
      <c r="BA94" s="584">
        <f>IF(AND(J94="Cobre",F94="Monofásico"),VLOOKUP(M94,'Iz''s'!$B$8:$E$23,2,FALSE),IF(AND(J94="Cobre",F94="Trifásico"),VLOOKUP(M94,'Iz''s'!$L$8:$O$23,2,FALSE),IF(AND(J94="Alumínio",F94="Monofásico"),VLOOKUP(M94,'Iz''s'!$B$25:$E$39,2,FALSE),IF(AND(J94="Alumínio",F94="Trifásico"),VLOOKUP(M94,'Iz''s'!$L$25:$O$39,2,FALSE)))))</f>
        <v>14.5</v>
      </c>
      <c r="BB94" s="531">
        <f>IF(AND(J94="Cobre",F94="Monofásico"),VLOOKUP(M94,'Iz''s'!$CD$9:$CH$24,2,FALSE),IF(AND(J94="Cobre",F94="Trifásico"),VLOOKUP(M94,'Iz''s'!$CD$9:$CH$24,4,FALSE),IF(AND(J94="Alumínio",F94="Monofásico"),VLOOKUP(M94,'Iz''s'!$CD$26:$CH$40,2,FALSE),IF(AND(J94="Alumínio",F94="Trifásico"),VLOOKUP(M94,'Iz''s'!$CD$26:$CH$40,4,FALSE)))))</f>
        <v>14</v>
      </c>
      <c r="BC94" s="531">
        <f>IF(AND(J94="Cobre",F94="Monofásico"),VLOOKUP(M94,'Iz''s'!$B$8:$E$23,3,FALSE),IF(AND(J94="Cobre",F94="Trifásico"),VLOOKUP(M94,'Iz''s'!$L$8:$O$23,3,FALSE),IF(AND(J94="Alumínio",F94="Monofásico"),VLOOKUP(M94,'Iz''s'!$B$25:$E$39,3,FALSE),IF(AND(J94="Alumínio",F94="Trifásico"),VLOOKUP(M94,'Iz''s'!$L$25:$O$39,3,FALSE)))))</f>
        <v>17.5</v>
      </c>
      <c r="BD94" s="531">
        <f>IF(AND(J94="Cobre",F94="Monofásico"),VLOOKUP(M94,'Iz''s'!$CD$9:$CH$24,3,FALSE),IF(AND(J94="Cobre",F94="Trifásico"),VLOOKUP(M94,'Iz''s'!$CD$9:$CH$24,5,FALSE),IF(AND(J94="Alumínio",F94="Monofásico"),VLOOKUP(M94,'Iz''s'!$CD$26:$CH$40,3,FALSE),IF(AND(J94="Alumínio",F94="Trifásico"),VLOOKUP(M94,'Iz''s'!$CD$26:$CH$40,5,FALSE)))))</f>
        <v>16.5</v>
      </c>
      <c r="BE94" s="531">
        <f>IF(AND(J94="Cobre",F94="Monofásico"),VLOOKUP(M94,'Iz''s'!$B$8:$E$23,4,FALSE),IF(AND(J94="Cobre",F94="Trifásico"),VLOOKUP(M94,'Iz''s'!$L$8:$O$23,4,FALSE),IF(AND(J94="Alumínio",F94="Monofásico"),VLOOKUP(M94,'Iz''s'!$B$25:$E$39,4,FALSE),IF(AND(J94="Alumínio",F94="Trifásico"),VLOOKUP(M94,'Iz''s'!$L$25:$O$39,4,FALSE)))))</f>
        <v>19.5</v>
      </c>
      <c r="BF94" s="531">
        <f>IF(AND(J94="Cobre",F94="Monofásico"),VLOOKUP(M94,'Iz''s'!$CP$9:$CT$24,3,FALSE),IF(AND(J94="Cobre",F94="Trifásico"),VLOOKUP(M94,'Iz''s'!$CP$9:$CT$24,2,FALSE),IF(AND(J94="Alumínio",F94="Monofásico"),VLOOKUP(M94,'Iz''s'!$CP$26:$CT$37,3,FALSE),IF(AND(J94="Alumínio",F94="Trifásico"),VLOOKUP(M94,'Iz''s'!$CP$26:$CT$37,2,FALSE)))))</f>
        <v>32</v>
      </c>
      <c r="BG94" s="531">
        <f>IF(AND(J94="Cobre",F94="Monofásico"),VLOOKUP(M94,'Iz''s'!$AT$10:$BA$28,2,FALSE),IF(AND(J94="Cobre",F94="Trifásico"),VLOOKUP(M94,'Iz''s'!$AT$10:$BA$28,3,FALSE),IF(AND(J94="Alumínio",F94="Monofásico"),VLOOKUP(M94,'Iz''s'!$BC$10:$BJ$27,2,FALSE),IF(AND(J94="Alumínio",F94="Trifásico"),VLOOKUP(M94,'Iz''s'!$BC$10:$BJ$27,3,FALSE)))))</f>
        <v>22</v>
      </c>
      <c r="BH94" s="609" t="str">
        <f>IF(AND(J94="Cobre",F94="Monofásico"),VLOOKUP(M94,'Iz''s'!$AT$10:$BA$28,4,FALSE),IF(AND(J94="Cobre",F94="Trifásico"),VLOOKUP(M94,'Iz''s'!$AT$10:$BA$28,5,FALSE),IF(AND(J94="Alumínio",F94="Monofásico"),VLOOKUP(M94,'Iz''s'!$BC$10:$BJ$27,4,FALSE),IF(AND(J94="Alumínio",F94="Trifásico"),VLOOKUP(M94,'Iz''s'!$BC$10:$BJ$27,5,FALSE)))))</f>
        <v xml:space="preserve"> --- </v>
      </c>
      <c r="BI94" s="609" t="str">
        <f>IF(AND(J94="Cobre",F94="Monofásico"),"N/A",IF(AND(J94="Cobre",F94="Trifásico"),VLOOKUP(M94,'Iz''s'!$AT$10:$BA$28,8,FALSE),IF(AND(J94="Alumínio",F94="Monofásico"),"N/A",IF(AND(J94="Alumínio",F94="Trifásico"),VLOOKUP(M94,'Iz''s'!$BC$10:$BJ$27,8,FALSE)))))</f>
        <v>N/A</v>
      </c>
      <c r="BJ94" s="531">
        <f>IF(AND(J94="Cobre",F94="Monofásico"),VLOOKUP(M94,'Iz''s'!$G$8:$J$23,2,FALSE),IF(AND(J94="Cobre",F94="Trifásico"),VLOOKUP(M94,'Iz''s'!$Q$8:$T$23,2,FALSE),IF(AND(J94="Alumínio",F94="Monofásico"),VLOOKUP(M94,'Iz''s'!$G$25:$J$39,2,FALSE),IF(AND(J94="Alumínio",F94="Trifásico"),VLOOKUP(M94,'Iz''s'!$Q$25:$T$39,2,FALSE)))))</f>
        <v>19</v>
      </c>
      <c r="BK94" s="609">
        <f>IF(AND(J94="Cobre",F94="Monofásico"),VLOOKUP(M94,'Iz''s'!$CJ$9:$CN$24,2,FALSE),IF(AND(J94="Cobre",F94="Trifásico"),VLOOKUP(M94,'Iz''s'!$CJ$9:$CN$24,4,FALSE),IF(AND(J94="Alumínio",F94="Monofásico"),VLOOKUP(M94,'Iz''s'!$CJ$26:$CN$40,2,FALSE),IF(AND(J94="Alumínio",F94="Trifásico"),VLOOKUP(M94,'Iz''s'!$CJ$26:$CN$40,4,FALSE)))))</f>
        <v>18.5</v>
      </c>
      <c r="BL94" s="609">
        <f>IF(AND(J94="Cobre",F94="Monofásico"),VLOOKUP(M94,'Iz''s'!$G$8:$J$23,3,FALSE),IF(AND(J94="Cobre",F94="Trifásico"),VLOOKUP(M94,'Iz''s'!$Q$8:$T$23,3,FALSE),IF(AND(J94="Alumínio",F94="Monofásico"),VLOOKUP(M94,'Iz''s'!$G$25:$J$39,3,FALSE),IF(AND(J94="Alumínio",F94="Trifásico"),VLOOKUP(M94,'Iz''s'!$Q$25:$T$39,3,FALSE)))))</f>
        <v>23</v>
      </c>
      <c r="BM94" s="609">
        <f>IF(AND(J94="Cobre",F94="Monofásico"),VLOOKUP(M94,'Iz''s'!$CJ$9:$CN$24,3,FALSE),IF(AND(J94="Cobre",F94="Trifásico"),VLOOKUP(M94,'Iz''s'!$CJ$9:$CN$24,5,FALSE),IF(AND(J94="Alumínio",F94="Monofásico"),VLOOKUP(M94,'Iz''s'!$CJ$26:$CN$40,3,FALSE),IF(AND(J94="Alumínio",F94="Trifásico"),VLOOKUP(M94,'Iz''s'!$CJ$26:$CN$40,5,FALSE)))))</f>
        <v>22</v>
      </c>
      <c r="BN94" s="609">
        <f>IF(AND(J94="Cobre",F94="Monofásico"),VLOOKUP(M94,'Iz''s'!$G$8:$J$23,4,FALSE),IF(AND(J94="Cobre",F94="Trifásico"),VLOOKUP(M94,'Iz''s'!$Q$8:$T$23,4,FALSE),IF(AND(J94="Alumínio",F94="Monofásico"),VLOOKUP(M94,'Iz''s'!$G$25:$J$39,4,FALSE),IF(AND(J94="Alumínio",F94="Trifásico"),VLOOKUP(M94,'Iz''s'!$Q$25:$T$39,4,FALSE)))))</f>
        <v>24</v>
      </c>
      <c r="BO94" s="609">
        <f>IF(AND(J94="Cobre",F94="Monofásico"),VLOOKUP(M94,'Iz''s'!$CP$9:$CT$24,5,FALSE),IF(AND(J94="Cobre",F94="Trifásico"),VLOOKUP(M94,'Iz''s'!$CP$9:$CT$24,4,FALSE),IF(AND(J94="Alumínio",F94="Monofásico"),VLOOKUP(M94,'Iz''s'!$CP$26:$CT$37,5,FALSE),IF(AND(J94="Alumínio",F94="Trifásico"),VLOOKUP(M94,'Iz''s'!$CP$26:$CT$37,4,FALSE)))))</f>
        <v>37</v>
      </c>
      <c r="BP94" s="609">
        <f>IF(AND(J94="Cobre",F94="Monofásico"),VLOOKUP(M94,'Iz''s'!$BL$10:$BS$28,2,FALSE),IF(AND(J94="Cobre",F94="Trifásico"),VLOOKUP(M94,'Iz''s'!$BL$10:$BS$28,3,FALSE),IF(AND(J94="Alumínio",F94="Monofásico"),VLOOKUP(M94,'Iz''s'!$BU$10:$CB$27,2,FALSE),IF(AND(J94="Alumínio",F94="Trifásico"),VLOOKUP(M94,'Iz''s'!$BU$10:$CB$27,3,FALSE)))))</f>
        <v>26</v>
      </c>
      <c r="BQ94" s="531" t="str">
        <f>IF(AND(J94="Cobre",F94="Monofásico"),VLOOKUP(M94,'Iz''s'!$BL$10:$BS$28,4,FALSE),IF(AND(J94="Cobre",F94="Trifásico"),VLOOKUP(M94,'Iz''s'!$BL$10:$BS$28,5,FALSE),IF(AND(J94="Alumínio",F94="Monofásico"),VLOOKUP(M94,'Iz''s'!$BU$10:$CB$27,4,FALSE),IF(AND(J94="Alumínio",F94="Trifásico"),VLOOKUP(M94,'Iz''s'!$BU$10:$CB$27,5,FALSE)))))</f>
        <v xml:space="preserve"> --- </v>
      </c>
      <c r="BR94" s="609" t="str">
        <f>IF(AND(J94="Cobre",F94="Monofásico"),"N/A",IF(AND(J94="Cobre",F94="Trifásico"),VLOOKUP(M94,'Iz''s'!$BL$10:$BS$28,8,FALSE),IF(AND(J94="Alumínio",F94="Monofásico"),"N/A",IF(AND(J94="Alumínio",F94="Trifásico"),VLOOKUP(M94,'Iz''s'!$BU$10:$CB$27,8,FALSE)))))</f>
        <v>N/A</v>
      </c>
      <c r="BS94" s="609">
        <f>IF(AND(J94="Cobre",F94="Monofásico"),VLOOKUP(M94,'Iz''s'!$V$14:$Y$28,2,FALSE),IF(AND(J94="Cobre",F94="Trifásico"),VLOOKUP(M94,'Iz''s'!$V$14:$Y$28,3,FALSE),IF(AND(J94="Alumínio",F94="Monofásico"),VLOOKUP(M94,"N/A",4,FALSE),IF(AND(J94="Alumínio",F94="Trifásico"),VLOOKUP(M94,"N/A",4,FALSE)))))</f>
        <v>25</v>
      </c>
      <c r="BT94" s="609">
        <f>IF(AND(J94="Cobre",F94="Monofásico"),VLOOKUP(M94,'Iz''s'!$AF$15:$AK$29,2,FALSE),IF(AND(J94="Cobre",F94="Trifásico"),VLOOKUP(M94,'Iz''s'!$AF$15:$AK$29,3,FALSE),IF(AND(J94="Alumínio",F94="Monofásico"),"N/A",IF(AND(J94="Alumínio",F94="Trifásico"),"N/A"))))</f>
        <v>26</v>
      </c>
      <c r="BU94" s="609">
        <f>IF(AND(J94="Cobre",F94="Monofásico"),VLOOKUP(M94,'Iz''s'!$AF$15:$AK$29,2,FALSE),IF(AND(J94="Cobre",F94="Trifásico"),VLOOKUP(M94,'Iz''s'!$AF$15:$AK$29,3,FALSE),IF(AND(J94="Alumínio",F94="Monofásico"),"N/A",IF(AND(J94="Alumínio",F94="Trifásico"),"N/A"))))</f>
        <v>26</v>
      </c>
      <c r="BV94" s="610" t="str">
        <f>IF(AND(J94="Cobre",F94="Monofásico"),"N/A",IF(AND(J94="Cobre",F94="Trifásico"),VLOOKUP(M94,'Iz''s'!$AF$15:$AK$29,6,FALSE),IF(AND(J94="Alumínio",F94="Monofásico"),"N/A",IF(AND(J94="Alumínio",F94="Trifásico"),"N/A"))))</f>
        <v>N/A</v>
      </c>
      <c r="BW94" s="611">
        <v>92</v>
      </c>
      <c r="BX94" s="565"/>
      <c r="BY94" s="612">
        <f>VLOOKUP(M94,Consulta!$W$6:$AB$23,4,FALSE)</f>
        <v>16</v>
      </c>
      <c r="BZ94" s="612">
        <f>VLOOKUP(M94,Consulta!$W$6:$AB$23,6,FALSE)</f>
        <v>20</v>
      </c>
      <c r="CA94" s="612">
        <f>VLOOKUP(M94,Consulta!$AK$6:$AP$23,4,FALSE)</f>
        <v>20</v>
      </c>
      <c r="CB94" s="612">
        <f>VLOOKUP(M94,Consulta!$AK$6:$AP$23,6,FALSE)</f>
        <v>20</v>
      </c>
      <c r="CC94" s="585" t="e">
        <f>VLOOKUP(M94,Consulta!$AD$6:$AI$19,4,FALSE)</f>
        <v>#N/A</v>
      </c>
      <c r="CD94" s="585" t="e">
        <f>VLOOKUP(M94,Consulta!$AD$6:$AI$19,6,FALSE)</f>
        <v>#N/A</v>
      </c>
      <c r="CE94" s="585" t="e">
        <f>VLOOKUP(M94,Consulta!$AR$6:$AW$19,4,FALSE)</f>
        <v>#N/A</v>
      </c>
      <c r="CF94" s="586" t="e">
        <f>VLOOKUP(M94,Consulta!$AR$6:$AW$19,6,FALSE)</f>
        <v>#N/A</v>
      </c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</row>
    <row r="95" spans="1:212" s="532" customFormat="1" ht="16.5" customHeight="1" x14ac:dyDescent="0.2">
      <c r="A95" s="571"/>
      <c r="B95" s="1115"/>
      <c r="C95" s="820" t="s">
        <v>855</v>
      </c>
      <c r="D95" s="701">
        <f>12*35.5/1000</f>
        <v>0.42599999999999999</v>
      </c>
      <c r="E95" s="701">
        <f>9.74+4.92+3.85+0.3+0.38+1.55+1.31+6.9+3.73+0.83+4.37</f>
        <v>37.879999999999995</v>
      </c>
      <c r="F95" s="701" t="s">
        <v>244</v>
      </c>
      <c r="G95" s="701" t="s">
        <v>808</v>
      </c>
      <c r="H95" s="701">
        <v>1</v>
      </c>
      <c r="I95" s="765" t="s">
        <v>13</v>
      </c>
      <c r="J95" s="701" t="s">
        <v>242</v>
      </c>
      <c r="K95" s="701" t="s">
        <v>363</v>
      </c>
      <c r="L95" s="701">
        <v>1</v>
      </c>
      <c r="M95" s="702">
        <v>1.5</v>
      </c>
      <c r="N95" s="701" t="s">
        <v>453</v>
      </c>
      <c r="O95" s="701">
        <v>4</v>
      </c>
      <c r="P95" s="555">
        <f t="shared" ref="P95" si="107">IF(K95="PVC",HLOOKUP(N95,$BA$3:$BI$104,BW95,FALSE),IF(OR(K95="XLPE",K95="EPR"),HLOOKUP(N95,$BJ$3:$BR$104,BW95,FALSE),IF(K95="Mineral",HLOOKUP(N95,$BS$3:$BV$104,BW95,FALSE),"N/A")))*L95</f>
        <v>16.5</v>
      </c>
      <c r="Q95" s="701">
        <v>3</v>
      </c>
      <c r="R95" s="701">
        <v>0.6</v>
      </c>
      <c r="S95" s="555">
        <f t="shared" si="95"/>
        <v>1.8521739130434782</v>
      </c>
      <c r="T95" s="712">
        <f t="shared" si="84"/>
        <v>9.9</v>
      </c>
      <c r="U95" s="701" t="s">
        <v>499</v>
      </c>
      <c r="V95" s="555">
        <v>10</v>
      </c>
      <c r="W95" s="701">
        <f>IF(U95="C.C.Fusíveis",VLOOKUP(V95,Consulta!$L$5:$N$31,3,FALSE),VLOOKUP(V95,Consulta!$P$5:$R$34,3,FALSE))</f>
        <v>13.5</v>
      </c>
      <c r="X95" s="713">
        <f t="shared" si="93"/>
        <v>24</v>
      </c>
      <c r="Y95" s="822">
        <f t="shared" si="85"/>
        <v>0.18708827404479578</v>
      </c>
      <c r="Z95" s="706" t="str">
        <f t="shared" si="94"/>
        <v>Sim</v>
      </c>
      <c r="AA95" s="767">
        <f t="shared" si="96"/>
        <v>6.5243555363796182E-2</v>
      </c>
      <c r="AB95" s="767">
        <f t="shared" si="97"/>
        <v>0.71024999999999983</v>
      </c>
      <c r="AC95" s="767">
        <f t="shared" si="98"/>
        <v>0</v>
      </c>
      <c r="AD95" s="703">
        <f t="shared" si="104"/>
        <v>1.7498652207576615</v>
      </c>
      <c r="AE95" s="703">
        <f t="shared" si="99"/>
        <v>2.6310130434782604</v>
      </c>
      <c r="AF95" s="703">
        <f t="shared" si="100"/>
        <v>4.3808782642359221</v>
      </c>
      <c r="AG95" s="704">
        <f t="shared" si="105"/>
        <v>1.1439187145557654E-2</v>
      </c>
      <c r="AH95" s="768">
        <f t="shared" si="105"/>
        <v>1.9047296801025747E-2</v>
      </c>
      <c r="AI95" s="703">
        <f t="shared" si="101"/>
        <v>0.29658531448672509</v>
      </c>
      <c r="AJ95" s="701">
        <v>3</v>
      </c>
      <c r="AK95" s="703">
        <v>0.1</v>
      </c>
      <c r="AL95" s="713">
        <f t="shared" si="89"/>
        <v>115</v>
      </c>
      <c r="AM95" s="703">
        <f t="shared" si="90"/>
        <v>0.8155522733351166</v>
      </c>
      <c r="AN95" s="706">
        <f t="shared" si="86"/>
        <v>1</v>
      </c>
      <c r="AO95" s="706" t="s">
        <v>563</v>
      </c>
      <c r="AP95" s="706" t="s">
        <v>523</v>
      </c>
      <c r="AQ95" s="706" t="str">
        <f t="shared" si="87"/>
        <v>3G</v>
      </c>
      <c r="AR95" s="706">
        <f t="shared" si="88"/>
        <v>1.5</v>
      </c>
      <c r="AS95" s="893" t="str">
        <f t="shared" si="91"/>
        <v/>
      </c>
      <c r="AT95" s="893" t="str">
        <f>IF(OR(AQ95="3G",AQ95="5G"),"",VLOOKUP(AR95,Consulta!$T$5:$U$25,2,FALSE))</f>
        <v/>
      </c>
      <c r="AU95" s="894" t="s">
        <v>565</v>
      </c>
      <c r="AV95" s="706" t="s">
        <v>23</v>
      </c>
      <c r="AW95" s="706" t="s">
        <v>564</v>
      </c>
      <c r="AX95" s="706">
        <f t="shared" si="103"/>
        <v>20</v>
      </c>
      <c r="AY95" s="707" t="s">
        <v>24</v>
      </c>
      <c r="AZ95" s="564"/>
      <c r="BA95" s="584">
        <f>IF(AND(J95="Cobre",F95="Monofásico"),VLOOKUP(M95,'Iz''s'!$B$8:$E$23,2,FALSE),IF(AND(J95="Cobre",F95="Trifásico"),VLOOKUP(M95,'Iz''s'!$L$8:$O$23,2,FALSE),IF(AND(J95="Alumínio",F95="Monofásico"),VLOOKUP(M95,'Iz''s'!$B$25:$E$39,2,FALSE),IF(AND(J95="Alumínio",F95="Trifásico"),VLOOKUP(M95,'Iz''s'!$L$25:$O$39,2,FALSE)))))</f>
        <v>14.5</v>
      </c>
      <c r="BB95" s="531">
        <f>IF(AND(J95="Cobre",F95="Monofásico"),VLOOKUP(M95,'Iz''s'!$CD$9:$CH$24,2,FALSE),IF(AND(J95="Cobre",F95="Trifásico"),VLOOKUP(M95,'Iz''s'!$CD$9:$CH$24,4,FALSE),IF(AND(J95="Alumínio",F95="Monofásico"),VLOOKUP(M95,'Iz''s'!$CD$26:$CH$40,2,FALSE),IF(AND(J95="Alumínio",F95="Trifásico"),VLOOKUP(M95,'Iz''s'!$CD$26:$CH$40,4,FALSE)))))</f>
        <v>14</v>
      </c>
      <c r="BC95" s="531">
        <f>IF(AND(J95="Cobre",F95="Monofásico"),VLOOKUP(M95,'Iz''s'!$B$8:$E$23,3,FALSE),IF(AND(J95="Cobre",F95="Trifásico"),VLOOKUP(M95,'Iz''s'!$L$8:$O$23,3,FALSE),IF(AND(J95="Alumínio",F95="Monofásico"),VLOOKUP(M95,'Iz''s'!$B$25:$E$39,3,FALSE),IF(AND(J95="Alumínio",F95="Trifásico"),VLOOKUP(M95,'Iz''s'!$L$25:$O$39,3,FALSE)))))</f>
        <v>17.5</v>
      </c>
      <c r="BD95" s="531">
        <f>IF(AND(J95="Cobre",F95="Monofásico"),VLOOKUP(M95,'Iz''s'!$CD$9:$CH$24,3,FALSE),IF(AND(J95="Cobre",F95="Trifásico"),VLOOKUP(M95,'Iz''s'!$CD$9:$CH$24,5,FALSE),IF(AND(J95="Alumínio",F95="Monofásico"),VLOOKUP(M95,'Iz''s'!$CD$26:$CH$40,3,FALSE),IF(AND(J95="Alumínio",F95="Trifásico"),VLOOKUP(M95,'Iz''s'!$CD$26:$CH$40,5,FALSE)))))</f>
        <v>16.5</v>
      </c>
      <c r="BE95" s="531">
        <f>IF(AND(J95="Cobre",F95="Monofásico"),VLOOKUP(M95,'Iz''s'!$B$8:$E$23,4,FALSE),IF(AND(J95="Cobre",F95="Trifásico"),VLOOKUP(M95,'Iz''s'!$L$8:$O$23,4,FALSE),IF(AND(J95="Alumínio",F95="Monofásico"),VLOOKUP(M95,'Iz''s'!$B$25:$E$39,4,FALSE),IF(AND(J95="Alumínio",F95="Trifásico"),VLOOKUP(M95,'Iz''s'!$L$25:$O$39,4,FALSE)))))</f>
        <v>19.5</v>
      </c>
      <c r="BF95" s="531">
        <f>IF(AND(J95="Cobre",F95="Monofásico"),VLOOKUP(M95,'Iz''s'!$CP$9:$CT$24,3,FALSE),IF(AND(J95="Cobre",F95="Trifásico"),VLOOKUP(M95,'Iz''s'!$CP$9:$CT$24,2,FALSE),IF(AND(J95="Alumínio",F95="Monofásico"),VLOOKUP(M95,'Iz''s'!$CP$26:$CT$37,3,FALSE),IF(AND(J95="Alumínio",F95="Trifásico"),VLOOKUP(M95,'Iz''s'!$CP$26:$CT$37,2,FALSE)))))</f>
        <v>32</v>
      </c>
      <c r="BG95" s="531">
        <f>IF(AND(J95="Cobre",F95="Monofásico"),VLOOKUP(M95,'Iz''s'!$AT$10:$BA$28,2,FALSE),IF(AND(J95="Cobre",F95="Trifásico"),VLOOKUP(M95,'Iz''s'!$AT$10:$BA$28,3,FALSE),IF(AND(J95="Alumínio",F95="Monofásico"),VLOOKUP(M95,'Iz''s'!$BC$10:$BJ$27,2,FALSE),IF(AND(J95="Alumínio",F95="Trifásico"),VLOOKUP(M95,'Iz''s'!$BC$10:$BJ$27,3,FALSE)))))</f>
        <v>22</v>
      </c>
      <c r="BH95" s="609" t="str">
        <f>IF(AND(J95="Cobre",F95="Monofásico"),VLOOKUP(M95,'Iz''s'!$AT$10:$BA$28,4,FALSE),IF(AND(J95="Cobre",F95="Trifásico"),VLOOKUP(M95,'Iz''s'!$AT$10:$BA$28,5,FALSE),IF(AND(J95="Alumínio",F95="Monofásico"),VLOOKUP(M95,'Iz''s'!$BC$10:$BJ$27,4,FALSE),IF(AND(J95="Alumínio",F95="Trifásico"),VLOOKUP(M95,'Iz''s'!$BC$10:$BJ$27,5,FALSE)))))</f>
        <v xml:space="preserve"> --- </v>
      </c>
      <c r="BI95" s="609" t="str">
        <f>IF(AND(J95="Cobre",F95="Monofásico"),"N/A",IF(AND(J95="Cobre",F95="Trifásico"),VLOOKUP(M95,'Iz''s'!$AT$10:$BA$28,8,FALSE),IF(AND(J95="Alumínio",F95="Monofásico"),"N/A",IF(AND(J95="Alumínio",F95="Trifásico"),VLOOKUP(M95,'Iz''s'!$BC$10:$BJ$27,8,FALSE)))))</f>
        <v>N/A</v>
      </c>
      <c r="BJ95" s="531">
        <f>IF(AND(J95="Cobre",F95="Monofásico"),VLOOKUP(M95,'Iz''s'!$G$8:$J$23,2,FALSE),IF(AND(J95="Cobre",F95="Trifásico"),VLOOKUP(M95,'Iz''s'!$Q$8:$T$23,2,FALSE),IF(AND(J95="Alumínio",F95="Monofásico"),VLOOKUP(M95,'Iz''s'!$G$25:$J$39,2,FALSE),IF(AND(J95="Alumínio",F95="Trifásico"),VLOOKUP(M95,'Iz''s'!$Q$25:$T$39,2,FALSE)))))</f>
        <v>19</v>
      </c>
      <c r="BK95" s="609">
        <f>IF(AND(J95="Cobre",F95="Monofásico"),VLOOKUP(M95,'Iz''s'!$CJ$9:$CN$24,2,FALSE),IF(AND(J95="Cobre",F95="Trifásico"),VLOOKUP(M95,'Iz''s'!$CJ$9:$CN$24,4,FALSE),IF(AND(J95="Alumínio",F95="Monofásico"),VLOOKUP(M95,'Iz''s'!$CJ$26:$CN$40,2,FALSE),IF(AND(J95="Alumínio",F95="Trifásico"),VLOOKUP(M95,'Iz''s'!$CJ$26:$CN$40,4,FALSE)))))</f>
        <v>18.5</v>
      </c>
      <c r="BL95" s="609">
        <f>IF(AND(J95="Cobre",F95="Monofásico"),VLOOKUP(M95,'Iz''s'!$G$8:$J$23,3,FALSE),IF(AND(J95="Cobre",F95="Trifásico"),VLOOKUP(M95,'Iz''s'!$Q$8:$T$23,3,FALSE),IF(AND(J95="Alumínio",F95="Monofásico"),VLOOKUP(M95,'Iz''s'!$G$25:$J$39,3,FALSE),IF(AND(J95="Alumínio",F95="Trifásico"),VLOOKUP(M95,'Iz''s'!$Q$25:$T$39,3,FALSE)))))</f>
        <v>23</v>
      </c>
      <c r="BM95" s="609">
        <f>IF(AND(J95="Cobre",F95="Monofásico"),VLOOKUP(M95,'Iz''s'!$CJ$9:$CN$24,3,FALSE),IF(AND(J95="Cobre",F95="Trifásico"),VLOOKUP(M95,'Iz''s'!$CJ$9:$CN$24,5,FALSE),IF(AND(J95="Alumínio",F95="Monofásico"),VLOOKUP(M95,'Iz''s'!$CJ$26:$CN$40,3,FALSE),IF(AND(J95="Alumínio",F95="Trifásico"),VLOOKUP(M95,'Iz''s'!$CJ$26:$CN$40,5,FALSE)))))</f>
        <v>22</v>
      </c>
      <c r="BN95" s="609">
        <f>IF(AND(J95="Cobre",F95="Monofásico"),VLOOKUP(M95,'Iz''s'!$G$8:$J$23,4,FALSE),IF(AND(J95="Cobre",F95="Trifásico"),VLOOKUP(M95,'Iz''s'!$Q$8:$T$23,4,FALSE),IF(AND(J95="Alumínio",F95="Monofásico"),VLOOKUP(M95,'Iz''s'!$G$25:$J$39,4,FALSE),IF(AND(J95="Alumínio",F95="Trifásico"),VLOOKUP(M95,'Iz''s'!$Q$25:$T$39,4,FALSE)))))</f>
        <v>24</v>
      </c>
      <c r="BO95" s="609">
        <f>IF(AND(J95="Cobre",F95="Monofásico"),VLOOKUP(M95,'Iz''s'!$CP$9:$CT$24,5,FALSE),IF(AND(J95="Cobre",F95="Trifásico"),VLOOKUP(M95,'Iz''s'!$CP$9:$CT$24,4,FALSE),IF(AND(J95="Alumínio",F95="Monofásico"),VLOOKUP(M95,'Iz''s'!$CP$26:$CT$37,5,FALSE),IF(AND(J95="Alumínio",F95="Trifásico"),VLOOKUP(M95,'Iz''s'!$CP$26:$CT$37,4,FALSE)))))</f>
        <v>37</v>
      </c>
      <c r="BP95" s="609">
        <f>IF(AND(J95="Cobre",F95="Monofásico"),VLOOKUP(M95,'Iz''s'!$BL$10:$BS$28,2,FALSE),IF(AND(J95="Cobre",F95="Trifásico"),VLOOKUP(M95,'Iz''s'!$BL$10:$BS$28,3,FALSE),IF(AND(J95="Alumínio",F95="Monofásico"),VLOOKUP(M95,'Iz''s'!$BU$10:$CB$27,2,FALSE),IF(AND(J95="Alumínio",F95="Trifásico"),VLOOKUP(M95,'Iz''s'!$BU$10:$CB$27,3,FALSE)))))</f>
        <v>26</v>
      </c>
      <c r="BQ95" s="531" t="str">
        <f>IF(AND(J95="Cobre",F95="Monofásico"),VLOOKUP(M95,'Iz''s'!$BL$10:$BS$28,4,FALSE),IF(AND(J95="Cobre",F95="Trifásico"),VLOOKUP(M95,'Iz''s'!$BL$10:$BS$28,5,FALSE),IF(AND(J95="Alumínio",F95="Monofásico"),VLOOKUP(M95,'Iz''s'!$BU$10:$CB$27,4,FALSE),IF(AND(J95="Alumínio",F95="Trifásico"),VLOOKUP(M95,'Iz''s'!$BU$10:$CB$27,5,FALSE)))))</f>
        <v xml:space="preserve"> --- </v>
      </c>
      <c r="BR95" s="609" t="str">
        <f>IF(AND(J95="Cobre",F95="Monofásico"),"N/A",IF(AND(J95="Cobre",F95="Trifásico"),VLOOKUP(M95,'Iz''s'!$BL$10:$BS$28,8,FALSE),IF(AND(J95="Alumínio",F95="Monofásico"),"N/A",IF(AND(J95="Alumínio",F95="Trifásico"),VLOOKUP(M95,'Iz''s'!$BU$10:$CB$27,8,FALSE)))))</f>
        <v>N/A</v>
      </c>
      <c r="BS95" s="609">
        <f>IF(AND(J95="Cobre",F95="Monofásico"),VLOOKUP(M95,'Iz''s'!$V$14:$Y$28,2,FALSE),IF(AND(J95="Cobre",F95="Trifásico"),VLOOKUP(M95,'Iz''s'!$V$14:$Y$28,3,FALSE),IF(AND(J95="Alumínio",F95="Monofásico"),VLOOKUP(M95,"N/A",4,FALSE),IF(AND(J95="Alumínio",F95="Trifásico"),VLOOKUP(M95,"N/A",4,FALSE)))))</f>
        <v>25</v>
      </c>
      <c r="BT95" s="609">
        <f>IF(AND(J95="Cobre",F95="Monofásico"),VLOOKUP(M95,'Iz''s'!$AF$15:$AK$29,2,FALSE),IF(AND(J95="Cobre",F95="Trifásico"),VLOOKUP(M95,'Iz''s'!$AF$15:$AK$29,3,FALSE),IF(AND(J95="Alumínio",F95="Monofásico"),"N/A",IF(AND(J95="Alumínio",F95="Trifásico"),"N/A"))))</f>
        <v>26</v>
      </c>
      <c r="BU95" s="609">
        <f>IF(AND(J95="Cobre",F95="Monofásico"),VLOOKUP(M95,'Iz''s'!$AF$15:$AK$29,2,FALSE),IF(AND(J95="Cobre",F95="Trifásico"),VLOOKUP(M95,'Iz''s'!$AF$15:$AK$29,3,FALSE),IF(AND(J95="Alumínio",F95="Monofásico"),"N/A",IF(AND(J95="Alumínio",F95="Trifásico"),"N/A"))))</f>
        <v>26</v>
      </c>
      <c r="BV95" s="610" t="str">
        <f>IF(AND(J95="Cobre",F95="Monofásico"),"N/A",IF(AND(J95="Cobre",F95="Trifásico"),VLOOKUP(M95,'Iz''s'!$AF$15:$AK$29,6,FALSE),IF(AND(J95="Alumínio",F95="Monofásico"),"N/A",IF(AND(J95="Alumínio",F95="Trifásico"),"N/A"))))</f>
        <v>N/A</v>
      </c>
      <c r="BW95" s="611">
        <v>93</v>
      </c>
      <c r="BX95" s="565"/>
      <c r="BY95" s="612">
        <f>VLOOKUP(M95,Consulta!$W$6:$AB$23,4,FALSE)</f>
        <v>16</v>
      </c>
      <c r="BZ95" s="612">
        <f>VLOOKUP(M95,Consulta!$W$6:$AB$23,6,FALSE)</f>
        <v>20</v>
      </c>
      <c r="CA95" s="612">
        <f>VLOOKUP(M95,Consulta!$AK$6:$AP$23,4,FALSE)</f>
        <v>20</v>
      </c>
      <c r="CB95" s="612">
        <f>VLOOKUP(M95,Consulta!$AK$6:$AP$23,6,FALSE)</f>
        <v>20</v>
      </c>
      <c r="CC95" s="585" t="e">
        <f>VLOOKUP(M95,Consulta!$AD$6:$AI$19,4,FALSE)</f>
        <v>#N/A</v>
      </c>
      <c r="CD95" s="585" t="e">
        <f>VLOOKUP(M95,Consulta!$AD$6:$AI$19,6,FALSE)</f>
        <v>#N/A</v>
      </c>
      <c r="CE95" s="585" t="e">
        <f>VLOOKUP(M95,Consulta!$AR$6:$AW$19,4,FALSE)</f>
        <v>#N/A</v>
      </c>
      <c r="CF95" s="586" t="e">
        <f>VLOOKUP(M95,Consulta!$AR$6:$AW$19,6,FALSE)</f>
        <v>#N/A</v>
      </c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</row>
    <row r="96" spans="1:212" s="532" customFormat="1" ht="16.5" customHeight="1" x14ac:dyDescent="0.2">
      <c r="A96" s="571"/>
      <c r="B96" s="1115"/>
      <c r="C96" s="820" t="s">
        <v>856</v>
      </c>
      <c r="D96" s="701">
        <f>3*13/1000</f>
        <v>3.9E-2</v>
      </c>
      <c r="E96" s="701">
        <f>3.07+0.65+0.95+3.95+5+9.74</f>
        <v>23.36</v>
      </c>
      <c r="F96" s="701" t="s">
        <v>244</v>
      </c>
      <c r="G96" s="701" t="s">
        <v>808</v>
      </c>
      <c r="H96" s="701">
        <v>1</v>
      </c>
      <c r="I96" s="765" t="s">
        <v>13</v>
      </c>
      <c r="J96" s="701" t="s">
        <v>242</v>
      </c>
      <c r="K96" s="701" t="s">
        <v>363</v>
      </c>
      <c r="L96" s="701">
        <v>1</v>
      </c>
      <c r="M96" s="702">
        <v>1.5</v>
      </c>
      <c r="N96" s="701" t="s">
        <v>453</v>
      </c>
      <c r="O96" s="701">
        <v>4</v>
      </c>
      <c r="P96" s="555">
        <f t="shared" ref="P96:P104" si="108">IF(K96="PVC",HLOOKUP(N96,$BA$3:$BI$104,BW96,FALSE),IF(OR(K96="XLPE",K96="EPR"),HLOOKUP(N96,$BJ$3:$BR$104,BW96,FALSE),IF(K96="Mineral",HLOOKUP(N96,$BS$3:$BV$104,BW96,FALSE),"N/A")))*L96</f>
        <v>16.5</v>
      </c>
      <c r="Q96" s="701">
        <v>3</v>
      </c>
      <c r="R96" s="701">
        <v>0.6</v>
      </c>
      <c r="S96" s="555">
        <f t="shared" si="95"/>
        <v>0.16956521739130434</v>
      </c>
      <c r="T96" s="712">
        <f t="shared" si="84"/>
        <v>9.9</v>
      </c>
      <c r="U96" s="701" t="s">
        <v>499</v>
      </c>
      <c r="V96" s="555">
        <v>10</v>
      </c>
      <c r="W96" s="701">
        <f>IF(U96="C.C.Fusíveis",VLOOKUP(V96,Consulta!$L$5:$N$31,3,FALSE),VLOOKUP(V96,Consulta!$P$5:$R$34,3,FALSE))</f>
        <v>13.5</v>
      </c>
      <c r="X96" s="713">
        <f t="shared" si="93"/>
        <v>24</v>
      </c>
      <c r="Y96" s="822">
        <f t="shared" si="85"/>
        <v>1.7127799736495388E-2</v>
      </c>
      <c r="Z96" s="706" t="str">
        <f t="shared" si="94"/>
        <v>Sim</v>
      </c>
      <c r="AA96" s="767">
        <f t="shared" si="96"/>
        <v>6.5243555363796182E-2</v>
      </c>
      <c r="AB96" s="767">
        <f t="shared" si="97"/>
        <v>0.43799999999999994</v>
      </c>
      <c r="AC96" s="767">
        <f t="shared" si="98"/>
        <v>0</v>
      </c>
      <c r="AD96" s="703">
        <f t="shared" si="104"/>
        <v>1.7498652207576615</v>
      </c>
      <c r="AE96" s="703">
        <f t="shared" si="99"/>
        <v>0.14853913043478259</v>
      </c>
      <c r="AF96" s="703">
        <f t="shared" si="100"/>
        <v>1.898404351192444</v>
      </c>
      <c r="AG96" s="704">
        <f t="shared" si="105"/>
        <v>6.458223062381852E-4</v>
      </c>
      <c r="AH96" s="768">
        <f t="shared" si="105"/>
        <v>8.2539319617062779E-3</v>
      </c>
      <c r="AI96" s="703">
        <f t="shared" si="101"/>
        <v>0.45703516229578411</v>
      </c>
      <c r="AJ96" s="701">
        <v>3</v>
      </c>
      <c r="AK96" s="703">
        <v>0.1</v>
      </c>
      <c r="AL96" s="713">
        <f t="shared" si="89"/>
        <v>115</v>
      </c>
      <c r="AM96" s="703">
        <f t="shared" si="90"/>
        <v>1.2567583335994676</v>
      </c>
      <c r="AN96" s="706">
        <f t="shared" si="86"/>
        <v>1</v>
      </c>
      <c r="AO96" s="706" t="s">
        <v>563</v>
      </c>
      <c r="AP96" s="706" t="s">
        <v>523</v>
      </c>
      <c r="AQ96" s="706" t="str">
        <f t="shared" si="87"/>
        <v>3G</v>
      </c>
      <c r="AR96" s="706">
        <f t="shared" si="88"/>
        <v>1.5</v>
      </c>
      <c r="AS96" s="893" t="str">
        <f t="shared" si="91"/>
        <v/>
      </c>
      <c r="AT96" s="893" t="str">
        <f>IF(OR(AQ96="3G",AQ96="5G"),"",VLOOKUP(AR96,Consulta!$T$5:$U$25,2,FALSE))</f>
        <v/>
      </c>
      <c r="AU96" s="894" t="s">
        <v>565</v>
      </c>
      <c r="AV96" s="706" t="s">
        <v>23</v>
      </c>
      <c r="AW96" s="706" t="s">
        <v>564</v>
      </c>
      <c r="AX96" s="706">
        <f t="shared" si="103"/>
        <v>20</v>
      </c>
      <c r="AY96" s="707" t="s">
        <v>24</v>
      </c>
      <c r="AZ96" s="564"/>
      <c r="BA96" s="584">
        <f>IF(AND(J96="Cobre",F96="Monofásico"),VLOOKUP(M96,'Iz''s'!$B$8:$E$23,2,FALSE),IF(AND(J96="Cobre",F96="Trifásico"),VLOOKUP(M96,'Iz''s'!$L$8:$O$23,2,FALSE),IF(AND(J96="Alumínio",F96="Monofásico"),VLOOKUP(M96,'Iz''s'!$B$25:$E$39,2,FALSE),IF(AND(J96="Alumínio",F96="Trifásico"),VLOOKUP(M96,'Iz''s'!$L$25:$O$39,2,FALSE)))))</f>
        <v>14.5</v>
      </c>
      <c r="BB96" s="531">
        <f>IF(AND(J96="Cobre",F96="Monofásico"),VLOOKUP(M96,'Iz''s'!$CD$9:$CH$24,2,FALSE),IF(AND(J96="Cobre",F96="Trifásico"),VLOOKUP(M96,'Iz''s'!$CD$9:$CH$24,4,FALSE),IF(AND(J96="Alumínio",F96="Monofásico"),VLOOKUP(M96,'Iz''s'!$CD$26:$CH$40,2,FALSE),IF(AND(J96="Alumínio",F96="Trifásico"),VLOOKUP(M96,'Iz''s'!$CD$26:$CH$40,4,FALSE)))))</f>
        <v>14</v>
      </c>
      <c r="BC96" s="531">
        <f>IF(AND(J96="Cobre",F96="Monofásico"),VLOOKUP(M96,'Iz''s'!$B$8:$E$23,3,FALSE),IF(AND(J96="Cobre",F96="Trifásico"),VLOOKUP(M96,'Iz''s'!$L$8:$O$23,3,FALSE),IF(AND(J96="Alumínio",F96="Monofásico"),VLOOKUP(M96,'Iz''s'!$B$25:$E$39,3,FALSE),IF(AND(J96="Alumínio",F96="Trifásico"),VLOOKUP(M96,'Iz''s'!$L$25:$O$39,3,FALSE)))))</f>
        <v>17.5</v>
      </c>
      <c r="BD96" s="531">
        <f>IF(AND(J96="Cobre",F96="Monofásico"),VLOOKUP(M96,'Iz''s'!$CD$9:$CH$24,3,FALSE),IF(AND(J96="Cobre",F96="Trifásico"),VLOOKUP(M96,'Iz''s'!$CD$9:$CH$24,5,FALSE),IF(AND(J96="Alumínio",F96="Monofásico"),VLOOKUP(M96,'Iz''s'!$CD$26:$CH$40,3,FALSE),IF(AND(J96="Alumínio",F96="Trifásico"),VLOOKUP(M96,'Iz''s'!$CD$26:$CH$40,5,FALSE)))))</f>
        <v>16.5</v>
      </c>
      <c r="BE96" s="531">
        <f>IF(AND(J96="Cobre",F96="Monofásico"),VLOOKUP(M96,'Iz''s'!$B$8:$E$23,4,FALSE),IF(AND(J96="Cobre",F96="Trifásico"),VLOOKUP(M96,'Iz''s'!$L$8:$O$23,4,FALSE),IF(AND(J96="Alumínio",F96="Monofásico"),VLOOKUP(M96,'Iz''s'!$B$25:$E$39,4,FALSE),IF(AND(J96="Alumínio",F96="Trifásico"),VLOOKUP(M96,'Iz''s'!$L$25:$O$39,4,FALSE)))))</f>
        <v>19.5</v>
      </c>
      <c r="BF96" s="531">
        <f>IF(AND(J96="Cobre",F96="Monofásico"),VLOOKUP(M96,'Iz''s'!$CP$9:$CT$24,3,FALSE),IF(AND(J96="Cobre",F96="Trifásico"),VLOOKUP(M96,'Iz''s'!$CP$9:$CT$24,2,FALSE),IF(AND(J96="Alumínio",F96="Monofásico"),VLOOKUP(M96,'Iz''s'!$CP$26:$CT$37,3,FALSE),IF(AND(J96="Alumínio",F96="Trifásico"),VLOOKUP(M96,'Iz''s'!$CP$26:$CT$37,2,FALSE)))))</f>
        <v>32</v>
      </c>
      <c r="BG96" s="531">
        <f>IF(AND(J96="Cobre",F96="Monofásico"),VLOOKUP(M96,'Iz''s'!$AT$10:$BA$28,2,FALSE),IF(AND(J96="Cobre",F96="Trifásico"),VLOOKUP(M96,'Iz''s'!$AT$10:$BA$28,3,FALSE),IF(AND(J96="Alumínio",F96="Monofásico"),VLOOKUP(M96,'Iz''s'!$BC$10:$BJ$27,2,FALSE),IF(AND(J96="Alumínio",F96="Trifásico"),VLOOKUP(M96,'Iz''s'!$BC$10:$BJ$27,3,FALSE)))))</f>
        <v>22</v>
      </c>
      <c r="BH96" s="609" t="str">
        <f>IF(AND(J96="Cobre",F96="Monofásico"),VLOOKUP(M96,'Iz''s'!$AT$10:$BA$28,4,FALSE),IF(AND(J96="Cobre",F96="Trifásico"),VLOOKUP(M96,'Iz''s'!$AT$10:$BA$28,5,FALSE),IF(AND(J96="Alumínio",F96="Monofásico"),VLOOKUP(M96,'Iz''s'!$BC$10:$BJ$27,4,FALSE),IF(AND(J96="Alumínio",F96="Trifásico"),VLOOKUP(M96,'Iz''s'!$BC$10:$BJ$27,5,FALSE)))))</f>
        <v xml:space="preserve"> --- </v>
      </c>
      <c r="BI96" s="609" t="str">
        <f>IF(AND(J96="Cobre",F96="Monofásico"),"N/A",IF(AND(J96="Cobre",F96="Trifásico"),VLOOKUP(M96,'Iz''s'!$AT$10:$BA$28,8,FALSE),IF(AND(J96="Alumínio",F96="Monofásico"),"N/A",IF(AND(J96="Alumínio",F96="Trifásico"),VLOOKUP(M96,'Iz''s'!$BC$10:$BJ$27,8,FALSE)))))</f>
        <v>N/A</v>
      </c>
      <c r="BJ96" s="531">
        <f>IF(AND(J96="Cobre",F96="Monofásico"),VLOOKUP(M96,'Iz''s'!$G$8:$J$23,2,FALSE),IF(AND(J96="Cobre",F96="Trifásico"),VLOOKUP(M96,'Iz''s'!$Q$8:$T$23,2,FALSE),IF(AND(J96="Alumínio",F96="Monofásico"),VLOOKUP(M96,'Iz''s'!$G$25:$J$39,2,FALSE),IF(AND(J96="Alumínio",F96="Trifásico"),VLOOKUP(M96,'Iz''s'!$Q$25:$T$39,2,FALSE)))))</f>
        <v>19</v>
      </c>
      <c r="BK96" s="609">
        <f>IF(AND(J96="Cobre",F96="Monofásico"),VLOOKUP(M96,'Iz''s'!$CJ$9:$CN$24,2,FALSE),IF(AND(J96="Cobre",F96="Trifásico"),VLOOKUP(M96,'Iz''s'!$CJ$9:$CN$24,4,FALSE),IF(AND(J96="Alumínio",F96="Monofásico"),VLOOKUP(M96,'Iz''s'!$CJ$26:$CN$40,2,FALSE),IF(AND(J96="Alumínio",F96="Trifásico"),VLOOKUP(M96,'Iz''s'!$CJ$26:$CN$40,4,FALSE)))))</f>
        <v>18.5</v>
      </c>
      <c r="BL96" s="609">
        <f>IF(AND(J96="Cobre",F96="Monofásico"),VLOOKUP(M96,'Iz''s'!$G$8:$J$23,3,FALSE),IF(AND(J96="Cobre",F96="Trifásico"),VLOOKUP(M96,'Iz''s'!$Q$8:$T$23,3,FALSE),IF(AND(J96="Alumínio",F96="Monofásico"),VLOOKUP(M96,'Iz''s'!$G$25:$J$39,3,FALSE),IF(AND(J96="Alumínio",F96="Trifásico"),VLOOKUP(M96,'Iz''s'!$Q$25:$T$39,3,FALSE)))))</f>
        <v>23</v>
      </c>
      <c r="BM96" s="609">
        <f>IF(AND(J96="Cobre",F96="Monofásico"),VLOOKUP(M96,'Iz''s'!$CJ$9:$CN$24,3,FALSE),IF(AND(J96="Cobre",F96="Trifásico"),VLOOKUP(M96,'Iz''s'!$CJ$9:$CN$24,5,FALSE),IF(AND(J96="Alumínio",F96="Monofásico"),VLOOKUP(M96,'Iz''s'!$CJ$26:$CN$40,3,FALSE),IF(AND(J96="Alumínio",F96="Trifásico"),VLOOKUP(M96,'Iz''s'!$CJ$26:$CN$40,5,FALSE)))))</f>
        <v>22</v>
      </c>
      <c r="BN96" s="609">
        <f>IF(AND(J96="Cobre",F96="Monofásico"),VLOOKUP(M96,'Iz''s'!$G$8:$J$23,4,FALSE),IF(AND(J96="Cobre",F96="Trifásico"),VLOOKUP(M96,'Iz''s'!$Q$8:$T$23,4,FALSE),IF(AND(J96="Alumínio",F96="Monofásico"),VLOOKUP(M96,'Iz''s'!$G$25:$J$39,4,FALSE),IF(AND(J96="Alumínio",F96="Trifásico"),VLOOKUP(M96,'Iz''s'!$Q$25:$T$39,4,FALSE)))))</f>
        <v>24</v>
      </c>
      <c r="BO96" s="609">
        <f>IF(AND(J96="Cobre",F96="Monofásico"),VLOOKUP(M96,'Iz''s'!$CP$9:$CT$24,5,FALSE),IF(AND(J96="Cobre",F96="Trifásico"),VLOOKUP(M96,'Iz''s'!$CP$9:$CT$24,4,FALSE),IF(AND(J96="Alumínio",F96="Monofásico"),VLOOKUP(M96,'Iz''s'!$CP$26:$CT$37,5,FALSE),IF(AND(J96="Alumínio",F96="Trifásico"),VLOOKUP(M96,'Iz''s'!$CP$26:$CT$37,4,FALSE)))))</f>
        <v>37</v>
      </c>
      <c r="BP96" s="609">
        <f>IF(AND(J96="Cobre",F96="Monofásico"),VLOOKUP(M96,'Iz''s'!$BL$10:$BS$28,2,FALSE),IF(AND(J96="Cobre",F96="Trifásico"),VLOOKUP(M96,'Iz''s'!$BL$10:$BS$28,3,FALSE),IF(AND(J96="Alumínio",F96="Monofásico"),VLOOKUP(M96,'Iz''s'!$BU$10:$CB$27,2,FALSE),IF(AND(J96="Alumínio",F96="Trifásico"),VLOOKUP(M96,'Iz''s'!$BU$10:$CB$27,3,FALSE)))))</f>
        <v>26</v>
      </c>
      <c r="BQ96" s="531" t="str">
        <f>IF(AND(J96="Cobre",F96="Monofásico"),VLOOKUP(M96,'Iz''s'!$BL$10:$BS$28,4,FALSE),IF(AND(J96="Cobre",F96="Trifásico"),VLOOKUP(M96,'Iz''s'!$BL$10:$BS$28,5,FALSE),IF(AND(J96="Alumínio",F96="Monofásico"),VLOOKUP(M96,'Iz''s'!$BU$10:$CB$27,4,FALSE),IF(AND(J96="Alumínio",F96="Trifásico"),VLOOKUP(M96,'Iz''s'!$BU$10:$CB$27,5,FALSE)))))</f>
        <v xml:space="preserve"> --- </v>
      </c>
      <c r="BR96" s="609" t="str">
        <f>IF(AND(J96="Cobre",F96="Monofásico"),"N/A",IF(AND(J96="Cobre",F96="Trifásico"),VLOOKUP(M96,'Iz''s'!$BL$10:$BS$28,8,FALSE),IF(AND(J96="Alumínio",F96="Monofásico"),"N/A",IF(AND(J96="Alumínio",F96="Trifásico"),VLOOKUP(M96,'Iz''s'!$BU$10:$CB$27,8,FALSE)))))</f>
        <v>N/A</v>
      </c>
      <c r="BS96" s="609">
        <f>IF(AND(J96="Cobre",F96="Monofásico"),VLOOKUP(M96,'Iz''s'!$V$14:$Y$28,2,FALSE),IF(AND(J96="Cobre",F96="Trifásico"),VLOOKUP(M96,'Iz''s'!$V$14:$Y$28,3,FALSE),IF(AND(J96="Alumínio",F96="Monofásico"),VLOOKUP(M96,"N/A",4,FALSE),IF(AND(J96="Alumínio",F96="Trifásico"),VLOOKUP(M96,"N/A",4,FALSE)))))</f>
        <v>25</v>
      </c>
      <c r="BT96" s="609">
        <f>IF(AND(J96="Cobre",F96="Monofásico"),VLOOKUP(M96,'Iz''s'!$AF$15:$AK$29,2,FALSE),IF(AND(J96="Cobre",F96="Trifásico"),VLOOKUP(M96,'Iz''s'!$AF$15:$AK$29,3,FALSE),IF(AND(J96="Alumínio",F96="Monofásico"),"N/A",IF(AND(J96="Alumínio",F96="Trifásico"),"N/A"))))</f>
        <v>26</v>
      </c>
      <c r="BU96" s="609">
        <f>IF(AND(J96="Cobre",F96="Monofásico"),VLOOKUP(M96,'Iz''s'!$AF$15:$AK$29,2,FALSE),IF(AND(J96="Cobre",F96="Trifásico"),VLOOKUP(M96,'Iz''s'!$AF$15:$AK$29,3,FALSE),IF(AND(J96="Alumínio",F96="Monofásico"),"N/A",IF(AND(J96="Alumínio",F96="Trifásico"),"N/A"))))</f>
        <v>26</v>
      </c>
      <c r="BV96" s="610" t="str">
        <f>IF(AND(J96="Cobre",F96="Monofásico"),"N/A",IF(AND(J96="Cobre",F96="Trifásico"),VLOOKUP(M96,'Iz''s'!$AF$15:$AK$29,6,FALSE),IF(AND(J96="Alumínio",F96="Monofásico"),"N/A",IF(AND(J96="Alumínio",F96="Trifásico"),"N/A"))))</f>
        <v>N/A</v>
      </c>
      <c r="BW96" s="611">
        <v>94</v>
      </c>
      <c r="BX96" s="565"/>
      <c r="BY96" s="612">
        <f>VLOOKUP(M96,Consulta!$W$6:$AB$23,4,FALSE)</f>
        <v>16</v>
      </c>
      <c r="BZ96" s="612">
        <f>VLOOKUP(M96,Consulta!$W$6:$AB$23,6,FALSE)</f>
        <v>20</v>
      </c>
      <c r="CA96" s="612">
        <f>VLOOKUP(M96,Consulta!$AK$6:$AP$23,4,FALSE)</f>
        <v>20</v>
      </c>
      <c r="CB96" s="612">
        <f>VLOOKUP(M96,Consulta!$AK$6:$AP$23,6,FALSE)</f>
        <v>20</v>
      </c>
      <c r="CC96" s="585" t="e">
        <f>VLOOKUP(M96,Consulta!$AD$6:$AI$19,4,FALSE)</f>
        <v>#N/A</v>
      </c>
      <c r="CD96" s="585" t="e">
        <f>VLOOKUP(M96,Consulta!$AD$6:$AI$19,6,FALSE)</f>
        <v>#N/A</v>
      </c>
      <c r="CE96" s="585" t="e">
        <f>VLOOKUP(M96,Consulta!$AR$6:$AW$19,4,FALSE)</f>
        <v>#N/A</v>
      </c>
      <c r="CF96" s="586" t="e">
        <f>VLOOKUP(M96,Consulta!$AR$6:$AW$19,6,FALSE)</f>
        <v>#N/A</v>
      </c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</row>
    <row r="97" spans="1:212" s="532" customFormat="1" ht="16.5" customHeight="1" x14ac:dyDescent="0.2">
      <c r="A97" s="571"/>
      <c r="B97" s="1115"/>
      <c r="C97" s="820" t="s">
        <v>857</v>
      </c>
      <c r="D97" s="701">
        <f>5*35.5/1000</f>
        <v>0.17749999999999999</v>
      </c>
      <c r="E97" s="701">
        <f>2.13+2.3+2.13+0.96+0.7+0.35+3.97+5.4+9.74</f>
        <v>27.68</v>
      </c>
      <c r="F97" s="701" t="s">
        <v>244</v>
      </c>
      <c r="G97" s="701" t="s">
        <v>808</v>
      </c>
      <c r="H97" s="701">
        <v>1</v>
      </c>
      <c r="I97" s="765" t="s">
        <v>13</v>
      </c>
      <c r="J97" s="701" t="s">
        <v>242</v>
      </c>
      <c r="K97" s="701" t="s">
        <v>363</v>
      </c>
      <c r="L97" s="701">
        <v>1</v>
      </c>
      <c r="M97" s="702">
        <v>1.5</v>
      </c>
      <c r="N97" s="701" t="s">
        <v>453</v>
      </c>
      <c r="O97" s="701">
        <v>4</v>
      </c>
      <c r="P97" s="555">
        <f t="shared" si="108"/>
        <v>16.5</v>
      </c>
      <c r="Q97" s="701">
        <v>3</v>
      </c>
      <c r="R97" s="701">
        <v>0.6</v>
      </c>
      <c r="S97" s="555">
        <f t="shared" si="95"/>
        <v>0.77173913043478259</v>
      </c>
      <c r="T97" s="712">
        <f t="shared" si="84"/>
        <v>9.9</v>
      </c>
      <c r="U97" s="701" t="s">
        <v>499</v>
      </c>
      <c r="V97" s="555">
        <v>10</v>
      </c>
      <c r="W97" s="701">
        <f>IF(U97="C.C.Fusíveis",VLOOKUP(V97,Consulta!$L$5:$N$31,3,FALSE),VLOOKUP(V97,Consulta!$P$5:$R$34,3,FALSE))</f>
        <v>13.5</v>
      </c>
      <c r="X97" s="713">
        <f t="shared" si="93"/>
        <v>24</v>
      </c>
      <c r="Y97" s="822">
        <f t="shared" si="85"/>
        <v>7.7953447518664912E-2</v>
      </c>
      <c r="Z97" s="706" t="str">
        <f t="shared" si="94"/>
        <v>Sim</v>
      </c>
      <c r="AA97" s="767">
        <f t="shared" si="96"/>
        <v>6.5243555363796182E-2</v>
      </c>
      <c r="AB97" s="767">
        <f t="shared" si="97"/>
        <v>0.51899999999999991</v>
      </c>
      <c r="AC97" s="767">
        <f t="shared" si="98"/>
        <v>0</v>
      </c>
      <c r="AD97" s="703">
        <f t="shared" si="104"/>
        <v>1.7498652207576615</v>
      </c>
      <c r="AE97" s="703">
        <f t="shared" si="99"/>
        <v>0.80106521739130421</v>
      </c>
      <c r="AF97" s="703">
        <f t="shared" si="100"/>
        <v>2.5509304381489657</v>
      </c>
      <c r="AG97" s="704">
        <f t="shared" si="105"/>
        <v>3.4828922495274096E-3</v>
      </c>
      <c r="AH97" s="768">
        <f t="shared" si="105"/>
        <v>1.1091001904995504E-2</v>
      </c>
      <c r="AI97" s="703">
        <f t="shared" si="101"/>
        <v>0.39367143700332968</v>
      </c>
      <c r="AJ97" s="701">
        <v>3</v>
      </c>
      <c r="AK97" s="703">
        <v>0.1</v>
      </c>
      <c r="AL97" s="713">
        <f t="shared" si="89"/>
        <v>115</v>
      </c>
      <c r="AM97" s="703">
        <f t="shared" si="90"/>
        <v>1.0825203397234895</v>
      </c>
      <c r="AN97" s="706">
        <f t="shared" si="86"/>
        <v>1</v>
      </c>
      <c r="AO97" s="706" t="s">
        <v>563</v>
      </c>
      <c r="AP97" s="706" t="s">
        <v>523</v>
      </c>
      <c r="AQ97" s="706" t="str">
        <f t="shared" si="87"/>
        <v>3G</v>
      </c>
      <c r="AR97" s="706">
        <f t="shared" si="88"/>
        <v>1.5</v>
      </c>
      <c r="AS97" s="893" t="str">
        <f t="shared" si="91"/>
        <v/>
      </c>
      <c r="AT97" s="893" t="str">
        <f>IF(OR(AQ97="3G",AQ97="5G"),"",VLOOKUP(AR97,Consulta!$T$5:$U$25,2,FALSE))</f>
        <v/>
      </c>
      <c r="AU97" s="894" t="s">
        <v>565</v>
      </c>
      <c r="AV97" s="706" t="s">
        <v>23</v>
      </c>
      <c r="AW97" s="706" t="s">
        <v>564</v>
      </c>
      <c r="AX97" s="706">
        <f t="shared" si="103"/>
        <v>20</v>
      </c>
      <c r="AY97" s="707" t="s">
        <v>24</v>
      </c>
      <c r="AZ97" s="564"/>
      <c r="BA97" s="584">
        <f>IF(AND(J97="Cobre",F97="Monofásico"),VLOOKUP(M97,'Iz''s'!$B$8:$E$23,2,FALSE),IF(AND(J97="Cobre",F97="Trifásico"),VLOOKUP(M97,'Iz''s'!$L$8:$O$23,2,FALSE),IF(AND(J97="Alumínio",F97="Monofásico"),VLOOKUP(M97,'Iz''s'!$B$25:$E$39,2,FALSE),IF(AND(J97="Alumínio",F97="Trifásico"),VLOOKUP(M97,'Iz''s'!$L$25:$O$39,2,FALSE)))))</f>
        <v>14.5</v>
      </c>
      <c r="BB97" s="531">
        <f>IF(AND(J97="Cobre",F97="Monofásico"),VLOOKUP(M97,'Iz''s'!$CD$9:$CH$24,2,FALSE),IF(AND(J97="Cobre",F97="Trifásico"),VLOOKUP(M97,'Iz''s'!$CD$9:$CH$24,4,FALSE),IF(AND(J97="Alumínio",F97="Monofásico"),VLOOKUP(M97,'Iz''s'!$CD$26:$CH$40,2,FALSE),IF(AND(J97="Alumínio",F97="Trifásico"),VLOOKUP(M97,'Iz''s'!$CD$26:$CH$40,4,FALSE)))))</f>
        <v>14</v>
      </c>
      <c r="BC97" s="531">
        <f>IF(AND(J97="Cobre",F97="Monofásico"),VLOOKUP(M97,'Iz''s'!$B$8:$E$23,3,FALSE),IF(AND(J97="Cobre",F97="Trifásico"),VLOOKUP(M97,'Iz''s'!$L$8:$O$23,3,FALSE),IF(AND(J97="Alumínio",F97="Monofásico"),VLOOKUP(M97,'Iz''s'!$B$25:$E$39,3,FALSE),IF(AND(J97="Alumínio",F97="Trifásico"),VLOOKUP(M97,'Iz''s'!$L$25:$O$39,3,FALSE)))))</f>
        <v>17.5</v>
      </c>
      <c r="BD97" s="531">
        <f>IF(AND(J97="Cobre",F97="Monofásico"),VLOOKUP(M97,'Iz''s'!$CD$9:$CH$24,3,FALSE),IF(AND(J97="Cobre",F97="Trifásico"),VLOOKUP(M97,'Iz''s'!$CD$9:$CH$24,5,FALSE),IF(AND(J97="Alumínio",F97="Monofásico"),VLOOKUP(M97,'Iz''s'!$CD$26:$CH$40,3,FALSE),IF(AND(J97="Alumínio",F97="Trifásico"),VLOOKUP(M97,'Iz''s'!$CD$26:$CH$40,5,FALSE)))))</f>
        <v>16.5</v>
      </c>
      <c r="BE97" s="531">
        <f>IF(AND(J97="Cobre",F97="Monofásico"),VLOOKUP(M97,'Iz''s'!$B$8:$E$23,4,FALSE),IF(AND(J97="Cobre",F97="Trifásico"),VLOOKUP(M97,'Iz''s'!$L$8:$O$23,4,FALSE),IF(AND(J97="Alumínio",F97="Monofásico"),VLOOKUP(M97,'Iz''s'!$B$25:$E$39,4,FALSE),IF(AND(J97="Alumínio",F97="Trifásico"),VLOOKUP(M97,'Iz''s'!$L$25:$O$39,4,FALSE)))))</f>
        <v>19.5</v>
      </c>
      <c r="BF97" s="531">
        <f>IF(AND(J97="Cobre",F97="Monofásico"),VLOOKUP(M97,'Iz''s'!$CP$9:$CT$24,3,FALSE),IF(AND(J97="Cobre",F97="Trifásico"),VLOOKUP(M97,'Iz''s'!$CP$9:$CT$24,2,FALSE),IF(AND(J97="Alumínio",F97="Monofásico"),VLOOKUP(M97,'Iz''s'!$CP$26:$CT$37,3,FALSE),IF(AND(J97="Alumínio",F97="Trifásico"),VLOOKUP(M97,'Iz''s'!$CP$26:$CT$37,2,FALSE)))))</f>
        <v>32</v>
      </c>
      <c r="BG97" s="531">
        <f>IF(AND(J97="Cobre",F97="Monofásico"),VLOOKUP(M97,'Iz''s'!$AT$10:$BA$28,2,FALSE),IF(AND(J97="Cobre",F97="Trifásico"),VLOOKUP(M97,'Iz''s'!$AT$10:$BA$28,3,FALSE),IF(AND(J97="Alumínio",F97="Monofásico"),VLOOKUP(M97,'Iz''s'!$BC$10:$BJ$27,2,FALSE),IF(AND(J97="Alumínio",F97="Trifásico"),VLOOKUP(M97,'Iz''s'!$BC$10:$BJ$27,3,FALSE)))))</f>
        <v>22</v>
      </c>
      <c r="BH97" s="609" t="str">
        <f>IF(AND(J97="Cobre",F97="Monofásico"),VLOOKUP(M97,'Iz''s'!$AT$10:$BA$28,4,FALSE),IF(AND(J97="Cobre",F97="Trifásico"),VLOOKUP(M97,'Iz''s'!$AT$10:$BA$28,5,FALSE),IF(AND(J97="Alumínio",F97="Monofásico"),VLOOKUP(M97,'Iz''s'!$BC$10:$BJ$27,4,FALSE),IF(AND(J97="Alumínio",F97="Trifásico"),VLOOKUP(M97,'Iz''s'!$BC$10:$BJ$27,5,FALSE)))))</f>
        <v xml:space="preserve"> --- </v>
      </c>
      <c r="BI97" s="609" t="str">
        <f>IF(AND(J97="Cobre",F97="Monofásico"),"N/A",IF(AND(J97="Cobre",F97="Trifásico"),VLOOKUP(M97,'Iz''s'!$AT$10:$BA$28,8,FALSE),IF(AND(J97="Alumínio",F97="Monofásico"),"N/A",IF(AND(J97="Alumínio",F97="Trifásico"),VLOOKUP(M97,'Iz''s'!$BC$10:$BJ$27,8,FALSE)))))</f>
        <v>N/A</v>
      </c>
      <c r="BJ97" s="531">
        <f>IF(AND(J97="Cobre",F97="Monofásico"),VLOOKUP(M97,'Iz''s'!$G$8:$J$23,2,FALSE),IF(AND(J97="Cobre",F97="Trifásico"),VLOOKUP(M97,'Iz''s'!$Q$8:$T$23,2,FALSE),IF(AND(J97="Alumínio",F97="Monofásico"),VLOOKUP(M97,'Iz''s'!$G$25:$J$39,2,FALSE),IF(AND(J97="Alumínio",F97="Trifásico"),VLOOKUP(M97,'Iz''s'!$Q$25:$T$39,2,FALSE)))))</f>
        <v>19</v>
      </c>
      <c r="BK97" s="609">
        <f>IF(AND(J97="Cobre",F97="Monofásico"),VLOOKUP(M97,'Iz''s'!$CJ$9:$CN$24,2,FALSE),IF(AND(J97="Cobre",F97="Trifásico"),VLOOKUP(M97,'Iz''s'!$CJ$9:$CN$24,4,FALSE),IF(AND(J97="Alumínio",F97="Monofásico"),VLOOKUP(M97,'Iz''s'!$CJ$26:$CN$40,2,FALSE),IF(AND(J97="Alumínio",F97="Trifásico"),VLOOKUP(M97,'Iz''s'!$CJ$26:$CN$40,4,FALSE)))))</f>
        <v>18.5</v>
      </c>
      <c r="BL97" s="609">
        <f>IF(AND(J97="Cobre",F97="Monofásico"),VLOOKUP(M97,'Iz''s'!$G$8:$J$23,3,FALSE),IF(AND(J97="Cobre",F97="Trifásico"),VLOOKUP(M97,'Iz''s'!$Q$8:$T$23,3,FALSE),IF(AND(J97="Alumínio",F97="Monofásico"),VLOOKUP(M97,'Iz''s'!$G$25:$J$39,3,FALSE),IF(AND(J97="Alumínio",F97="Trifásico"),VLOOKUP(M97,'Iz''s'!$Q$25:$T$39,3,FALSE)))))</f>
        <v>23</v>
      </c>
      <c r="BM97" s="609">
        <f>IF(AND(J97="Cobre",F97="Monofásico"),VLOOKUP(M97,'Iz''s'!$CJ$9:$CN$24,3,FALSE),IF(AND(J97="Cobre",F97="Trifásico"),VLOOKUP(M97,'Iz''s'!$CJ$9:$CN$24,5,FALSE),IF(AND(J97="Alumínio",F97="Monofásico"),VLOOKUP(M97,'Iz''s'!$CJ$26:$CN$40,3,FALSE),IF(AND(J97="Alumínio",F97="Trifásico"),VLOOKUP(M97,'Iz''s'!$CJ$26:$CN$40,5,FALSE)))))</f>
        <v>22</v>
      </c>
      <c r="BN97" s="609">
        <f>IF(AND(J97="Cobre",F97="Monofásico"),VLOOKUP(M97,'Iz''s'!$G$8:$J$23,4,FALSE),IF(AND(J97="Cobre",F97="Trifásico"),VLOOKUP(M97,'Iz''s'!$Q$8:$T$23,4,FALSE),IF(AND(J97="Alumínio",F97="Monofásico"),VLOOKUP(M97,'Iz''s'!$G$25:$J$39,4,FALSE),IF(AND(J97="Alumínio",F97="Trifásico"),VLOOKUP(M97,'Iz''s'!$Q$25:$T$39,4,FALSE)))))</f>
        <v>24</v>
      </c>
      <c r="BO97" s="609">
        <f>IF(AND(J97="Cobre",F97="Monofásico"),VLOOKUP(M97,'Iz''s'!$CP$9:$CT$24,5,FALSE),IF(AND(J97="Cobre",F97="Trifásico"),VLOOKUP(M97,'Iz''s'!$CP$9:$CT$24,4,FALSE),IF(AND(J97="Alumínio",F97="Monofásico"),VLOOKUP(M97,'Iz''s'!$CP$26:$CT$37,5,FALSE),IF(AND(J97="Alumínio",F97="Trifásico"),VLOOKUP(M97,'Iz''s'!$CP$26:$CT$37,4,FALSE)))))</f>
        <v>37</v>
      </c>
      <c r="BP97" s="609">
        <f>IF(AND(J97="Cobre",F97="Monofásico"),VLOOKUP(M97,'Iz''s'!$BL$10:$BS$28,2,FALSE),IF(AND(J97="Cobre",F97="Trifásico"),VLOOKUP(M97,'Iz''s'!$BL$10:$BS$28,3,FALSE),IF(AND(J97="Alumínio",F97="Monofásico"),VLOOKUP(M97,'Iz''s'!$BU$10:$CB$27,2,FALSE),IF(AND(J97="Alumínio",F97="Trifásico"),VLOOKUP(M97,'Iz''s'!$BU$10:$CB$27,3,FALSE)))))</f>
        <v>26</v>
      </c>
      <c r="BQ97" s="531" t="str">
        <f>IF(AND(J97="Cobre",F97="Monofásico"),VLOOKUP(M97,'Iz''s'!$BL$10:$BS$28,4,FALSE),IF(AND(J97="Cobre",F97="Trifásico"),VLOOKUP(M97,'Iz''s'!$BL$10:$BS$28,5,FALSE),IF(AND(J97="Alumínio",F97="Monofásico"),VLOOKUP(M97,'Iz''s'!$BU$10:$CB$27,4,FALSE),IF(AND(J97="Alumínio",F97="Trifásico"),VLOOKUP(M97,'Iz''s'!$BU$10:$CB$27,5,FALSE)))))</f>
        <v xml:space="preserve"> --- </v>
      </c>
      <c r="BR97" s="609" t="str">
        <f>IF(AND(J97="Cobre",F97="Monofásico"),"N/A",IF(AND(J97="Cobre",F97="Trifásico"),VLOOKUP(M97,'Iz''s'!$BL$10:$BS$28,8,FALSE),IF(AND(J97="Alumínio",F97="Monofásico"),"N/A",IF(AND(J97="Alumínio",F97="Trifásico"),VLOOKUP(M97,'Iz''s'!$BU$10:$CB$27,8,FALSE)))))</f>
        <v>N/A</v>
      </c>
      <c r="BS97" s="609">
        <f>IF(AND(J97="Cobre",F97="Monofásico"),VLOOKUP(M97,'Iz''s'!$V$14:$Y$28,2,FALSE),IF(AND(J97="Cobre",F97="Trifásico"),VLOOKUP(M97,'Iz''s'!$V$14:$Y$28,3,FALSE),IF(AND(J97="Alumínio",F97="Monofásico"),VLOOKUP(M97,"N/A",4,FALSE),IF(AND(J97="Alumínio",F97="Trifásico"),VLOOKUP(M97,"N/A",4,FALSE)))))</f>
        <v>25</v>
      </c>
      <c r="BT97" s="609">
        <f>IF(AND(J97="Cobre",F97="Monofásico"),VLOOKUP(M97,'Iz''s'!$AF$15:$AK$29,2,FALSE),IF(AND(J97="Cobre",F97="Trifásico"),VLOOKUP(M97,'Iz''s'!$AF$15:$AK$29,3,FALSE),IF(AND(J97="Alumínio",F97="Monofásico"),"N/A",IF(AND(J97="Alumínio",F97="Trifásico"),"N/A"))))</f>
        <v>26</v>
      </c>
      <c r="BU97" s="609">
        <f>IF(AND(J97="Cobre",F97="Monofásico"),VLOOKUP(M97,'Iz''s'!$AF$15:$AK$29,2,FALSE),IF(AND(J97="Cobre",F97="Trifásico"),VLOOKUP(M97,'Iz''s'!$AF$15:$AK$29,3,FALSE),IF(AND(J97="Alumínio",F97="Monofásico"),"N/A",IF(AND(J97="Alumínio",F97="Trifásico"),"N/A"))))</f>
        <v>26</v>
      </c>
      <c r="BV97" s="610" t="str">
        <f>IF(AND(J97="Cobre",F97="Monofásico"),"N/A",IF(AND(J97="Cobre",F97="Trifásico"),VLOOKUP(M97,'Iz''s'!$AF$15:$AK$29,6,FALSE),IF(AND(J97="Alumínio",F97="Monofásico"),"N/A",IF(AND(J97="Alumínio",F97="Trifásico"),"N/A"))))</f>
        <v>N/A</v>
      </c>
      <c r="BW97" s="611">
        <v>95</v>
      </c>
      <c r="BX97" s="565"/>
      <c r="BY97" s="612">
        <f>VLOOKUP(M97,Consulta!$W$6:$AB$23,4,FALSE)</f>
        <v>16</v>
      </c>
      <c r="BZ97" s="612">
        <f>VLOOKUP(M97,Consulta!$W$6:$AB$23,6,FALSE)</f>
        <v>20</v>
      </c>
      <c r="CA97" s="612">
        <f>VLOOKUP(M97,Consulta!$AK$6:$AP$23,4,FALSE)</f>
        <v>20</v>
      </c>
      <c r="CB97" s="612">
        <f>VLOOKUP(M97,Consulta!$AK$6:$AP$23,6,FALSE)</f>
        <v>20</v>
      </c>
      <c r="CC97" s="585" t="e">
        <f>VLOOKUP(M97,Consulta!$AD$6:$AI$19,4,FALSE)</f>
        <v>#N/A</v>
      </c>
      <c r="CD97" s="585" t="e">
        <f>VLOOKUP(M97,Consulta!$AD$6:$AI$19,6,FALSE)</f>
        <v>#N/A</v>
      </c>
      <c r="CE97" s="585" t="e">
        <f>VLOOKUP(M97,Consulta!$AR$6:$AW$19,4,FALSE)</f>
        <v>#N/A</v>
      </c>
      <c r="CF97" s="586" t="e">
        <f>VLOOKUP(M97,Consulta!$AR$6:$AW$19,6,FALSE)</f>
        <v>#N/A</v>
      </c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</row>
    <row r="98" spans="1:212" s="532" customFormat="1" ht="16.5" customHeight="1" x14ac:dyDescent="0.2">
      <c r="A98" s="571"/>
      <c r="B98" s="1115"/>
      <c r="C98" s="820" t="s">
        <v>858</v>
      </c>
      <c r="D98" s="701">
        <f>6*35.5/1000</f>
        <v>0.21299999999999999</v>
      </c>
      <c r="E98" s="701">
        <f>4.17+2.46+4.17+1.13+4.7+10.13+9.74</f>
        <v>36.5</v>
      </c>
      <c r="F98" s="701" t="s">
        <v>244</v>
      </c>
      <c r="G98" s="701" t="s">
        <v>808</v>
      </c>
      <c r="H98" s="701">
        <v>1</v>
      </c>
      <c r="I98" s="765" t="s">
        <v>13</v>
      </c>
      <c r="J98" s="701" t="s">
        <v>242</v>
      </c>
      <c r="K98" s="701" t="s">
        <v>363</v>
      </c>
      <c r="L98" s="701">
        <v>1</v>
      </c>
      <c r="M98" s="702">
        <v>1.5</v>
      </c>
      <c r="N98" s="701" t="s">
        <v>453</v>
      </c>
      <c r="O98" s="701">
        <v>13</v>
      </c>
      <c r="P98" s="555">
        <f t="shared" si="108"/>
        <v>16.5</v>
      </c>
      <c r="Q98" s="701">
        <v>3</v>
      </c>
      <c r="R98" s="701">
        <v>0.6</v>
      </c>
      <c r="S98" s="555">
        <f t="shared" si="95"/>
        <v>0.92608695652173911</v>
      </c>
      <c r="T98" s="712">
        <f t="shared" si="84"/>
        <v>9.9</v>
      </c>
      <c r="U98" s="701" t="s">
        <v>499</v>
      </c>
      <c r="V98" s="555">
        <v>10</v>
      </c>
      <c r="W98" s="701">
        <f>IF(U98="C.C.Fusíveis",VLOOKUP(V98,Consulta!$L$5:$N$31,3,FALSE),VLOOKUP(V98,Consulta!$P$5:$R$34,3,FALSE))</f>
        <v>13.5</v>
      </c>
      <c r="X98" s="713">
        <f t="shared" si="93"/>
        <v>24</v>
      </c>
      <c r="Y98" s="822">
        <f t="shared" si="85"/>
        <v>9.3544137022397889E-2</v>
      </c>
      <c r="Z98" s="706" t="str">
        <f t="shared" si="94"/>
        <v>Sim</v>
      </c>
      <c r="AA98" s="767">
        <f t="shared" si="96"/>
        <v>6.5243555363796182E-2</v>
      </c>
      <c r="AB98" s="767">
        <f t="shared" si="97"/>
        <v>0.68437499999999984</v>
      </c>
      <c r="AC98" s="767">
        <f t="shared" si="98"/>
        <v>0</v>
      </c>
      <c r="AD98" s="703">
        <f t="shared" si="104"/>
        <v>1.7498652207576615</v>
      </c>
      <c r="AE98" s="703">
        <f t="shared" si="99"/>
        <v>1.2675815217391302</v>
      </c>
      <c r="AF98" s="703">
        <f t="shared" si="100"/>
        <v>3.0174467424967917</v>
      </c>
      <c r="AG98" s="704">
        <f t="shared" si="105"/>
        <v>5.5112240075614353E-3</v>
      </c>
      <c r="AH98" s="768">
        <f t="shared" si="105"/>
        <v>1.3119333663029529E-2</v>
      </c>
      <c r="AI98" s="703">
        <f t="shared" si="101"/>
        <v>0.3068227145049513</v>
      </c>
      <c r="AJ98" s="701">
        <v>3</v>
      </c>
      <c r="AK98" s="703">
        <v>0.1</v>
      </c>
      <c r="AL98" s="713">
        <f t="shared" si="89"/>
        <v>115</v>
      </c>
      <c r="AM98" s="703">
        <f t="shared" si="90"/>
        <v>0.8437031440967202</v>
      </c>
      <c r="AN98" s="706">
        <f t="shared" si="86"/>
        <v>1</v>
      </c>
      <c r="AO98" s="706" t="s">
        <v>563</v>
      </c>
      <c r="AP98" s="706" t="s">
        <v>523</v>
      </c>
      <c r="AQ98" s="706" t="str">
        <f t="shared" si="87"/>
        <v>3G</v>
      </c>
      <c r="AR98" s="706">
        <f t="shared" si="88"/>
        <v>1.5</v>
      </c>
      <c r="AS98" s="893" t="str">
        <f t="shared" si="91"/>
        <v/>
      </c>
      <c r="AT98" s="893" t="str">
        <f>IF(OR(AQ98="3G",AQ98="5G"),"",VLOOKUP(AR98,Consulta!$T$5:$U$25,2,FALSE))</f>
        <v/>
      </c>
      <c r="AU98" s="894" t="s">
        <v>565</v>
      </c>
      <c r="AV98" s="706" t="s">
        <v>23</v>
      </c>
      <c r="AW98" s="706" t="s">
        <v>564</v>
      </c>
      <c r="AX98" s="706">
        <f t="shared" si="103"/>
        <v>20</v>
      </c>
      <c r="AY98" s="707" t="s">
        <v>24</v>
      </c>
      <c r="AZ98" s="564"/>
      <c r="BA98" s="584">
        <f>IF(AND(J98="Cobre",F98="Monofásico"),VLOOKUP(M98,'Iz''s'!$B$8:$E$23,2,FALSE),IF(AND(J98="Cobre",F98="Trifásico"),VLOOKUP(M98,'Iz''s'!$L$8:$O$23,2,FALSE),IF(AND(J98="Alumínio",F98="Monofásico"),VLOOKUP(M98,'Iz''s'!$B$25:$E$39,2,FALSE),IF(AND(J98="Alumínio",F98="Trifásico"),VLOOKUP(M98,'Iz''s'!$L$25:$O$39,2,FALSE)))))</f>
        <v>14.5</v>
      </c>
      <c r="BB98" s="531">
        <f>IF(AND(J98="Cobre",F98="Monofásico"),VLOOKUP(M98,'Iz''s'!$CD$9:$CH$24,2,FALSE),IF(AND(J98="Cobre",F98="Trifásico"),VLOOKUP(M98,'Iz''s'!$CD$9:$CH$24,4,FALSE),IF(AND(J98="Alumínio",F98="Monofásico"),VLOOKUP(M98,'Iz''s'!$CD$26:$CH$40,2,FALSE),IF(AND(J98="Alumínio",F98="Trifásico"),VLOOKUP(M98,'Iz''s'!$CD$26:$CH$40,4,FALSE)))))</f>
        <v>14</v>
      </c>
      <c r="BC98" s="531">
        <f>IF(AND(J98="Cobre",F98="Monofásico"),VLOOKUP(M98,'Iz''s'!$B$8:$E$23,3,FALSE),IF(AND(J98="Cobre",F98="Trifásico"),VLOOKUP(M98,'Iz''s'!$L$8:$O$23,3,FALSE),IF(AND(J98="Alumínio",F98="Monofásico"),VLOOKUP(M98,'Iz''s'!$B$25:$E$39,3,FALSE),IF(AND(J98="Alumínio",F98="Trifásico"),VLOOKUP(M98,'Iz''s'!$L$25:$O$39,3,FALSE)))))</f>
        <v>17.5</v>
      </c>
      <c r="BD98" s="531">
        <f>IF(AND(J98="Cobre",F98="Monofásico"),VLOOKUP(M98,'Iz''s'!$CD$9:$CH$24,3,FALSE),IF(AND(J98="Cobre",F98="Trifásico"),VLOOKUP(M98,'Iz''s'!$CD$9:$CH$24,5,FALSE),IF(AND(J98="Alumínio",F98="Monofásico"),VLOOKUP(M98,'Iz''s'!$CD$26:$CH$40,3,FALSE),IF(AND(J98="Alumínio",F98="Trifásico"),VLOOKUP(M98,'Iz''s'!$CD$26:$CH$40,5,FALSE)))))</f>
        <v>16.5</v>
      </c>
      <c r="BE98" s="531">
        <f>IF(AND(J98="Cobre",F98="Monofásico"),VLOOKUP(M98,'Iz''s'!$B$8:$E$23,4,FALSE),IF(AND(J98="Cobre",F98="Trifásico"),VLOOKUP(M98,'Iz''s'!$L$8:$O$23,4,FALSE),IF(AND(J98="Alumínio",F98="Monofásico"),VLOOKUP(M98,'Iz''s'!$B$25:$E$39,4,FALSE),IF(AND(J98="Alumínio",F98="Trifásico"),VLOOKUP(M98,'Iz''s'!$L$25:$O$39,4,FALSE)))))</f>
        <v>19.5</v>
      </c>
      <c r="BF98" s="531">
        <f>IF(AND(J98="Cobre",F98="Monofásico"),VLOOKUP(M98,'Iz''s'!$CP$9:$CT$24,3,FALSE),IF(AND(J98="Cobre",F98="Trifásico"),VLOOKUP(M98,'Iz''s'!$CP$9:$CT$24,2,FALSE),IF(AND(J98="Alumínio",F98="Monofásico"),VLOOKUP(M98,'Iz''s'!$CP$26:$CT$37,3,FALSE),IF(AND(J98="Alumínio",F98="Trifásico"),VLOOKUP(M98,'Iz''s'!$CP$26:$CT$37,2,FALSE)))))</f>
        <v>32</v>
      </c>
      <c r="BG98" s="531">
        <f>IF(AND(J98="Cobre",F98="Monofásico"),VLOOKUP(M98,'Iz''s'!$AT$10:$BA$28,2,FALSE),IF(AND(J98="Cobre",F98="Trifásico"),VLOOKUP(M98,'Iz''s'!$AT$10:$BA$28,3,FALSE),IF(AND(J98="Alumínio",F98="Monofásico"),VLOOKUP(M98,'Iz''s'!$BC$10:$BJ$27,2,FALSE),IF(AND(J98="Alumínio",F98="Trifásico"),VLOOKUP(M98,'Iz''s'!$BC$10:$BJ$27,3,FALSE)))))</f>
        <v>22</v>
      </c>
      <c r="BH98" s="609" t="str">
        <f>IF(AND(J98="Cobre",F98="Monofásico"),VLOOKUP(M98,'Iz''s'!$AT$10:$BA$28,4,FALSE),IF(AND(J98="Cobre",F98="Trifásico"),VLOOKUP(M98,'Iz''s'!$AT$10:$BA$28,5,FALSE),IF(AND(J98="Alumínio",F98="Monofásico"),VLOOKUP(M98,'Iz''s'!$BC$10:$BJ$27,4,FALSE),IF(AND(J98="Alumínio",F98="Trifásico"),VLOOKUP(M98,'Iz''s'!$BC$10:$BJ$27,5,FALSE)))))</f>
        <v xml:space="preserve"> --- </v>
      </c>
      <c r="BI98" s="609" t="str">
        <f>IF(AND(J98="Cobre",F98="Monofásico"),"N/A",IF(AND(J98="Cobre",F98="Trifásico"),VLOOKUP(M98,'Iz''s'!$AT$10:$BA$28,8,FALSE),IF(AND(J98="Alumínio",F98="Monofásico"),"N/A",IF(AND(J98="Alumínio",F98="Trifásico"),VLOOKUP(M98,'Iz''s'!$BC$10:$BJ$27,8,FALSE)))))</f>
        <v>N/A</v>
      </c>
      <c r="BJ98" s="531">
        <f>IF(AND(J98="Cobre",F98="Monofásico"),VLOOKUP(M98,'Iz''s'!$G$8:$J$23,2,FALSE),IF(AND(J98="Cobre",F98="Trifásico"),VLOOKUP(M98,'Iz''s'!$Q$8:$T$23,2,FALSE),IF(AND(J98="Alumínio",F98="Monofásico"),VLOOKUP(M98,'Iz''s'!$G$25:$J$39,2,FALSE),IF(AND(J98="Alumínio",F98="Trifásico"),VLOOKUP(M98,'Iz''s'!$Q$25:$T$39,2,FALSE)))))</f>
        <v>19</v>
      </c>
      <c r="BK98" s="609">
        <f>IF(AND(J98="Cobre",F98="Monofásico"),VLOOKUP(M98,'Iz''s'!$CJ$9:$CN$24,2,FALSE),IF(AND(J98="Cobre",F98="Trifásico"),VLOOKUP(M98,'Iz''s'!$CJ$9:$CN$24,4,FALSE),IF(AND(J98="Alumínio",F98="Monofásico"),VLOOKUP(M98,'Iz''s'!$CJ$26:$CN$40,2,FALSE),IF(AND(J98="Alumínio",F98="Trifásico"),VLOOKUP(M98,'Iz''s'!$CJ$26:$CN$40,4,FALSE)))))</f>
        <v>18.5</v>
      </c>
      <c r="BL98" s="609">
        <f>IF(AND(J98="Cobre",F98="Monofásico"),VLOOKUP(M98,'Iz''s'!$G$8:$J$23,3,FALSE),IF(AND(J98="Cobre",F98="Trifásico"),VLOOKUP(M98,'Iz''s'!$Q$8:$T$23,3,FALSE),IF(AND(J98="Alumínio",F98="Monofásico"),VLOOKUP(M98,'Iz''s'!$G$25:$J$39,3,FALSE),IF(AND(J98="Alumínio",F98="Trifásico"),VLOOKUP(M98,'Iz''s'!$Q$25:$T$39,3,FALSE)))))</f>
        <v>23</v>
      </c>
      <c r="BM98" s="609">
        <f>IF(AND(J98="Cobre",F98="Monofásico"),VLOOKUP(M98,'Iz''s'!$CJ$9:$CN$24,3,FALSE),IF(AND(J98="Cobre",F98="Trifásico"),VLOOKUP(M98,'Iz''s'!$CJ$9:$CN$24,5,FALSE),IF(AND(J98="Alumínio",F98="Monofásico"),VLOOKUP(M98,'Iz''s'!$CJ$26:$CN$40,3,FALSE),IF(AND(J98="Alumínio",F98="Trifásico"),VLOOKUP(M98,'Iz''s'!$CJ$26:$CN$40,5,FALSE)))))</f>
        <v>22</v>
      </c>
      <c r="BN98" s="609">
        <f>IF(AND(J98="Cobre",F98="Monofásico"),VLOOKUP(M98,'Iz''s'!$G$8:$J$23,4,FALSE),IF(AND(J98="Cobre",F98="Trifásico"),VLOOKUP(M98,'Iz''s'!$Q$8:$T$23,4,FALSE),IF(AND(J98="Alumínio",F98="Monofásico"),VLOOKUP(M98,'Iz''s'!$G$25:$J$39,4,FALSE),IF(AND(J98="Alumínio",F98="Trifásico"),VLOOKUP(M98,'Iz''s'!$Q$25:$T$39,4,FALSE)))))</f>
        <v>24</v>
      </c>
      <c r="BO98" s="609">
        <f>IF(AND(J98="Cobre",F98="Monofásico"),VLOOKUP(M98,'Iz''s'!$CP$9:$CT$24,5,FALSE),IF(AND(J98="Cobre",F98="Trifásico"),VLOOKUP(M98,'Iz''s'!$CP$9:$CT$24,4,FALSE),IF(AND(J98="Alumínio",F98="Monofásico"),VLOOKUP(M98,'Iz''s'!$CP$26:$CT$37,5,FALSE),IF(AND(J98="Alumínio",F98="Trifásico"),VLOOKUP(M98,'Iz''s'!$CP$26:$CT$37,4,FALSE)))))</f>
        <v>37</v>
      </c>
      <c r="BP98" s="609">
        <f>IF(AND(J98="Cobre",F98="Monofásico"),VLOOKUP(M98,'Iz''s'!$BL$10:$BS$28,2,FALSE),IF(AND(J98="Cobre",F98="Trifásico"),VLOOKUP(M98,'Iz''s'!$BL$10:$BS$28,3,FALSE),IF(AND(J98="Alumínio",F98="Monofásico"),VLOOKUP(M98,'Iz''s'!$BU$10:$CB$27,2,FALSE),IF(AND(J98="Alumínio",F98="Trifásico"),VLOOKUP(M98,'Iz''s'!$BU$10:$CB$27,3,FALSE)))))</f>
        <v>26</v>
      </c>
      <c r="BQ98" s="531" t="str">
        <f>IF(AND(J98="Cobre",F98="Monofásico"),VLOOKUP(M98,'Iz''s'!$BL$10:$BS$28,4,FALSE),IF(AND(J98="Cobre",F98="Trifásico"),VLOOKUP(M98,'Iz''s'!$BL$10:$BS$28,5,FALSE),IF(AND(J98="Alumínio",F98="Monofásico"),VLOOKUP(M98,'Iz''s'!$BU$10:$CB$27,4,FALSE),IF(AND(J98="Alumínio",F98="Trifásico"),VLOOKUP(M98,'Iz''s'!$BU$10:$CB$27,5,FALSE)))))</f>
        <v xml:space="preserve"> --- </v>
      </c>
      <c r="BR98" s="609" t="str">
        <f>IF(AND(J98="Cobre",F98="Monofásico"),"N/A",IF(AND(J98="Cobre",F98="Trifásico"),VLOOKUP(M98,'Iz''s'!$BL$10:$BS$28,8,FALSE),IF(AND(J98="Alumínio",F98="Monofásico"),"N/A",IF(AND(J98="Alumínio",F98="Trifásico"),VLOOKUP(M98,'Iz''s'!$BU$10:$CB$27,8,FALSE)))))</f>
        <v>N/A</v>
      </c>
      <c r="BS98" s="609">
        <f>IF(AND(J98="Cobre",F98="Monofásico"),VLOOKUP(M98,'Iz''s'!$V$14:$Y$28,2,FALSE),IF(AND(J98="Cobre",F98="Trifásico"),VLOOKUP(M98,'Iz''s'!$V$14:$Y$28,3,FALSE),IF(AND(J98="Alumínio",F98="Monofásico"),VLOOKUP(M98,"N/A",4,FALSE),IF(AND(J98="Alumínio",F98="Trifásico"),VLOOKUP(M98,"N/A",4,FALSE)))))</f>
        <v>25</v>
      </c>
      <c r="BT98" s="609">
        <f>IF(AND(J98="Cobre",F98="Monofásico"),VLOOKUP(M98,'Iz''s'!$AF$15:$AK$29,2,FALSE),IF(AND(J98="Cobre",F98="Trifásico"),VLOOKUP(M98,'Iz''s'!$AF$15:$AK$29,3,FALSE),IF(AND(J98="Alumínio",F98="Monofásico"),"N/A",IF(AND(J98="Alumínio",F98="Trifásico"),"N/A"))))</f>
        <v>26</v>
      </c>
      <c r="BU98" s="609">
        <f>IF(AND(J98="Cobre",F98="Monofásico"),VLOOKUP(M98,'Iz''s'!$AF$15:$AK$29,2,FALSE),IF(AND(J98="Cobre",F98="Trifásico"),VLOOKUP(M98,'Iz''s'!$AF$15:$AK$29,3,FALSE),IF(AND(J98="Alumínio",F98="Monofásico"),"N/A",IF(AND(J98="Alumínio",F98="Trifásico"),"N/A"))))</f>
        <v>26</v>
      </c>
      <c r="BV98" s="610" t="str">
        <f>IF(AND(J98="Cobre",F98="Monofásico"),"N/A",IF(AND(J98="Cobre",F98="Trifásico"),VLOOKUP(M98,'Iz''s'!$AF$15:$AK$29,6,FALSE),IF(AND(J98="Alumínio",F98="Monofásico"),"N/A",IF(AND(J98="Alumínio",F98="Trifásico"),"N/A"))))</f>
        <v>N/A</v>
      </c>
      <c r="BW98" s="611">
        <v>96</v>
      </c>
      <c r="BX98" s="565"/>
      <c r="BY98" s="612">
        <f>VLOOKUP(M98,Consulta!$W$6:$AB$23,4,FALSE)</f>
        <v>16</v>
      </c>
      <c r="BZ98" s="612">
        <f>VLOOKUP(M98,Consulta!$W$6:$AB$23,6,FALSE)</f>
        <v>20</v>
      </c>
      <c r="CA98" s="612">
        <f>VLOOKUP(M98,Consulta!$AK$6:$AP$23,4,FALSE)</f>
        <v>20</v>
      </c>
      <c r="CB98" s="612">
        <f>VLOOKUP(M98,Consulta!$AK$6:$AP$23,6,FALSE)</f>
        <v>20</v>
      </c>
      <c r="CC98" s="585" t="e">
        <f>VLOOKUP(M98,Consulta!$AD$6:$AI$19,4,FALSE)</f>
        <v>#N/A</v>
      </c>
      <c r="CD98" s="585" t="e">
        <f>VLOOKUP(M98,Consulta!$AD$6:$AI$19,6,FALSE)</f>
        <v>#N/A</v>
      </c>
      <c r="CE98" s="585" t="e">
        <f>VLOOKUP(M98,Consulta!$AR$6:$AW$19,4,FALSE)</f>
        <v>#N/A</v>
      </c>
      <c r="CF98" s="586" t="e">
        <f>VLOOKUP(M98,Consulta!$AR$6:$AW$19,6,FALSE)</f>
        <v>#N/A</v>
      </c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</row>
    <row r="99" spans="1:212" s="532" customFormat="1" ht="16.5" customHeight="1" x14ac:dyDescent="0.2">
      <c r="A99" s="571"/>
      <c r="B99" s="1115"/>
      <c r="C99" s="816" t="s">
        <v>795</v>
      </c>
      <c r="D99" s="722">
        <v>1.6</v>
      </c>
      <c r="E99" s="722">
        <f>3.2+10.25+4.8+1.52+1</f>
        <v>20.77</v>
      </c>
      <c r="F99" s="722" t="s">
        <v>244</v>
      </c>
      <c r="G99" s="722" t="s">
        <v>808</v>
      </c>
      <c r="H99" s="722">
        <v>0.8</v>
      </c>
      <c r="I99" s="723" t="s">
        <v>13</v>
      </c>
      <c r="J99" s="722" t="s">
        <v>242</v>
      </c>
      <c r="K99" s="722" t="s">
        <v>363</v>
      </c>
      <c r="L99" s="722">
        <v>1</v>
      </c>
      <c r="M99" s="724">
        <v>1.5</v>
      </c>
      <c r="N99" s="722" t="s">
        <v>453</v>
      </c>
      <c r="O99" s="722">
        <v>4</v>
      </c>
      <c r="P99" s="555">
        <f t="shared" si="108"/>
        <v>16.5</v>
      </c>
      <c r="Q99" s="722">
        <v>3</v>
      </c>
      <c r="R99" s="722">
        <v>1</v>
      </c>
      <c r="S99" s="555">
        <f t="shared" si="95"/>
        <v>8.695652173913043</v>
      </c>
      <c r="T99" s="725">
        <f t="shared" si="84"/>
        <v>16.5</v>
      </c>
      <c r="U99" s="722" t="s">
        <v>499</v>
      </c>
      <c r="V99" s="555">
        <v>10</v>
      </c>
      <c r="W99" s="722">
        <f>IF(U99="C.C.Fusíveis",VLOOKUP(V99,Consulta!$L$5:$N$31,3,FALSE),VLOOKUP(V99,Consulta!$P$5:$R$34,3,FALSE))</f>
        <v>13.5</v>
      </c>
      <c r="X99" s="736">
        <f t="shared" si="93"/>
        <v>24</v>
      </c>
      <c r="Y99" s="817">
        <f t="shared" si="85"/>
        <v>0.52700922266139649</v>
      </c>
      <c r="Z99" s="737" t="str">
        <f t="shared" si="94"/>
        <v>Sim</v>
      </c>
      <c r="AA99" s="770">
        <f t="shared" si="96"/>
        <v>6.5243555363796182E-2</v>
      </c>
      <c r="AB99" s="770">
        <f t="shared" ref="AB99:AB102" si="109">(IF(J99="Cobre",(1.25*0.0225),(1.25*0.036)))*((E98/M99)/L99)</f>
        <v>0.68437499999999984</v>
      </c>
      <c r="AC99" s="770">
        <f t="shared" ref="AC99:AC102" si="110">(IF(M99&lt;10,0,(0.00008)))*(E98)</f>
        <v>0</v>
      </c>
      <c r="AD99" s="726">
        <f t="shared" si="104"/>
        <v>1.7498652207576615</v>
      </c>
      <c r="AE99" s="726">
        <f t="shared" si="99"/>
        <v>9.5217391304347796</v>
      </c>
      <c r="AF99" s="726">
        <f t="shared" si="100"/>
        <v>11.27160435119244</v>
      </c>
      <c r="AG99" s="727">
        <f t="shared" si="105"/>
        <v>4.1398865784499042E-2</v>
      </c>
      <c r="AH99" s="771">
        <f t="shared" si="105"/>
        <v>4.9006975439967133E-2</v>
      </c>
      <c r="AI99" s="726">
        <f t="shared" si="101"/>
        <v>0.3068227145049513</v>
      </c>
      <c r="AJ99" s="722">
        <v>3</v>
      </c>
      <c r="AK99" s="726">
        <v>0.1</v>
      </c>
      <c r="AL99" s="736">
        <f t="shared" si="89"/>
        <v>115</v>
      </c>
      <c r="AM99" s="726">
        <f t="shared" si="90"/>
        <v>0.8437031440967202</v>
      </c>
      <c r="AN99" s="737">
        <f t="shared" si="86"/>
        <v>1</v>
      </c>
      <c r="AO99" s="737" t="s">
        <v>563</v>
      </c>
      <c r="AP99" s="737" t="s">
        <v>523</v>
      </c>
      <c r="AQ99" s="737" t="str">
        <f t="shared" si="87"/>
        <v>3G</v>
      </c>
      <c r="AR99" s="737">
        <f t="shared" si="88"/>
        <v>1.5</v>
      </c>
      <c r="AS99" s="889" t="str">
        <f t="shared" si="91"/>
        <v/>
      </c>
      <c r="AT99" s="889" t="str">
        <f>IF(OR(AQ99="3G",AQ99="5G"),"",VLOOKUP(AR99,Consulta!$T$5:$U$25,2,FALSE))</f>
        <v/>
      </c>
      <c r="AU99" s="890" t="s">
        <v>565</v>
      </c>
      <c r="AV99" s="737" t="s">
        <v>23</v>
      </c>
      <c r="AW99" s="737" t="s">
        <v>564</v>
      </c>
      <c r="AX99" s="737">
        <f t="shared" si="103"/>
        <v>20</v>
      </c>
      <c r="AY99" s="738" t="s">
        <v>24</v>
      </c>
      <c r="AZ99" s="564"/>
      <c r="BA99" s="584">
        <f>IF(AND(J99="Cobre",F99="Monofásico"),VLOOKUP(M99,'Iz''s'!$B$8:$E$23,2,FALSE),IF(AND(J99="Cobre",F99="Trifásico"),VLOOKUP(M99,'Iz''s'!$L$8:$O$23,2,FALSE),IF(AND(J99="Alumínio",F99="Monofásico"),VLOOKUP(M99,'Iz''s'!$B$25:$E$39,2,FALSE),IF(AND(J99="Alumínio",F99="Trifásico"),VLOOKUP(M99,'Iz''s'!$L$25:$O$39,2,FALSE)))))</f>
        <v>14.5</v>
      </c>
      <c r="BB99" s="531">
        <f>IF(AND(J99="Cobre",F99="Monofásico"),VLOOKUP(M99,'Iz''s'!$CD$9:$CH$24,2,FALSE),IF(AND(J99="Cobre",F99="Trifásico"),VLOOKUP(M99,'Iz''s'!$CD$9:$CH$24,4,FALSE),IF(AND(J99="Alumínio",F99="Monofásico"),VLOOKUP(M99,'Iz''s'!$CD$26:$CH$40,2,FALSE),IF(AND(J99="Alumínio",F99="Trifásico"),VLOOKUP(M99,'Iz''s'!$CD$26:$CH$40,4,FALSE)))))</f>
        <v>14</v>
      </c>
      <c r="BC99" s="531">
        <f>IF(AND(J99="Cobre",F99="Monofásico"),VLOOKUP(M99,'Iz''s'!$B$8:$E$23,3,FALSE),IF(AND(J99="Cobre",F99="Trifásico"),VLOOKUP(M99,'Iz''s'!$L$8:$O$23,3,FALSE),IF(AND(J99="Alumínio",F99="Monofásico"),VLOOKUP(M99,'Iz''s'!$B$25:$E$39,3,FALSE),IF(AND(J99="Alumínio",F99="Trifásico"),VLOOKUP(M99,'Iz''s'!$L$25:$O$39,3,FALSE)))))</f>
        <v>17.5</v>
      </c>
      <c r="BD99" s="531">
        <f>IF(AND(J99="Cobre",F99="Monofásico"),VLOOKUP(M99,'Iz''s'!$CD$9:$CH$24,3,FALSE),IF(AND(J99="Cobre",F99="Trifásico"),VLOOKUP(M99,'Iz''s'!$CD$9:$CH$24,5,FALSE),IF(AND(J99="Alumínio",F99="Monofásico"),VLOOKUP(M99,'Iz''s'!$CD$26:$CH$40,3,FALSE),IF(AND(J99="Alumínio",F99="Trifásico"),VLOOKUP(M99,'Iz''s'!$CD$26:$CH$40,5,FALSE)))))</f>
        <v>16.5</v>
      </c>
      <c r="BE99" s="531">
        <f>IF(AND(J99="Cobre",F99="Monofásico"),VLOOKUP(M99,'Iz''s'!$B$8:$E$23,4,FALSE),IF(AND(J99="Cobre",F99="Trifásico"),VLOOKUP(M99,'Iz''s'!$L$8:$O$23,4,FALSE),IF(AND(J99="Alumínio",F99="Monofásico"),VLOOKUP(M99,'Iz''s'!$B$25:$E$39,4,FALSE),IF(AND(J99="Alumínio",F99="Trifásico"),VLOOKUP(M99,'Iz''s'!$L$25:$O$39,4,FALSE)))))</f>
        <v>19.5</v>
      </c>
      <c r="BF99" s="531">
        <f>IF(AND(J99="Cobre",F99="Monofásico"),VLOOKUP(M99,'Iz''s'!$CP$9:$CT$24,3,FALSE),IF(AND(J99="Cobre",F99="Trifásico"),VLOOKUP(M99,'Iz''s'!$CP$9:$CT$24,2,FALSE),IF(AND(J99="Alumínio",F99="Monofásico"),VLOOKUP(M99,'Iz''s'!$CP$26:$CT$37,3,FALSE),IF(AND(J99="Alumínio",F99="Trifásico"),VLOOKUP(M99,'Iz''s'!$CP$26:$CT$37,2,FALSE)))))</f>
        <v>32</v>
      </c>
      <c r="BG99" s="531">
        <f>IF(AND(J99="Cobre",F99="Monofásico"),VLOOKUP(M99,'Iz''s'!$AT$10:$BA$28,2,FALSE),IF(AND(J99="Cobre",F99="Trifásico"),VLOOKUP(M99,'Iz''s'!$AT$10:$BA$28,3,FALSE),IF(AND(J99="Alumínio",F99="Monofásico"),VLOOKUP(M99,'Iz''s'!$BC$10:$BJ$27,2,FALSE),IF(AND(J99="Alumínio",F99="Trifásico"),VLOOKUP(M99,'Iz''s'!$BC$10:$BJ$27,3,FALSE)))))</f>
        <v>22</v>
      </c>
      <c r="BH99" s="609" t="str">
        <f>IF(AND(J99="Cobre",F99="Monofásico"),VLOOKUP(M99,'Iz''s'!$AT$10:$BA$28,4,FALSE),IF(AND(J99="Cobre",F99="Trifásico"),VLOOKUP(M99,'Iz''s'!$AT$10:$BA$28,5,FALSE),IF(AND(J99="Alumínio",F99="Monofásico"),VLOOKUP(M99,'Iz''s'!$BC$10:$BJ$27,4,FALSE),IF(AND(J99="Alumínio",F99="Trifásico"),VLOOKUP(M99,'Iz''s'!$BC$10:$BJ$27,5,FALSE)))))</f>
        <v xml:space="preserve"> --- </v>
      </c>
      <c r="BI99" s="609" t="str">
        <f>IF(AND(J99="Cobre",F99="Monofásico"),"N/A",IF(AND(J99="Cobre",F99="Trifásico"),VLOOKUP(M99,'Iz''s'!$AT$10:$BA$28,8,FALSE),IF(AND(J99="Alumínio",F99="Monofásico"),"N/A",IF(AND(J99="Alumínio",F99="Trifásico"),VLOOKUP(M99,'Iz''s'!$BC$10:$BJ$27,8,FALSE)))))</f>
        <v>N/A</v>
      </c>
      <c r="BJ99" s="531">
        <f>IF(AND(J99="Cobre",F99="Monofásico"),VLOOKUP(M99,'Iz''s'!$G$8:$J$23,2,FALSE),IF(AND(J99="Cobre",F99="Trifásico"),VLOOKUP(M99,'Iz''s'!$Q$8:$T$23,2,FALSE),IF(AND(J99="Alumínio",F99="Monofásico"),VLOOKUP(M99,'Iz''s'!$G$25:$J$39,2,FALSE),IF(AND(J99="Alumínio",F99="Trifásico"),VLOOKUP(M99,'Iz''s'!$Q$25:$T$39,2,FALSE)))))</f>
        <v>19</v>
      </c>
      <c r="BK99" s="609">
        <f>IF(AND(J99="Cobre",F99="Monofásico"),VLOOKUP(M99,'Iz''s'!$CJ$9:$CN$24,2,FALSE),IF(AND(J99="Cobre",F99="Trifásico"),VLOOKUP(M99,'Iz''s'!$CJ$9:$CN$24,4,FALSE),IF(AND(J99="Alumínio",F99="Monofásico"),VLOOKUP(M99,'Iz''s'!$CJ$26:$CN$40,2,FALSE),IF(AND(J99="Alumínio",F99="Trifásico"),VLOOKUP(M99,'Iz''s'!$CJ$26:$CN$40,4,FALSE)))))</f>
        <v>18.5</v>
      </c>
      <c r="BL99" s="609">
        <f>IF(AND(J99="Cobre",F99="Monofásico"),VLOOKUP(M99,'Iz''s'!$G$8:$J$23,3,FALSE),IF(AND(J99="Cobre",F99="Trifásico"),VLOOKUP(M99,'Iz''s'!$Q$8:$T$23,3,FALSE),IF(AND(J99="Alumínio",F99="Monofásico"),VLOOKUP(M99,'Iz''s'!$G$25:$J$39,3,FALSE),IF(AND(J99="Alumínio",F99="Trifásico"),VLOOKUP(M99,'Iz''s'!$Q$25:$T$39,3,FALSE)))))</f>
        <v>23</v>
      </c>
      <c r="BM99" s="609">
        <f>IF(AND(J99="Cobre",F99="Monofásico"),VLOOKUP(M99,'Iz''s'!$CJ$9:$CN$24,3,FALSE),IF(AND(J99="Cobre",F99="Trifásico"),VLOOKUP(M99,'Iz''s'!$CJ$9:$CN$24,5,FALSE),IF(AND(J99="Alumínio",F99="Monofásico"),VLOOKUP(M99,'Iz''s'!$CJ$26:$CN$40,3,FALSE),IF(AND(J99="Alumínio",F99="Trifásico"),VLOOKUP(M99,'Iz''s'!$CJ$26:$CN$40,5,FALSE)))))</f>
        <v>22</v>
      </c>
      <c r="BN99" s="609">
        <f>IF(AND(J99="Cobre",F99="Monofásico"),VLOOKUP(M99,'Iz''s'!$G$8:$J$23,4,FALSE),IF(AND(J99="Cobre",F99="Trifásico"),VLOOKUP(M99,'Iz''s'!$Q$8:$T$23,4,FALSE),IF(AND(J99="Alumínio",F99="Monofásico"),VLOOKUP(M99,'Iz''s'!$G$25:$J$39,4,FALSE),IF(AND(J99="Alumínio",F99="Trifásico"),VLOOKUP(M99,'Iz''s'!$Q$25:$T$39,4,FALSE)))))</f>
        <v>24</v>
      </c>
      <c r="BO99" s="609">
        <f>IF(AND(J99="Cobre",F99="Monofásico"),VLOOKUP(M99,'Iz''s'!$CP$9:$CT$24,5,FALSE),IF(AND(J99="Cobre",F99="Trifásico"),VLOOKUP(M99,'Iz''s'!$CP$9:$CT$24,4,FALSE),IF(AND(J99="Alumínio",F99="Monofásico"),VLOOKUP(M99,'Iz''s'!$CP$26:$CT$37,5,FALSE),IF(AND(J99="Alumínio",F99="Trifásico"),VLOOKUP(M99,'Iz''s'!$CP$26:$CT$37,4,FALSE)))))</f>
        <v>37</v>
      </c>
      <c r="BP99" s="609">
        <f>IF(AND(J99="Cobre",F99="Monofásico"),VLOOKUP(M99,'Iz''s'!$BL$10:$BS$28,2,FALSE),IF(AND(J99="Cobre",F99="Trifásico"),VLOOKUP(M99,'Iz''s'!$BL$10:$BS$28,3,FALSE),IF(AND(J99="Alumínio",F99="Monofásico"),VLOOKUP(M99,'Iz''s'!$BU$10:$CB$27,2,FALSE),IF(AND(J99="Alumínio",F99="Trifásico"),VLOOKUP(M99,'Iz''s'!$BU$10:$CB$27,3,FALSE)))))</f>
        <v>26</v>
      </c>
      <c r="BQ99" s="531" t="str">
        <f>IF(AND(J99="Cobre",F99="Monofásico"),VLOOKUP(M99,'Iz''s'!$BL$10:$BS$28,4,FALSE),IF(AND(J99="Cobre",F99="Trifásico"),VLOOKUP(M99,'Iz''s'!$BL$10:$BS$28,5,FALSE),IF(AND(J99="Alumínio",F99="Monofásico"),VLOOKUP(M99,'Iz''s'!$BU$10:$CB$27,4,FALSE),IF(AND(J99="Alumínio",F99="Trifásico"),VLOOKUP(M99,'Iz''s'!$BU$10:$CB$27,5,FALSE)))))</f>
        <v xml:space="preserve"> --- </v>
      </c>
      <c r="BR99" s="609" t="str">
        <f>IF(AND(J99="Cobre",F99="Monofásico"),"N/A",IF(AND(J99="Cobre",F99="Trifásico"),VLOOKUP(M99,'Iz''s'!$BL$10:$BS$28,8,FALSE),IF(AND(J99="Alumínio",F99="Monofásico"),"N/A",IF(AND(J99="Alumínio",F99="Trifásico"),VLOOKUP(M99,'Iz''s'!$BU$10:$CB$27,8,FALSE)))))</f>
        <v>N/A</v>
      </c>
      <c r="BS99" s="609">
        <f>IF(AND(J99="Cobre",F99="Monofásico"),VLOOKUP(M99,'Iz''s'!$V$14:$Y$28,2,FALSE),IF(AND(J99="Cobre",F99="Trifásico"),VLOOKUP(M99,'Iz''s'!$V$14:$Y$28,3,FALSE),IF(AND(J99="Alumínio",F99="Monofásico"),VLOOKUP(M99,"N/A",4,FALSE),IF(AND(J99="Alumínio",F99="Trifásico"),VLOOKUP(M99,"N/A",4,FALSE)))))</f>
        <v>25</v>
      </c>
      <c r="BT99" s="609">
        <f>IF(AND(J99="Cobre",F99="Monofásico"),VLOOKUP(M99,'Iz''s'!$AF$15:$AK$29,2,FALSE),IF(AND(J99="Cobre",F99="Trifásico"),VLOOKUP(M99,'Iz''s'!$AF$15:$AK$29,3,FALSE),IF(AND(J99="Alumínio",F99="Monofásico"),"N/A",IF(AND(J99="Alumínio",F99="Trifásico"),"N/A"))))</f>
        <v>26</v>
      </c>
      <c r="BU99" s="609">
        <f>IF(AND(J99="Cobre",F99="Monofásico"),VLOOKUP(M99,'Iz''s'!$AF$15:$AK$29,2,FALSE),IF(AND(J99="Cobre",F99="Trifásico"),VLOOKUP(M99,'Iz''s'!$AF$15:$AK$29,3,FALSE),IF(AND(J99="Alumínio",F99="Monofásico"),"N/A",IF(AND(J99="Alumínio",F99="Trifásico"),"N/A"))))</f>
        <v>26</v>
      </c>
      <c r="BV99" s="610" t="str">
        <f>IF(AND(J99="Cobre",F99="Monofásico"),"N/A",IF(AND(J99="Cobre",F99="Trifásico"),VLOOKUP(M99,'Iz''s'!$AF$15:$AK$29,6,FALSE),IF(AND(J99="Alumínio",F99="Monofásico"),"N/A",IF(AND(J99="Alumínio",F99="Trifásico"),"N/A"))))</f>
        <v>N/A</v>
      </c>
      <c r="BW99" s="611">
        <v>97</v>
      </c>
      <c r="BX99" s="565"/>
      <c r="BY99" s="612">
        <f>VLOOKUP(M99,Consulta!$W$6:$AB$23,4,FALSE)</f>
        <v>16</v>
      </c>
      <c r="BZ99" s="612">
        <f>VLOOKUP(M99,Consulta!$W$6:$AB$23,6,FALSE)</f>
        <v>20</v>
      </c>
      <c r="CA99" s="612">
        <f>VLOOKUP(M99,Consulta!$AK$6:$AP$23,4,FALSE)</f>
        <v>20</v>
      </c>
      <c r="CB99" s="612">
        <f>VLOOKUP(M99,Consulta!$AK$6:$AP$23,6,FALSE)</f>
        <v>20</v>
      </c>
      <c r="CC99" s="585" t="e">
        <f>VLOOKUP(M99,Consulta!$AD$6:$AI$19,4,FALSE)</f>
        <v>#N/A</v>
      </c>
      <c r="CD99" s="585" t="e">
        <f>VLOOKUP(M99,Consulta!$AD$6:$AI$19,6,FALSE)</f>
        <v>#N/A</v>
      </c>
      <c r="CE99" s="585" t="e">
        <f>VLOOKUP(M99,Consulta!$AR$6:$AW$19,4,FALSE)</f>
        <v>#N/A</v>
      </c>
      <c r="CF99" s="586" t="e">
        <f>VLOOKUP(M99,Consulta!$AR$6:$AW$19,6,FALSE)</f>
        <v>#N/A</v>
      </c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</row>
    <row r="100" spans="1:212" s="532" customFormat="1" ht="16.5" customHeight="1" x14ac:dyDescent="0.2">
      <c r="A100" s="571"/>
      <c r="B100" s="1115"/>
      <c r="C100" s="816" t="s">
        <v>796</v>
      </c>
      <c r="D100" s="722">
        <v>1.6</v>
      </c>
      <c r="E100" s="722">
        <f>7.7+1.4+0.2</f>
        <v>9.2999999999999989</v>
      </c>
      <c r="F100" s="722" t="s">
        <v>244</v>
      </c>
      <c r="G100" s="722" t="s">
        <v>808</v>
      </c>
      <c r="H100" s="722">
        <v>0.8</v>
      </c>
      <c r="I100" s="723" t="s">
        <v>13</v>
      </c>
      <c r="J100" s="722" t="s">
        <v>242</v>
      </c>
      <c r="K100" s="722" t="s">
        <v>363</v>
      </c>
      <c r="L100" s="722">
        <v>1</v>
      </c>
      <c r="M100" s="724">
        <v>2.5</v>
      </c>
      <c r="N100" s="722" t="s">
        <v>453</v>
      </c>
      <c r="O100" s="722">
        <v>4</v>
      </c>
      <c r="P100" s="555">
        <f t="shared" si="108"/>
        <v>23</v>
      </c>
      <c r="Q100" s="722">
        <v>3</v>
      </c>
      <c r="R100" s="722">
        <v>0.6</v>
      </c>
      <c r="S100" s="555">
        <f t="shared" si="95"/>
        <v>8.695652173913043</v>
      </c>
      <c r="T100" s="725">
        <f t="shared" si="84"/>
        <v>13.799999999999999</v>
      </c>
      <c r="U100" s="722" t="s">
        <v>499</v>
      </c>
      <c r="V100" s="555">
        <v>10</v>
      </c>
      <c r="W100" s="722">
        <f>IF(U100="C.C.Fusíveis",VLOOKUP(V100,Consulta!$L$5:$N$31,3,FALSE),VLOOKUP(V100,Consulta!$P$5:$R$34,3,FALSE))</f>
        <v>13.5</v>
      </c>
      <c r="X100" s="736">
        <f t="shared" si="93"/>
        <v>34</v>
      </c>
      <c r="Y100" s="817">
        <f t="shared" si="85"/>
        <v>0.63011972274732198</v>
      </c>
      <c r="Z100" s="737" t="str">
        <f t="shared" si="94"/>
        <v>Sim</v>
      </c>
      <c r="AA100" s="770">
        <f t="shared" si="96"/>
        <v>6.5243555363796182E-2</v>
      </c>
      <c r="AB100" s="770">
        <f t="shared" si="109"/>
        <v>0.23366249999999997</v>
      </c>
      <c r="AC100" s="770">
        <f t="shared" si="110"/>
        <v>0</v>
      </c>
      <c r="AD100" s="726">
        <f t="shared" si="104"/>
        <v>1.7498652207576615</v>
      </c>
      <c r="AE100" s="726">
        <f t="shared" si="99"/>
        <v>3.2509565217391301</v>
      </c>
      <c r="AF100" s="726">
        <f t="shared" si="100"/>
        <v>5.0008217424967913</v>
      </c>
      <c r="AG100" s="727">
        <f t="shared" si="105"/>
        <v>1.4134593572778827E-2</v>
      </c>
      <c r="AH100" s="771">
        <f t="shared" si="105"/>
        <v>2.174270322824692E-2</v>
      </c>
      <c r="AI100" s="726">
        <f t="shared" si="101"/>
        <v>0.76947253450609709</v>
      </c>
      <c r="AJ100" s="722">
        <v>3</v>
      </c>
      <c r="AK100" s="726">
        <v>0.1</v>
      </c>
      <c r="AL100" s="736">
        <f t="shared" si="89"/>
        <v>115</v>
      </c>
      <c r="AM100" s="726">
        <f t="shared" si="90"/>
        <v>2.1159007008537158</v>
      </c>
      <c r="AN100" s="737">
        <f t="shared" si="86"/>
        <v>1</v>
      </c>
      <c r="AO100" s="737" t="s">
        <v>563</v>
      </c>
      <c r="AP100" s="737" t="s">
        <v>523</v>
      </c>
      <c r="AQ100" s="737" t="str">
        <f t="shared" si="87"/>
        <v>3G</v>
      </c>
      <c r="AR100" s="737">
        <f t="shared" si="88"/>
        <v>2.5</v>
      </c>
      <c r="AS100" s="889" t="str">
        <f t="shared" si="91"/>
        <v/>
      </c>
      <c r="AT100" s="889" t="str">
        <f>IF(OR(AQ100="3G",AQ100="5G"),"",VLOOKUP(AR100,Consulta!$T$5:$U$25,2,FALSE))</f>
        <v/>
      </c>
      <c r="AU100" s="890" t="s">
        <v>565</v>
      </c>
      <c r="AV100" s="737" t="s">
        <v>23</v>
      </c>
      <c r="AW100" s="737" t="s">
        <v>564</v>
      </c>
      <c r="AX100" s="737">
        <f t="shared" si="103"/>
        <v>20</v>
      </c>
      <c r="AY100" s="738" t="s">
        <v>24</v>
      </c>
      <c r="AZ100" s="564"/>
      <c r="BA100" s="584">
        <f>IF(AND(J100="Cobre",F100="Monofásico"),VLOOKUP(M100,'Iz''s'!$B$8:$E$23,2,FALSE),IF(AND(J100="Cobre",F100="Trifásico"),VLOOKUP(M100,'Iz''s'!$L$8:$O$23,2,FALSE),IF(AND(J100="Alumínio",F100="Monofásico"),VLOOKUP(M100,'Iz''s'!$B$25:$E$39,2,FALSE),IF(AND(J100="Alumínio",F100="Trifásico"),VLOOKUP(M100,'Iz''s'!$L$25:$O$39,2,FALSE)))))</f>
        <v>19.5</v>
      </c>
      <c r="BB100" s="531">
        <f>IF(AND(J100="Cobre",F100="Monofásico"),VLOOKUP(M100,'Iz''s'!$CD$9:$CH$24,2,FALSE),IF(AND(J100="Cobre",F100="Trifásico"),VLOOKUP(M100,'Iz''s'!$CD$9:$CH$24,4,FALSE),IF(AND(J100="Alumínio",F100="Monofásico"),VLOOKUP(M100,'Iz''s'!$CD$26:$CH$40,2,FALSE),IF(AND(J100="Alumínio",F100="Trifásico"),VLOOKUP(M100,'Iz''s'!$CD$26:$CH$40,4,FALSE)))))</f>
        <v>18.5</v>
      </c>
      <c r="BC100" s="531">
        <f>IF(AND(J100="Cobre",F100="Monofásico"),VLOOKUP(M100,'Iz''s'!$B$8:$E$23,3,FALSE),IF(AND(J100="Cobre",F100="Trifásico"),VLOOKUP(M100,'Iz''s'!$L$8:$O$23,3,FALSE),IF(AND(J100="Alumínio",F100="Monofásico"),VLOOKUP(M100,'Iz''s'!$B$25:$E$39,3,FALSE),IF(AND(J100="Alumínio",F100="Trifásico"),VLOOKUP(M100,'Iz''s'!$L$25:$O$39,3,FALSE)))))</f>
        <v>24</v>
      </c>
      <c r="BD100" s="531">
        <f>IF(AND(J100="Cobre",F100="Monofásico"),VLOOKUP(M100,'Iz''s'!$CD$9:$CH$24,3,FALSE),IF(AND(J100="Cobre",F100="Trifásico"),VLOOKUP(M100,'Iz''s'!$CD$9:$CH$24,5,FALSE),IF(AND(J100="Alumínio",F100="Monofásico"),VLOOKUP(M100,'Iz''s'!$CD$26:$CH$40,3,FALSE),IF(AND(J100="Alumínio",F100="Trifásico"),VLOOKUP(M100,'Iz''s'!$CD$26:$CH$40,5,FALSE)))))</f>
        <v>23</v>
      </c>
      <c r="BE100" s="531">
        <f>IF(AND(J100="Cobre",F100="Monofásico"),VLOOKUP(M100,'Iz''s'!$B$8:$E$23,4,FALSE),IF(AND(J100="Cobre",F100="Trifásico"),VLOOKUP(M100,'Iz''s'!$L$8:$O$23,4,FALSE),IF(AND(J100="Alumínio",F100="Monofásico"),VLOOKUP(M100,'Iz''s'!$B$25:$E$39,4,FALSE),IF(AND(J100="Alumínio",F100="Trifásico"),VLOOKUP(M100,'Iz''s'!$L$25:$O$39,4,FALSE)))))</f>
        <v>27</v>
      </c>
      <c r="BF100" s="531">
        <f>IF(AND(J100="Cobre",F100="Monofásico"),VLOOKUP(M100,'Iz''s'!$CP$9:$CT$24,3,FALSE),IF(AND(J100="Cobre",F100="Trifásico"),VLOOKUP(M100,'Iz''s'!$CP$9:$CT$24,2,FALSE),IF(AND(J100="Alumínio",F100="Monofásico"),VLOOKUP(M100,'Iz''s'!$CP$26:$CT$37,3,FALSE),IF(AND(J100="Alumínio",F100="Trifásico"),VLOOKUP(M100,'Iz''s'!$CP$26:$CT$37,2,FALSE)))))</f>
        <v>42</v>
      </c>
      <c r="BG100" s="531">
        <f>IF(AND(J100="Cobre",F100="Monofásico"),VLOOKUP(M100,'Iz''s'!$AT$10:$BA$28,2,FALSE),IF(AND(J100="Cobre",F100="Trifásico"),VLOOKUP(M100,'Iz''s'!$AT$10:$BA$28,3,FALSE),IF(AND(J100="Alumínio",F100="Monofásico"),VLOOKUP(M100,'Iz''s'!$BC$10:$BJ$27,2,FALSE),IF(AND(J100="Alumínio",F100="Trifásico"),VLOOKUP(M100,'Iz''s'!$BC$10:$BJ$27,3,FALSE)))))</f>
        <v>30</v>
      </c>
      <c r="BH100" s="609" t="str">
        <f>IF(AND(J100="Cobre",F100="Monofásico"),VLOOKUP(M100,'Iz''s'!$AT$10:$BA$28,4,FALSE),IF(AND(J100="Cobre",F100="Trifásico"),VLOOKUP(M100,'Iz''s'!$AT$10:$BA$28,5,FALSE),IF(AND(J100="Alumínio",F100="Monofásico"),VLOOKUP(M100,'Iz''s'!$BC$10:$BJ$27,4,FALSE),IF(AND(J100="Alumínio",F100="Trifásico"),VLOOKUP(M100,'Iz''s'!$BC$10:$BJ$27,5,FALSE)))))</f>
        <v xml:space="preserve"> --- </v>
      </c>
      <c r="BI100" s="609" t="str">
        <f>IF(AND(J100="Cobre",F100="Monofásico"),"N/A",IF(AND(J100="Cobre",F100="Trifásico"),VLOOKUP(M100,'Iz''s'!$AT$10:$BA$28,8,FALSE),IF(AND(J100="Alumínio",F100="Monofásico"),"N/A",IF(AND(J100="Alumínio",F100="Trifásico"),VLOOKUP(M100,'Iz''s'!$BC$10:$BJ$27,8,FALSE)))))</f>
        <v>N/A</v>
      </c>
      <c r="BJ100" s="531">
        <f>IF(AND(J100="Cobre",F100="Monofásico"),VLOOKUP(M100,'Iz''s'!$G$8:$J$23,2,FALSE),IF(AND(J100="Cobre",F100="Trifásico"),VLOOKUP(M100,'Iz''s'!$Q$8:$T$23,2,FALSE),IF(AND(J100="Alumínio",F100="Monofásico"),VLOOKUP(M100,'Iz''s'!$G$25:$J$39,2,FALSE),IF(AND(J100="Alumínio",F100="Trifásico"),VLOOKUP(M100,'Iz''s'!$Q$25:$T$39,2,FALSE)))))</f>
        <v>26</v>
      </c>
      <c r="BK100" s="609">
        <f>IF(AND(J100="Cobre",F100="Monofásico"),VLOOKUP(M100,'Iz''s'!$CJ$9:$CN$24,2,FALSE),IF(AND(J100="Cobre",F100="Trifásico"),VLOOKUP(M100,'Iz''s'!$CJ$9:$CN$24,4,FALSE),IF(AND(J100="Alumínio",F100="Monofásico"),VLOOKUP(M100,'Iz''s'!$CJ$26:$CN$40,2,FALSE),IF(AND(J100="Alumínio",F100="Trifásico"),VLOOKUP(M100,'Iz''s'!$CJ$26:$CN$40,4,FALSE)))))</f>
        <v>25</v>
      </c>
      <c r="BL100" s="609">
        <f>IF(AND(J100="Cobre",F100="Monofásico"),VLOOKUP(M100,'Iz''s'!$G$8:$J$23,3,FALSE),IF(AND(J100="Cobre",F100="Trifásico"),VLOOKUP(M100,'Iz''s'!$Q$8:$T$23,3,FALSE),IF(AND(J100="Alumínio",F100="Monofásico"),VLOOKUP(M100,'Iz''s'!$G$25:$J$39,3,FALSE),IF(AND(J100="Alumínio",F100="Trifásico"),VLOOKUP(M100,'Iz''s'!$Q$25:$T$39,3,FALSE)))))</f>
        <v>31</v>
      </c>
      <c r="BM100" s="609">
        <f>IF(AND(J100="Cobre",F100="Monofásico"),VLOOKUP(M100,'Iz''s'!$CJ$9:$CN$24,3,FALSE),IF(AND(J100="Cobre",F100="Trifásico"),VLOOKUP(M100,'Iz''s'!$CJ$9:$CN$24,5,FALSE),IF(AND(J100="Alumínio",F100="Monofásico"),VLOOKUP(M100,'Iz''s'!$CJ$26:$CN$40,3,FALSE),IF(AND(J100="Alumínio",F100="Trifásico"),VLOOKUP(M100,'Iz''s'!$CJ$26:$CN$40,5,FALSE)))))</f>
        <v>30</v>
      </c>
      <c r="BN100" s="609">
        <f>IF(AND(J100="Cobre",F100="Monofásico"),VLOOKUP(M100,'Iz''s'!$G$8:$J$23,4,FALSE),IF(AND(J100="Cobre",F100="Trifásico"),VLOOKUP(M100,'Iz''s'!$Q$8:$T$23,4,FALSE),IF(AND(J100="Alumínio",F100="Monofásico"),VLOOKUP(M100,'Iz''s'!$G$25:$J$39,4,FALSE),IF(AND(J100="Alumínio",F100="Trifásico"),VLOOKUP(M100,'Iz''s'!$Q$25:$T$39,4,FALSE)))))</f>
        <v>33</v>
      </c>
      <c r="BO100" s="609">
        <f>IF(AND(J100="Cobre",F100="Monofásico"),VLOOKUP(M100,'Iz''s'!$CP$9:$CT$24,5,FALSE),IF(AND(J100="Cobre",F100="Trifásico"),VLOOKUP(M100,'Iz''s'!$CP$9:$CT$24,4,FALSE),IF(AND(J100="Alumínio",F100="Monofásico"),VLOOKUP(M100,'Iz''s'!$CP$26:$CT$37,5,FALSE),IF(AND(J100="Alumínio",F100="Trifásico"),VLOOKUP(M100,'Iz''s'!$CP$26:$CT$37,4,FALSE)))))</f>
        <v>48</v>
      </c>
      <c r="BP100" s="609">
        <f>IF(AND(J100="Cobre",F100="Monofásico"),VLOOKUP(M100,'Iz''s'!$BL$10:$BS$28,2,FALSE),IF(AND(J100="Cobre",F100="Trifásico"),VLOOKUP(M100,'Iz''s'!$BL$10:$BS$28,3,FALSE),IF(AND(J100="Alumínio",F100="Monofásico"),VLOOKUP(M100,'Iz''s'!$BU$10:$CB$27,2,FALSE),IF(AND(J100="Alumínio",F100="Trifásico"),VLOOKUP(M100,'Iz''s'!$BU$10:$CB$27,3,FALSE)))))</f>
        <v>36</v>
      </c>
      <c r="BQ100" s="531" t="str">
        <f>IF(AND(J100="Cobre",F100="Monofásico"),VLOOKUP(M100,'Iz''s'!$BL$10:$BS$28,4,FALSE),IF(AND(J100="Cobre",F100="Trifásico"),VLOOKUP(M100,'Iz''s'!$BL$10:$BS$28,5,FALSE),IF(AND(J100="Alumínio",F100="Monofásico"),VLOOKUP(M100,'Iz''s'!$BU$10:$CB$27,4,FALSE),IF(AND(J100="Alumínio",F100="Trifásico"),VLOOKUP(M100,'Iz''s'!$BU$10:$CB$27,5,FALSE)))))</f>
        <v xml:space="preserve"> --- </v>
      </c>
      <c r="BR100" s="609" t="str">
        <f>IF(AND(J100="Cobre",F100="Monofásico"),"N/A",IF(AND(J100="Cobre",F100="Trifásico"),VLOOKUP(M100,'Iz''s'!$BL$10:$BS$28,8,FALSE),IF(AND(J100="Alumínio",F100="Monofásico"),"N/A",IF(AND(J100="Alumínio",F100="Trifásico"),VLOOKUP(M100,'Iz''s'!$BU$10:$CB$27,8,FALSE)))))</f>
        <v>N/A</v>
      </c>
      <c r="BS100" s="609">
        <f>IF(AND(J100="Cobre",F100="Monofásico"),VLOOKUP(M100,'Iz''s'!$V$14:$Y$28,2,FALSE),IF(AND(J100="Cobre",F100="Trifásico"),VLOOKUP(M100,'Iz''s'!$V$14:$Y$28,3,FALSE),IF(AND(J100="Alumínio",F100="Monofásico"),VLOOKUP(M100,"N/A",4,FALSE),IF(AND(J100="Alumínio",F100="Trifásico"),VLOOKUP(M100,"N/A",4,FALSE)))))</f>
        <v>34</v>
      </c>
      <c r="BT100" s="609">
        <f>IF(AND(J100="Cobre",F100="Monofásico"),VLOOKUP(M100,'Iz''s'!$AF$15:$AK$29,2,FALSE),IF(AND(J100="Cobre",F100="Trifásico"),VLOOKUP(M100,'Iz''s'!$AF$15:$AK$29,3,FALSE),IF(AND(J100="Alumínio",F100="Monofásico"),"N/A",IF(AND(J100="Alumínio",F100="Trifásico"),"N/A"))))</f>
        <v>36</v>
      </c>
      <c r="BU100" s="609">
        <f>IF(AND(J100="Cobre",F100="Monofásico"),VLOOKUP(M100,'Iz''s'!$AF$15:$AK$29,2,FALSE),IF(AND(J100="Cobre",F100="Trifásico"),VLOOKUP(M100,'Iz''s'!$AF$15:$AK$29,3,FALSE),IF(AND(J100="Alumínio",F100="Monofásico"),"N/A",IF(AND(J100="Alumínio",F100="Trifásico"),"N/A"))))</f>
        <v>36</v>
      </c>
      <c r="BV100" s="610" t="str">
        <f>IF(AND(J100="Cobre",F100="Monofásico"),"N/A",IF(AND(J100="Cobre",F100="Trifásico"),VLOOKUP(M100,'Iz''s'!$AF$15:$AK$29,6,FALSE),IF(AND(J100="Alumínio",F100="Monofásico"),"N/A",IF(AND(J100="Alumínio",F100="Trifásico"),"N/A"))))</f>
        <v>N/A</v>
      </c>
      <c r="BW100" s="611">
        <v>98</v>
      </c>
      <c r="BX100" s="565"/>
      <c r="BY100" s="612">
        <f>VLOOKUP(M100,Consulta!$W$6:$AB$23,4,FALSE)</f>
        <v>16</v>
      </c>
      <c r="BZ100" s="612">
        <f>VLOOKUP(M100,Consulta!$W$6:$AB$23,6,FALSE)</f>
        <v>20</v>
      </c>
      <c r="CA100" s="612">
        <f>VLOOKUP(M100,Consulta!$AK$6:$AP$23,4,FALSE)</f>
        <v>20</v>
      </c>
      <c r="CB100" s="612">
        <f>VLOOKUP(M100,Consulta!$AK$6:$AP$23,6,FALSE)</f>
        <v>25</v>
      </c>
      <c r="CC100" s="585" t="e">
        <f>VLOOKUP(M100,Consulta!$AD$6:$AI$19,4,FALSE)</f>
        <v>#N/A</v>
      </c>
      <c r="CD100" s="585" t="e">
        <f>VLOOKUP(M100,Consulta!$AD$6:$AI$19,6,FALSE)</f>
        <v>#N/A</v>
      </c>
      <c r="CE100" s="585" t="e">
        <f>VLOOKUP(M100,Consulta!$AR$6:$AW$19,4,FALSE)</f>
        <v>#N/A</v>
      </c>
      <c r="CF100" s="586" t="e">
        <f>VLOOKUP(M100,Consulta!$AR$6:$AW$19,6,FALSE)</f>
        <v>#N/A</v>
      </c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</row>
    <row r="101" spans="1:212" s="532" customFormat="1" ht="16.5" customHeight="1" x14ac:dyDescent="0.2">
      <c r="A101" s="571"/>
      <c r="B101" s="1115"/>
      <c r="C101" s="816" t="s">
        <v>867</v>
      </c>
      <c r="D101" s="722">
        <v>1.6</v>
      </c>
      <c r="E101" s="722">
        <f>12.15+1.5</f>
        <v>13.65</v>
      </c>
      <c r="F101" s="722" t="s">
        <v>244</v>
      </c>
      <c r="G101" s="722" t="s">
        <v>808</v>
      </c>
      <c r="H101" s="722">
        <v>0.8</v>
      </c>
      <c r="I101" s="723" t="s">
        <v>13</v>
      </c>
      <c r="J101" s="722" t="s">
        <v>242</v>
      </c>
      <c r="K101" s="722" t="s">
        <v>363</v>
      </c>
      <c r="L101" s="722">
        <v>1</v>
      </c>
      <c r="M101" s="724">
        <v>2.5</v>
      </c>
      <c r="N101" s="722" t="s">
        <v>453</v>
      </c>
      <c r="O101" s="722">
        <v>4</v>
      </c>
      <c r="P101" s="555">
        <f t="shared" si="108"/>
        <v>23</v>
      </c>
      <c r="Q101" s="722">
        <v>3</v>
      </c>
      <c r="R101" s="722">
        <v>0.6</v>
      </c>
      <c r="S101" s="555">
        <f t="shared" si="95"/>
        <v>8.695652173913043</v>
      </c>
      <c r="T101" s="725">
        <f t="shared" si="84"/>
        <v>13.799999999999999</v>
      </c>
      <c r="U101" s="722" t="s">
        <v>499</v>
      </c>
      <c r="V101" s="555">
        <v>10</v>
      </c>
      <c r="W101" s="722">
        <f>IF(U101="C.C.Fusíveis",VLOOKUP(V101,Consulta!$L$5:$N$31,3,FALSE),VLOOKUP(V101,Consulta!$P$5:$R$34,3,FALSE))</f>
        <v>13.5</v>
      </c>
      <c r="X101" s="736">
        <f t="shared" si="93"/>
        <v>34</v>
      </c>
      <c r="Y101" s="817">
        <f t="shared" si="85"/>
        <v>0.63011972274732198</v>
      </c>
      <c r="Z101" s="737" t="str">
        <f t="shared" si="94"/>
        <v>Sim</v>
      </c>
      <c r="AA101" s="770">
        <f t="shared" si="96"/>
        <v>6.5243555363796182E-2</v>
      </c>
      <c r="AB101" s="770">
        <f t="shared" si="109"/>
        <v>0.10462499999999998</v>
      </c>
      <c r="AC101" s="770">
        <f t="shared" si="110"/>
        <v>0</v>
      </c>
      <c r="AD101" s="726">
        <f t="shared" si="104"/>
        <v>1.7498652207576615</v>
      </c>
      <c r="AE101" s="726">
        <f t="shared" si="99"/>
        <v>1.4556521739130432</v>
      </c>
      <c r="AF101" s="726">
        <f t="shared" si="100"/>
        <v>3.2055173946707045</v>
      </c>
      <c r="AG101" s="727">
        <f t="shared" si="105"/>
        <v>6.3289224952741011E-3</v>
      </c>
      <c r="AH101" s="771">
        <f t="shared" si="105"/>
        <v>1.3937032150742193E-2</v>
      </c>
      <c r="AI101" s="726">
        <f t="shared" si="101"/>
        <v>1.3539880851251389</v>
      </c>
      <c r="AJ101" s="722">
        <v>3</v>
      </c>
      <c r="AK101" s="726">
        <v>0.1</v>
      </c>
      <c r="AL101" s="736">
        <f t="shared" si="89"/>
        <v>115</v>
      </c>
      <c r="AM101" s="726">
        <f t="shared" si="90"/>
        <v>3.7232054554133818</v>
      </c>
      <c r="AN101" s="737">
        <f t="shared" si="86"/>
        <v>1</v>
      </c>
      <c r="AO101" s="737" t="s">
        <v>563</v>
      </c>
      <c r="AP101" s="737" t="s">
        <v>523</v>
      </c>
      <c r="AQ101" s="737" t="str">
        <f t="shared" si="87"/>
        <v>3G</v>
      </c>
      <c r="AR101" s="737">
        <f t="shared" si="88"/>
        <v>2.5</v>
      </c>
      <c r="AS101" s="889" t="str">
        <f t="shared" si="91"/>
        <v/>
      </c>
      <c r="AT101" s="889" t="str">
        <f>IF(OR(AQ101="3G",AQ101="5G"),"",VLOOKUP(AR101,Consulta!$T$5:$U$25,2,FALSE))</f>
        <v/>
      </c>
      <c r="AU101" s="890" t="s">
        <v>565</v>
      </c>
      <c r="AV101" s="737" t="s">
        <v>23</v>
      </c>
      <c r="AW101" s="737" t="s">
        <v>564</v>
      </c>
      <c r="AX101" s="737">
        <f t="shared" si="103"/>
        <v>20</v>
      </c>
      <c r="AY101" s="738" t="s">
        <v>24</v>
      </c>
      <c r="AZ101" s="564"/>
      <c r="BA101" s="584">
        <f>IF(AND(J101="Cobre",F101="Monofásico"),VLOOKUP(M101,'Iz''s'!$B$8:$E$23,2,FALSE),IF(AND(J101="Cobre",F101="Trifásico"),VLOOKUP(M101,'Iz''s'!$L$8:$O$23,2,FALSE),IF(AND(J101="Alumínio",F101="Monofásico"),VLOOKUP(M101,'Iz''s'!$B$25:$E$39,2,FALSE),IF(AND(J101="Alumínio",F101="Trifásico"),VLOOKUP(M101,'Iz''s'!$L$25:$O$39,2,FALSE)))))</f>
        <v>19.5</v>
      </c>
      <c r="BB101" s="531">
        <f>IF(AND(J101="Cobre",F101="Monofásico"),VLOOKUP(M101,'Iz''s'!$CD$9:$CH$24,2,FALSE),IF(AND(J101="Cobre",F101="Trifásico"),VLOOKUP(M101,'Iz''s'!$CD$9:$CH$24,4,FALSE),IF(AND(J101="Alumínio",F101="Monofásico"),VLOOKUP(M101,'Iz''s'!$CD$26:$CH$40,2,FALSE),IF(AND(J101="Alumínio",F101="Trifásico"),VLOOKUP(M101,'Iz''s'!$CD$26:$CH$40,4,FALSE)))))</f>
        <v>18.5</v>
      </c>
      <c r="BC101" s="531">
        <f>IF(AND(J101="Cobre",F101="Monofásico"),VLOOKUP(M101,'Iz''s'!$B$8:$E$23,3,FALSE),IF(AND(J101="Cobre",F101="Trifásico"),VLOOKUP(M101,'Iz''s'!$L$8:$O$23,3,FALSE),IF(AND(J101="Alumínio",F101="Monofásico"),VLOOKUP(M101,'Iz''s'!$B$25:$E$39,3,FALSE),IF(AND(J101="Alumínio",F101="Trifásico"),VLOOKUP(M101,'Iz''s'!$L$25:$O$39,3,FALSE)))))</f>
        <v>24</v>
      </c>
      <c r="BD101" s="531">
        <f>IF(AND(J101="Cobre",F101="Monofásico"),VLOOKUP(M101,'Iz''s'!$CD$9:$CH$24,3,FALSE),IF(AND(J101="Cobre",F101="Trifásico"),VLOOKUP(M101,'Iz''s'!$CD$9:$CH$24,5,FALSE),IF(AND(J101="Alumínio",F101="Monofásico"),VLOOKUP(M101,'Iz''s'!$CD$26:$CH$40,3,FALSE),IF(AND(J101="Alumínio",F101="Trifásico"),VLOOKUP(M101,'Iz''s'!$CD$26:$CH$40,5,FALSE)))))</f>
        <v>23</v>
      </c>
      <c r="BE101" s="531">
        <f>IF(AND(J101="Cobre",F101="Monofásico"),VLOOKUP(M101,'Iz''s'!$B$8:$E$23,4,FALSE),IF(AND(J101="Cobre",F101="Trifásico"),VLOOKUP(M101,'Iz''s'!$L$8:$O$23,4,FALSE),IF(AND(J101="Alumínio",F101="Monofásico"),VLOOKUP(M101,'Iz''s'!$B$25:$E$39,4,FALSE),IF(AND(J101="Alumínio",F101="Trifásico"),VLOOKUP(M101,'Iz''s'!$L$25:$O$39,4,FALSE)))))</f>
        <v>27</v>
      </c>
      <c r="BF101" s="531">
        <f>IF(AND(J101="Cobre",F101="Monofásico"),VLOOKUP(M101,'Iz''s'!$CP$9:$CT$24,3,FALSE),IF(AND(J101="Cobre",F101="Trifásico"),VLOOKUP(M101,'Iz''s'!$CP$9:$CT$24,2,FALSE),IF(AND(J101="Alumínio",F101="Monofásico"),VLOOKUP(M101,'Iz''s'!$CP$26:$CT$37,3,FALSE),IF(AND(J101="Alumínio",F101="Trifásico"),VLOOKUP(M101,'Iz''s'!$CP$26:$CT$37,2,FALSE)))))</f>
        <v>42</v>
      </c>
      <c r="BG101" s="531">
        <f>IF(AND(J101="Cobre",F101="Monofásico"),VLOOKUP(M101,'Iz''s'!$AT$10:$BA$28,2,FALSE),IF(AND(J101="Cobre",F101="Trifásico"),VLOOKUP(M101,'Iz''s'!$AT$10:$BA$28,3,FALSE),IF(AND(J101="Alumínio",F101="Monofásico"),VLOOKUP(M101,'Iz''s'!$BC$10:$BJ$27,2,FALSE),IF(AND(J101="Alumínio",F101="Trifásico"),VLOOKUP(M101,'Iz''s'!$BC$10:$BJ$27,3,FALSE)))))</f>
        <v>30</v>
      </c>
      <c r="BH101" s="609" t="str">
        <f>IF(AND(J101="Cobre",F101="Monofásico"),VLOOKUP(M101,'Iz''s'!$AT$10:$BA$28,4,FALSE),IF(AND(J101="Cobre",F101="Trifásico"),VLOOKUP(M101,'Iz''s'!$AT$10:$BA$28,5,FALSE),IF(AND(J101="Alumínio",F101="Monofásico"),VLOOKUP(M101,'Iz''s'!$BC$10:$BJ$27,4,FALSE),IF(AND(J101="Alumínio",F101="Trifásico"),VLOOKUP(M101,'Iz''s'!$BC$10:$BJ$27,5,FALSE)))))</f>
        <v xml:space="preserve"> --- </v>
      </c>
      <c r="BI101" s="609" t="str">
        <f>IF(AND(J101="Cobre",F101="Monofásico"),"N/A",IF(AND(J101="Cobre",F101="Trifásico"),VLOOKUP(M101,'Iz''s'!$AT$10:$BA$28,8,FALSE),IF(AND(J101="Alumínio",F101="Monofásico"),"N/A",IF(AND(J101="Alumínio",F101="Trifásico"),VLOOKUP(M101,'Iz''s'!$BC$10:$BJ$27,8,FALSE)))))</f>
        <v>N/A</v>
      </c>
      <c r="BJ101" s="531">
        <f>IF(AND(J101="Cobre",F101="Monofásico"),VLOOKUP(M101,'Iz''s'!$G$8:$J$23,2,FALSE),IF(AND(J101="Cobre",F101="Trifásico"),VLOOKUP(M101,'Iz''s'!$Q$8:$T$23,2,FALSE),IF(AND(J101="Alumínio",F101="Monofásico"),VLOOKUP(M101,'Iz''s'!$G$25:$J$39,2,FALSE),IF(AND(J101="Alumínio",F101="Trifásico"),VLOOKUP(M101,'Iz''s'!$Q$25:$T$39,2,FALSE)))))</f>
        <v>26</v>
      </c>
      <c r="BK101" s="609">
        <f>IF(AND(J101="Cobre",F101="Monofásico"),VLOOKUP(M101,'Iz''s'!$CJ$9:$CN$24,2,FALSE),IF(AND(J101="Cobre",F101="Trifásico"),VLOOKUP(M101,'Iz''s'!$CJ$9:$CN$24,4,FALSE),IF(AND(J101="Alumínio",F101="Monofásico"),VLOOKUP(M101,'Iz''s'!$CJ$26:$CN$40,2,FALSE),IF(AND(J101="Alumínio",F101="Trifásico"),VLOOKUP(M101,'Iz''s'!$CJ$26:$CN$40,4,FALSE)))))</f>
        <v>25</v>
      </c>
      <c r="BL101" s="609">
        <f>IF(AND(J101="Cobre",F101="Monofásico"),VLOOKUP(M101,'Iz''s'!$G$8:$J$23,3,FALSE),IF(AND(J101="Cobre",F101="Trifásico"),VLOOKUP(M101,'Iz''s'!$Q$8:$T$23,3,FALSE),IF(AND(J101="Alumínio",F101="Monofásico"),VLOOKUP(M101,'Iz''s'!$G$25:$J$39,3,FALSE),IF(AND(J101="Alumínio",F101="Trifásico"),VLOOKUP(M101,'Iz''s'!$Q$25:$T$39,3,FALSE)))))</f>
        <v>31</v>
      </c>
      <c r="BM101" s="609">
        <f>IF(AND(J101="Cobre",F101="Monofásico"),VLOOKUP(M101,'Iz''s'!$CJ$9:$CN$24,3,FALSE),IF(AND(J101="Cobre",F101="Trifásico"),VLOOKUP(M101,'Iz''s'!$CJ$9:$CN$24,5,FALSE),IF(AND(J101="Alumínio",F101="Monofásico"),VLOOKUP(M101,'Iz''s'!$CJ$26:$CN$40,3,FALSE),IF(AND(J101="Alumínio",F101="Trifásico"),VLOOKUP(M101,'Iz''s'!$CJ$26:$CN$40,5,FALSE)))))</f>
        <v>30</v>
      </c>
      <c r="BN101" s="609">
        <f>IF(AND(J101="Cobre",F101="Monofásico"),VLOOKUP(M101,'Iz''s'!$G$8:$J$23,4,FALSE),IF(AND(J101="Cobre",F101="Trifásico"),VLOOKUP(M101,'Iz''s'!$Q$8:$T$23,4,FALSE),IF(AND(J101="Alumínio",F101="Monofásico"),VLOOKUP(M101,'Iz''s'!$G$25:$J$39,4,FALSE),IF(AND(J101="Alumínio",F101="Trifásico"),VLOOKUP(M101,'Iz''s'!$Q$25:$T$39,4,FALSE)))))</f>
        <v>33</v>
      </c>
      <c r="BO101" s="609">
        <f>IF(AND(J101="Cobre",F101="Monofásico"),VLOOKUP(M101,'Iz''s'!$CP$9:$CT$24,5,FALSE),IF(AND(J101="Cobre",F101="Trifásico"),VLOOKUP(M101,'Iz''s'!$CP$9:$CT$24,4,FALSE),IF(AND(J101="Alumínio",F101="Monofásico"),VLOOKUP(M101,'Iz''s'!$CP$26:$CT$37,5,FALSE),IF(AND(J101="Alumínio",F101="Trifásico"),VLOOKUP(M101,'Iz''s'!$CP$26:$CT$37,4,FALSE)))))</f>
        <v>48</v>
      </c>
      <c r="BP101" s="609">
        <f>IF(AND(J101="Cobre",F101="Monofásico"),VLOOKUP(M101,'Iz''s'!$BL$10:$BS$28,2,FALSE),IF(AND(J101="Cobre",F101="Trifásico"),VLOOKUP(M101,'Iz''s'!$BL$10:$BS$28,3,FALSE),IF(AND(J101="Alumínio",F101="Monofásico"),VLOOKUP(M101,'Iz''s'!$BU$10:$CB$27,2,FALSE),IF(AND(J101="Alumínio",F101="Trifásico"),VLOOKUP(M101,'Iz''s'!$BU$10:$CB$27,3,FALSE)))))</f>
        <v>36</v>
      </c>
      <c r="BQ101" s="531" t="str">
        <f>IF(AND(J101="Cobre",F101="Monofásico"),VLOOKUP(M101,'Iz''s'!$BL$10:$BS$28,4,FALSE),IF(AND(J101="Cobre",F101="Trifásico"),VLOOKUP(M101,'Iz''s'!$BL$10:$BS$28,5,FALSE),IF(AND(J101="Alumínio",F101="Monofásico"),VLOOKUP(M101,'Iz''s'!$BU$10:$CB$27,4,FALSE),IF(AND(J101="Alumínio",F101="Trifásico"),VLOOKUP(M101,'Iz''s'!$BU$10:$CB$27,5,FALSE)))))</f>
        <v xml:space="preserve"> --- </v>
      </c>
      <c r="BR101" s="609" t="str">
        <f>IF(AND(J101="Cobre",F101="Monofásico"),"N/A",IF(AND(J101="Cobre",F101="Trifásico"),VLOOKUP(M101,'Iz''s'!$BL$10:$BS$28,8,FALSE),IF(AND(J101="Alumínio",F101="Monofásico"),"N/A",IF(AND(J101="Alumínio",F101="Trifásico"),VLOOKUP(M101,'Iz''s'!$BU$10:$CB$27,8,FALSE)))))</f>
        <v>N/A</v>
      </c>
      <c r="BS101" s="609">
        <f>IF(AND(J101="Cobre",F101="Monofásico"),VLOOKUP(M101,'Iz''s'!$V$14:$Y$28,2,FALSE),IF(AND(J101="Cobre",F101="Trifásico"),VLOOKUP(M101,'Iz''s'!$V$14:$Y$28,3,FALSE),IF(AND(J101="Alumínio",F101="Monofásico"),VLOOKUP(M101,"N/A",4,FALSE),IF(AND(J101="Alumínio",F101="Trifásico"),VLOOKUP(M101,"N/A",4,FALSE)))))</f>
        <v>34</v>
      </c>
      <c r="BT101" s="609">
        <f>IF(AND(J101="Cobre",F101="Monofásico"),VLOOKUP(M101,'Iz''s'!$AF$15:$AK$29,2,FALSE),IF(AND(J101="Cobre",F101="Trifásico"),VLOOKUP(M101,'Iz''s'!$AF$15:$AK$29,3,FALSE),IF(AND(J101="Alumínio",F101="Monofásico"),"N/A",IF(AND(J101="Alumínio",F101="Trifásico"),"N/A"))))</f>
        <v>36</v>
      </c>
      <c r="BU101" s="609">
        <f>IF(AND(J101="Cobre",F101="Monofásico"),VLOOKUP(M101,'Iz''s'!$AF$15:$AK$29,2,FALSE),IF(AND(J101="Cobre",F101="Trifásico"),VLOOKUP(M101,'Iz''s'!$AF$15:$AK$29,3,FALSE),IF(AND(J101="Alumínio",F101="Monofásico"),"N/A",IF(AND(J101="Alumínio",F101="Trifásico"),"N/A"))))</f>
        <v>36</v>
      </c>
      <c r="BV101" s="610" t="str">
        <f>IF(AND(J101="Cobre",F101="Monofásico"),"N/A",IF(AND(J101="Cobre",F101="Trifásico"),VLOOKUP(M101,'Iz''s'!$AF$15:$AK$29,6,FALSE),IF(AND(J101="Alumínio",F101="Monofásico"),"N/A",IF(AND(J101="Alumínio",F101="Trifásico"),"N/A"))))</f>
        <v>N/A</v>
      </c>
      <c r="BW101" s="611">
        <v>99</v>
      </c>
      <c r="BX101" s="565"/>
      <c r="BY101" s="612">
        <f>VLOOKUP(M101,Consulta!$W$6:$AB$23,4,FALSE)</f>
        <v>16</v>
      </c>
      <c r="BZ101" s="612">
        <f>VLOOKUP(M101,Consulta!$W$6:$AB$23,6,FALSE)</f>
        <v>20</v>
      </c>
      <c r="CA101" s="612">
        <f>VLOOKUP(M101,Consulta!$AK$6:$AP$23,4,FALSE)</f>
        <v>20</v>
      </c>
      <c r="CB101" s="612">
        <f>VLOOKUP(M101,Consulta!$AK$6:$AP$23,6,FALSE)</f>
        <v>25</v>
      </c>
      <c r="CC101" s="585" t="e">
        <f>VLOOKUP(M101,Consulta!$AD$6:$AI$19,4,FALSE)</f>
        <v>#N/A</v>
      </c>
      <c r="CD101" s="585" t="e">
        <f>VLOOKUP(M101,Consulta!$AD$6:$AI$19,6,FALSE)</f>
        <v>#N/A</v>
      </c>
      <c r="CE101" s="585" t="e">
        <f>VLOOKUP(M101,Consulta!$AR$6:$AW$19,4,FALSE)</f>
        <v>#N/A</v>
      </c>
      <c r="CF101" s="586" t="e">
        <f>VLOOKUP(M101,Consulta!$AR$6:$AW$19,6,FALSE)</f>
        <v>#N/A</v>
      </c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</row>
    <row r="102" spans="1:212" s="532" customFormat="1" ht="16.5" customHeight="1" x14ac:dyDescent="0.2">
      <c r="A102" s="571"/>
      <c r="B102" s="1115"/>
      <c r="C102" s="816" t="s">
        <v>868</v>
      </c>
      <c r="D102" s="722">
        <v>1.6</v>
      </c>
      <c r="E102" s="722">
        <f>16.95+1.6</f>
        <v>18.55</v>
      </c>
      <c r="F102" s="722" t="s">
        <v>244</v>
      </c>
      <c r="G102" s="722" t="s">
        <v>808</v>
      </c>
      <c r="H102" s="722">
        <v>0.8</v>
      </c>
      <c r="I102" s="723" t="s">
        <v>13</v>
      </c>
      <c r="J102" s="722" t="s">
        <v>242</v>
      </c>
      <c r="K102" s="722" t="s">
        <v>363</v>
      </c>
      <c r="L102" s="722">
        <v>1</v>
      </c>
      <c r="M102" s="724">
        <v>2.5</v>
      </c>
      <c r="N102" s="722" t="s">
        <v>453</v>
      </c>
      <c r="O102" s="722">
        <v>4</v>
      </c>
      <c r="P102" s="555">
        <f t="shared" si="108"/>
        <v>23</v>
      </c>
      <c r="Q102" s="722">
        <v>3</v>
      </c>
      <c r="R102" s="722">
        <v>0.6</v>
      </c>
      <c r="S102" s="555">
        <f t="shared" si="95"/>
        <v>8.695652173913043</v>
      </c>
      <c r="T102" s="725">
        <f t="shared" si="84"/>
        <v>13.799999999999999</v>
      </c>
      <c r="U102" s="722" t="s">
        <v>499</v>
      </c>
      <c r="V102" s="555">
        <v>10</v>
      </c>
      <c r="W102" s="722">
        <f>IF(U102="C.C.Fusíveis",VLOOKUP(V102,Consulta!$L$5:$N$31,3,FALSE),VLOOKUP(V102,Consulta!$P$5:$R$34,3,FALSE))</f>
        <v>13.5</v>
      </c>
      <c r="X102" s="736">
        <f t="shared" si="93"/>
        <v>34</v>
      </c>
      <c r="Y102" s="817">
        <f t="shared" si="85"/>
        <v>0.63011972274732198</v>
      </c>
      <c r="Z102" s="737" t="str">
        <f t="shared" si="94"/>
        <v>Sim</v>
      </c>
      <c r="AA102" s="770">
        <f t="shared" si="96"/>
        <v>6.5243555363796182E-2</v>
      </c>
      <c r="AB102" s="770">
        <f t="shared" si="109"/>
        <v>0.15356249999999999</v>
      </c>
      <c r="AC102" s="770">
        <f t="shared" si="110"/>
        <v>0</v>
      </c>
      <c r="AD102" s="726">
        <f t="shared" si="104"/>
        <v>1.7498652207576615</v>
      </c>
      <c r="AE102" s="726">
        <f t="shared" si="99"/>
        <v>2.1365217391304347</v>
      </c>
      <c r="AF102" s="726">
        <f t="shared" si="100"/>
        <v>3.886386959888096</v>
      </c>
      <c r="AG102" s="727">
        <f t="shared" si="105"/>
        <v>9.2892249527410202E-3</v>
      </c>
      <c r="AH102" s="771">
        <f t="shared" si="105"/>
        <v>1.6897334608209112E-2</v>
      </c>
      <c r="AI102" s="726">
        <f t="shared" si="101"/>
        <v>1.0511592086315542</v>
      </c>
      <c r="AJ102" s="722">
        <v>3</v>
      </c>
      <c r="AK102" s="726">
        <v>0.1</v>
      </c>
      <c r="AL102" s="736">
        <f t="shared" si="89"/>
        <v>115</v>
      </c>
      <c r="AM102" s="726">
        <f t="shared" si="90"/>
        <v>2.8904845936833365</v>
      </c>
      <c r="AN102" s="737">
        <f t="shared" si="86"/>
        <v>1</v>
      </c>
      <c r="AO102" s="737" t="s">
        <v>563</v>
      </c>
      <c r="AP102" s="737" t="s">
        <v>523</v>
      </c>
      <c r="AQ102" s="737" t="str">
        <f t="shared" si="87"/>
        <v>3G</v>
      </c>
      <c r="AR102" s="737">
        <f t="shared" si="88"/>
        <v>2.5</v>
      </c>
      <c r="AS102" s="889" t="str">
        <f t="shared" si="91"/>
        <v/>
      </c>
      <c r="AT102" s="889" t="str">
        <f>IF(OR(AQ102="3G",AQ102="5G"),"",VLOOKUP(AR102,Consulta!$T$5:$U$25,2,FALSE))</f>
        <v/>
      </c>
      <c r="AU102" s="890" t="s">
        <v>565</v>
      </c>
      <c r="AV102" s="737" t="s">
        <v>23</v>
      </c>
      <c r="AW102" s="737" t="s">
        <v>564</v>
      </c>
      <c r="AX102" s="737">
        <f t="shared" si="103"/>
        <v>20</v>
      </c>
      <c r="AY102" s="738" t="s">
        <v>24</v>
      </c>
      <c r="AZ102" s="564"/>
      <c r="BA102" s="584">
        <f>IF(AND(J102="Cobre",F102="Monofásico"),VLOOKUP(M102,'Iz''s'!$B$8:$E$23,2,FALSE),IF(AND(J102="Cobre",F102="Trifásico"),VLOOKUP(M102,'Iz''s'!$L$8:$O$23,2,FALSE),IF(AND(J102="Alumínio",F102="Monofásico"),VLOOKUP(M102,'Iz''s'!$B$25:$E$39,2,FALSE),IF(AND(J102="Alumínio",F102="Trifásico"),VLOOKUP(M102,'Iz''s'!$L$25:$O$39,2,FALSE)))))</f>
        <v>19.5</v>
      </c>
      <c r="BB102" s="531">
        <f>IF(AND(J102="Cobre",F102="Monofásico"),VLOOKUP(M102,'Iz''s'!$CD$9:$CH$24,2,FALSE),IF(AND(J102="Cobre",F102="Trifásico"),VLOOKUP(M102,'Iz''s'!$CD$9:$CH$24,4,FALSE),IF(AND(J102="Alumínio",F102="Monofásico"),VLOOKUP(M102,'Iz''s'!$CD$26:$CH$40,2,FALSE),IF(AND(J102="Alumínio",F102="Trifásico"),VLOOKUP(M102,'Iz''s'!$CD$26:$CH$40,4,FALSE)))))</f>
        <v>18.5</v>
      </c>
      <c r="BC102" s="531">
        <f>IF(AND(J102="Cobre",F102="Monofásico"),VLOOKUP(M102,'Iz''s'!$B$8:$E$23,3,FALSE),IF(AND(J102="Cobre",F102="Trifásico"),VLOOKUP(M102,'Iz''s'!$L$8:$O$23,3,FALSE),IF(AND(J102="Alumínio",F102="Monofásico"),VLOOKUP(M102,'Iz''s'!$B$25:$E$39,3,FALSE),IF(AND(J102="Alumínio",F102="Trifásico"),VLOOKUP(M102,'Iz''s'!$L$25:$O$39,3,FALSE)))))</f>
        <v>24</v>
      </c>
      <c r="BD102" s="531">
        <f>IF(AND(J102="Cobre",F102="Monofásico"),VLOOKUP(M102,'Iz''s'!$CD$9:$CH$24,3,FALSE),IF(AND(J102="Cobre",F102="Trifásico"),VLOOKUP(M102,'Iz''s'!$CD$9:$CH$24,5,FALSE),IF(AND(J102="Alumínio",F102="Monofásico"),VLOOKUP(M102,'Iz''s'!$CD$26:$CH$40,3,FALSE),IF(AND(J102="Alumínio",F102="Trifásico"),VLOOKUP(M102,'Iz''s'!$CD$26:$CH$40,5,FALSE)))))</f>
        <v>23</v>
      </c>
      <c r="BE102" s="531">
        <f>IF(AND(J102="Cobre",F102="Monofásico"),VLOOKUP(M102,'Iz''s'!$B$8:$E$23,4,FALSE),IF(AND(J102="Cobre",F102="Trifásico"),VLOOKUP(M102,'Iz''s'!$L$8:$O$23,4,FALSE),IF(AND(J102="Alumínio",F102="Monofásico"),VLOOKUP(M102,'Iz''s'!$B$25:$E$39,4,FALSE),IF(AND(J102="Alumínio",F102="Trifásico"),VLOOKUP(M102,'Iz''s'!$L$25:$O$39,4,FALSE)))))</f>
        <v>27</v>
      </c>
      <c r="BF102" s="531">
        <f>IF(AND(J102="Cobre",F102="Monofásico"),VLOOKUP(M102,'Iz''s'!$CP$9:$CT$24,3,FALSE),IF(AND(J102="Cobre",F102="Trifásico"),VLOOKUP(M102,'Iz''s'!$CP$9:$CT$24,2,FALSE),IF(AND(J102="Alumínio",F102="Monofásico"),VLOOKUP(M102,'Iz''s'!$CP$26:$CT$37,3,FALSE),IF(AND(J102="Alumínio",F102="Trifásico"),VLOOKUP(M102,'Iz''s'!$CP$26:$CT$37,2,FALSE)))))</f>
        <v>42</v>
      </c>
      <c r="BG102" s="531">
        <f>IF(AND(J102="Cobre",F102="Monofásico"),VLOOKUP(M102,'Iz''s'!$AT$10:$BA$28,2,FALSE),IF(AND(J102="Cobre",F102="Trifásico"),VLOOKUP(M102,'Iz''s'!$AT$10:$BA$28,3,FALSE),IF(AND(J102="Alumínio",F102="Monofásico"),VLOOKUP(M102,'Iz''s'!$BC$10:$BJ$27,2,FALSE),IF(AND(J102="Alumínio",F102="Trifásico"),VLOOKUP(M102,'Iz''s'!$BC$10:$BJ$27,3,FALSE)))))</f>
        <v>30</v>
      </c>
      <c r="BH102" s="609" t="str">
        <f>IF(AND(J102="Cobre",F102="Monofásico"),VLOOKUP(M102,'Iz''s'!$AT$10:$BA$28,4,FALSE),IF(AND(J102="Cobre",F102="Trifásico"),VLOOKUP(M102,'Iz''s'!$AT$10:$BA$28,5,FALSE),IF(AND(J102="Alumínio",F102="Monofásico"),VLOOKUP(M102,'Iz''s'!$BC$10:$BJ$27,4,FALSE),IF(AND(J102="Alumínio",F102="Trifásico"),VLOOKUP(M102,'Iz''s'!$BC$10:$BJ$27,5,FALSE)))))</f>
        <v xml:space="preserve"> --- </v>
      </c>
      <c r="BI102" s="609" t="str">
        <f>IF(AND(J102="Cobre",F102="Monofásico"),"N/A",IF(AND(J102="Cobre",F102="Trifásico"),VLOOKUP(M102,'Iz''s'!$AT$10:$BA$28,8,FALSE),IF(AND(J102="Alumínio",F102="Monofásico"),"N/A",IF(AND(J102="Alumínio",F102="Trifásico"),VLOOKUP(M102,'Iz''s'!$BC$10:$BJ$27,8,FALSE)))))</f>
        <v>N/A</v>
      </c>
      <c r="BJ102" s="531">
        <f>IF(AND(J102="Cobre",F102="Monofásico"),VLOOKUP(M102,'Iz''s'!$G$8:$J$23,2,FALSE),IF(AND(J102="Cobre",F102="Trifásico"),VLOOKUP(M102,'Iz''s'!$Q$8:$T$23,2,FALSE),IF(AND(J102="Alumínio",F102="Monofásico"),VLOOKUP(M102,'Iz''s'!$G$25:$J$39,2,FALSE),IF(AND(J102="Alumínio",F102="Trifásico"),VLOOKUP(M102,'Iz''s'!$Q$25:$T$39,2,FALSE)))))</f>
        <v>26</v>
      </c>
      <c r="BK102" s="609">
        <f>IF(AND(J102="Cobre",F102="Monofásico"),VLOOKUP(M102,'Iz''s'!$CJ$9:$CN$24,2,FALSE),IF(AND(J102="Cobre",F102="Trifásico"),VLOOKUP(M102,'Iz''s'!$CJ$9:$CN$24,4,FALSE),IF(AND(J102="Alumínio",F102="Monofásico"),VLOOKUP(M102,'Iz''s'!$CJ$26:$CN$40,2,FALSE),IF(AND(J102="Alumínio",F102="Trifásico"),VLOOKUP(M102,'Iz''s'!$CJ$26:$CN$40,4,FALSE)))))</f>
        <v>25</v>
      </c>
      <c r="BL102" s="609">
        <f>IF(AND(J102="Cobre",F102="Monofásico"),VLOOKUP(M102,'Iz''s'!$G$8:$J$23,3,FALSE),IF(AND(J102="Cobre",F102="Trifásico"),VLOOKUP(M102,'Iz''s'!$Q$8:$T$23,3,FALSE),IF(AND(J102="Alumínio",F102="Monofásico"),VLOOKUP(M102,'Iz''s'!$G$25:$J$39,3,FALSE),IF(AND(J102="Alumínio",F102="Trifásico"),VLOOKUP(M102,'Iz''s'!$Q$25:$T$39,3,FALSE)))))</f>
        <v>31</v>
      </c>
      <c r="BM102" s="609">
        <f>IF(AND(J102="Cobre",F102="Monofásico"),VLOOKUP(M102,'Iz''s'!$CJ$9:$CN$24,3,FALSE),IF(AND(J102="Cobre",F102="Trifásico"),VLOOKUP(M102,'Iz''s'!$CJ$9:$CN$24,5,FALSE),IF(AND(J102="Alumínio",F102="Monofásico"),VLOOKUP(M102,'Iz''s'!$CJ$26:$CN$40,3,FALSE),IF(AND(J102="Alumínio",F102="Trifásico"),VLOOKUP(M102,'Iz''s'!$CJ$26:$CN$40,5,FALSE)))))</f>
        <v>30</v>
      </c>
      <c r="BN102" s="609">
        <f>IF(AND(J102="Cobre",F102="Monofásico"),VLOOKUP(M102,'Iz''s'!$G$8:$J$23,4,FALSE),IF(AND(J102="Cobre",F102="Trifásico"),VLOOKUP(M102,'Iz''s'!$Q$8:$T$23,4,FALSE),IF(AND(J102="Alumínio",F102="Monofásico"),VLOOKUP(M102,'Iz''s'!$G$25:$J$39,4,FALSE),IF(AND(J102="Alumínio",F102="Trifásico"),VLOOKUP(M102,'Iz''s'!$Q$25:$T$39,4,FALSE)))))</f>
        <v>33</v>
      </c>
      <c r="BO102" s="609">
        <f>IF(AND(J102="Cobre",F102="Monofásico"),VLOOKUP(M102,'Iz''s'!$CP$9:$CT$24,5,FALSE),IF(AND(J102="Cobre",F102="Trifásico"),VLOOKUP(M102,'Iz''s'!$CP$9:$CT$24,4,FALSE),IF(AND(J102="Alumínio",F102="Monofásico"),VLOOKUP(M102,'Iz''s'!$CP$26:$CT$37,5,FALSE),IF(AND(J102="Alumínio",F102="Trifásico"),VLOOKUP(M102,'Iz''s'!$CP$26:$CT$37,4,FALSE)))))</f>
        <v>48</v>
      </c>
      <c r="BP102" s="609">
        <f>IF(AND(J102="Cobre",F102="Monofásico"),VLOOKUP(M102,'Iz''s'!$BL$10:$BS$28,2,FALSE),IF(AND(J102="Cobre",F102="Trifásico"),VLOOKUP(M102,'Iz''s'!$BL$10:$BS$28,3,FALSE),IF(AND(J102="Alumínio",F102="Monofásico"),VLOOKUP(M102,'Iz''s'!$BU$10:$CB$27,2,FALSE),IF(AND(J102="Alumínio",F102="Trifásico"),VLOOKUP(M102,'Iz''s'!$BU$10:$CB$27,3,FALSE)))))</f>
        <v>36</v>
      </c>
      <c r="BQ102" s="531" t="str">
        <f>IF(AND(J102="Cobre",F102="Monofásico"),VLOOKUP(M102,'Iz''s'!$BL$10:$BS$28,4,FALSE),IF(AND(J102="Cobre",F102="Trifásico"),VLOOKUP(M102,'Iz''s'!$BL$10:$BS$28,5,FALSE),IF(AND(J102="Alumínio",F102="Monofásico"),VLOOKUP(M102,'Iz''s'!$BU$10:$CB$27,4,FALSE),IF(AND(J102="Alumínio",F102="Trifásico"),VLOOKUP(M102,'Iz''s'!$BU$10:$CB$27,5,FALSE)))))</f>
        <v xml:space="preserve"> --- </v>
      </c>
      <c r="BR102" s="609" t="str">
        <f>IF(AND(J102="Cobre",F102="Monofásico"),"N/A",IF(AND(J102="Cobre",F102="Trifásico"),VLOOKUP(M102,'Iz''s'!$BL$10:$BS$28,8,FALSE),IF(AND(J102="Alumínio",F102="Monofásico"),"N/A",IF(AND(J102="Alumínio",F102="Trifásico"),VLOOKUP(M102,'Iz''s'!$BU$10:$CB$27,8,FALSE)))))</f>
        <v>N/A</v>
      </c>
      <c r="BS102" s="609">
        <f>IF(AND(J102="Cobre",F102="Monofásico"),VLOOKUP(M102,'Iz''s'!$V$14:$Y$28,2,FALSE),IF(AND(J102="Cobre",F102="Trifásico"),VLOOKUP(M102,'Iz''s'!$V$14:$Y$28,3,FALSE),IF(AND(J102="Alumínio",F102="Monofásico"),VLOOKUP(M102,"N/A",4,FALSE),IF(AND(J102="Alumínio",F102="Trifásico"),VLOOKUP(M102,"N/A",4,FALSE)))))</f>
        <v>34</v>
      </c>
      <c r="BT102" s="609">
        <f>IF(AND(J102="Cobre",F102="Monofásico"),VLOOKUP(M102,'Iz''s'!$AF$15:$AK$29,2,FALSE),IF(AND(J102="Cobre",F102="Trifásico"),VLOOKUP(M102,'Iz''s'!$AF$15:$AK$29,3,FALSE),IF(AND(J102="Alumínio",F102="Monofásico"),"N/A",IF(AND(J102="Alumínio",F102="Trifásico"),"N/A"))))</f>
        <v>36</v>
      </c>
      <c r="BU102" s="609">
        <f>IF(AND(J102="Cobre",F102="Monofásico"),VLOOKUP(M102,'Iz''s'!$AF$15:$AK$29,2,FALSE),IF(AND(J102="Cobre",F102="Trifásico"),VLOOKUP(M102,'Iz''s'!$AF$15:$AK$29,3,FALSE),IF(AND(J102="Alumínio",F102="Monofásico"),"N/A",IF(AND(J102="Alumínio",F102="Trifásico"),"N/A"))))</f>
        <v>36</v>
      </c>
      <c r="BV102" s="610" t="str">
        <f>IF(AND(J102="Cobre",F102="Monofásico"),"N/A",IF(AND(J102="Cobre",F102="Trifásico"),VLOOKUP(M102,'Iz''s'!$AF$15:$AK$29,6,FALSE),IF(AND(J102="Alumínio",F102="Monofásico"),"N/A",IF(AND(J102="Alumínio",F102="Trifásico"),"N/A"))))</f>
        <v>N/A</v>
      </c>
      <c r="BW102" s="611">
        <v>100</v>
      </c>
      <c r="BX102" s="565"/>
      <c r="BY102" s="612">
        <f>VLOOKUP(M102,Consulta!$W$6:$AB$23,4,FALSE)</f>
        <v>16</v>
      </c>
      <c r="BZ102" s="612">
        <f>VLOOKUP(M102,Consulta!$W$6:$AB$23,6,FALSE)</f>
        <v>20</v>
      </c>
      <c r="CA102" s="612">
        <f>VLOOKUP(M102,Consulta!$AK$6:$AP$23,4,FALSE)</f>
        <v>20</v>
      </c>
      <c r="CB102" s="612">
        <f>VLOOKUP(M102,Consulta!$AK$6:$AP$23,6,FALSE)</f>
        <v>25</v>
      </c>
      <c r="CC102" s="585" t="e">
        <f>VLOOKUP(M102,Consulta!$AD$6:$AI$19,4,FALSE)</f>
        <v>#N/A</v>
      </c>
      <c r="CD102" s="585" t="e">
        <f>VLOOKUP(M102,Consulta!$AD$6:$AI$19,6,FALSE)</f>
        <v>#N/A</v>
      </c>
      <c r="CE102" s="585" t="e">
        <f>VLOOKUP(M102,Consulta!$AR$6:$AW$19,4,FALSE)</f>
        <v>#N/A</v>
      </c>
      <c r="CF102" s="586" t="e">
        <f>VLOOKUP(M102,Consulta!$AR$6:$AW$19,6,FALSE)</f>
        <v>#N/A</v>
      </c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</row>
    <row r="103" spans="1:212" s="532" customFormat="1" ht="16.5" customHeight="1" x14ac:dyDescent="0.2">
      <c r="A103" s="571"/>
      <c r="B103" s="1115"/>
      <c r="C103" s="816" t="s">
        <v>869</v>
      </c>
      <c r="D103" s="722">
        <v>1.6</v>
      </c>
      <c r="E103" s="722">
        <f>19.55+0.7+1.55+1</f>
        <v>22.8</v>
      </c>
      <c r="F103" s="722" t="s">
        <v>244</v>
      </c>
      <c r="G103" s="722" t="s">
        <v>789</v>
      </c>
      <c r="H103" s="722">
        <v>0.8</v>
      </c>
      <c r="I103" s="723" t="s">
        <v>13</v>
      </c>
      <c r="J103" s="722" t="s">
        <v>242</v>
      </c>
      <c r="K103" s="722" t="s">
        <v>363</v>
      </c>
      <c r="L103" s="722">
        <v>1</v>
      </c>
      <c r="M103" s="724">
        <v>2.5</v>
      </c>
      <c r="N103" s="722" t="s">
        <v>453</v>
      </c>
      <c r="O103" s="722">
        <v>4</v>
      </c>
      <c r="P103" s="555">
        <f t="shared" si="108"/>
        <v>23</v>
      </c>
      <c r="Q103" s="722">
        <v>3</v>
      </c>
      <c r="R103" s="722">
        <v>0.6</v>
      </c>
      <c r="S103" s="555">
        <f>IF(F103="Monofásico",(((D102*10^3)/H103)/230),(((D102*10^3)/H103)/(SQRT(3)*400)))</f>
        <v>8.695652173913043</v>
      </c>
      <c r="T103" s="725">
        <f t="shared" si="84"/>
        <v>13.799999999999999</v>
      </c>
      <c r="U103" s="722" t="s">
        <v>499</v>
      </c>
      <c r="V103" s="555">
        <v>10</v>
      </c>
      <c r="W103" s="722">
        <f>IF(U103="C.C.Fusíveis",VLOOKUP(V103,Consulta!$L$5:$N$31,3,FALSE),VLOOKUP(V103,Consulta!$P$5:$R$34,3,FALSE))</f>
        <v>13.5</v>
      </c>
      <c r="X103" s="736">
        <f t="shared" si="93"/>
        <v>34</v>
      </c>
      <c r="Y103" s="817">
        <f t="shared" si="85"/>
        <v>0.63011972274732198</v>
      </c>
      <c r="Z103" s="737" t="str">
        <f t="shared" si="94"/>
        <v>Sim</v>
      </c>
      <c r="AA103" s="770">
        <f t="shared" si="96"/>
        <v>6.5243555363796182E-2</v>
      </c>
      <c r="AB103" s="770">
        <f>(IF(J103="Cobre",(1.25*0.0225),(1.25*0.036)))*((E102/M103)/L103)</f>
        <v>0.20868749999999997</v>
      </c>
      <c r="AC103" s="770">
        <f>(IF(M103&lt;10,0,(0.00008)))*(E102)</f>
        <v>0</v>
      </c>
      <c r="AD103" s="726">
        <f t="shared" si="104"/>
        <v>1.7498652207576615</v>
      </c>
      <c r="AE103" s="726">
        <f t="shared" si="99"/>
        <v>2.9034782608695648</v>
      </c>
      <c r="AF103" s="726">
        <f t="shared" si="100"/>
        <v>4.6533434816272266</v>
      </c>
      <c r="AG103" s="727">
        <f t="shared" si="105"/>
        <v>1.2623818525519847E-2</v>
      </c>
      <c r="AH103" s="771">
        <f t="shared" si="105"/>
        <v>2.0231928180987943E-2</v>
      </c>
      <c r="AI103" s="726">
        <f t="shared" si="101"/>
        <v>0.83962732773962712</v>
      </c>
      <c r="AJ103" s="722">
        <v>3</v>
      </c>
      <c r="AK103" s="726">
        <v>0.1</v>
      </c>
      <c r="AL103" s="736">
        <f t="shared" si="89"/>
        <v>143</v>
      </c>
      <c r="AM103" s="726">
        <f>((AI103*1000)*SQRT(AK103))/AL103</f>
        <v>1.856737581383145</v>
      </c>
      <c r="AN103" s="737">
        <f t="shared" si="86"/>
        <v>1</v>
      </c>
      <c r="AO103" s="737" t="s">
        <v>563</v>
      </c>
      <c r="AP103" s="737" t="s">
        <v>523</v>
      </c>
      <c r="AQ103" s="737" t="str">
        <f t="shared" si="87"/>
        <v>3G</v>
      </c>
      <c r="AR103" s="737">
        <f t="shared" si="88"/>
        <v>2.5</v>
      </c>
      <c r="AS103" s="889" t="str">
        <f t="shared" si="91"/>
        <v/>
      </c>
      <c r="AT103" s="889" t="str">
        <f>IF(OR(AQ103="3G",AQ103="5G"),"",VLOOKUP(AR103,Consulta!$T$5:$U$25,2,FALSE))</f>
        <v/>
      </c>
      <c r="AU103" s="890" t="s">
        <v>565</v>
      </c>
      <c r="AV103" s="737" t="s">
        <v>23</v>
      </c>
      <c r="AW103" s="737" t="s">
        <v>564</v>
      </c>
      <c r="AX103" s="737">
        <f>IF(AND(F103="Monofásico",I103="Fio/Canalizações"),BY97,IF(AND(F103="Trifásico",I103="Fio/Canalizações"),BZ97,IF(AND(F103="Monofásico",I103="Cabo/Canalizações"),CA97,IF(AND(F103="Trifásico",I103="Cabo/Canalizações"),CB97,IF(AND(F103="Monofásico",I103="Fio/Colunas&amp;Entradas"),CC97,IF(AND(F103="Trifásico",I103="Fio/Colunas&amp;Entradas"),CD97,IF(AND(F103="Monofásico",I103="Cabo/Colunas&amp;Entradas"),CE97,IF(AND(F103="Trifásico",I103="Cabo/Colunas&amp;Entradas"),CF97))))))))</f>
        <v>20</v>
      </c>
      <c r="AY103" s="738" t="s">
        <v>24</v>
      </c>
      <c r="AZ103" s="564"/>
      <c r="BA103" s="584">
        <f>IF(AND(J103="Cobre",F103="Monofásico"),VLOOKUP(M103,'Iz''s'!$B$8:$E$23,2,FALSE),IF(AND(J103="Cobre",F103="Trifásico"),VLOOKUP(M103,'Iz''s'!$L$8:$O$23,2,FALSE),IF(AND(J103="Alumínio",F103="Monofásico"),VLOOKUP(M103,'Iz''s'!$B$25:$E$39,2,FALSE),IF(AND(J103="Alumínio",F103="Trifásico"),VLOOKUP(M103,'Iz''s'!$L$25:$O$39,2,FALSE)))))</f>
        <v>19.5</v>
      </c>
      <c r="BB103" s="531">
        <f>IF(AND(J103="Cobre",F103="Monofásico"),VLOOKUP(M103,'Iz''s'!$CD$9:$CH$24,2,FALSE),IF(AND(J103="Cobre",F103="Trifásico"),VLOOKUP(M103,'Iz''s'!$CD$9:$CH$24,4,FALSE),IF(AND(J103="Alumínio",F103="Monofásico"),VLOOKUP(M103,'Iz''s'!$CD$26:$CH$40,2,FALSE),IF(AND(J103="Alumínio",F103="Trifásico"),VLOOKUP(M103,'Iz''s'!$CD$26:$CH$40,4,FALSE)))))</f>
        <v>18.5</v>
      </c>
      <c r="BC103" s="531">
        <f>IF(AND(J103="Cobre",F103="Monofásico"),VLOOKUP(M103,'Iz''s'!$B$8:$E$23,3,FALSE),IF(AND(J103="Cobre",F103="Trifásico"),VLOOKUP(M103,'Iz''s'!$L$8:$O$23,3,FALSE),IF(AND(J103="Alumínio",F103="Monofásico"),VLOOKUP(M103,'Iz''s'!$B$25:$E$39,3,FALSE),IF(AND(J103="Alumínio",F103="Trifásico"),VLOOKUP(M103,'Iz''s'!$L$25:$O$39,3,FALSE)))))</f>
        <v>24</v>
      </c>
      <c r="BD103" s="531">
        <f>IF(AND(J103="Cobre",F103="Monofásico"),VLOOKUP(M103,'Iz''s'!$CD$9:$CH$24,3,FALSE),IF(AND(J103="Cobre",F103="Trifásico"),VLOOKUP(M103,'Iz''s'!$CD$9:$CH$24,5,FALSE),IF(AND(J103="Alumínio",F103="Monofásico"),VLOOKUP(M103,'Iz''s'!$CD$26:$CH$40,3,FALSE),IF(AND(J103="Alumínio",F103="Trifásico"),VLOOKUP(M103,'Iz''s'!$CD$26:$CH$40,5,FALSE)))))</f>
        <v>23</v>
      </c>
      <c r="BE103" s="531">
        <f>IF(AND(J103="Cobre",F103="Monofásico"),VLOOKUP(M103,'Iz''s'!$B$8:$E$23,4,FALSE),IF(AND(J103="Cobre",F103="Trifásico"),VLOOKUP(M103,'Iz''s'!$L$8:$O$23,4,FALSE),IF(AND(J103="Alumínio",F103="Monofásico"),VLOOKUP(M103,'Iz''s'!$B$25:$E$39,4,FALSE),IF(AND(J103="Alumínio",F103="Trifásico"),VLOOKUP(M103,'Iz''s'!$L$25:$O$39,4,FALSE)))))</f>
        <v>27</v>
      </c>
      <c r="BF103" s="531">
        <f>IF(AND(J103="Cobre",F103="Monofásico"),VLOOKUP(M103,'Iz''s'!$CP$9:$CT$24,3,FALSE),IF(AND(J103="Cobre",F103="Trifásico"),VLOOKUP(M103,'Iz''s'!$CP$9:$CT$24,2,FALSE),IF(AND(J103="Alumínio",F103="Monofásico"),VLOOKUP(M103,'Iz''s'!$CP$26:$CT$37,3,FALSE),IF(AND(J103="Alumínio",F103="Trifásico"),VLOOKUP(M103,'Iz''s'!$CP$26:$CT$37,2,FALSE)))))</f>
        <v>42</v>
      </c>
      <c r="BG103" s="531">
        <f>IF(AND(J103="Cobre",F103="Monofásico"),VLOOKUP(M103,'Iz''s'!$AT$10:$BA$28,2,FALSE),IF(AND(J103="Cobre",F103="Trifásico"),VLOOKUP(M103,'Iz''s'!$AT$10:$BA$28,3,FALSE),IF(AND(J103="Alumínio",F103="Monofásico"),VLOOKUP(M103,'Iz''s'!$BC$10:$BJ$27,2,FALSE),IF(AND(J103="Alumínio",F103="Trifásico"),VLOOKUP(M103,'Iz''s'!$BC$10:$BJ$27,3,FALSE)))))</f>
        <v>30</v>
      </c>
      <c r="BH103" s="609" t="str">
        <f>IF(AND(J103="Cobre",F103="Monofásico"),VLOOKUP(M103,'Iz''s'!$AT$10:$BA$28,4,FALSE),IF(AND(J103="Cobre",F103="Trifásico"),VLOOKUP(M103,'Iz''s'!$AT$10:$BA$28,5,FALSE),IF(AND(J103="Alumínio",F103="Monofásico"),VLOOKUP(M103,'Iz''s'!$BC$10:$BJ$27,4,FALSE),IF(AND(J103="Alumínio",F103="Trifásico"),VLOOKUP(M103,'Iz''s'!$BC$10:$BJ$27,5,FALSE)))))</f>
        <v xml:space="preserve"> --- </v>
      </c>
      <c r="BI103" s="531" t="str">
        <f>IF(AND(J103="Cobre",F103="Monofásico"),"N/A",IF(AND(J103="Cobre",F103="Trifásico"),VLOOKUP(M103,'Iz''s'!$AT$10:$BA$28,8,FALSE),IF(AND(J103="Alumínio",F103="Monofásico"),"N/A",IF(AND(J103="Alumínio",F103="Trifásico"),VLOOKUP(M103,'Iz''s'!$BC$10:$BJ$27,8,FALSE)))))</f>
        <v>N/A</v>
      </c>
      <c r="BJ103" s="531">
        <f>IF(AND(J103="Cobre",F103="Monofásico"),VLOOKUP(M103,'Iz''s'!$G$8:$J$23,2,FALSE),IF(AND(J103="Cobre",F103="Trifásico"),VLOOKUP(M103,'Iz''s'!$Q$8:$T$23,2,FALSE),IF(AND(J103="Alumínio",F103="Monofásico"),VLOOKUP(M103,'Iz''s'!$G$25:$J$39,2,FALSE),IF(AND(J103="Alumínio",F103="Trifásico"),VLOOKUP(M103,'Iz''s'!$Q$25:$T$39,2,FALSE)))))</f>
        <v>26</v>
      </c>
      <c r="BK103" s="609">
        <f>IF(AND(J103="Cobre",F103="Monofásico"),VLOOKUP(M103,'Iz''s'!$CJ$9:$CN$24,2,FALSE),IF(AND(J103="Cobre",F103="Trifásico"),VLOOKUP(M103,'Iz''s'!$CJ$9:$CN$24,4,FALSE),IF(AND(J103="Alumínio",F103="Monofásico"),VLOOKUP(M103,'Iz''s'!$CJ$26:$CN$40,2,FALSE),IF(AND(J103="Alumínio",F103="Trifásico"),VLOOKUP(M103,'Iz''s'!$CJ$26:$CN$40,4,FALSE)))))</f>
        <v>25</v>
      </c>
      <c r="BL103" s="609">
        <f>IF(AND(J103="Cobre",F103="Monofásico"),VLOOKUP(M103,'Iz''s'!$G$8:$J$23,3,FALSE),IF(AND(J103="Cobre",F103="Trifásico"),VLOOKUP(M103,'Iz''s'!$Q$8:$T$23,3,FALSE),IF(AND(J103="Alumínio",F103="Monofásico"),VLOOKUP(M103,'Iz''s'!$G$25:$J$39,3,FALSE),IF(AND(J103="Alumínio",F103="Trifásico"),VLOOKUP(M103,'Iz''s'!$Q$25:$T$39,3,FALSE)))))</f>
        <v>31</v>
      </c>
      <c r="BM103" s="609">
        <f>IF(AND(J103="Cobre",F103="Monofásico"),VLOOKUP(M103,'Iz''s'!$CJ$9:$CN$24,3,FALSE),IF(AND(J103="Cobre",F103="Trifásico"),VLOOKUP(M103,'Iz''s'!$CJ$9:$CN$24,5,FALSE),IF(AND(J103="Alumínio",F103="Monofásico"),VLOOKUP(M103,'Iz''s'!$CJ$26:$CN$40,3,FALSE),IF(AND(J103="Alumínio",F103="Trifásico"),VLOOKUP(M103,'Iz''s'!$CJ$26:$CN$40,5,FALSE)))))</f>
        <v>30</v>
      </c>
      <c r="BN103" s="609">
        <f>IF(AND(J103="Cobre",F103="Monofásico"),VLOOKUP(M103,'Iz''s'!$G$8:$J$23,4,FALSE),IF(AND(J103="Cobre",F103="Trifásico"),VLOOKUP(M103,'Iz''s'!$Q$8:$T$23,4,FALSE),IF(AND(J103="Alumínio",F103="Monofásico"),VLOOKUP(M103,'Iz''s'!$G$25:$J$39,4,FALSE),IF(AND(J103="Alumínio",F103="Trifásico"),VLOOKUP(M103,'Iz''s'!$Q$25:$T$39,4,FALSE)))))</f>
        <v>33</v>
      </c>
      <c r="BO103" s="609">
        <f>IF(AND(J103="Cobre",F103="Monofásico"),VLOOKUP(M103,'Iz''s'!$CP$9:$CT$24,5,FALSE),IF(AND(J103="Cobre",F103="Trifásico"),VLOOKUP(M103,'Iz''s'!$CP$9:$CT$24,4,FALSE),IF(AND(J103="Alumínio",F103="Monofásico"),VLOOKUP(M103,'Iz''s'!$CP$26:$CT$37,5,FALSE),IF(AND(J103="Alumínio",F103="Trifásico"),VLOOKUP(M103,'Iz''s'!$CP$26:$CT$37,4,FALSE)))))</f>
        <v>48</v>
      </c>
      <c r="BP103" s="531">
        <f>IF(AND(J103="Cobre",F103="Monofásico"),VLOOKUP(M103,'Iz''s'!$BL$10:$BS$28,2,FALSE),IF(AND(J103="Cobre",F103="Trifásico"),VLOOKUP(M103,'Iz''s'!$BL$10:$BS$28,3,FALSE),IF(AND(J103="Alumínio",F103="Monofásico"),VLOOKUP(M103,'Iz''s'!$BU$10:$CB$27,2,FALSE),IF(AND(J103="Alumínio",F103="Trifásico"),VLOOKUP(M103,'Iz''s'!$BU$10:$CB$27,3,FALSE)))))</f>
        <v>36</v>
      </c>
      <c r="BQ103" s="531" t="str">
        <f>IF(AND(J103="Cobre",F103="Monofásico"),VLOOKUP(M103,'Iz''s'!$BL$10:$BS$28,4,FALSE),IF(AND(J103="Cobre",F103="Trifásico"),VLOOKUP(M103,'Iz''s'!$BL$10:$BS$28,5,FALSE),IF(AND(J103="Alumínio",F103="Monofásico"),VLOOKUP(M103,'Iz''s'!$BU$10:$CB$27,4,FALSE),IF(AND(J103="Alumínio",F103="Trifásico"),VLOOKUP(M103,'Iz''s'!$BU$10:$CB$27,5,FALSE)))))</f>
        <v xml:space="preserve"> --- </v>
      </c>
      <c r="BR103" s="531" t="str">
        <f>IF(AND(J103="Cobre",F103="Monofásico"),"N/A",IF(AND(J103="Cobre",F103="Trifásico"),VLOOKUP(M103,'Iz''s'!$BL$10:$BS$28,8,FALSE),IF(AND(J103="Alumínio",F103="Monofásico"),"N/A",IF(AND(J103="Alumínio",F103="Trifásico"),VLOOKUP(M103,'Iz''s'!$BU$10:$CB$27,8,FALSE)))))</f>
        <v>N/A</v>
      </c>
      <c r="BS103" s="609">
        <f>IF(AND(J103="Cobre",F103="Monofásico"),VLOOKUP(M103,'Iz''s'!$V$14:$Y$28,2,FALSE),IF(AND(J103="Cobre",F103="Trifásico"),VLOOKUP(M103,'Iz''s'!$V$14:$Y$28,3,FALSE),IF(AND(J103="Alumínio",F103="Monofásico"),VLOOKUP(M103,"N/A",4,FALSE),IF(AND(J103="Alumínio",F103="Trifásico"),VLOOKUP(M103,"N/A",4,FALSE)))))</f>
        <v>34</v>
      </c>
      <c r="BT103" s="609">
        <f>IF(AND(J103="Cobre",F103="Monofásico"),VLOOKUP(M103,'Iz''s'!$AF$15:$AK$29,2,FALSE),IF(AND(J103="Cobre",F103="Trifásico"),VLOOKUP(M103,'Iz''s'!$AF$15:$AK$29,3,FALSE),IF(AND(J103="Alumínio",F103="Monofásico"),"N/A",IF(AND(J103="Alumínio",F103="Trifásico"),"N/A"))))</f>
        <v>36</v>
      </c>
      <c r="BU103" s="609">
        <f>IF(AND(J103="Cobre",F103="Monofásico"),VLOOKUP(M103,'Iz''s'!$AF$15:$AK$29,2,FALSE),IF(AND(J103="Cobre",F103="Trifásico"),VLOOKUP(M103,'Iz''s'!$AF$15:$AK$29,3,FALSE),IF(AND(J103="Alumínio",F103="Monofásico"),"N/A",IF(AND(J103="Alumínio",F103="Trifásico"),"N/A"))))</f>
        <v>36</v>
      </c>
      <c r="BV103" s="610" t="str">
        <f>IF(AND(J103="Cobre",F103="Monofásico"),"N/A",IF(AND(J103="Cobre",F103="Trifásico"),VLOOKUP(M103,'Iz''s'!$AF$15:$AK$29,6,FALSE),IF(AND(J103="Alumínio",F103="Monofásico"),"N/A",IF(AND(J103="Alumínio",F103="Trifásico"),"N/A"))))</f>
        <v>N/A</v>
      </c>
      <c r="BW103" s="611">
        <v>101</v>
      </c>
      <c r="BX103" s="565"/>
      <c r="BY103" s="612">
        <f>VLOOKUP(M103,Consulta!$W$6:$AB$23,4,FALSE)</f>
        <v>16</v>
      </c>
      <c r="BZ103" s="612">
        <f>VLOOKUP(M103,Consulta!$W$6:$AB$23,6,FALSE)</f>
        <v>20</v>
      </c>
      <c r="CA103" s="612">
        <f>VLOOKUP(M103,Consulta!$AK$6:$AP$23,4,FALSE)</f>
        <v>20</v>
      </c>
      <c r="CB103" s="612">
        <f>VLOOKUP(M103,Consulta!$AK$6:$AP$23,6,FALSE)</f>
        <v>25</v>
      </c>
      <c r="CC103" s="585" t="e">
        <f>VLOOKUP(M103,Consulta!$AD$6:$AI$19,4,FALSE)</f>
        <v>#N/A</v>
      </c>
      <c r="CD103" s="585" t="e">
        <f>VLOOKUP(M103,Consulta!$AD$6:$AI$19,6,FALSE)</f>
        <v>#N/A</v>
      </c>
      <c r="CE103" s="585" t="e">
        <f>VLOOKUP(M103,Consulta!$AR$6:$AW$19,4,FALSE)</f>
        <v>#N/A</v>
      </c>
      <c r="CF103" s="586" t="e">
        <f>VLOOKUP(M103,Consulta!$AR$6:$AW$19,6,FALSE)</f>
        <v>#N/A</v>
      </c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</row>
    <row r="104" spans="1:212" s="774" customFormat="1" ht="16.5" customHeight="1" thickBot="1" x14ac:dyDescent="0.25">
      <c r="A104" s="789"/>
      <c r="B104" s="1116"/>
      <c r="C104" s="823" t="s">
        <v>870</v>
      </c>
      <c r="D104" s="728">
        <v>1.6</v>
      </c>
      <c r="E104" s="824">
        <f>19.55+0.7+3+1.3+0.3+5.9+2.7+1.2</f>
        <v>34.650000000000006</v>
      </c>
      <c r="F104" s="728" t="s">
        <v>244</v>
      </c>
      <c r="G104" s="728" t="s">
        <v>789</v>
      </c>
      <c r="H104" s="728">
        <v>0.8</v>
      </c>
      <c r="I104" s="729" t="s">
        <v>13</v>
      </c>
      <c r="J104" s="728" t="s">
        <v>242</v>
      </c>
      <c r="K104" s="728" t="s">
        <v>363</v>
      </c>
      <c r="L104" s="728">
        <v>1</v>
      </c>
      <c r="M104" s="730">
        <v>2.5</v>
      </c>
      <c r="N104" s="728" t="s">
        <v>453</v>
      </c>
      <c r="O104" s="728">
        <v>4</v>
      </c>
      <c r="P104" s="573">
        <f t="shared" si="108"/>
        <v>23</v>
      </c>
      <c r="Q104" s="728">
        <v>3</v>
      </c>
      <c r="R104" s="728">
        <v>0.6</v>
      </c>
      <c r="S104" s="573">
        <f>IF(F104="Monofásico",(((D103*10^3)/H104)/230),(((D103*10^3)/H104)/(SQRT(3)*400)))</f>
        <v>8.695652173913043</v>
      </c>
      <c r="T104" s="731">
        <f t="shared" si="84"/>
        <v>13.799999999999999</v>
      </c>
      <c r="U104" s="728" t="s">
        <v>499</v>
      </c>
      <c r="V104" s="573">
        <v>10</v>
      </c>
      <c r="W104" s="728">
        <f>IF(U104="C.C.Fusíveis",VLOOKUP(V104,Consulta!$L$5:$N$31,3,FALSE),VLOOKUP(V104,Consulta!$P$5:$R$34,3,FALSE))</f>
        <v>13.5</v>
      </c>
      <c r="X104" s="739">
        <f t="shared" si="93"/>
        <v>34</v>
      </c>
      <c r="Y104" s="825">
        <f t="shared" si="85"/>
        <v>0.63011972274732198</v>
      </c>
      <c r="Z104" s="734" t="str">
        <f t="shared" si="94"/>
        <v>Sim</v>
      </c>
      <c r="AA104" s="773">
        <f t="shared" si="96"/>
        <v>6.5243555363796182E-2</v>
      </c>
      <c r="AB104" s="773">
        <f>(IF(J104="Cobre",(1.25*0.0225),(1.25*0.036)))*((E103/M104)/L104)</f>
        <v>0.25650000000000001</v>
      </c>
      <c r="AC104" s="773">
        <f>(IF(M104&lt;10,0,(0.00008)))*(E103)</f>
        <v>0</v>
      </c>
      <c r="AD104" s="732">
        <f t="shared" si="104"/>
        <v>1.7498652207576615</v>
      </c>
      <c r="AE104" s="732">
        <f t="shared" si="99"/>
        <v>3.568695652173913</v>
      </c>
      <c r="AF104" s="732">
        <f t="shared" si="100"/>
        <v>5.3185608729315748</v>
      </c>
      <c r="AG104" s="733">
        <f t="shared" si="105"/>
        <v>1.5516068052930057E-2</v>
      </c>
      <c r="AH104" s="826">
        <f t="shared" si="105"/>
        <v>2.3124177708398152E-2</v>
      </c>
      <c r="AI104" s="732">
        <f t="shared" si="101"/>
        <v>0.71485503335082656</v>
      </c>
      <c r="AJ104" s="728">
        <v>3</v>
      </c>
      <c r="AK104" s="732">
        <v>0.1</v>
      </c>
      <c r="AL104" s="739">
        <f t="shared" si="89"/>
        <v>143</v>
      </c>
      <c r="AM104" s="732">
        <f t="shared" si="90"/>
        <v>1.580818253303665</v>
      </c>
      <c r="AN104" s="734">
        <f t="shared" si="86"/>
        <v>1</v>
      </c>
      <c r="AO104" s="734" t="s">
        <v>563</v>
      </c>
      <c r="AP104" s="734" t="s">
        <v>523</v>
      </c>
      <c r="AQ104" s="734" t="str">
        <f t="shared" si="87"/>
        <v>3G</v>
      </c>
      <c r="AR104" s="734">
        <f t="shared" si="88"/>
        <v>2.5</v>
      </c>
      <c r="AS104" s="891" t="str">
        <f t="shared" si="91"/>
        <v/>
      </c>
      <c r="AT104" s="891" t="str">
        <f>IF(OR(AQ104="3G",AQ104="5G"),"",VLOOKUP(AR104,Consulta!$T$5:$U$25,2,FALSE))</f>
        <v/>
      </c>
      <c r="AU104" s="892" t="s">
        <v>565</v>
      </c>
      <c r="AV104" s="734" t="s">
        <v>23</v>
      </c>
      <c r="AW104" s="734" t="s">
        <v>564</v>
      </c>
      <c r="AX104" s="734">
        <f t="shared" ref="AX104" si="111">IF(AND(F104="Monofásico",I104="Fio/Canalizações"),BY103,IF(AND(F104="Trifásico",I104="Fio/Canalizações"),BZ103,IF(AND(F104="Monofásico",I104="Cabo/Canalizações"),CA103,IF(AND(F104="Trifásico",I104="Cabo/Canalizações"),CB103,IF(AND(F104="Monofásico",I104="Fio/Colunas&amp;Entradas"),CC103,IF(AND(F104="Trifásico",I104="Fio/Colunas&amp;Entradas"),CD103,IF(AND(F104="Monofásico",I104="Cabo/Colunas&amp;Entradas"),CE103,IF(AND(F104="Trifásico",I104="Cabo/Colunas&amp;Entradas"),CF103))))))))</f>
        <v>20</v>
      </c>
      <c r="AY104" s="735" t="s">
        <v>24</v>
      </c>
      <c r="AZ104" s="662"/>
      <c r="BA104" s="671">
        <f>IF(AND(J104="Cobre",F104="Monofásico"),VLOOKUP(M104,'Iz''s'!$B$8:$E$23,2,FALSE),IF(AND(J104="Cobre",F104="Trifásico"),VLOOKUP(M104,'Iz''s'!$L$8:$O$23,2,FALSE),IF(AND(J104="Alumínio",F104="Monofásico"),VLOOKUP(M104,'Iz''s'!$B$25:$E$39,2,FALSE),IF(AND(J104="Alumínio",F104="Trifásico"),VLOOKUP(M104,'Iz''s'!$L$25:$O$39,2,FALSE)))))</f>
        <v>19.5</v>
      </c>
      <c r="BB104" s="672">
        <f>IF(AND(J104="Cobre",F104="Monofásico"),VLOOKUP(M104,'Iz''s'!$CD$9:$CH$24,2,FALSE),IF(AND(J104="Cobre",F104="Trifásico"),VLOOKUP(M104,'Iz''s'!$CD$9:$CH$24,4,FALSE),IF(AND(J104="Alumínio",F104="Monofásico"),VLOOKUP(M104,'Iz''s'!$CD$26:$CH$40,2,FALSE),IF(AND(J104="Alumínio",F104="Trifásico"),VLOOKUP(M104,'Iz''s'!$CD$26:$CH$40,4,FALSE)))))</f>
        <v>18.5</v>
      </c>
      <c r="BC104" s="672">
        <f>IF(AND(J104="Cobre",F104="Monofásico"),VLOOKUP(M104,'Iz''s'!$B$8:$E$23,3,FALSE),IF(AND(J104="Cobre",F104="Trifásico"),VLOOKUP(M104,'Iz''s'!$L$8:$O$23,3,FALSE),IF(AND(J104="Alumínio",F104="Monofásico"),VLOOKUP(M104,'Iz''s'!$B$25:$E$39,3,FALSE),IF(AND(J104="Alumínio",F104="Trifásico"),VLOOKUP(M104,'Iz''s'!$L$25:$O$39,3,FALSE)))))</f>
        <v>24</v>
      </c>
      <c r="BD104" s="672">
        <f>IF(AND(J104="Cobre",F104="Monofásico"),VLOOKUP(M104,'Iz''s'!$CD$9:$CH$24,3,FALSE),IF(AND(J104="Cobre",F104="Trifásico"),VLOOKUP(M104,'Iz''s'!$CD$9:$CH$24,5,FALSE),IF(AND(J104="Alumínio",F104="Monofásico"),VLOOKUP(M104,'Iz''s'!$CD$26:$CH$40,3,FALSE),IF(AND(J104="Alumínio",F104="Trifásico"),VLOOKUP(M104,'Iz''s'!$CD$26:$CH$40,5,FALSE)))))</f>
        <v>23</v>
      </c>
      <c r="BE104" s="672">
        <f>IF(AND(J104="Cobre",F104="Monofásico"),VLOOKUP(M104,'Iz''s'!$B$8:$E$23,4,FALSE),IF(AND(J104="Cobre",F104="Trifásico"),VLOOKUP(M104,'Iz''s'!$L$8:$O$23,4,FALSE),IF(AND(J104="Alumínio",F104="Monofásico"),VLOOKUP(M104,'Iz''s'!$B$25:$E$39,4,FALSE),IF(AND(J104="Alumínio",F104="Trifásico"),VLOOKUP(M104,'Iz''s'!$L$25:$O$39,4,FALSE)))))</f>
        <v>27</v>
      </c>
      <c r="BF104" s="672">
        <f>IF(AND(J104="Cobre",F104="Monofásico"),VLOOKUP(M104,'Iz''s'!$CP$9:$CT$24,3,FALSE),IF(AND(J104="Cobre",F104="Trifásico"),VLOOKUP(M104,'Iz''s'!$CP$9:$CT$24,2,FALSE),IF(AND(J104="Alumínio",F104="Monofásico"),VLOOKUP(M104,'Iz''s'!$CP$26:$CT$37,3,FALSE),IF(AND(J104="Alumínio",F104="Trifásico"),VLOOKUP(M104,'Iz''s'!$CP$26:$CT$37,2,FALSE)))))</f>
        <v>42</v>
      </c>
      <c r="BG104" s="672">
        <f>IF(AND(J104="Cobre",F104="Monofásico"),VLOOKUP(M104,'Iz''s'!$AT$10:$BA$28,2,FALSE),IF(AND(J104="Cobre",F104="Trifásico"),VLOOKUP(M104,'Iz''s'!$AT$10:$BA$28,3,FALSE),IF(AND(J104="Alumínio",F104="Monofásico"),VLOOKUP(M104,'Iz''s'!$BC$10:$BJ$27,2,FALSE),IF(AND(J104="Alumínio",F104="Trifásico"),VLOOKUP(M104,'Iz''s'!$BC$10:$BJ$27,3,FALSE)))))</f>
        <v>30</v>
      </c>
      <c r="BH104" s="664" t="str">
        <f>IF(AND(J104="Cobre",F104="Monofásico"),VLOOKUP(M104,'Iz''s'!$AT$10:$BA$28,4,FALSE),IF(AND(J104="Cobre",F104="Trifásico"),VLOOKUP(M104,'Iz''s'!$AT$10:$BA$28,5,FALSE),IF(AND(J104="Alumínio",F104="Monofásico"),VLOOKUP(M104,'Iz''s'!$BC$10:$BJ$27,4,FALSE),IF(AND(J104="Alumínio",F104="Trifásico"),VLOOKUP(M104,'Iz''s'!$BC$10:$BJ$27,5,FALSE)))))</f>
        <v xml:space="preserve"> --- </v>
      </c>
      <c r="BI104" s="672" t="str">
        <f>IF(AND(J104="Cobre",F104="Monofásico"),"N/A",IF(AND(J104="Cobre",F104="Trifásico"),VLOOKUP(M104,'Iz''s'!$AT$10:$BA$28,8,FALSE),IF(AND(J104="Alumínio",F104="Monofásico"),"N/A",IF(AND(J104="Alumínio",F104="Trifásico"),VLOOKUP(M104,'Iz''s'!$BC$10:$BJ$27,8,FALSE)))))</f>
        <v>N/A</v>
      </c>
      <c r="BJ104" s="672">
        <f>IF(AND(J104="Cobre",F104="Monofásico"),VLOOKUP(M104,'Iz''s'!$G$8:$J$23,2,FALSE),IF(AND(J104="Cobre",F104="Trifásico"),VLOOKUP(M104,'Iz''s'!$Q$8:$T$23,2,FALSE),IF(AND(J104="Alumínio",F104="Monofásico"),VLOOKUP(M104,'Iz''s'!$G$25:$J$39,2,FALSE),IF(AND(J104="Alumínio",F104="Trifásico"),VLOOKUP(M104,'Iz''s'!$Q$25:$T$39,2,FALSE)))))</f>
        <v>26</v>
      </c>
      <c r="BK104" s="664">
        <f>IF(AND(J104="Cobre",F104="Monofásico"),VLOOKUP(M104,'Iz''s'!$CJ$9:$CN$24,2,FALSE),IF(AND(J104="Cobre",F104="Trifásico"),VLOOKUP(M104,'Iz''s'!$CJ$9:$CN$24,4,FALSE),IF(AND(J104="Alumínio",F104="Monofásico"),VLOOKUP(M104,'Iz''s'!$CJ$26:$CN$40,2,FALSE),IF(AND(J104="Alumínio",F104="Trifásico"),VLOOKUP(M104,'Iz''s'!$CJ$26:$CN$40,4,FALSE)))))</f>
        <v>25</v>
      </c>
      <c r="BL104" s="664">
        <f>IF(AND(J104="Cobre",F104="Monofásico"),VLOOKUP(M104,'Iz''s'!$G$8:$J$23,3,FALSE),IF(AND(J104="Cobre",F104="Trifásico"),VLOOKUP(M104,'Iz''s'!$Q$8:$T$23,3,FALSE),IF(AND(J104="Alumínio",F104="Monofásico"),VLOOKUP(M104,'Iz''s'!$G$25:$J$39,3,FALSE),IF(AND(J104="Alumínio",F104="Trifásico"),VLOOKUP(M104,'Iz''s'!$Q$25:$T$39,3,FALSE)))))</f>
        <v>31</v>
      </c>
      <c r="BM104" s="664">
        <f>IF(AND(J104="Cobre",F104="Monofásico"),VLOOKUP(M104,'Iz''s'!$CJ$9:$CN$24,3,FALSE),IF(AND(J104="Cobre",F104="Trifásico"),VLOOKUP(M104,'Iz''s'!$CJ$9:$CN$24,5,FALSE),IF(AND(J104="Alumínio",F104="Monofásico"),VLOOKUP(M104,'Iz''s'!$CJ$26:$CN$40,3,FALSE),IF(AND(J104="Alumínio",F104="Trifásico"),VLOOKUP(M104,'Iz''s'!$CJ$26:$CN$40,5,FALSE)))))</f>
        <v>30</v>
      </c>
      <c r="BN104" s="664">
        <f>IF(AND(J104="Cobre",F104="Monofásico"),VLOOKUP(M104,'Iz''s'!$G$8:$J$23,4,FALSE),IF(AND(J104="Cobre",F104="Trifásico"),VLOOKUP(M104,'Iz''s'!$Q$8:$T$23,4,FALSE),IF(AND(J104="Alumínio",F104="Monofásico"),VLOOKUP(M104,'Iz''s'!$G$25:$J$39,4,FALSE),IF(AND(J104="Alumínio",F104="Trifásico"),VLOOKUP(M104,'Iz''s'!$Q$25:$T$39,4,FALSE)))))</f>
        <v>33</v>
      </c>
      <c r="BO104" s="672">
        <f>IF(AND(J104="Cobre",F104="Monofásico"),VLOOKUP(M104,'Iz''s'!$CP$9:$CT$24,5,FALSE),IF(AND(J104="Cobre",F104="Trifásico"),VLOOKUP(M104,'Iz''s'!$CP$9:$CT$24,4,FALSE),IF(AND(J104="Alumínio",F104="Monofásico"),VLOOKUP(M104,'Iz''s'!$CP$26:$CT$37,5,FALSE),IF(AND(J104="Alumínio",F104="Trifásico"),VLOOKUP(M104,'Iz''s'!$CP$26:$CT$37,4,FALSE)))))</f>
        <v>48</v>
      </c>
      <c r="BP104" s="672">
        <f>IF(AND(J104="Cobre",F104="Monofásico"),VLOOKUP(M104,'Iz''s'!$BL$10:$BS$28,2,FALSE),IF(AND(J104="Cobre",F104="Trifásico"),VLOOKUP(M104,'Iz''s'!$BL$10:$BS$28,3,FALSE),IF(AND(J104="Alumínio",F104="Monofásico"),VLOOKUP(M104,'Iz''s'!$BU$10:$CB$27,2,FALSE),IF(AND(J104="Alumínio",F104="Trifásico"),VLOOKUP(M104,'Iz''s'!$BU$10:$CB$27,3,FALSE)))))</f>
        <v>36</v>
      </c>
      <c r="BQ104" s="672" t="str">
        <f>IF(AND(J104="Cobre",F104="Monofásico"),VLOOKUP(M104,'Iz''s'!$BL$10:$BS$28,4,FALSE),IF(AND(J104="Cobre",F104="Trifásico"),VLOOKUP(M104,'Iz''s'!$BL$10:$BS$28,5,FALSE),IF(AND(J104="Alumínio",F104="Monofásico"),VLOOKUP(M104,'Iz''s'!$BU$10:$CB$27,4,FALSE),IF(AND(J104="Alumínio",F104="Trifásico"),VLOOKUP(M104,'Iz''s'!$BU$10:$CB$27,5,FALSE)))))</f>
        <v xml:space="preserve"> --- </v>
      </c>
      <c r="BR104" s="672" t="str">
        <f>IF(AND(J104="Cobre",F104="Monofásico"),"N/A",IF(AND(J104="Cobre",F104="Trifásico"),VLOOKUP(M104,'Iz''s'!$BL$10:$BS$28,8,FALSE),IF(AND(J104="Alumínio",F104="Monofásico"),"N/A",IF(AND(J104="Alumínio",F104="Trifásico"),VLOOKUP(M104,'Iz''s'!$BU$10:$CB$27,8,FALSE)))))</f>
        <v>N/A</v>
      </c>
      <c r="BS104" s="664">
        <f>IF(AND(J104="Cobre",F104="Monofásico"),VLOOKUP(M104,'Iz''s'!$V$14:$Y$28,2,FALSE),IF(AND(J104="Cobre",F104="Trifásico"),VLOOKUP(M104,'Iz''s'!$V$14:$Y$28,3,FALSE),IF(AND(J104="Alumínio",F104="Monofásico"),VLOOKUP(M104,"N/A",4,FALSE),IF(AND(J104="Alumínio",F104="Trifásico"),VLOOKUP(M104,"N/A",4,FALSE)))))</f>
        <v>34</v>
      </c>
      <c r="BT104" s="664">
        <f>IF(AND(J104="Cobre",F104="Monofásico"),VLOOKUP(M104,'Iz''s'!$AF$15:$AK$29,2,FALSE),IF(AND(J104="Cobre",F104="Trifásico"),VLOOKUP(M104,'Iz''s'!$AF$15:$AK$29,3,FALSE),IF(AND(J104="Alumínio",F104="Monofásico"),"N/A",IF(AND(J104="Alumínio",F104="Trifásico"),"N/A"))))</f>
        <v>36</v>
      </c>
      <c r="BU104" s="664">
        <f>IF(AND(J104="Cobre",F104="Monofásico"),VLOOKUP(M104,'Iz''s'!$AF$15:$AK$29,2,FALSE),IF(AND(J104="Cobre",F104="Trifásico"),VLOOKUP(M104,'Iz''s'!$AF$15:$AK$29,3,FALSE),IF(AND(J104="Alumínio",F104="Monofásico"),"N/A",IF(AND(J104="Alumínio",F104="Trifásico"),"N/A"))))</f>
        <v>36</v>
      </c>
      <c r="BV104" s="665" t="str">
        <f>IF(AND(J104="Cobre",F104="Monofásico"),"N/A",IF(AND(J104="Cobre",F104="Trifásico"),VLOOKUP(M104,'Iz''s'!$AF$15:$AK$29,6,FALSE),IF(AND(J104="Alumínio",F104="Monofásico"),"N/A",IF(AND(J104="Alumínio",F104="Trifásico"),"N/A"))))</f>
        <v>N/A</v>
      </c>
      <c r="BW104" s="666">
        <v>102</v>
      </c>
      <c r="BX104" s="790"/>
      <c r="BY104" s="668">
        <f>VLOOKUP(M104,Consulta!$W$6:$AB$23,4,FALSE)</f>
        <v>16</v>
      </c>
      <c r="BZ104" s="668">
        <f>VLOOKUP(M104,Consulta!$W$6:$AB$23,6,FALSE)</f>
        <v>20</v>
      </c>
      <c r="CA104" s="668">
        <f>VLOOKUP(M104,Consulta!$AK$6:$AP$23,4,FALSE)</f>
        <v>20</v>
      </c>
      <c r="CB104" s="668">
        <f>VLOOKUP(M104,Consulta!$AK$6:$AP$23,6,FALSE)</f>
        <v>25</v>
      </c>
      <c r="CC104" s="673" t="e">
        <f>VLOOKUP(M104,Consulta!$AD$6:$AI$19,4,FALSE)</f>
        <v>#N/A</v>
      </c>
      <c r="CD104" s="673" t="e">
        <f>VLOOKUP(M104,Consulta!$AD$6:$AI$19,6,FALSE)</f>
        <v>#N/A</v>
      </c>
      <c r="CE104" s="673" t="e">
        <f>VLOOKUP(M104,Consulta!$AR$6:$AW$19,4,FALSE)</f>
        <v>#N/A</v>
      </c>
      <c r="CF104" s="674" t="e">
        <f>VLOOKUP(M104,Consulta!$AR$6:$AW$19,6,FALSE)</f>
        <v>#N/A</v>
      </c>
      <c r="CG104" s="675"/>
      <c r="CH104" s="675"/>
      <c r="CI104" s="675"/>
      <c r="CJ104" s="675"/>
      <c r="CK104" s="675"/>
      <c r="CL104" s="675"/>
      <c r="CM104" s="675"/>
      <c r="CN104" s="675"/>
      <c r="CO104" s="675"/>
      <c r="CP104" s="675"/>
      <c r="CQ104" s="675"/>
      <c r="CR104" s="675"/>
      <c r="CS104" s="675"/>
      <c r="CT104" s="675"/>
      <c r="CU104" s="675"/>
      <c r="CV104" s="675"/>
      <c r="CW104" s="675"/>
      <c r="CX104" s="675"/>
      <c r="CY104" s="675"/>
      <c r="CZ104" s="675"/>
      <c r="DA104" s="675"/>
      <c r="DB104" s="675"/>
      <c r="DC104" s="675"/>
      <c r="DD104" s="675"/>
      <c r="DE104" s="675"/>
      <c r="DF104" s="675"/>
      <c r="DG104" s="675"/>
      <c r="DH104" s="675"/>
      <c r="DI104" s="675"/>
      <c r="DJ104" s="675"/>
      <c r="DK104" s="675"/>
      <c r="DL104" s="675"/>
      <c r="DM104" s="675"/>
      <c r="DN104" s="675"/>
      <c r="DO104" s="675"/>
      <c r="DP104" s="675"/>
      <c r="DQ104" s="675"/>
      <c r="DR104" s="675"/>
      <c r="DS104" s="675"/>
      <c r="DT104" s="675"/>
      <c r="DU104" s="675"/>
      <c r="DV104" s="675"/>
      <c r="DW104" s="675"/>
      <c r="DX104" s="675"/>
      <c r="DY104" s="675"/>
      <c r="DZ104" s="675"/>
      <c r="EA104" s="675"/>
      <c r="EB104" s="675"/>
      <c r="EC104" s="675"/>
      <c r="ED104" s="675"/>
      <c r="EE104" s="675"/>
      <c r="EF104" s="675"/>
      <c r="EG104" s="675"/>
      <c r="EH104" s="675"/>
      <c r="EI104" s="675"/>
      <c r="EJ104" s="675"/>
      <c r="EK104" s="675"/>
      <c r="EL104" s="675"/>
      <c r="EM104" s="675"/>
      <c r="EN104" s="675"/>
      <c r="EO104" s="675"/>
      <c r="EP104" s="675"/>
      <c r="EQ104" s="675"/>
      <c r="ER104" s="675"/>
      <c r="ES104" s="675"/>
      <c r="ET104" s="675"/>
      <c r="EU104" s="675"/>
      <c r="EV104" s="675"/>
      <c r="EW104" s="675"/>
      <c r="EX104" s="675"/>
      <c r="EY104" s="675"/>
      <c r="EZ104" s="675"/>
      <c r="FA104" s="675"/>
      <c r="FB104" s="675"/>
      <c r="FC104" s="675"/>
      <c r="FD104" s="675"/>
      <c r="FE104" s="675"/>
      <c r="FF104" s="675"/>
      <c r="FG104" s="675"/>
      <c r="FH104" s="675"/>
      <c r="FI104" s="675"/>
      <c r="FJ104" s="675"/>
      <c r="FK104" s="675"/>
      <c r="FL104" s="675"/>
      <c r="FM104" s="675"/>
      <c r="FN104" s="675"/>
      <c r="FO104" s="675"/>
      <c r="FP104" s="675"/>
      <c r="FQ104" s="675"/>
      <c r="FR104" s="675"/>
      <c r="FS104" s="675"/>
      <c r="FT104" s="675"/>
      <c r="FU104" s="675"/>
      <c r="FV104" s="675"/>
      <c r="FW104" s="675"/>
      <c r="FX104" s="675"/>
      <c r="FY104" s="675"/>
      <c r="FZ104" s="675"/>
      <c r="GA104" s="675"/>
      <c r="GB104" s="675"/>
      <c r="GC104" s="675"/>
      <c r="GD104" s="675"/>
      <c r="GE104" s="675"/>
      <c r="GF104" s="675"/>
      <c r="GG104" s="675"/>
      <c r="GH104" s="675"/>
      <c r="GI104" s="675"/>
      <c r="GJ104" s="675"/>
      <c r="GK104" s="675"/>
      <c r="GL104" s="675"/>
      <c r="GM104" s="675"/>
      <c r="GN104" s="675"/>
      <c r="GO104" s="675"/>
      <c r="GP104" s="675"/>
      <c r="GQ104" s="675"/>
      <c r="GR104" s="675"/>
      <c r="GS104" s="675"/>
      <c r="GT104" s="675"/>
      <c r="GU104" s="675"/>
      <c r="GV104" s="675"/>
      <c r="GW104" s="675"/>
      <c r="GX104" s="675"/>
      <c r="GY104" s="675"/>
      <c r="GZ104" s="675"/>
      <c r="HA104" s="675"/>
      <c r="HB104" s="675"/>
      <c r="HC104" s="675"/>
      <c r="HD104" s="675"/>
    </row>
    <row r="105" spans="1:212" x14ac:dyDescent="0.25">
      <c r="B105"/>
      <c r="C105"/>
      <c r="D105"/>
      <c r="E105"/>
      <c r="F105"/>
      <c r="G105"/>
      <c r="H105"/>
      <c r="I105"/>
      <c r="J105"/>
      <c r="L105" s="565"/>
      <c r="M105" s="565"/>
      <c r="N105" s="565"/>
      <c r="O105" s="565"/>
      <c r="P105" s="565"/>
      <c r="Q105" s="565"/>
      <c r="R105" s="565"/>
      <c r="S105" s="651"/>
      <c r="T105" s="651"/>
      <c r="U105" s="565"/>
      <c r="V105" s="565"/>
      <c r="W105" s="565"/>
      <c r="X105" s="565"/>
      <c r="BX105" s="565"/>
    </row>
    <row r="106" spans="1:212" x14ac:dyDescent="0.25">
      <c r="B106"/>
      <c r="C106"/>
      <c r="D106"/>
      <c r="E106"/>
      <c r="F106"/>
      <c r="G106"/>
      <c r="H106"/>
      <c r="I106"/>
      <c r="J106"/>
      <c r="L106" s="565"/>
      <c r="M106" s="565"/>
      <c r="N106" s="565"/>
      <c r="O106" s="565"/>
      <c r="P106" s="565"/>
      <c r="Q106" s="565"/>
      <c r="R106" s="565"/>
      <c r="S106" s="651"/>
      <c r="T106" s="651"/>
      <c r="U106" s="565"/>
      <c r="V106" s="565"/>
      <c r="W106" s="565"/>
      <c r="X106" s="565"/>
      <c r="BX106" s="565"/>
    </row>
    <row r="107" spans="1:212" x14ac:dyDescent="0.25">
      <c r="B107"/>
      <c r="C107"/>
      <c r="D107"/>
      <c r="E107"/>
      <c r="F107"/>
      <c r="G107"/>
      <c r="H107"/>
      <c r="I107"/>
      <c r="J107"/>
      <c r="L107" s="565"/>
      <c r="M107" s="565"/>
      <c r="N107" s="565"/>
      <c r="O107" s="565"/>
      <c r="P107" s="565"/>
      <c r="Q107" s="565"/>
      <c r="R107" s="565"/>
      <c r="S107" s="651"/>
      <c r="T107" s="651"/>
      <c r="U107" s="565"/>
      <c r="V107" s="565"/>
      <c r="W107" s="565"/>
      <c r="X107" s="565"/>
    </row>
    <row r="108" spans="1:212" x14ac:dyDescent="0.25">
      <c r="B108"/>
      <c r="C108"/>
      <c r="D108"/>
      <c r="E108"/>
      <c r="F108"/>
      <c r="G108"/>
      <c r="H108"/>
      <c r="I108"/>
      <c r="J108"/>
      <c r="L108" s="565"/>
      <c r="M108" s="565"/>
      <c r="N108" s="565"/>
      <c r="O108" s="565"/>
      <c r="P108" s="565"/>
      <c r="Q108" s="565"/>
      <c r="R108" s="565"/>
      <c r="S108" s="651"/>
      <c r="T108" s="651"/>
      <c r="U108" s="565"/>
      <c r="V108" s="565"/>
      <c r="W108" s="565"/>
      <c r="X108" s="565"/>
    </row>
    <row r="109" spans="1:212" x14ac:dyDescent="0.25">
      <c r="B109"/>
      <c r="C109"/>
      <c r="D109"/>
      <c r="E109"/>
      <c r="F109"/>
      <c r="G109"/>
      <c r="H109"/>
      <c r="I109"/>
      <c r="J109"/>
      <c r="L109" s="565"/>
      <c r="M109" s="565"/>
      <c r="N109" s="565"/>
      <c r="O109" s="565"/>
      <c r="P109" s="565"/>
      <c r="Q109" s="565"/>
      <c r="R109" s="565"/>
      <c r="S109" s="651"/>
      <c r="T109" s="651"/>
      <c r="U109" s="565"/>
      <c r="V109" s="565"/>
      <c r="W109" s="565"/>
      <c r="X109" s="565"/>
    </row>
    <row r="110" spans="1:212" x14ac:dyDescent="0.25">
      <c r="B110"/>
      <c r="C110"/>
      <c r="D110"/>
      <c r="E110"/>
      <c r="F110"/>
      <c r="G110"/>
      <c r="H110"/>
      <c r="I110"/>
      <c r="J110"/>
      <c r="L110" s="565"/>
      <c r="M110" s="565"/>
      <c r="N110" s="565"/>
      <c r="O110" s="565"/>
      <c r="P110" s="565"/>
      <c r="Q110" s="565"/>
      <c r="R110" s="565"/>
      <c r="S110" s="651"/>
      <c r="T110" s="651"/>
      <c r="U110" s="565"/>
      <c r="V110" s="565"/>
      <c r="W110" s="565"/>
      <c r="X110" s="565"/>
    </row>
    <row r="111" spans="1:212" x14ac:dyDescent="0.25">
      <c r="B111"/>
      <c r="C111"/>
      <c r="D111"/>
      <c r="E111"/>
      <c r="F111"/>
      <c r="G111"/>
      <c r="H111"/>
      <c r="I111"/>
      <c r="J111"/>
      <c r="L111" s="565"/>
      <c r="M111" s="565"/>
      <c r="N111" s="565"/>
      <c r="O111" s="565"/>
      <c r="P111" s="565"/>
      <c r="Q111" s="565"/>
      <c r="R111" s="565"/>
      <c r="S111" s="651"/>
      <c r="T111" s="651"/>
      <c r="U111" s="565"/>
      <c r="V111" s="565"/>
      <c r="W111" s="565"/>
      <c r="X111" s="565"/>
    </row>
    <row r="112" spans="1:212" ht="16.5" customHeight="1" x14ac:dyDescent="0.25">
      <c r="B112"/>
      <c r="C112"/>
      <c r="D112"/>
      <c r="E112"/>
      <c r="F112"/>
      <c r="G112"/>
      <c r="H112"/>
      <c r="I112"/>
      <c r="J112"/>
      <c r="L112" s="565"/>
      <c r="M112" s="565"/>
      <c r="N112" s="565"/>
      <c r="O112" s="565"/>
      <c r="P112" s="565"/>
      <c r="Q112" s="565"/>
      <c r="R112" s="565"/>
      <c r="S112" s="651"/>
      <c r="T112" s="651"/>
      <c r="U112" s="565"/>
      <c r="V112" s="565"/>
      <c r="W112" s="565"/>
      <c r="X112" s="565"/>
    </row>
    <row r="113" spans="2:24" ht="16.5" customHeight="1" x14ac:dyDescent="0.25">
      <c r="B113"/>
      <c r="C113"/>
      <c r="D113"/>
      <c r="E113"/>
      <c r="F113"/>
      <c r="G113"/>
      <c r="H113"/>
      <c r="I113"/>
      <c r="J113"/>
      <c r="K113"/>
      <c r="L113"/>
      <c r="M113"/>
      <c r="N113"/>
      <c r="O113" s="565"/>
      <c r="P113" s="565"/>
      <c r="Q113" s="565"/>
      <c r="R113" s="565"/>
      <c r="S113" s="651"/>
      <c r="T113" s="651"/>
      <c r="U113" s="565"/>
      <c r="V113" s="565"/>
      <c r="W113" s="565"/>
      <c r="X113" s="565"/>
    </row>
    <row r="114" spans="2:24" ht="16.5" customHeight="1" x14ac:dyDescent="0.25">
      <c r="B114"/>
      <c r="C114"/>
      <c r="D114"/>
      <c r="E114"/>
      <c r="F114"/>
      <c r="G114"/>
      <c r="H114"/>
      <c r="I114"/>
      <c r="J114"/>
      <c r="L114" s="565"/>
      <c r="M114" s="565"/>
      <c r="N114" s="565"/>
      <c r="O114" s="565"/>
      <c r="P114" s="565"/>
      <c r="Q114" s="565"/>
      <c r="R114" s="565"/>
      <c r="S114" s="651"/>
      <c r="T114" s="651"/>
      <c r="U114" s="565"/>
      <c r="V114" s="565"/>
      <c r="W114" s="565"/>
      <c r="X114" s="565"/>
    </row>
    <row r="115" spans="2:24" ht="16.5" customHeight="1" x14ac:dyDescent="0.25">
      <c r="B115"/>
      <c r="C115"/>
      <c r="D115"/>
      <c r="E115"/>
      <c r="F115"/>
      <c r="G115"/>
      <c r="H115"/>
      <c r="I115"/>
      <c r="J115"/>
      <c r="L115" s="565"/>
      <c r="M115" s="565"/>
      <c r="N115" s="565"/>
      <c r="O115" s="565"/>
      <c r="P115" s="565"/>
      <c r="Q115" s="565"/>
      <c r="R115" s="565"/>
      <c r="S115" s="651"/>
      <c r="T115" s="651"/>
      <c r="U115" s="565"/>
      <c r="V115" s="565"/>
      <c r="W115" s="565"/>
      <c r="X115" s="565"/>
    </row>
    <row r="116" spans="2:24" ht="16.5" customHeight="1" x14ac:dyDescent="0.25">
      <c r="B116"/>
      <c r="C116"/>
      <c r="D116"/>
      <c r="E116"/>
      <c r="F116"/>
      <c r="G116"/>
      <c r="H116"/>
      <c r="I116"/>
      <c r="J116"/>
      <c r="L116" s="565"/>
      <c r="M116" s="565"/>
      <c r="N116" s="565"/>
      <c r="O116" s="565"/>
      <c r="P116" s="565"/>
      <c r="Q116" s="565"/>
      <c r="R116" s="565"/>
      <c r="S116" s="651"/>
      <c r="T116" s="651"/>
      <c r="U116" s="565"/>
      <c r="V116" s="565"/>
      <c r="W116" s="565"/>
      <c r="X116" s="565"/>
    </row>
    <row r="117" spans="2:24" ht="16.5" customHeight="1" x14ac:dyDescent="0.25">
      <c r="C117"/>
      <c r="D117"/>
      <c r="E117"/>
      <c r="F117"/>
      <c r="G117"/>
      <c r="H117"/>
      <c r="I117"/>
      <c r="J117"/>
      <c r="L117" s="565"/>
      <c r="M117" s="565"/>
      <c r="N117" s="565"/>
      <c r="O117" s="565"/>
      <c r="P117" s="565"/>
      <c r="Q117" s="565"/>
      <c r="R117" s="565"/>
      <c r="S117" s="651"/>
      <c r="T117" s="651"/>
      <c r="U117" s="565"/>
      <c r="V117" s="565"/>
      <c r="W117" s="565"/>
      <c r="X117" s="565"/>
    </row>
    <row r="118" spans="2:24" ht="16.5" customHeight="1" x14ac:dyDescent="0.25">
      <c r="L118" s="565"/>
      <c r="M118" s="565"/>
      <c r="N118" s="565"/>
      <c r="O118" s="565"/>
      <c r="P118" s="565"/>
      <c r="Q118" s="565"/>
      <c r="R118" s="565"/>
      <c r="S118" s="651"/>
      <c r="T118" s="651"/>
      <c r="U118" s="565"/>
      <c r="V118" s="565"/>
      <c r="W118" s="565"/>
      <c r="X118" s="565"/>
    </row>
    <row r="119" spans="2:24" ht="16.5" customHeight="1" x14ac:dyDescent="0.25">
      <c r="L119" s="565"/>
      <c r="M119" s="565"/>
      <c r="N119" s="565"/>
      <c r="O119" s="565"/>
      <c r="P119" s="565"/>
      <c r="Q119" s="565"/>
      <c r="R119" s="565"/>
      <c r="S119" s="651"/>
      <c r="T119" s="651"/>
      <c r="U119" s="565"/>
      <c r="V119" s="565"/>
      <c r="W119" s="565"/>
      <c r="X119" s="565"/>
    </row>
    <row r="120" spans="2:24" ht="16.5" customHeight="1" x14ac:dyDescent="0.25">
      <c r="L120" s="565"/>
      <c r="M120" s="565"/>
      <c r="N120" s="565"/>
      <c r="O120" s="565"/>
      <c r="P120" s="565"/>
      <c r="Q120" s="565"/>
      <c r="R120" s="565"/>
      <c r="S120" s="651"/>
      <c r="T120" s="651"/>
      <c r="U120" s="565"/>
      <c r="V120" s="565"/>
      <c r="W120" s="565"/>
      <c r="X120" s="565"/>
    </row>
    <row r="121" spans="2:24" ht="16.5" customHeight="1" x14ac:dyDescent="0.25">
      <c r="L121" s="565"/>
      <c r="M121" s="565"/>
      <c r="N121" s="565"/>
      <c r="O121" s="565"/>
      <c r="P121" s="565"/>
      <c r="Q121" s="565"/>
      <c r="R121" s="565"/>
      <c r="S121" s="651"/>
      <c r="T121" s="651"/>
      <c r="U121" s="565"/>
      <c r="V121" s="565"/>
      <c r="W121" s="565"/>
      <c r="X121" s="565"/>
    </row>
    <row r="122" spans="2:24" ht="16.5" customHeight="1" x14ac:dyDescent="0.25">
      <c r="L122" s="565"/>
      <c r="M122" s="565"/>
      <c r="N122" s="565"/>
      <c r="O122" s="565"/>
      <c r="P122" s="565"/>
      <c r="Q122" s="565"/>
      <c r="R122" s="565"/>
      <c r="S122" s="651"/>
      <c r="T122" s="651"/>
      <c r="U122" s="565"/>
      <c r="V122" s="565"/>
      <c r="W122" s="565"/>
      <c r="X122" s="565"/>
    </row>
    <row r="123" spans="2:24" ht="16.5" customHeight="1" x14ac:dyDescent="0.25">
      <c r="L123" s="565"/>
      <c r="M123" s="565"/>
      <c r="N123" s="565"/>
      <c r="O123" s="565"/>
      <c r="P123" s="565"/>
      <c r="Q123" s="565"/>
      <c r="R123" s="565"/>
      <c r="S123" s="651"/>
      <c r="T123" s="651"/>
      <c r="U123" s="565"/>
      <c r="V123" s="565"/>
      <c r="W123" s="565"/>
      <c r="X123" s="565"/>
    </row>
    <row r="124" spans="2:24" ht="16.5" customHeight="1" x14ac:dyDescent="0.25">
      <c r="L124" s="565"/>
      <c r="M124" s="565"/>
      <c r="N124" s="565"/>
      <c r="O124" s="565"/>
      <c r="P124" s="565"/>
      <c r="Q124" s="565"/>
      <c r="R124" s="565"/>
      <c r="S124" s="651"/>
      <c r="T124" s="651"/>
      <c r="U124" s="565"/>
      <c r="V124" s="565"/>
      <c r="W124" s="565"/>
      <c r="X124" s="565"/>
    </row>
    <row r="125" spans="2:24" ht="16.5" customHeight="1" x14ac:dyDescent="0.25">
      <c r="L125" s="565"/>
      <c r="M125" s="565"/>
      <c r="N125" s="565"/>
      <c r="O125" s="565"/>
      <c r="P125" s="565"/>
      <c r="Q125" s="565"/>
      <c r="R125" s="565"/>
      <c r="S125" s="651"/>
      <c r="T125" s="651"/>
      <c r="U125" s="565"/>
      <c r="V125" s="565"/>
      <c r="W125" s="565"/>
      <c r="X125" s="565"/>
    </row>
    <row r="126" spans="2:24" ht="16.5" customHeight="1" x14ac:dyDescent="0.25">
      <c r="L126" s="565"/>
      <c r="M126" s="565"/>
      <c r="N126" s="565"/>
      <c r="O126" s="565"/>
      <c r="P126" s="565"/>
      <c r="Q126" s="565"/>
      <c r="R126" s="565"/>
      <c r="S126" s="651"/>
      <c r="T126" s="651"/>
      <c r="U126" s="565"/>
      <c r="V126" s="565"/>
      <c r="W126" s="565"/>
      <c r="X126" s="565"/>
    </row>
    <row r="127" spans="2:24" ht="16.5" customHeight="1" x14ac:dyDescent="0.25">
      <c r="L127" s="565"/>
      <c r="M127" s="565"/>
      <c r="N127" s="565"/>
      <c r="O127" s="565"/>
      <c r="P127" s="565"/>
      <c r="Q127" s="565"/>
      <c r="R127" s="565"/>
      <c r="S127" s="651"/>
      <c r="T127" s="651"/>
      <c r="U127" s="565"/>
      <c r="V127" s="565"/>
      <c r="W127" s="565"/>
      <c r="X127" s="565"/>
    </row>
    <row r="128" spans="2:24" ht="16.5" customHeight="1" x14ac:dyDescent="0.25">
      <c r="L128" s="565"/>
      <c r="M128" s="565"/>
      <c r="N128" s="565"/>
      <c r="O128" s="565"/>
      <c r="P128" s="565"/>
      <c r="Q128" s="565"/>
      <c r="R128" s="565"/>
      <c r="S128" s="651"/>
      <c r="T128" s="651"/>
      <c r="U128" s="565"/>
      <c r="V128" s="565"/>
      <c r="W128" s="565"/>
      <c r="X128" s="565"/>
    </row>
    <row r="129" spans="12:24" ht="16.5" customHeight="1" x14ac:dyDescent="0.25">
      <c r="L129" s="565"/>
      <c r="M129" s="565"/>
      <c r="N129" s="565"/>
      <c r="O129" s="565"/>
      <c r="P129" s="565"/>
      <c r="Q129" s="565"/>
      <c r="R129" s="565"/>
      <c r="S129" s="651"/>
      <c r="T129" s="651"/>
      <c r="U129" s="565"/>
      <c r="V129" s="565"/>
      <c r="W129" s="565"/>
      <c r="X129" s="565"/>
    </row>
    <row r="130" spans="12:24" ht="16.5" customHeight="1" x14ac:dyDescent="0.25">
      <c r="L130" s="565"/>
      <c r="M130" s="565"/>
      <c r="N130" s="565"/>
      <c r="O130" s="565"/>
      <c r="P130" s="565"/>
      <c r="Q130" s="565"/>
      <c r="R130" s="565"/>
      <c r="S130" s="651"/>
      <c r="T130" s="651"/>
      <c r="U130" s="565"/>
      <c r="V130" s="565"/>
      <c r="W130" s="565"/>
      <c r="X130" s="565"/>
    </row>
    <row r="131" spans="12:24" ht="16.5" customHeight="1" x14ac:dyDescent="0.25">
      <c r="L131" s="565"/>
      <c r="M131" s="565"/>
      <c r="N131" s="565"/>
      <c r="O131" s="565"/>
      <c r="P131" s="565"/>
      <c r="Q131" s="565"/>
      <c r="R131" s="565"/>
      <c r="S131" s="651"/>
      <c r="T131" s="651"/>
      <c r="U131" s="565"/>
      <c r="V131" s="565"/>
      <c r="W131" s="565"/>
      <c r="X131" s="565"/>
    </row>
    <row r="132" spans="12:24" ht="16.5" customHeight="1" x14ac:dyDescent="0.25">
      <c r="L132" s="565"/>
      <c r="M132" s="565"/>
      <c r="N132" s="565"/>
      <c r="O132" s="565"/>
      <c r="P132" s="565"/>
      <c r="Q132" s="565"/>
      <c r="R132" s="565"/>
      <c r="S132" s="651"/>
      <c r="T132" s="651"/>
      <c r="U132" s="565"/>
      <c r="V132" s="565"/>
      <c r="W132" s="565"/>
      <c r="X132" s="565"/>
    </row>
    <row r="133" spans="12:24" ht="16.5" customHeight="1" x14ac:dyDescent="0.25">
      <c r="L133" s="565"/>
      <c r="M133" s="565"/>
      <c r="N133" s="565"/>
      <c r="O133" s="565"/>
      <c r="P133" s="565"/>
      <c r="Q133" s="565"/>
      <c r="R133" s="565"/>
      <c r="S133" s="651"/>
      <c r="T133" s="651"/>
      <c r="U133" s="565"/>
      <c r="V133" s="565"/>
      <c r="W133" s="565"/>
      <c r="X133" s="565"/>
    </row>
    <row r="134" spans="12:24" ht="16.5" customHeight="1" x14ac:dyDescent="0.25">
      <c r="L134" s="565"/>
      <c r="M134" s="565"/>
      <c r="N134" s="565"/>
      <c r="O134" s="565"/>
      <c r="P134" s="565"/>
      <c r="Q134" s="565"/>
      <c r="R134" s="565"/>
      <c r="S134" s="651"/>
      <c r="T134" s="651"/>
      <c r="U134" s="565"/>
      <c r="V134" s="565"/>
      <c r="W134" s="565"/>
      <c r="X134" s="565"/>
    </row>
    <row r="135" spans="12:24" ht="16.5" customHeight="1" x14ac:dyDescent="0.25">
      <c r="L135" s="565"/>
      <c r="M135" s="565"/>
      <c r="N135" s="565"/>
      <c r="O135" s="565"/>
      <c r="P135" s="565"/>
      <c r="Q135" s="565"/>
      <c r="R135" s="565"/>
      <c r="S135" s="651"/>
      <c r="T135" s="651"/>
      <c r="U135" s="565"/>
      <c r="V135" s="565"/>
      <c r="W135" s="565"/>
      <c r="X135" s="565"/>
    </row>
    <row r="136" spans="12:24" ht="16.5" customHeight="1" x14ac:dyDescent="0.25">
      <c r="L136" s="565"/>
      <c r="M136" s="565"/>
      <c r="N136" s="565"/>
      <c r="O136" s="565"/>
      <c r="P136" s="565"/>
      <c r="Q136" s="565"/>
      <c r="R136" s="565"/>
      <c r="S136" s="651"/>
      <c r="T136" s="651"/>
      <c r="U136" s="565"/>
      <c r="V136" s="565"/>
      <c r="W136" s="565"/>
      <c r="X136" s="565"/>
    </row>
    <row r="137" spans="12:24" ht="16.5" customHeight="1" x14ac:dyDescent="0.25">
      <c r="L137" s="565"/>
      <c r="M137" s="565"/>
      <c r="N137" s="565"/>
      <c r="O137" s="565"/>
      <c r="P137" s="565"/>
      <c r="Q137" s="565"/>
      <c r="R137" s="565"/>
      <c r="S137" s="651"/>
      <c r="T137" s="651"/>
      <c r="U137" s="565"/>
      <c r="V137" s="565"/>
      <c r="W137" s="565"/>
      <c r="X137" s="565"/>
    </row>
    <row r="138" spans="12:24" ht="16.5" customHeight="1" x14ac:dyDescent="0.25">
      <c r="L138" s="565"/>
      <c r="M138" s="565"/>
      <c r="N138" s="565"/>
      <c r="O138" s="565"/>
      <c r="P138" s="565"/>
      <c r="Q138" s="565"/>
      <c r="R138" s="565"/>
      <c r="S138" s="651"/>
      <c r="T138" s="651"/>
      <c r="U138" s="565"/>
      <c r="V138" s="565"/>
      <c r="W138" s="565"/>
      <c r="X138" s="565"/>
    </row>
    <row r="139" spans="12:24" ht="16.5" customHeight="1" x14ac:dyDescent="0.25">
      <c r="L139" s="565"/>
      <c r="M139" s="565"/>
      <c r="N139" s="565"/>
      <c r="O139" s="565"/>
      <c r="P139" s="565"/>
      <c r="Q139" s="565"/>
      <c r="R139" s="565"/>
      <c r="S139" s="651"/>
      <c r="T139" s="651"/>
      <c r="U139" s="565"/>
      <c r="V139" s="565"/>
      <c r="W139" s="565"/>
      <c r="X139" s="565"/>
    </row>
    <row r="140" spans="12:24" ht="16.5" customHeight="1" x14ac:dyDescent="0.25">
      <c r="L140" s="565"/>
      <c r="M140" s="565"/>
      <c r="N140" s="565"/>
      <c r="O140" s="565"/>
      <c r="P140" s="565"/>
      <c r="Q140" s="565"/>
      <c r="R140" s="565"/>
      <c r="S140" s="651"/>
      <c r="T140" s="651"/>
      <c r="U140" s="565"/>
      <c r="V140" s="565"/>
      <c r="W140" s="565"/>
      <c r="X140" s="565"/>
    </row>
    <row r="141" spans="12:24" ht="16.5" customHeight="1" x14ac:dyDescent="0.25">
      <c r="L141" s="565"/>
      <c r="M141" s="565"/>
      <c r="N141" s="565"/>
      <c r="O141" s="565"/>
      <c r="P141" s="565"/>
      <c r="Q141" s="565"/>
      <c r="R141" s="565"/>
      <c r="S141" s="651"/>
      <c r="T141" s="651"/>
      <c r="U141" s="565"/>
      <c r="V141" s="565"/>
      <c r="W141" s="565"/>
      <c r="X141" s="565"/>
    </row>
    <row r="142" spans="12:24" ht="16.5" customHeight="1" x14ac:dyDescent="0.25">
      <c r="L142" s="565"/>
      <c r="M142" s="565"/>
      <c r="N142" s="565"/>
      <c r="O142" s="565"/>
      <c r="P142" s="565"/>
      <c r="Q142" s="565"/>
      <c r="R142" s="565"/>
      <c r="S142" s="651"/>
      <c r="T142" s="651"/>
      <c r="U142" s="565"/>
      <c r="V142" s="565"/>
      <c r="W142" s="565"/>
      <c r="X142" s="565"/>
    </row>
    <row r="143" spans="12:24" ht="16.5" customHeight="1" x14ac:dyDescent="0.25">
      <c r="L143" s="565"/>
      <c r="M143" s="565"/>
      <c r="N143" s="565"/>
      <c r="O143" s="565"/>
      <c r="P143" s="565"/>
      <c r="Q143" s="565"/>
      <c r="R143" s="565"/>
      <c r="S143" s="651"/>
      <c r="T143" s="651"/>
      <c r="U143" s="565"/>
      <c r="V143" s="565"/>
      <c r="W143" s="565"/>
      <c r="X143" s="565"/>
    </row>
    <row r="144" spans="12:24" ht="16.5" customHeight="1" x14ac:dyDescent="0.25">
      <c r="L144" s="565"/>
      <c r="M144" s="565"/>
      <c r="N144" s="565"/>
      <c r="O144" s="565"/>
      <c r="P144" s="565"/>
      <c r="Q144" s="565"/>
      <c r="R144" s="565"/>
      <c r="S144" s="651"/>
      <c r="T144" s="651"/>
      <c r="U144" s="565"/>
      <c r="V144" s="565"/>
      <c r="W144" s="565"/>
      <c r="X144" s="565"/>
    </row>
    <row r="145" spans="12:24" ht="16.5" customHeight="1" x14ac:dyDescent="0.25">
      <c r="L145" s="565"/>
      <c r="M145" s="565"/>
      <c r="N145" s="565"/>
      <c r="O145" s="565"/>
      <c r="P145" s="565"/>
      <c r="Q145" s="565"/>
      <c r="R145" s="565"/>
      <c r="S145" s="651"/>
      <c r="T145" s="651"/>
      <c r="U145" s="565"/>
      <c r="V145" s="565"/>
      <c r="W145" s="565"/>
      <c r="X145" s="565"/>
    </row>
    <row r="146" spans="12:24" ht="16.5" customHeight="1" x14ac:dyDescent="0.25">
      <c r="L146" s="565"/>
      <c r="M146" s="565"/>
      <c r="N146" s="565"/>
      <c r="O146" s="565"/>
      <c r="P146" s="565"/>
      <c r="Q146" s="565"/>
      <c r="R146" s="565"/>
      <c r="S146" s="651"/>
      <c r="T146" s="651"/>
      <c r="U146" s="565"/>
      <c r="V146" s="565"/>
      <c r="W146" s="565"/>
      <c r="X146" s="565"/>
    </row>
    <row r="147" spans="12:24" ht="16.5" customHeight="1" x14ac:dyDescent="0.25">
      <c r="L147" s="565"/>
      <c r="M147" s="565"/>
      <c r="N147" s="565"/>
      <c r="O147" s="565"/>
      <c r="P147" s="565"/>
      <c r="Q147" s="565"/>
      <c r="R147" s="565"/>
      <c r="S147" s="651"/>
      <c r="T147" s="651"/>
      <c r="U147" s="565"/>
      <c r="V147" s="565"/>
      <c r="W147" s="565"/>
      <c r="X147" s="565"/>
    </row>
    <row r="148" spans="12:24" ht="16.5" customHeight="1" x14ac:dyDescent="0.25">
      <c r="L148" s="565"/>
      <c r="M148" s="565"/>
      <c r="N148" s="565"/>
      <c r="O148" s="565"/>
      <c r="P148" s="565"/>
      <c r="Q148" s="565"/>
      <c r="R148" s="565"/>
      <c r="S148" s="651"/>
      <c r="T148" s="651"/>
      <c r="U148" s="565"/>
      <c r="V148" s="565"/>
      <c r="W148" s="565"/>
      <c r="X148" s="565"/>
    </row>
    <row r="149" spans="12:24" ht="16.5" customHeight="1" x14ac:dyDescent="0.25">
      <c r="L149" s="565"/>
      <c r="M149" s="565"/>
      <c r="N149" s="565"/>
      <c r="O149" s="565"/>
      <c r="P149" s="565"/>
      <c r="Q149" s="565"/>
      <c r="R149" s="565"/>
      <c r="S149" s="651"/>
      <c r="T149" s="651"/>
      <c r="U149" s="565"/>
      <c r="V149" s="565"/>
      <c r="W149" s="565"/>
      <c r="X149" s="565"/>
    </row>
    <row r="150" spans="12:24" ht="16.5" customHeight="1" x14ac:dyDescent="0.25">
      <c r="L150" s="565"/>
      <c r="M150" s="565"/>
      <c r="N150" s="565"/>
      <c r="O150" s="565"/>
      <c r="P150" s="565"/>
      <c r="Q150" s="565"/>
      <c r="R150" s="565"/>
      <c r="S150" s="651"/>
      <c r="T150" s="651"/>
      <c r="U150" s="565"/>
      <c r="V150" s="565"/>
      <c r="W150" s="565"/>
      <c r="X150" s="565"/>
    </row>
    <row r="151" spans="12:24" ht="16.5" customHeight="1" x14ac:dyDescent="0.25">
      <c r="L151" s="565"/>
      <c r="M151" s="565"/>
      <c r="N151" s="565"/>
      <c r="O151" s="565"/>
      <c r="P151" s="565"/>
      <c r="Q151" s="565"/>
      <c r="R151" s="565"/>
      <c r="S151" s="651"/>
      <c r="T151" s="651"/>
      <c r="U151" s="565"/>
      <c r="V151" s="565"/>
      <c r="W151" s="565"/>
      <c r="X151" s="565"/>
    </row>
    <row r="152" spans="12:24" ht="16.5" customHeight="1" x14ac:dyDescent="0.25">
      <c r="L152" s="565"/>
      <c r="M152" s="565"/>
      <c r="N152" s="565"/>
      <c r="O152" s="565"/>
      <c r="P152" s="565"/>
      <c r="Q152" s="565"/>
      <c r="R152" s="565"/>
      <c r="S152" s="651"/>
      <c r="T152" s="651"/>
      <c r="U152" s="565"/>
      <c r="V152" s="565"/>
      <c r="W152" s="565"/>
      <c r="X152" s="565"/>
    </row>
    <row r="153" spans="12:24" ht="16.5" customHeight="1" x14ac:dyDescent="0.25">
      <c r="L153" s="565"/>
      <c r="M153" s="565"/>
      <c r="N153" s="565"/>
      <c r="O153" s="565"/>
      <c r="P153" s="565"/>
      <c r="Q153" s="565"/>
      <c r="R153" s="565"/>
      <c r="S153" s="651"/>
      <c r="T153" s="651"/>
      <c r="U153" s="565"/>
      <c r="V153" s="565"/>
      <c r="W153" s="565"/>
      <c r="X153" s="565"/>
    </row>
    <row r="154" spans="12:24" ht="16.5" customHeight="1" x14ac:dyDescent="0.25">
      <c r="L154" s="565"/>
      <c r="M154" s="565"/>
      <c r="N154" s="565"/>
      <c r="O154" s="565"/>
      <c r="P154" s="565"/>
      <c r="Q154" s="565"/>
      <c r="R154" s="565"/>
      <c r="S154" s="651"/>
      <c r="T154" s="651"/>
      <c r="U154" s="565"/>
      <c r="V154" s="565"/>
      <c r="W154" s="565"/>
      <c r="X154" s="565"/>
    </row>
    <row r="155" spans="12:24" ht="16.5" customHeight="1" x14ac:dyDescent="0.25">
      <c r="L155" s="565"/>
      <c r="M155" s="565"/>
      <c r="N155" s="565"/>
      <c r="O155" s="565"/>
      <c r="P155" s="565"/>
      <c r="Q155" s="565"/>
      <c r="R155" s="565"/>
      <c r="S155" s="651"/>
      <c r="T155" s="651"/>
      <c r="U155" s="565"/>
      <c r="V155" s="565"/>
      <c r="W155" s="565"/>
      <c r="X155" s="565"/>
    </row>
    <row r="156" spans="12:24" ht="16.5" customHeight="1" x14ac:dyDescent="0.25">
      <c r="L156" s="565"/>
      <c r="M156" s="565"/>
      <c r="N156" s="565"/>
      <c r="O156" s="565"/>
      <c r="P156" s="565"/>
      <c r="Q156" s="565"/>
      <c r="R156" s="565"/>
      <c r="S156" s="651"/>
      <c r="T156" s="651"/>
      <c r="U156" s="565"/>
      <c r="V156" s="565"/>
      <c r="W156" s="565"/>
      <c r="X156" s="565"/>
    </row>
    <row r="157" spans="12:24" ht="16.5" customHeight="1" x14ac:dyDescent="0.25">
      <c r="L157" s="565"/>
      <c r="M157" s="565"/>
      <c r="N157" s="565"/>
      <c r="O157" s="565"/>
      <c r="P157" s="565"/>
      <c r="Q157" s="565"/>
      <c r="R157" s="565"/>
      <c r="S157" s="651"/>
      <c r="T157" s="651"/>
      <c r="U157" s="565"/>
      <c r="V157" s="565"/>
      <c r="W157" s="565"/>
      <c r="X157" s="565"/>
    </row>
    <row r="158" spans="12:24" ht="16.5" customHeight="1" x14ac:dyDescent="0.25">
      <c r="L158" s="565"/>
      <c r="M158" s="565"/>
      <c r="N158" s="565"/>
      <c r="O158" s="565"/>
      <c r="P158" s="565"/>
      <c r="Q158" s="565"/>
      <c r="R158" s="565"/>
      <c r="S158" s="651"/>
      <c r="T158" s="651"/>
      <c r="U158" s="565"/>
      <c r="V158" s="565"/>
      <c r="W158" s="565"/>
      <c r="X158" s="565"/>
    </row>
    <row r="159" spans="12:24" ht="16.5" customHeight="1" x14ac:dyDescent="0.25">
      <c r="L159" s="565"/>
      <c r="M159" s="565"/>
      <c r="N159" s="565"/>
      <c r="O159" s="565"/>
      <c r="P159" s="565"/>
      <c r="Q159" s="565"/>
      <c r="R159" s="565"/>
      <c r="S159" s="651"/>
      <c r="T159" s="651"/>
      <c r="U159" s="565"/>
      <c r="V159" s="565"/>
      <c r="W159" s="565"/>
      <c r="X159" s="565"/>
    </row>
    <row r="160" spans="12:24" ht="16.5" customHeight="1" x14ac:dyDescent="0.25">
      <c r="L160" s="565"/>
      <c r="M160" s="565"/>
      <c r="N160" s="565"/>
      <c r="O160" s="565"/>
      <c r="P160" s="565"/>
      <c r="Q160" s="565"/>
      <c r="R160" s="565"/>
      <c r="S160" s="651"/>
      <c r="T160" s="651"/>
      <c r="U160" s="565"/>
      <c r="V160" s="565"/>
      <c r="W160" s="565"/>
      <c r="X160" s="565"/>
    </row>
    <row r="161" spans="12:24" ht="16.5" customHeight="1" x14ac:dyDescent="0.25">
      <c r="L161" s="565"/>
      <c r="M161" s="565"/>
      <c r="N161" s="565"/>
      <c r="O161" s="565"/>
      <c r="P161" s="565"/>
      <c r="Q161" s="565"/>
      <c r="R161" s="565"/>
      <c r="S161" s="651"/>
      <c r="T161" s="651"/>
      <c r="U161" s="565"/>
      <c r="V161" s="565"/>
      <c r="W161" s="565"/>
      <c r="X161" s="565"/>
    </row>
    <row r="162" spans="12:24" ht="16.5" customHeight="1" x14ac:dyDescent="0.25">
      <c r="L162" s="565"/>
      <c r="M162" s="565"/>
      <c r="N162" s="565"/>
      <c r="O162" s="565"/>
      <c r="P162" s="565"/>
      <c r="Q162" s="565"/>
      <c r="R162" s="565"/>
      <c r="S162" s="651"/>
      <c r="T162" s="651"/>
      <c r="U162" s="565"/>
      <c r="V162" s="565"/>
      <c r="W162" s="565"/>
      <c r="X162" s="565"/>
    </row>
    <row r="163" spans="12:24" ht="16.5" customHeight="1" x14ac:dyDescent="0.25">
      <c r="L163" s="565"/>
      <c r="M163" s="565"/>
      <c r="N163" s="565"/>
      <c r="O163" s="565"/>
      <c r="P163" s="565"/>
      <c r="Q163" s="565"/>
      <c r="R163" s="565"/>
      <c r="S163" s="651"/>
      <c r="T163" s="651"/>
      <c r="U163" s="565"/>
      <c r="V163" s="565"/>
      <c r="W163" s="565"/>
      <c r="X163" s="565"/>
    </row>
    <row r="164" spans="12:24" ht="16.5" customHeight="1" x14ac:dyDescent="0.25">
      <c r="L164" s="565"/>
      <c r="M164" s="565"/>
      <c r="N164" s="565"/>
      <c r="O164" s="565"/>
      <c r="P164" s="565"/>
      <c r="Q164" s="565"/>
      <c r="R164" s="565"/>
      <c r="S164" s="651"/>
      <c r="T164" s="651"/>
      <c r="U164" s="565"/>
      <c r="V164" s="565"/>
      <c r="W164" s="565"/>
      <c r="X164" s="565"/>
    </row>
    <row r="165" spans="12:24" ht="16.5" customHeight="1" x14ac:dyDescent="0.25">
      <c r="L165" s="565"/>
      <c r="M165" s="565"/>
      <c r="N165" s="565"/>
      <c r="O165" s="565"/>
      <c r="P165" s="565"/>
      <c r="Q165" s="565"/>
      <c r="R165" s="565"/>
      <c r="S165" s="651"/>
      <c r="T165" s="651"/>
      <c r="U165" s="565"/>
      <c r="V165" s="565"/>
      <c r="W165" s="565"/>
      <c r="X165" s="565"/>
    </row>
    <row r="166" spans="12:24" ht="16.5" customHeight="1" x14ac:dyDescent="0.25">
      <c r="L166" s="565"/>
      <c r="M166" s="565"/>
      <c r="N166" s="565"/>
      <c r="O166" s="565"/>
      <c r="P166" s="565"/>
      <c r="Q166" s="565"/>
      <c r="R166" s="565"/>
      <c r="S166" s="651"/>
      <c r="T166" s="651"/>
      <c r="U166" s="565"/>
      <c r="V166" s="565"/>
      <c r="W166" s="565"/>
      <c r="X166" s="565"/>
    </row>
    <row r="167" spans="12:24" ht="16.5" customHeight="1" x14ac:dyDescent="0.25">
      <c r="L167" s="565"/>
      <c r="M167" s="565"/>
      <c r="N167" s="565"/>
      <c r="O167" s="565"/>
      <c r="P167" s="565"/>
      <c r="Q167" s="565"/>
      <c r="R167" s="565"/>
      <c r="S167" s="651"/>
      <c r="T167" s="651"/>
      <c r="U167" s="565"/>
      <c r="V167" s="565"/>
      <c r="W167" s="565"/>
      <c r="X167" s="565"/>
    </row>
    <row r="168" spans="12:24" ht="16.5" customHeight="1" x14ac:dyDescent="0.25">
      <c r="L168" s="565"/>
      <c r="M168" s="565"/>
      <c r="N168" s="565"/>
      <c r="O168" s="565"/>
      <c r="P168" s="565"/>
      <c r="Q168" s="565"/>
      <c r="R168" s="565"/>
      <c r="S168" s="651"/>
      <c r="T168" s="651"/>
      <c r="U168" s="565"/>
      <c r="V168" s="565"/>
      <c r="W168" s="565"/>
      <c r="X168" s="565"/>
    </row>
    <row r="169" spans="12:24" ht="16.5" customHeight="1" x14ac:dyDescent="0.25">
      <c r="L169" s="565"/>
      <c r="M169" s="565"/>
      <c r="N169" s="565"/>
      <c r="O169" s="565"/>
      <c r="P169" s="565"/>
      <c r="Q169" s="565"/>
      <c r="R169" s="565"/>
      <c r="S169" s="651"/>
      <c r="T169" s="651"/>
      <c r="U169" s="565"/>
      <c r="V169" s="565"/>
      <c r="W169" s="565"/>
      <c r="X169" s="565"/>
    </row>
    <row r="170" spans="12:24" ht="16.5" customHeight="1" x14ac:dyDescent="0.25">
      <c r="L170" s="565"/>
      <c r="M170" s="565"/>
      <c r="N170" s="565"/>
      <c r="O170" s="565"/>
      <c r="P170" s="565"/>
      <c r="Q170" s="565"/>
      <c r="R170" s="565"/>
      <c r="S170" s="651"/>
      <c r="T170" s="651"/>
      <c r="U170" s="565"/>
      <c r="V170" s="565"/>
      <c r="W170" s="565"/>
      <c r="X170" s="565"/>
    </row>
    <row r="171" spans="12:24" ht="16.5" customHeight="1" x14ac:dyDescent="0.25">
      <c r="L171" s="565"/>
      <c r="M171" s="565"/>
      <c r="N171" s="565"/>
      <c r="O171" s="565"/>
      <c r="P171" s="565"/>
      <c r="Q171" s="565"/>
      <c r="R171" s="565"/>
      <c r="S171" s="651"/>
      <c r="T171" s="651"/>
      <c r="U171" s="565"/>
      <c r="V171" s="565"/>
      <c r="W171" s="565"/>
      <c r="X171" s="565"/>
    </row>
    <row r="172" spans="12:24" ht="16.5" customHeight="1" x14ac:dyDescent="0.25">
      <c r="L172" s="565"/>
      <c r="M172" s="565"/>
      <c r="N172" s="565"/>
      <c r="O172" s="565"/>
      <c r="P172" s="565"/>
      <c r="Q172" s="565"/>
      <c r="R172" s="565"/>
      <c r="S172" s="651"/>
      <c r="T172" s="651"/>
      <c r="U172" s="565"/>
      <c r="V172" s="565"/>
      <c r="W172" s="565"/>
      <c r="X172" s="565"/>
    </row>
    <row r="173" spans="12:24" ht="16.5" customHeight="1" x14ac:dyDescent="0.25">
      <c r="L173" s="565"/>
      <c r="M173" s="565"/>
      <c r="N173" s="565"/>
      <c r="O173" s="565"/>
      <c r="P173" s="565"/>
      <c r="Q173" s="565"/>
      <c r="R173" s="565"/>
      <c r="S173" s="651"/>
      <c r="T173" s="651"/>
      <c r="U173" s="565"/>
      <c r="V173" s="565"/>
      <c r="W173" s="565"/>
      <c r="X173" s="565"/>
    </row>
    <row r="174" spans="12:24" ht="16.5" customHeight="1" x14ac:dyDescent="0.25">
      <c r="L174" s="565"/>
      <c r="M174" s="565"/>
      <c r="N174" s="565"/>
      <c r="O174" s="565"/>
      <c r="P174" s="565"/>
      <c r="Q174" s="565"/>
      <c r="R174" s="565"/>
      <c r="S174" s="651"/>
      <c r="T174" s="651"/>
      <c r="U174" s="565"/>
      <c r="V174" s="565"/>
      <c r="W174" s="565"/>
      <c r="X174" s="565"/>
    </row>
    <row r="175" spans="12:24" ht="16.5" customHeight="1" x14ac:dyDescent="0.25">
      <c r="L175" s="565"/>
      <c r="M175" s="565"/>
      <c r="N175" s="565"/>
      <c r="O175" s="565"/>
      <c r="P175" s="565"/>
      <c r="Q175" s="565"/>
      <c r="R175" s="565"/>
      <c r="S175" s="651"/>
      <c r="T175" s="651"/>
      <c r="U175" s="565"/>
      <c r="V175" s="565"/>
      <c r="W175" s="565"/>
      <c r="X175" s="565"/>
    </row>
    <row r="176" spans="12:24" ht="16.5" customHeight="1" x14ac:dyDescent="0.25">
      <c r="L176" s="565"/>
      <c r="M176" s="565"/>
      <c r="N176" s="565"/>
      <c r="O176" s="565"/>
      <c r="P176" s="565"/>
      <c r="Q176" s="565"/>
      <c r="R176" s="565"/>
      <c r="S176" s="651"/>
      <c r="T176" s="651"/>
      <c r="U176" s="565"/>
      <c r="V176" s="565"/>
      <c r="W176" s="565"/>
      <c r="X176" s="565"/>
    </row>
    <row r="177" spans="12:24" ht="16.5" customHeight="1" x14ac:dyDescent="0.25">
      <c r="L177" s="565"/>
      <c r="M177" s="565"/>
      <c r="N177" s="565"/>
      <c r="O177" s="565"/>
      <c r="P177" s="565"/>
      <c r="Q177" s="565"/>
      <c r="R177" s="565"/>
      <c r="S177" s="651"/>
      <c r="T177" s="651"/>
      <c r="U177" s="565"/>
      <c r="V177" s="565"/>
      <c r="W177" s="565"/>
      <c r="X177" s="565"/>
    </row>
    <row r="178" spans="12:24" ht="16.5" customHeight="1" x14ac:dyDescent="0.25">
      <c r="L178" s="565"/>
      <c r="M178" s="565"/>
      <c r="N178" s="565"/>
      <c r="O178" s="565"/>
      <c r="P178" s="565"/>
      <c r="Q178" s="565"/>
      <c r="R178" s="565"/>
      <c r="S178" s="651"/>
      <c r="T178" s="651"/>
      <c r="U178" s="565"/>
      <c r="V178" s="565"/>
      <c r="W178" s="565"/>
      <c r="X178" s="565"/>
    </row>
    <row r="179" spans="12:24" ht="16.5" customHeight="1" x14ac:dyDescent="0.25">
      <c r="L179" s="565"/>
      <c r="M179" s="565"/>
      <c r="N179" s="565"/>
      <c r="O179" s="565"/>
      <c r="P179" s="565"/>
      <c r="Q179" s="565"/>
      <c r="R179" s="565"/>
      <c r="S179" s="651"/>
      <c r="T179" s="651"/>
      <c r="U179" s="565"/>
      <c r="V179" s="565"/>
      <c r="W179" s="565"/>
      <c r="X179" s="565"/>
    </row>
    <row r="180" spans="12:24" ht="16.5" customHeight="1" x14ac:dyDescent="0.25">
      <c r="L180" s="565"/>
      <c r="M180" s="565"/>
      <c r="N180" s="565"/>
      <c r="O180" s="565"/>
      <c r="P180" s="565"/>
      <c r="Q180" s="565"/>
      <c r="R180" s="565"/>
      <c r="S180" s="651"/>
      <c r="T180" s="651"/>
      <c r="U180" s="565"/>
      <c r="V180" s="565"/>
      <c r="W180" s="565"/>
      <c r="X180" s="565"/>
    </row>
    <row r="181" spans="12:24" ht="16.5" customHeight="1" x14ac:dyDescent="0.25">
      <c r="L181" s="565"/>
      <c r="M181" s="565"/>
      <c r="N181" s="565"/>
      <c r="O181" s="565"/>
      <c r="P181" s="565"/>
      <c r="Q181" s="565"/>
      <c r="R181" s="565"/>
      <c r="S181" s="651"/>
      <c r="T181" s="651"/>
      <c r="U181" s="565"/>
      <c r="V181" s="565"/>
      <c r="W181" s="565"/>
      <c r="X181" s="565"/>
    </row>
    <row r="182" spans="12:24" ht="16.5" customHeight="1" x14ac:dyDescent="0.25">
      <c r="L182" s="565"/>
      <c r="M182" s="565"/>
      <c r="N182" s="565"/>
      <c r="O182" s="565"/>
      <c r="P182" s="565"/>
      <c r="Q182" s="565"/>
      <c r="R182" s="565"/>
      <c r="S182" s="651"/>
      <c r="T182" s="651"/>
      <c r="U182" s="565"/>
      <c r="V182" s="565"/>
      <c r="W182" s="565"/>
      <c r="X182" s="565"/>
    </row>
    <row r="183" spans="12:24" ht="16.5" customHeight="1" x14ac:dyDescent="0.25">
      <c r="L183" s="565"/>
      <c r="M183" s="565"/>
      <c r="N183" s="565"/>
      <c r="O183" s="565"/>
      <c r="P183" s="565"/>
      <c r="Q183" s="565"/>
      <c r="R183" s="565"/>
      <c r="S183" s="651"/>
      <c r="T183" s="651"/>
      <c r="U183" s="565"/>
      <c r="V183" s="565"/>
      <c r="W183" s="565"/>
      <c r="X183" s="565"/>
    </row>
    <row r="184" spans="12:24" ht="16.5" customHeight="1" x14ac:dyDescent="0.25">
      <c r="L184" s="565"/>
      <c r="M184" s="565"/>
      <c r="N184" s="565"/>
      <c r="O184" s="565"/>
      <c r="P184" s="565"/>
      <c r="Q184" s="565"/>
      <c r="R184" s="565"/>
      <c r="S184" s="651"/>
      <c r="T184" s="651"/>
      <c r="U184" s="565"/>
      <c r="V184" s="565"/>
      <c r="W184" s="565"/>
      <c r="X184" s="565"/>
    </row>
    <row r="185" spans="12:24" ht="16.5" customHeight="1" x14ac:dyDescent="0.25">
      <c r="L185" s="565"/>
      <c r="M185" s="565"/>
      <c r="N185" s="565"/>
      <c r="O185" s="565"/>
      <c r="P185" s="565"/>
      <c r="Q185" s="565"/>
      <c r="R185" s="565"/>
      <c r="S185" s="651"/>
      <c r="T185" s="651"/>
      <c r="U185" s="565"/>
      <c r="V185" s="565"/>
      <c r="W185" s="565"/>
      <c r="X185" s="565"/>
    </row>
    <row r="186" spans="12:24" ht="16.5" customHeight="1" x14ac:dyDescent="0.25">
      <c r="L186" s="565"/>
      <c r="M186" s="565"/>
      <c r="N186" s="565"/>
      <c r="O186" s="565"/>
      <c r="P186" s="565"/>
      <c r="Q186" s="565"/>
      <c r="R186" s="565"/>
      <c r="S186" s="651"/>
      <c r="T186" s="651"/>
      <c r="U186" s="565"/>
      <c r="V186" s="565"/>
      <c r="W186" s="565"/>
      <c r="X186" s="565"/>
    </row>
    <row r="187" spans="12:24" ht="16.5" customHeight="1" x14ac:dyDescent="0.25">
      <c r="L187" s="565"/>
      <c r="M187" s="565"/>
      <c r="N187" s="565"/>
      <c r="O187" s="565"/>
      <c r="P187" s="565"/>
      <c r="Q187" s="565"/>
      <c r="R187" s="565"/>
      <c r="S187" s="651"/>
      <c r="T187" s="651"/>
      <c r="U187" s="565"/>
      <c r="V187" s="565"/>
      <c r="W187" s="565"/>
      <c r="X187" s="565"/>
    </row>
    <row r="188" spans="12:24" ht="16.5" customHeight="1" x14ac:dyDescent="0.25">
      <c r="L188" s="565"/>
      <c r="M188" s="565"/>
      <c r="N188" s="565"/>
      <c r="O188" s="565"/>
      <c r="P188" s="565"/>
      <c r="Q188" s="565"/>
      <c r="R188" s="565"/>
      <c r="S188" s="651"/>
      <c r="T188" s="651"/>
      <c r="U188" s="565"/>
      <c r="V188" s="565"/>
      <c r="W188" s="565"/>
      <c r="X188" s="565"/>
    </row>
    <row r="189" spans="12:24" ht="16.5" customHeight="1" x14ac:dyDescent="0.25">
      <c r="L189" s="565"/>
      <c r="M189" s="565"/>
      <c r="N189" s="565"/>
      <c r="O189" s="565"/>
      <c r="P189" s="565"/>
      <c r="Q189" s="565"/>
      <c r="R189" s="565"/>
      <c r="S189" s="651"/>
      <c r="T189" s="651"/>
      <c r="U189" s="565"/>
      <c r="V189" s="565"/>
      <c r="W189" s="565"/>
      <c r="X189" s="565"/>
    </row>
    <row r="190" spans="12:24" ht="16.5" customHeight="1" x14ac:dyDescent="0.25">
      <c r="L190" s="565"/>
      <c r="M190" s="565"/>
      <c r="N190" s="565"/>
      <c r="O190" s="565"/>
      <c r="P190" s="565"/>
      <c r="Q190" s="565"/>
      <c r="R190" s="565"/>
      <c r="S190" s="651"/>
      <c r="T190" s="651"/>
      <c r="U190" s="565"/>
      <c r="V190" s="565"/>
      <c r="W190" s="565"/>
      <c r="X190" s="565"/>
    </row>
    <row r="191" spans="12:24" ht="16.5" customHeight="1" x14ac:dyDescent="0.25">
      <c r="L191" s="565"/>
      <c r="M191" s="565"/>
      <c r="N191" s="565"/>
      <c r="O191" s="565"/>
      <c r="P191" s="565"/>
      <c r="Q191" s="565"/>
      <c r="R191" s="565"/>
      <c r="S191" s="651"/>
      <c r="T191" s="651"/>
      <c r="U191" s="565"/>
      <c r="V191" s="565"/>
      <c r="W191" s="565"/>
      <c r="X191" s="565"/>
    </row>
    <row r="192" spans="12:24" ht="16.5" customHeight="1" x14ac:dyDescent="0.25">
      <c r="L192" s="565"/>
      <c r="M192" s="565"/>
      <c r="N192" s="565"/>
      <c r="O192" s="565"/>
      <c r="P192" s="565"/>
      <c r="Q192" s="565"/>
      <c r="R192" s="565"/>
      <c r="S192" s="651"/>
      <c r="T192" s="651"/>
      <c r="U192" s="565"/>
      <c r="V192" s="565"/>
      <c r="W192" s="565"/>
      <c r="X192" s="565"/>
    </row>
    <row r="193" spans="12:24" ht="16.5" customHeight="1" x14ac:dyDescent="0.25">
      <c r="L193" s="565"/>
      <c r="M193" s="565"/>
      <c r="N193" s="565"/>
      <c r="O193" s="565"/>
      <c r="P193" s="565"/>
      <c r="Q193" s="565"/>
      <c r="R193" s="565"/>
      <c r="S193" s="651"/>
      <c r="T193" s="651"/>
      <c r="U193" s="565"/>
      <c r="V193" s="565"/>
      <c r="W193" s="565"/>
      <c r="X193" s="565"/>
    </row>
    <row r="194" spans="12:24" ht="16.5" customHeight="1" x14ac:dyDescent="0.25">
      <c r="L194" s="565"/>
      <c r="M194" s="565"/>
      <c r="N194" s="565"/>
      <c r="O194" s="565"/>
      <c r="P194" s="565"/>
      <c r="Q194" s="565"/>
      <c r="R194" s="565"/>
      <c r="S194" s="651"/>
      <c r="T194" s="651"/>
      <c r="U194" s="565"/>
      <c r="V194" s="565"/>
      <c r="W194" s="565"/>
      <c r="X194" s="565"/>
    </row>
    <row r="195" spans="12:24" ht="16.5" customHeight="1" x14ac:dyDescent="0.25">
      <c r="L195" s="565"/>
      <c r="M195" s="565"/>
      <c r="N195" s="565"/>
      <c r="O195" s="565"/>
      <c r="P195" s="565"/>
      <c r="Q195" s="565"/>
      <c r="R195" s="565"/>
      <c r="S195" s="651"/>
      <c r="T195" s="651"/>
      <c r="U195" s="565"/>
      <c r="V195" s="565"/>
      <c r="W195" s="565"/>
      <c r="X195" s="565"/>
    </row>
    <row r="196" spans="12:24" ht="16.5" customHeight="1" x14ac:dyDescent="0.25">
      <c r="L196" s="565"/>
      <c r="M196" s="565"/>
      <c r="N196" s="565"/>
      <c r="O196" s="565"/>
      <c r="P196" s="565"/>
      <c r="Q196" s="565"/>
      <c r="R196" s="565"/>
      <c r="S196" s="651"/>
      <c r="T196" s="651"/>
      <c r="U196" s="565"/>
      <c r="V196" s="565"/>
      <c r="W196" s="565"/>
      <c r="X196" s="565"/>
    </row>
    <row r="197" spans="12:24" ht="16.5" customHeight="1" x14ac:dyDescent="0.25">
      <c r="L197" s="565"/>
      <c r="M197" s="565"/>
      <c r="N197" s="565"/>
      <c r="O197" s="565"/>
      <c r="P197" s="565"/>
      <c r="Q197" s="565"/>
      <c r="R197" s="565"/>
      <c r="S197" s="651"/>
      <c r="T197" s="651"/>
      <c r="U197" s="565"/>
      <c r="V197" s="565"/>
      <c r="W197" s="565"/>
      <c r="X197" s="565"/>
    </row>
    <row r="198" spans="12:24" ht="16.5" customHeight="1" x14ac:dyDescent="0.25">
      <c r="L198" s="565"/>
      <c r="M198" s="565"/>
      <c r="N198" s="565"/>
      <c r="O198" s="565"/>
      <c r="P198" s="565"/>
      <c r="Q198" s="565"/>
      <c r="R198" s="565"/>
      <c r="S198" s="651"/>
      <c r="T198" s="651"/>
      <c r="U198" s="565"/>
      <c r="V198" s="565"/>
      <c r="W198" s="565"/>
      <c r="X198" s="565"/>
    </row>
    <row r="199" spans="12:24" ht="16.5" customHeight="1" x14ac:dyDescent="0.25">
      <c r="L199" s="565"/>
      <c r="M199" s="565"/>
      <c r="N199" s="565"/>
      <c r="O199" s="565"/>
      <c r="P199" s="565"/>
      <c r="Q199" s="565"/>
      <c r="R199" s="565"/>
      <c r="S199" s="651"/>
      <c r="T199" s="651"/>
      <c r="U199" s="565"/>
      <c r="V199" s="565"/>
      <c r="W199" s="565"/>
      <c r="X199" s="565"/>
    </row>
    <row r="200" spans="12:24" ht="16.5" customHeight="1" x14ac:dyDescent="0.25">
      <c r="L200" s="565"/>
      <c r="M200" s="565"/>
      <c r="N200" s="565"/>
      <c r="O200" s="565"/>
      <c r="P200" s="565"/>
      <c r="Q200" s="565"/>
      <c r="R200" s="565"/>
      <c r="S200" s="651"/>
      <c r="T200" s="651"/>
      <c r="U200" s="565"/>
      <c r="V200" s="565"/>
      <c r="W200" s="565"/>
      <c r="X200" s="565"/>
    </row>
    <row r="201" spans="12:24" ht="16.5" customHeight="1" x14ac:dyDescent="0.25">
      <c r="L201" s="565"/>
      <c r="M201" s="565"/>
      <c r="N201" s="565"/>
      <c r="O201" s="565"/>
      <c r="P201" s="565"/>
      <c r="Q201" s="565"/>
      <c r="R201" s="565"/>
      <c r="S201" s="651"/>
      <c r="T201" s="651"/>
      <c r="U201" s="565"/>
      <c r="V201" s="565"/>
      <c r="W201" s="565"/>
      <c r="X201" s="565"/>
    </row>
    <row r="202" spans="12:24" ht="16.5" customHeight="1" x14ac:dyDescent="0.25">
      <c r="L202" s="565"/>
      <c r="M202" s="565"/>
      <c r="N202" s="565"/>
      <c r="O202" s="565"/>
      <c r="P202" s="565"/>
      <c r="Q202" s="565"/>
      <c r="R202" s="565"/>
      <c r="S202" s="651"/>
      <c r="T202" s="651"/>
      <c r="U202" s="565"/>
      <c r="V202" s="565"/>
      <c r="W202" s="565"/>
      <c r="X202" s="565"/>
    </row>
    <row r="203" spans="12:24" ht="16.5" customHeight="1" x14ac:dyDescent="0.25">
      <c r="L203" s="565"/>
      <c r="M203" s="565"/>
      <c r="N203" s="565"/>
      <c r="O203" s="565"/>
      <c r="P203" s="565"/>
      <c r="Q203" s="565"/>
      <c r="R203" s="565"/>
      <c r="S203" s="651"/>
      <c r="T203" s="651"/>
      <c r="U203" s="565"/>
      <c r="V203" s="565"/>
      <c r="W203" s="565"/>
      <c r="X203" s="565"/>
    </row>
    <row r="204" spans="12:24" ht="16.5" customHeight="1" x14ac:dyDescent="0.25">
      <c r="L204" s="565"/>
      <c r="M204" s="565"/>
      <c r="N204" s="565"/>
      <c r="O204" s="565"/>
      <c r="P204" s="565"/>
      <c r="Q204" s="565"/>
      <c r="R204" s="565"/>
      <c r="S204" s="651"/>
      <c r="T204" s="651"/>
      <c r="U204" s="565"/>
      <c r="V204" s="565"/>
      <c r="W204" s="565"/>
      <c r="X204" s="565"/>
    </row>
    <row r="205" spans="12:24" ht="16.5" customHeight="1" x14ac:dyDescent="0.25">
      <c r="L205" s="565"/>
      <c r="M205" s="565"/>
      <c r="N205" s="565"/>
      <c r="O205" s="565"/>
      <c r="P205" s="565"/>
      <c r="Q205" s="565"/>
      <c r="R205" s="565"/>
      <c r="S205" s="651"/>
      <c r="T205" s="651"/>
      <c r="U205" s="565"/>
      <c r="V205" s="565"/>
      <c r="W205" s="565"/>
      <c r="X205" s="565"/>
    </row>
    <row r="206" spans="12:24" ht="16.5" customHeight="1" x14ac:dyDescent="0.25">
      <c r="L206" s="565"/>
      <c r="M206" s="565"/>
      <c r="N206" s="565"/>
      <c r="O206" s="565"/>
      <c r="P206" s="565"/>
      <c r="Q206" s="565"/>
      <c r="R206" s="565"/>
      <c r="S206" s="651"/>
      <c r="T206" s="651"/>
      <c r="U206" s="565"/>
      <c r="V206" s="565"/>
      <c r="W206" s="565"/>
      <c r="X206" s="565"/>
    </row>
    <row r="207" spans="12:24" ht="16.5" customHeight="1" x14ac:dyDescent="0.25">
      <c r="L207" s="565"/>
      <c r="M207" s="565"/>
      <c r="N207" s="565"/>
      <c r="O207" s="565"/>
      <c r="P207" s="565"/>
      <c r="Q207" s="565"/>
      <c r="R207" s="565"/>
      <c r="S207" s="651"/>
      <c r="T207" s="651"/>
      <c r="U207" s="565"/>
      <c r="V207" s="565"/>
      <c r="W207" s="565"/>
      <c r="X207" s="565"/>
    </row>
    <row r="208" spans="12:24" ht="16.5" customHeight="1" x14ac:dyDescent="0.25">
      <c r="L208" s="565"/>
      <c r="M208" s="565"/>
      <c r="N208" s="565"/>
      <c r="O208" s="565"/>
      <c r="P208" s="565"/>
      <c r="Q208" s="565"/>
      <c r="R208" s="565"/>
      <c r="S208" s="651"/>
      <c r="T208" s="651"/>
      <c r="U208" s="565"/>
      <c r="V208" s="565"/>
      <c r="W208" s="565"/>
      <c r="X208" s="565"/>
    </row>
    <row r="209" spans="12:24" ht="16.5" customHeight="1" x14ac:dyDescent="0.25">
      <c r="L209" s="565"/>
      <c r="M209" s="565"/>
      <c r="N209" s="565"/>
      <c r="O209" s="565"/>
      <c r="P209" s="565"/>
      <c r="Q209" s="565"/>
      <c r="R209" s="565"/>
      <c r="S209" s="651"/>
      <c r="T209" s="651"/>
      <c r="U209" s="565"/>
      <c r="V209" s="565"/>
      <c r="W209" s="565"/>
      <c r="X209" s="565"/>
    </row>
    <row r="210" spans="12:24" ht="16.5" customHeight="1" x14ac:dyDescent="0.25">
      <c r="L210" s="565"/>
      <c r="M210" s="565"/>
      <c r="N210" s="565"/>
      <c r="O210" s="565"/>
      <c r="P210" s="565"/>
      <c r="Q210" s="565"/>
      <c r="R210" s="565"/>
      <c r="S210" s="651"/>
      <c r="T210" s="651"/>
      <c r="U210" s="565"/>
      <c r="V210" s="565"/>
      <c r="W210" s="565"/>
      <c r="X210" s="565"/>
    </row>
    <row r="211" spans="12:24" ht="16.5" customHeight="1" x14ac:dyDescent="0.25">
      <c r="L211" s="565"/>
      <c r="M211" s="565"/>
      <c r="N211" s="565"/>
      <c r="O211" s="565"/>
      <c r="P211" s="565"/>
      <c r="Q211" s="565"/>
      <c r="R211" s="565"/>
      <c r="S211" s="651"/>
      <c r="T211" s="651"/>
      <c r="U211" s="565"/>
      <c r="V211" s="565"/>
      <c r="W211" s="565"/>
      <c r="X211" s="565"/>
    </row>
    <row r="212" spans="12:24" ht="16.5" customHeight="1" x14ac:dyDescent="0.25">
      <c r="L212" s="565"/>
      <c r="M212" s="565"/>
      <c r="N212" s="565"/>
      <c r="O212" s="565"/>
      <c r="P212" s="565"/>
      <c r="Q212" s="565"/>
      <c r="R212" s="565"/>
      <c r="S212" s="651"/>
      <c r="T212" s="651"/>
      <c r="U212" s="565"/>
      <c r="V212" s="565"/>
      <c r="W212" s="565"/>
      <c r="X212" s="565"/>
    </row>
    <row r="213" spans="12:24" ht="16.5" customHeight="1" x14ac:dyDescent="0.25">
      <c r="L213" s="565"/>
      <c r="M213" s="565"/>
      <c r="N213" s="565"/>
      <c r="O213" s="565"/>
      <c r="P213" s="565"/>
      <c r="Q213" s="565"/>
      <c r="R213" s="565"/>
      <c r="S213" s="651"/>
      <c r="T213" s="651"/>
      <c r="U213" s="565"/>
      <c r="V213" s="565"/>
      <c r="W213" s="565"/>
      <c r="X213" s="565"/>
    </row>
    <row r="214" spans="12:24" ht="16.5" customHeight="1" x14ac:dyDescent="0.25">
      <c r="L214" s="565"/>
      <c r="M214" s="565"/>
      <c r="N214" s="565"/>
      <c r="O214" s="565"/>
      <c r="P214" s="565"/>
      <c r="Q214" s="565"/>
      <c r="R214" s="565"/>
      <c r="S214" s="651"/>
      <c r="T214" s="651"/>
      <c r="U214" s="565"/>
      <c r="V214" s="565"/>
      <c r="W214" s="565"/>
      <c r="X214" s="565"/>
    </row>
    <row r="215" spans="12:24" ht="16.5" customHeight="1" x14ac:dyDescent="0.25">
      <c r="L215" s="565"/>
      <c r="M215" s="565"/>
      <c r="N215" s="565"/>
      <c r="O215" s="565"/>
      <c r="P215" s="565"/>
      <c r="Q215" s="565"/>
      <c r="R215" s="565"/>
      <c r="S215" s="651"/>
      <c r="T215" s="651"/>
      <c r="U215" s="565"/>
      <c r="V215" s="565"/>
      <c r="W215" s="565"/>
      <c r="X215" s="565"/>
    </row>
    <row r="216" spans="12:24" ht="16.5" customHeight="1" x14ac:dyDescent="0.25">
      <c r="L216" s="565"/>
      <c r="M216" s="565"/>
      <c r="N216" s="565"/>
      <c r="O216" s="565"/>
      <c r="P216" s="565"/>
      <c r="Q216" s="565"/>
      <c r="R216" s="565"/>
      <c r="S216" s="651"/>
      <c r="T216" s="651"/>
      <c r="U216" s="565"/>
      <c r="V216" s="565"/>
      <c r="W216" s="565"/>
      <c r="X216" s="565"/>
    </row>
    <row r="217" spans="12:24" ht="16.5" customHeight="1" x14ac:dyDescent="0.25">
      <c r="L217" s="565"/>
      <c r="M217" s="565"/>
      <c r="N217" s="565"/>
      <c r="O217" s="565"/>
      <c r="P217" s="565"/>
      <c r="Q217" s="565"/>
      <c r="R217" s="565"/>
      <c r="S217" s="651"/>
      <c r="T217" s="651"/>
      <c r="U217" s="565"/>
      <c r="V217" s="565"/>
      <c r="W217" s="565"/>
      <c r="X217" s="565"/>
    </row>
    <row r="218" spans="12:24" ht="16.5" customHeight="1" x14ac:dyDescent="0.25">
      <c r="L218" s="565"/>
      <c r="M218" s="565"/>
      <c r="N218" s="565"/>
      <c r="O218" s="565"/>
      <c r="P218" s="565"/>
      <c r="Q218" s="565"/>
      <c r="R218" s="565"/>
      <c r="S218" s="651"/>
      <c r="T218" s="651"/>
      <c r="U218" s="565"/>
      <c r="V218" s="565"/>
      <c r="W218" s="565"/>
      <c r="X218" s="565"/>
    </row>
    <row r="219" spans="12:24" ht="16.5" customHeight="1" x14ac:dyDescent="0.25">
      <c r="L219" s="565"/>
      <c r="M219" s="565"/>
      <c r="N219" s="565"/>
      <c r="O219" s="565"/>
      <c r="P219" s="565"/>
      <c r="Q219" s="565"/>
      <c r="R219" s="565"/>
      <c r="S219" s="651"/>
      <c r="T219" s="651"/>
      <c r="U219" s="565"/>
      <c r="V219" s="565"/>
      <c r="W219" s="565"/>
      <c r="X219" s="565"/>
    </row>
    <row r="220" spans="12:24" ht="16.5" customHeight="1" x14ac:dyDescent="0.25">
      <c r="L220" s="565"/>
      <c r="M220" s="565"/>
      <c r="N220" s="565"/>
      <c r="O220" s="565"/>
      <c r="P220" s="565"/>
      <c r="Q220" s="565"/>
      <c r="R220" s="565"/>
      <c r="S220" s="651"/>
      <c r="T220" s="651"/>
      <c r="U220" s="565"/>
      <c r="V220" s="565"/>
      <c r="W220" s="565"/>
      <c r="X220" s="565"/>
    </row>
    <row r="221" spans="12:24" ht="16.5" customHeight="1" x14ac:dyDescent="0.25">
      <c r="L221" s="565"/>
      <c r="M221" s="565"/>
      <c r="N221" s="565"/>
      <c r="O221" s="565"/>
      <c r="P221" s="565"/>
      <c r="Q221" s="565"/>
      <c r="R221" s="565"/>
      <c r="S221" s="651"/>
      <c r="T221" s="651"/>
      <c r="U221" s="565"/>
      <c r="V221" s="565"/>
      <c r="W221" s="565"/>
      <c r="X221" s="565"/>
    </row>
    <row r="222" spans="12:24" ht="16.5" customHeight="1" x14ac:dyDescent="0.25">
      <c r="L222" s="565"/>
      <c r="M222" s="565"/>
      <c r="N222" s="565"/>
      <c r="O222" s="565"/>
      <c r="P222" s="565"/>
      <c r="Q222" s="565"/>
      <c r="R222" s="565"/>
      <c r="S222" s="651"/>
      <c r="T222" s="651"/>
      <c r="U222" s="565"/>
      <c r="V222" s="565"/>
      <c r="W222" s="565"/>
      <c r="X222" s="565"/>
    </row>
    <row r="223" spans="12:24" ht="16.5" customHeight="1" x14ac:dyDescent="0.25">
      <c r="L223" s="565"/>
      <c r="M223" s="565"/>
      <c r="N223" s="565"/>
      <c r="O223" s="565"/>
      <c r="P223" s="565"/>
      <c r="Q223" s="565"/>
      <c r="R223" s="565"/>
      <c r="S223" s="651"/>
      <c r="T223" s="651"/>
      <c r="U223" s="565"/>
      <c r="V223" s="565"/>
      <c r="W223" s="565"/>
      <c r="X223" s="565"/>
    </row>
    <row r="224" spans="12:24" ht="16.5" customHeight="1" x14ac:dyDescent="0.25">
      <c r="L224" s="565"/>
      <c r="M224" s="565"/>
      <c r="N224" s="565"/>
      <c r="O224" s="565"/>
      <c r="P224" s="565"/>
      <c r="Q224" s="565"/>
      <c r="R224" s="565"/>
      <c r="S224" s="651"/>
      <c r="T224" s="651"/>
      <c r="U224" s="565"/>
      <c r="V224" s="565"/>
      <c r="W224" s="565"/>
      <c r="X224" s="565"/>
    </row>
    <row r="225" spans="12:24" ht="16.5" customHeight="1" x14ac:dyDescent="0.25">
      <c r="L225" s="565"/>
      <c r="M225" s="565"/>
      <c r="N225" s="565"/>
      <c r="O225" s="565"/>
      <c r="P225" s="565"/>
      <c r="Q225" s="565"/>
      <c r="R225" s="565"/>
      <c r="S225" s="651"/>
      <c r="T225" s="651"/>
      <c r="U225" s="565"/>
      <c r="V225" s="565"/>
      <c r="W225" s="565"/>
      <c r="X225" s="565"/>
    </row>
    <row r="226" spans="12:24" ht="16.5" customHeight="1" x14ac:dyDescent="0.25">
      <c r="L226" s="565"/>
      <c r="M226" s="565"/>
      <c r="N226" s="565"/>
      <c r="O226" s="565"/>
      <c r="P226" s="565"/>
      <c r="Q226" s="565"/>
      <c r="R226" s="565"/>
      <c r="S226" s="651"/>
      <c r="T226" s="651"/>
      <c r="U226" s="565"/>
      <c r="V226" s="565"/>
      <c r="W226" s="565"/>
      <c r="X226" s="565"/>
    </row>
    <row r="227" spans="12:24" ht="16.5" customHeight="1" x14ac:dyDescent="0.25">
      <c r="L227" s="565"/>
      <c r="M227" s="565"/>
      <c r="N227" s="565"/>
      <c r="O227" s="565"/>
      <c r="P227" s="565"/>
      <c r="Q227" s="565"/>
      <c r="R227" s="565"/>
      <c r="S227" s="651"/>
      <c r="T227" s="651"/>
      <c r="U227" s="565"/>
      <c r="V227" s="565"/>
      <c r="W227" s="565"/>
      <c r="X227" s="565"/>
    </row>
    <row r="228" spans="12:24" ht="16.5" customHeight="1" x14ac:dyDescent="0.25">
      <c r="L228" s="565"/>
      <c r="M228" s="565"/>
      <c r="N228" s="565"/>
      <c r="O228" s="565"/>
      <c r="P228" s="565"/>
      <c r="Q228" s="565"/>
      <c r="R228" s="565"/>
      <c r="S228" s="651"/>
      <c r="T228" s="651"/>
      <c r="U228" s="565"/>
      <c r="V228" s="565"/>
      <c r="W228" s="565"/>
      <c r="X228" s="565"/>
    </row>
    <row r="229" spans="12:24" ht="16.5" customHeight="1" x14ac:dyDescent="0.25">
      <c r="L229" s="565"/>
      <c r="M229" s="565"/>
      <c r="N229" s="565"/>
      <c r="O229" s="565"/>
      <c r="P229" s="565"/>
      <c r="Q229" s="565"/>
      <c r="R229" s="565"/>
      <c r="S229" s="651"/>
      <c r="T229" s="651"/>
      <c r="U229" s="565"/>
      <c r="V229" s="565"/>
      <c r="W229" s="565"/>
      <c r="X229" s="565"/>
    </row>
    <row r="230" spans="12:24" ht="16.5" customHeight="1" x14ac:dyDescent="0.25">
      <c r="L230" s="565"/>
      <c r="M230" s="565"/>
      <c r="N230" s="565"/>
      <c r="O230" s="565"/>
      <c r="P230" s="565"/>
      <c r="Q230" s="565"/>
      <c r="R230" s="565"/>
      <c r="S230" s="651"/>
      <c r="T230" s="651"/>
      <c r="U230" s="565"/>
      <c r="V230" s="565"/>
      <c r="W230" s="565"/>
      <c r="X230" s="565"/>
    </row>
    <row r="231" spans="12:24" ht="16.5" customHeight="1" x14ac:dyDescent="0.25">
      <c r="L231" s="565"/>
      <c r="M231" s="565"/>
      <c r="N231" s="565"/>
      <c r="O231" s="565"/>
      <c r="P231" s="565"/>
      <c r="Q231" s="565"/>
      <c r="R231" s="565"/>
      <c r="S231" s="651"/>
      <c r="T231" s="651"/>
      <c r="U231" s="565"/>
      <c r="V231" s="565"/>
      <c r="W231" s="565"/>
      <c r="X231" s="565"/>
    </row>
    <row r="232" spans="12:24" ht="16.5" customHeight="1" x14ac:dyDescent="0.25">
      <c r="L232" s="565"/>
      <c r="M232" s="565"/>
      <c r="N232" s="565"/>
      <c r="O232" s="565"/>
      <c r="P232" s="565"/>
      <c r="Q232" s="565"/>
      <c r="R232" s="565"/>
      <c r="S232" s="651"/>
      <c r="T232" s="651"/>
      <c r="U232" s="565"/>
      <c r="V232" s="565"/>
      <c r="W232" s="565"/>
      <c r="X232" s="565"/>
    </row>
    <row r="233" spans="12:24" ht="16.5" customHeight="1" x14ac:dyDescent="0.25">
      <c r="L233" s="565"/>
      <c r="M233" s="565"/>
      <c r="N233" s="565"/>
      <c r="O233" s="565"/>
      <c r="P233" s="565"/>
      <c r="Q233" s="565"/>
      <c r="R233" s="565"/>
      <c r="S233" s="651"/>
      <c r="T233" s="651"/>
      <c r="U233" s="565"/>
      <c r="V233" s="565"/>
      <c r="W233" s="565"/>
      <c r="X233" s="565"/>
    </row>
    <row r="234" spans="12:24" ht="16.5" customHeight="1" x14ac:dyDescent="0.25">
      <c r="L234" s="565"/>
      <c r="M234" s="565"/>
      <c r="N234" s="565"/>
      <c r="O234" s="565"/>
      <c r="P234" s="565"/>
      <c r="Q234" s="565"/>
      <c r="R234" s="565"/>
      <c r="S234" s="651"/>
      <c r="T234" s="651"/>
      <c r="U234" s="565"/>
      <c r="V234" s="565"/>
      <c r="W234" s="565"/>
      <c r="X234" s="565"/>
    </row>
    <row r="235" spans="12:24" ht="16.5" customHeight="1" x14ac:dyDescent="0.25">
      <c r="L235" s="565"/>
      <c r="M235" s="565"/>
      <c r="N235" s="565"/>
      <c r="O235" s="565"/>
      <c r="P235" s="565"/>
      <c r="Q235" s="565"/>
      <c r="R235" s="565"/>
      <c r="S235" s="651"/>
      <c r="T235" s="651"/>
      <c r="U235" s="565"/>
      <c r="V235" s="565"/>
      <c r="W235" s="565"/>
      <c r="X235" s="565"/>
    </row>
    <row r="236" spans="12:24" ht="16.5" customHeight="1" x14ac:dyDescent="0.25">
      <c r="L236" s="565"/>
      <c r="M236" s="565"/>
      <c r="N236" s="565"/>
      <c r="O236" s="565"/>
      <c r="P236" s="565"/>
      <c r="Q236" s="565"/>
      <c r="R236" s="565"/>
      <c r="S236" s="651"/>
      <c r="T236" s="651"/>
      <c r="U236" s="565"/>
      <c r="V236" s="565"/>
      <c r="W236" s="565"/>
      <c r="X236" s="565"/>
    </row>
    <row r="237" spans="12:24" ht="16.5" customHeight="1" x14ac:dyDescent="0.25">
      <c r="L237" s="565"/>
      <c r="M237" s="565"/>
      <c r="N237" s="565"/>
      <c r="O237" s="565"/>
      <c r="P237" s="565"/>
      <c r="Q237" s="565"/>
      <c r="R237" s="565"/>
      <c r="S237" s="651"/>
      <c r="T237" s="651"/>
      <c r="U237" s="565"/>
      <c r="V237" s="565"/>
      <c r="W237" s="565"/>
      <c r="X237" s="565"/>
    </row>
    <row r="238" spans="12:24" ht="16.5" customHeight="1" x14ac:dyDescent="0.25">
      <c r="L238" s="565"/>
      <c r="M238" s="565"/>
      <c r="N238" s="565"/>
      <c r="O238" s="565"/>
      <c r="P238" s="565"/>
      <c r="Q238" s="565"/>
      <c r="R238" s="565"/>
      <c r="S238" s="651"/>
      <c r="T238" s="651"/>
      <c r="U238" s="565"/>
      <c r="V238" s="565"/>
      <c r="W238" s="565"/>
      <c r="X238" s="565"/>
    </row>
    <row r="239" spans="12:24" ht="16.5" customHeight="1" x14ac:dyDescent="0.25">
      <c r="L239" s="565"/>
      <c r="M239" s="565"/>
      <c r="N239" s="565"/>
      <c r="O239" s="565"/>
      <c r="P239" s="565"/>
      <c r="Q239" s="565"/>
      <c r="R239" s="565"/>
      <c r="S239" s="651"/>
      <c r="T239" s="651"/>
      <c r="U239" s="565"/>
      <c r="V239" s="565"/>
      <c r="W239" s="565"/>
      <c r="X239" s="565"/>
    </row>
    <row r="240" spans="12:24" ht="16.5" customHeight="1" x14ac:dyDescent="0.25">
      <c r="L240" s="565"/>
      <c r="M240" s="565"/>
      <c r="N240" s="565"/>
      <c r="O240" s="565"/>
      <c r="P240" s="565"/>
      <c r="Q240" s="565"/>
      <c r="R240" s="565"/>
      <c r="S240" s="651"/>
      <c r="T240" s="651"/>
      <c r="U240" s="565"/>
      <c r="V240" s="565"/>
      <c r="W240" s="565"/>
      <c r="X240" s="565"/>
    </row>
    <row r="241" spans="12:24" ht="16.5" customHeight="1" x14ac:dyDescent="0.25">
      <c r="L241" s="565"/>
      <c r="M241" s="565"/>
      <c r="N241" s="565"/>
      <c r="O241" s="565"/>
      <c r="P241" s="565"/>
      <c r="Q241" s="565"/>
      <c r="R241" s="565"/>
      <c r="S241" s="651"/>
      <c r="T241" s="651"/>
      <c r="U241" s="565"/>
      <c r="V241" s="565"/>
      <c r="W241" s="565"/>
      <c r="X241" s="565"/>
    </row>
    <row r="242" spans="12:24" ht="16.5" customHeight="1" x14ac:dyDescent="0.25">
      <c r="L242" s="565"/>
      <c r="M242" s="565"/>
      <c r="N242" s="565"/>
      <c r="O242" s="565"/>
      <c r="P242" s="565"/>
      <c r="Q242" s="565"/>
      <c r="R242" s="565"/>
      <c r="S242" s="651"/>
      <c r="T242" s="651"/>
      <c r="U242" s="565"/>
      <c r="V242" s="565"/>
      <c r="W242" s="565"/>
      <c r="X242" s="565"/>
    </row>
    <row r="243" spans="12:24" ht="16.5" customHeight="1" x14ac:dyDescent="0.25">
      <c r="L243" s="565"/>
      <c r="M243" s="565"/>
      <c r="N243" s="565"/>
      <c r="O243" s="565"/>
      <c r="P243" s="565"/>
      <c r="Q243" s="565"/>
      <c r="R243" s="565"/>
      <c r="S243" s="651"/>
      <c r="T243" s="651"/>
      <c r="U243" s="565"/>
      <c r="V243" s="565"/>
      <c r="W243" s="565"/>
      <c r="X243" s="565"/>
    </row>
    <row r="244" spans="12:24" ht="16.5" customHeight="1" x14ac:dyDescent="0.25">
      <c r="L244" s="565"/>
      <c r="M244" s="565"/>
      <c r="N244" s="565"/>
      <c r="O244" s="565"/>
      <c r="P244" s="565"/>
      <c r="Q244" s="565"/>
      <c r="R244" s="565"/>
      <c r="S244" s="651"/>
      <c r="T244" s="651"/>
      <c r="U244" s="565"/>
      <c r="V244" s="565"/>
      <c r="W244" s="565"/>
      <c r="X244" s="565"/>
    </row>
    <row r="245" spans="12:24" ht="16.5" customHeight="1" x14ac:dyDescent="0.25">
      <c r="L245" s="565"/>
      <c r="M245" s="565"/>
      <c r="N245" s="565"/>
      <c r="O245" s="565"/>
      <c r="P245" s="565"/>
      <c r="Q245" s="565"/>
      <c r="R245" s="565"/>
      <c r="S245" s="651"/>
      <c r="T245" s="651"/>
      <c r="U245" s="565"/>
      <c r="V245" s="565"/>
      <c r="W245" s="565"/>
      <c r="X245" s="565"/>
    </row>
    <row r="246" spans="12:24" ht="16.5" customHeight="1" x14ac:dyDescent="0.25">
      <c r="L246" s="565"/>
      <c r="M246" s="565"/>
      <c r="N246" s="565"/>
      <c r="O246" s="565"/>
      <c r="P246" s="565"/>
      <c r="Q246" s="565"/>
      <c r="R246" s="565"/>
      <c r="S246" s="651"/>
      <c r="T246" s="651"/>
      <c r="U246" s="565"/>
      <c r="V246" s="565"/>
      <c r="W246" s="565"/>
      <c r="X246" s="565"/>
    </row>
    <row r="247" spans="12:24" ht="16.5" customHeight="1" x14ac:dyDescent="0.25">
      <c r="L247" s="565"/>
      <c r="M247" s="565"/>
      <c r="N247" s="565"/>
      <c r="O247" s="565"/>
      <c r="P247" s="565"/>
      <c r="Q247" s="565"/>
      <c r="R247" s="565"/>
      <c r="S247" s="651"/>
      <c r="T247" s="651"/>
      <c r="U247" s="565"/>
      <c r="V247" s="565"/>
      <c r="W247" s="565"/>
      <c r="X247" s="565"/>
    </row>
    <row r="248" spans="12:24" ht="16.5" customHeight="1" x14ac:dyDescent="0.25">
      <c r="L248" s="565"/>
      <c r="M248" s="565"/>
      <c r="N248" s="565"/>
      <c r="O248" s="565"/>
      <c r="P248" s="565"/>
      <c r="Q248" s="565"/>
      <c r="R248" s="565"/>
      <c r="S248" s="651"/>
      <c r="T248" s="651"/>
      <c r="U248" s="565"/>
      <c r="V248" s="565"/>
      <c r="W248" s="565"/>
      <c r="X248" s="565"/>
    </row>
    <row r="249" spans="12:24" ht="16.5" customHeight="1" x14ac:dyDescent="0.25">
      <c r="L249" s="565"/>
      <c r="M249" s="565"/>
      <c r="N249" s="565"/>
      <c r="O249" s="565"/>
      <c r="P249" s="565"/>
      <c r="Q249" s="565"/>
      <c r="R249" s="565"/>
      <c r="S249" s="651"/>
      <c r="T249" s="651"/>
      <c r="U249" s="565"/>
      <c r="V249" s="565"/>
      <c r="W249" s="565"/>
      <c r="X249" s="565"/>
    </row>
    <row r="250" spans="12:24" ht="16.5" customHeight="1" x14ac:dyDescent="0.25">
      <c r="L250" s="565"/>
      <c r="M250" s="565"/>
      <c r="N250" s="565"/>
      <c r="O250" s="565"/>
      <c r="P250" s="565"/>
      <c r="Q250" s="565"/>
      <c r="R250" s="565"/>
      <c r="S250" s="651"/>
      <c r="T250" s="651"/>
      <c r="U250" s="565"/>
      <c r="V250" s="565"/>
      <c r="W250" s="565"/>
      <c r="X250" s="565"/>
    </row>
    <row r="251" spans="12:24" ht="16.5" customHeight="1" x14ac:dyDescent="0.25">
      <c r="L251" s="565"/>
      <c r="M251" s="565"/>
      <c r="N251" s="565"/>
      <c r="O251" s="565"/>
      <c r="P251" s="565"/>
      <c r="Q251" s="565"/>
      <c r="R251" s="565"/>
      <c r="S251" s="651"/>
      <c r="T251" s="651"/>
      <c r="U251" s="565"/>
      <c r="V251" s="565"/>
      <c r="W251" s="565"/>
      <c r="X251" s="565"/>
    </row>
    <row r="252" spans="12:24" ht="16.5" customHeight="1" x14ac:dyDescent="0.25">
      <c r="L252" s="565"/>
      <c r="M252" s="565"/>
      <c r="N252" s="565"/>
      <c r="O252" s="565"/>
      <c r="P252" s="565"/>
      <c r="Q252" s="565"/>
      <c r="R252" s="565"/>
      <c r="S252" s="651"/>
      <c r="T252" s="651"/>
      <c r="U252" s="565"/>
      <c r="V252" s="565"/>
      <c r="W252" s="565"/>
      <c r="X252" s="565"/>
    </row>
    <row r="253" spans="12:24" ht="16.5" customHeight="1" x14ac:dyDescent="0.25">
      <c r="L253" s="565"/>
      <c r="M253" s="565"/>
      <c r="N253" s="565"/>
      <c r="O253" s="565"/>
      <c r="P253" s="565"/>
      <c r="Q253" s="565"/>
      <c r="R253" s="565"/>
      <c r="S253" s="651"/>
      <c r="T253" s="651"/>
      <c r="U253" s="565"/>
      <c r="V253" s="565"/>
      <c r="W253" s="565"/>
      <c r="X253" s="565"/>
    </row>
    <row r="254" spans="12:24" ht="16.5" customHeight="1" x14ac:dyDescent="0.25">
      <c r="L254" s="565"/>
      <c r="M254" s="565"/>
      <c r="N254" s="565"/>
      <c r="O254" s="565"/>
      <c r="P254" s="565"/>
      <c r="Q254" s="565"/>
      <c r="R254" s="565"/>
      <c r="S254" s="651"/>
      <c r="T254" s="651"/>
      <c r="U254" s="565"/>
      <c r="V254" s="565"/>
      <c r="W254" s="565"/>
      <c r="X254" s="565"/>
    </row>
    <row r="255" spans="12:24" ht="16.5" customHeight="1" x14ac:dyDescent="0.25">
      <c r="L255" s="565"/>
      <c r="M255" s="565"/>
      <c r="N255" s="565"/>
      <c r="O255" s="565"/>
      <c r="P255" s="565"/>
      <c r="Q255" s="565"/>
      <c r="R255" s="565"/>
      <c r="S255" s="651"/>
      <c r="T255" s="651"/>
      <c r="U255" s="565"/>
      <c r="V255" s="565"/>
      <c r="W255" s="565"/>
      <c r="X255" s="565"/>
    </row>
    <row r="256" spans="12:24" ht="16.5" customHeight="1" x14ac:dyDescent="0.25">
      <c r="L256" s="565"/>
      <c r="M256" s="565"/>
      <c r="N256" s="565"/>
      <c r="O256" s="565"/>
      <c r="P256" s="565"/>
      <c r="Q256" s="565"/>
      <c r="R256" s="565"/>
      <c r="S256" s="651"/>
      <c r="T256" s="651"/>
      <c r="U256" s="565"/>
      <c r="V256" s="565"/>
      <c r="W256" s="565"/>
      <c r="X256" s="565"/>
    </row>
    <row r="257" spans="12:24" ht="16.5" customHeight="1" x14ac:dyDescent="0.25">
      <c r="L257" s="565"/>
      <c r="M257" s="565"/>
      <c r="N257" s="565"/>
      <c r="O257" s="565"/>
      <c r="P257" s="565"/>
      <c r="Q257" s="565"/>
      <c r="R257" s="565"/>
      <c r="S257" s="651"/>
      <c r="T257" s="651"/>
      <c r="U257" s="565"/>
      <c r="V257" s="565"/>
      <c r="W257" s="565"/>
      <c r="X257" s="565"/>
    </row>
    <row r="258" spans="12:24" ht="16.5" customHeight="1" x14ac:dyDescent="0.25">
      <c r="L258" s="565"/>
      <c r="M258" s="565"/>
      <c r="N258" s="565"/>
      <c r="O258" s="565"/>
      <c r="P258" s="565"/>
      <c r="Q258" s="565"/>
      <c r="R258" s="565"/>
      <c r="S258" s="651"/>
      <c r="T258" s="651"/>
      <c r="U258" s="565"/>
      <c r="V258" s="565"/>
      <c r="W258" s="565"/>
      <c r="X258" s="565"/>
    </row>
    <row r="259" spans="12:24" ht="16.5" customHeight="1" x14ac:dyDescent="0.25">
      <c r="L259" s="565"/>
      <c r="M259" s="565"/>
      <c r="N259" s="565"/>
      <c r="O259" s="565"/>
      <c r="P259" s="565"/>
      <c r="Q259" s="565"/>
      <c r="R259" s="565"/>
      <c r="S259" s="651"/>
      <c r="T259" s="651"/>
      <c r="U259" s="565"/>
      <c r="V259" s="565"/>
      <c r="W259" s="565"/>
      <c r="X259" s="565"/>
    </row>
    <row r="260" spans="12:24" ht="16.5" customHeight="1" x14ac:dyDescent="0.25">
      <c r="L260" s="565"/>
      <c r="M260" s="565"/>
      <c r="N260" s="565"/>
      <c r="O260" s="565"/>
      <c r="P260" s="565"/>
      <c r="Q260" s="565"/>
      <c r="R260" s="565"/>
      <c r="S260" s="651"/>
      <c r="T260" s="651"/>
      <c r="U260" s="565"/>
      <c r="V260" s="565"/>
      <c r="W260" s="565"/>
      <c r="X260" s="565"/>
    </row>
    <row r="261" spans="12:24" ht="16.5" customHeight="1" x14ac:dyDescent="0.25">
      <c r="L261" s="565"/>
      <c r="M261" s="565"/>
      <c r="N261" s="565"/>
      <c r="O261" s="565"/>
      <c r="P261" s="565"/>
      <c r="Q261" s="565"/>
      <c r="R261" s="565"/>
      <c r="S261" s="651"/>
      <c r="T261" s="651"/>
      <c r="U261" s="565"/>
      <c r="V261" s="565"/>
      <c r="W261" s="565"/>
      <c r="X261" s="565"/>
    </row>
    <row r="262" spans="12:24" ht="16.5" customHeight="1" x14ac:dyDescent="0.25">
      <c r="L262" s="565"/>
      <c r="M262" s="565"/>
      <c r="N262" s="565"/>
      <c r="O262" s="565"/>
      <c r="P262" s="565"/>
      <c r="Q262" s="565"/>
      <c r="R262" s="565"/>
      <c r="S262" s="651"/>
      <c r="T262" s="651"/>
      <c r="U262" s="565"/>
      <c r="V262" s="565"/>
      <c r="W262" s="565"/>
      <c r="X262" s="565"/>
    </row>
    <row r="263" spans="12:24" ht="16.5" customHeight="1" x14ac:dyDescent="0.25">
      <c r="L263" s="565"/>
      <c r="M263" s="565"/>
      <c r="N263" s="565"/>
      <c r="O263" s="565"/>
      <c r="P263" s="565"/>
      <c r="Q263" s="565"/>
      <c r="R263" s="565"/>
      <c r="S263" s="651"/>
      <c r="T263" s="651"/>
      <c r="U263" s="565"/>
      <c r="V263" s="565"/>
      <c r="W263" s="565"/>
      <c r="X263" s="565"/>
    </row>
    <row r="264" spans="12:24" ht="16.5" customHeight="1" x14ac:dyDescent="0.25">
      <c r="L264" s="565"/>
      <c r="M264" s="565"/>
      <c r="N264" s="565"/>
      <c r="O264" s="565"/>
      <c r="P264" s="565"/>
      <c r="Q264" s="565"/>
      <c r="R264" s="565"/>
      <c r="S264" s="651"/>
      <c r="T264" s="651"/>
      <c r="U264" s="565"/>
      <c r="V264" s="565"/>
      <c r="W264" s="565"/>
      <c r="X264" s="565"/>
    </row>
    <row r="265" spans="12:24" ht="16.5" customHeight="1" x14ac:dyDescent="0.25">
      <c r="L265" s="565"/>
      <c r="M265" s="565"/>
      <c r="N265" s="565"/>
      <c r="O265" s="565"/>
      <c r="P265" s="565"/>
      <c r="Q265" s="565"/>
      <c r="R265" s="565"/>
      <c r="S265" s="651"/>
      <c r="T265" s="651"/>
      <c r="U265" s="565"/>
      <c r="V265" s="565"/>
      <c r="W265" s="565"/>
      <c r="X265" s="565"/>
    </row>
    <row r="266" spans="12:24" ht="16.5" customHeight="1" x14ac:dyDescent="0.25">
      <c r="L266" s="565"/>
      <c r="M266" s="565"/>
      <c r="N266" s="565"/>
      <c r="O266" s="565"/>
      <c r="P266" s="565"/>
      <c r="Q266" s="565"/>
      <c r="R266" s="565"/>
      <c r="S266" s="651"/>
      <c r="T266" s="651"/>
      <c r="U266" s="565"/>
      <c r="V266" s="565"/>
      <c r="W266" s="565"/>
      <c r="X266" s="565"/>
    </row>
    <row r="267" spans="12:24" x14ac:dyDescent="0.25">
      <c r="L267" s="565"/>
      <c r="M267" s="565"/>
      <c r="N267" s="565"/>
      <c r="O267" s="565"/>
      <c r="P267" s="565"/>
      <c r="Q267" s="565"/>
      <c r="R267" s="565"/>
      <c r="S267" s="651"/>
      <c r="T267" s="651"/>
      <c r="U267" s="565"/>
      <c r="V267" s="565"/>
      <c r="W267" s="565"/>
      <c r="X267" s="565"/>
    </row>
    <row r="268" spans="12:24" x14ac:dyDescent="0.25">
      <c r="L268" s="565"/>
      <c r="M268" s="565"/>
      <c r="N268" s="565"/>
      <c r="O268" s="565"/>
      <c r="P268" s="565"/>
      <c r="Q268" s="565"/>
      <c r="R268" s="565"/>
      <c r="S268" s="651"/>
      <c r="T268" s="651"/>
      <c r="U268" s="565"/>
      <c r="V268" s="565"/>
      <c r="W268" s="565"/>
      <c r="X268" s="565"/>
    </row>
    <row r="269" spans="12:24" x14ac:dyDescent="0.25">
      <c r="L269" s="565"/>
      <c r="M269" s="565"/>
      <c r="N269" s="565"/>
      <c r="O269" s="565"/>
      <c r="P269" s="565"/>
      <c r="Q269" s="565"/>
      <c r="R269" s="565"/>
      <c r="S269" s="651"/>
      <c r="T269" s="651"/>
      <c r="U269" s="565"/>
      <c r="V269" s="565"/>
      <c r="W269" s="565"/>
      <c r="X269" s="565"/>
    </row>
    <row r="270" spans="12:24" x14ac:dyDescent="0.25">
      <c r="L270" s="565"/>
      <c r="M270" s="565"/>
      <c r="N270" s="565"/>
      <c r="O270" s="565"/>
      <c r="P270" s="565"/>
      <c r="Q270" s="565"/>
      <c r="R270" s="565"/>
      <c r="S270" s="651"/>
      <c r="T270" s="651"/>
      <c r="U270" s="565"/>
      <c r="V270" s="565"/>
      <c r="W270" s="565"/>
      <c r="X270" s="565"/>
    </row>
    <row r="271" spans="12:24" x14ac:dyDescent="0.25">
      <c r="L271" s="565"/>
      <c r="M271" s="565"/>
      <c r="N271" s="565"/>
      <c r="O271" s="565"/>
      <c r="P271" s="565"/>
      <c r="Q271" s="565"/>
      <c r="R271" s="565"/>
      <c r="S271" s="651"/>
      <c r="T271" s="651"/>
      <c r="U271" s="565"/>
      <c r="V271" s="565"/>
      <c r="W271" s="565"/>
      <c r="X271" s="565"/>
    </row>
    <row r="272" spans="12:24" x14ac:dyDescent="0.25">
      <c r="L272" s="565"/>
      <c r="M272" s="565"/>
      <c r="N272" s="565"/>
      <c r="O272" s="565"/>
      <c r="P272" s="565"/>
      <c r="Q272" s="565"/>
      <c r="R272" s="565"/>
      <c r="S272" s="651"/>
      <c r="T272" s="651"/>
      <c r="U272" s="565"/>
      <c r="V272" s="565"/>
      <c r="W272" s="565"/>
      <c r="X272" s="565"/>
    </row>
    <row r="273" spans="12:24" x14ac:dyDescent="0.25">
      <c r="L273" s="565"/>
      <c r="M273" s="565"/>
      <c r="N273" s="565"/>
      <c r="O273" s="565"/>
      <c r="P273" s="565"/>
      <c r="Q273" s="565"/>
      <c r="R273" s="565"/>
      <c r="S273" s="651"/>
      <c r="T273" s="651"/>
      <c r="U273" s="565"/>
      <c r="V273" s="565"/>
      <c r="W273" s="565"/>
      <c r="X273" s="565"/>
    </row>
    <row r="274" spans="12:24" x14ac:dyDescent="0.25">
      <c r="L274" s="565"/>
      <c r="M274" s="565"/>
      <c r="N274" s="565"/>
      <c r="O274" s="565"/>
      <c r="P274" s="565"/>
      <c r="Q274" s="565"/>
      <c r="R274" s="565"/>
      <c r="S274" s="651"/>
      <c r="T274" s="651"/>
      <c r="U274" s="565"/>
      <c r="V274" s="565"/>
      <c r="W274" s="565"/>
      <c r="X274" s="565"/>
    </row>
    <row r="275" spans="12:24" x14ac:dyDescent="0.25">
      <c r="L275" s="565"/>
      <c r="M275" s="565"/>
      <c r="N275" s="565"/>
      <c r="O275" s="565"/>
      <c r="P275" s="565"/>
      <c r="Q275" s="565"/>
      <c r="R275" s="565"/>
      <c r="S275" s="651"/>
      <c r="T275" s="651"/>
      <c r="U275" s="565"/>
      <c r="V275" s="565"/>
      <c r="W275" s="565"/>
      <c r="X275" s="565"/>
    </row>
    <row r="276" spans="12:24" x14ac:dyDescent="0.25">
      <c r="L276" s="565"/>
      <c r="M276" s="565"/>
      <c r="N276" s="565"/>
      <c r="O276" s="565"/>
      <c r="P276" s="565"/>
      <c r="Q276" s="565"/>
      <c r="R276" s="565"/>
      <c r="S276" s="651"/>
      <c r="T276" s="651"/>
      <c r="U276" s="565"/>
      <c r="V276" s="565"/>
      <c r="W276" s="565"/>
      <c r="X276" s="565"/>
    </row>
    <row r="277" spans="12:24" x14ac:dyDescent="0.25">
      <c r="L277" s="565"/>
      <c r="M277" s="565"/>
      <c r="N277" s="565"/>
      <c r="O277" s="565"/>
      <c r="P277" s="565"/>
      <c r="Q277" s="565"/>
      <c r="R277" s="565"/>
      <c r="S277" s="651"/>
      <c r="T277" s="651"/>
      <c r="U277" s="565"/>
      <c r="V277" s="565"/>
      <c r="W277" s="565"/>
      <c r="X277" s="565"/>
    </row>
    <row r="278" spans="12:24" x14ac:dyDescent="0.25">
      <c r="L278" s="565"/>
      <c r="M278" s="565"/>
      <c r="N278" s="565"/>
      <c r="O278" s="565"/>
      <c r="P278" s="565"/>
      <c r="Q278" s="565"/>
      <c r="R278" s="565"/>
      <c r="S278" s="651"/>
      <c r="T278" s="651"/>
      <c r="U278" s="565"/>
      <c r="V278" s="565"/>
      <c r="W278" s="565"/>
      <c r="X278" s="565"/>
    </row>
    <row r="279" spans="12:24" x14ac:dyDescent="0.25">
      <c r="L279" s="565"/>
      <c r="M279" s="565"/>
      <c r="N279" s="565"/>
      <c r="O279" s="565"/>
      <c r="P279" s="565"/>
      <c r="Q279" s="565"/>
      <c r="R279" s="565"/>
      <c r="S279" s="651"/>
      <c r="T279" s="651"/>
      <c r="U279" s="565"/>
      <c r="V279" s="565"/>
      <c r="W279" s="565"/>
      <c r="X279" s="565"/>
    </row>
    <row r="280" spans="12:24" x14ac:dyDescent="0.25">
      <c r="L280" s="565"/>
      <c r="M280" s="565"/>
      <c r="N280" s="565"/>
      <c r="O280" s="565"/>
      <c r="P280" s="565"/>
      <c r="Q280" s="565"/>
      <c r="R280" s="565"/>
      <c r="S280" s="651"/>
      <c r="T280" s="651"/>
      <c r="U280" s="565"/>
      <c r="V280" s="565"/>
      <c r="W280" s="565"/>
      <c r="X280" s="565"/>
    </row>
    <row r="281" spans="12:24" x14ac:dyDescent="0.25">
      <c r="L281" s="565"/>
      <c r="M281" s="565"/>
      <c r="N281" s="565"/>
      <c r="O281" s="565"/>
      <c r="P281" s="565"/>
      <c r="Q281" s="565"/>
      <c r="R281" s="565"/>
      <c r="S281" s="651"/>
      <c r="T281" s="651"/>
      <c r="U281" s="565"/>
      <c r="V281" s="565"/>
      <c r="W281" s="565"/>
      <c r="X281" s="565"/>
    </row>
    <row r="282" spans="12:24" x14ac:dyDescent="0.25">
      <c r="L282" s="565"/>
      <c r="M282" s="565"/>
      <c r="N282" s="565"/>
      <c r="O282" s="565"/>
      <c r="P282" s="565"/>
      <c r="Q282" s="565"/>
      <c r="R282" s="565"/>
      <c r="S282" s="651"/>
      <c r="T282" s="651"/>
      <c r="U282" s="565"/>
      <c r="V282" s="565"/>
      <c r="W282" s="565"/>
      <c r="X282" s="565"/>
    </row>
    <row r="283" spans="12:24" x14ac:dyDescent="0.25">
      <c r="L283" s="565"/>
      <c r="M283" s="565"/>
      <c r="N283" s="565"/>
      <c r="O283" s="565"/>
      <c r="P283" s="565"/>
      <c r="Q283" s="565"/>
      <c r="R283" s="565"/>
      <c r="S283" s="651"/>
      <c r="T283" s="651"/>
      <c r="U283" s="565"/>
      <c r="V283" s="565"/>
      <c r="W283" s="565"/>
      <c r="X283" s="565"/>
    </row>
    <row r="284" spans="12:24" x14ac:dyDescent="0.25">
      <c r="L284" s="565"/>
      <c r="M284" s="565"/>
      <c r="N284" s="565"/>
      <c r="O284" s="565"/>
      <c r="P284" s="565"/>
      <c r="Q284" s="565"/>
      <c r="R284" s="565"/>
      <c r="S284" s="651"/>
      <c r="T284" s="651"/>
      <c r="U284" s="565"/>
      <c r="V284" s="565"/>
      <c r="W284" s="565"/>
      <c r="X284" s="565"/>
    </row>
    <row r="285" spans="12:24" x14ac:dyDescent="0.25">
      <c r="L285" s="565"/>
      <c r="M285" s="565"/>
      <c r="N285" s="565"/>
      <c r="O285" s="565"/>
      <c r="P285" s="565"/>
      <c r="Q285" s="565"/>
      <c r="R285" s="565"/>
      <c r="S285" s="651"/>
      <c r="T285" s="651"/>
      <c r="U285" s="565"/>
      <c r="V285" s="565"/>
      <c r="W285" s="565"/>
      <c r="X285" s="565"/>
    </row>
    <row r="286" spans="12:24" x14ac:dyDescent="0.25">
      <c r="L286" s="565"/>
      <c r="M286" s="565"/>
      <c r="N286" s="565"/>
      <c r="O286" s="565"/>
      <c r="P286" s="565"/>
      <c r="Q286" s="565"/>
      <c r="R286" s="565"/>
      <c r="S286" s="651"/>
      <c r="T286" s="651"/>
      <c r="U286" s="565"/>
      <c r="V286" s="565"/>
      <c r="W286" s="565"/>
      <c r="X286" s="565"/>
    </row>
    <row r="287" spans="12:24" x14ac:dyDescent="0.25">
      <c r="L287" s="565"/>
      <c r="M287" s="565"/>
      <c r="N287" s="565"/>
      <c r="O287" s="565"/>
      <c r="P287" s="565"/>
      <c r="Q287" s="565"/>
      <c r="R287" s="565"/>
      <c r="S287" s="651"/>
      <c r="T287" s="651"/>
      <c r="U287" s="565"/>
      <c r="V287" s="565"/>
      <c r="W287" s="565"/>
      <c r="X287" s="565"/>
    </row>
    <row r="288" spans="12:24" x14ac:dyDescent="0.25">
      <c r="L288" s="565"/>
      <c r="M288" s="565"/>
      <c r="N288" s="565"/>
      <c r="O288" s="565"/>
      <c r="P288" s="565"/>
      <c r="Q288" s="565"/>
      <c r="R288" s="565"/>
      <c r="S288" s="651"/>
      <c r="T288" s="651"/>
      <c r="U288" s="565"/>
      <c r="V288" s="565"/>
      <c r="W288" s="565"/>
      <c r="X288" s="565"/>
    </row>
    <row r="289" spans="12:24" x14ac:dyDescent="0.25">
      <c r="L289" s="565"/>
      <c r="M289" s="565"/>
      <c r="N289" s="565"/>
      <c r="O289" s="565"/>
      <c r="P289" s="565"/>
      <c r="Q289" s="565"/>
      <c r="R289" s="565"/>
      <c r="S289" s="651"/>
      <c r="T289" s="651"/>
      <c r="U289" s="565"/>
      <c r="V289" s="565"/>
      <c r="W289" s="565"/>
      <c r="X289" s="565"/>
    </row>
    <row r="290" spans="12:24" x14ac:dyDescent="0.25">
      <c r="L290" s="565"/>
      <c r="M290" s="565"/>
      <c r="N290" s="565"/>
      <c r="O290" s="565"/>
      <c r="P290" s="565"/>
      <c r="Q290" s="565"/>
      <c r="R290" s="565"/>
      <c r="S290" s="651"/>
      <c r="T290" s="651"/>
      <c r="U290" s="565"/>
      <c r="V290" s="565"/>
      <c r="W290" s="565"/>
      <c r="X290" s="565"/>
    </row>
    <row r="291" spans="12:24" x14ac:dyDescent="0.25">
      <c r="L291" s="565"/>
      <c r="M291" s="565"/>
      <c r="N291" s="565"/>
      <c r="O291" s="565"/>
      <c r="P291" s="565"/>
      <c r="Q291" s="565"/>
      <c r="R291" s="565"/>
      <c r="S291" s="651"/>
      <c r="T291" s="651"/>
      <c r="U291" s="565"/>
      <c r="V291" s="565"/>
      <c r="W291" s="565"/>
      <c r="X291" s="565"/>
    </row>
    <row r="292" spans="12:24" x14ac:dyDescent="0.25">
      <c r="L292" s="565"/>
      <c r="M292" s="565"/>
      <c r="N292" s="565"/>
      <c r="O292" s="565"/>
      <c r="P292" s="565"/>
      <c r="Q292" s="565"/>
      <c r="R292" s="565"/>
      <c r="S292" s="651"/>
      <c r="T292" s="651"/>
      <c r="U292" s="565"/>
      <c r="V292" s="565"/>
      <c r="W292" s="565"/>
      <c r="X292" s="565"/>
    </row>
    <row r="293" spans="12:24" x14ac:dyDescent="0.25">
      <c r="L293" s="565"/>
      <c r="M293" s="565"/>
      <c r="N293" s="565"/>
      <c r="O293" s="565"/>
      <c r="P293" s="565"/>
      <c r="Q293" s="565"/>
      <c r="R293" s="565"/>
      <c r="S293" s="651"/>
      <c r="T293" s="651"/>
      <c r="U293" s="565"/>
      <c r="V293" s="565"/>
      <c r="W293" s="565"/>
      <c r="X293" s="565"/>
    </row>
    <row r="294" spans="12:24" x14ac:dyDescent="0.25">
      <c r="L294" s="565"/>
      <c r="M294" s="565"/>
      <c r="N294" s="565"/>
      <c r="O294" s="565"/>
      <c r="P294" s="565"/>
      <c r="Q294" s="565"/>
      <c r="R294" s="565"/>
      <c r="S294" s="651"/>
      <c r="T294" s="651"/>
      <c r="U294" s="565"/>
      <c r="V294" s="565"/>
      <c r="W294" s="565"/>
      <c r="X294" s="565"/>
    </row>
    <row r="295" spans="12:24" x14ac:dyDescent="0.25">
      <c r="L295" s="565"/>
      <c r="M295" s="565"/>
      <c r="N295" s="565"/>
      <c r="O295" s="565"/>
      <c r="P295" s="565"/>
      <c r="Q295" s="565"/>
      <c r="R295" s="565"/>
      <c r="S295" s="651"/>
      <c r="T295" s="651"/>
      <c r="U295" s="565"/>
      <c r="V295" s="565"/>
      <c r="W295" s="565"/>
      <c r="X295" s="565"/>
    </row>
    <row r="296" spans="12:24" x14ac:dyDescent="0.25">
      <c r="L296" s="565"/>
      <c r="M296" s="565"/>
      <c r="N296" s="565"/>
      <c r="O296" s="565"/>
      <c r="P296" s="565"/>
      <c r="Q296" s="565"/>
      <c r="R296" s="565"/>
      <c r="S296" s="651"/>
      <c r="T296" s="651"/>
      <c r="U296" s="565"/>
      <c r="V296" s="565"/>
      <c r="W296" s="565"/>
      <c r="X296" s="565"/>
    </row>
    <row r="297" spans="12:24" x14ac:dyDescent="0.25">
      <c r="L297" s="565"/>
      <c r="M297" s="565"/>
      <c r="N297" s="565"/>
      <c r="O297" s="565"/>
      <c r="P297" s="565"/>
      <c r="Q297" s="565"/>
      <c r="R297" s="565"/>
      <c r="S297" s="651"/>
      <c r="T297" s="651"/>
      <c r="U297" s="565"/>
      <c r="V297" s="565"/>
      <c r="W297" s="565"/>
      <c r="X297" s="565"/>
    </row>
    <row r="298" spans="12:24" x14ac:dyDescent="0.25">
      <c r="L298" s="565"/>
      <c r="M298" s="565"/>
      <c r="N298" s="565"/>
      <c r="O298" s="565"/>
      <c r="P298" s="565"/>
      <c r="Q298" s="565"/>
      <c r="R298" s="565"/>
      <c r="S298" s="651"/>
      <c r="T298" s="651"/>
      <c r="U298" s="565"/>
      <c r="V298" s="565"/>
      <c r="W298" s="565"/>
      <c r="X298" s="565"/>
    </row>
    <row r="299" spans="12:24" x14ac:dyDescent="0.25">
      <c r="L299" s="565"/>
      <c r="M299" s="565"/>
      <c r="N299" s="565"/>
      <c r="O299" s="565"/>
      <c r="P299" s="565"/>
      <c r="Q299" s="565"/>
      <c r="R299" s="565"/>
      <c r="S299" s="651"/>
      <c r="T299" s="651"/>
      <c r="U299" s="565"/>
      <c r="V299" s="565"/>
      <c r="W299" s="565"/>
      <c r="X299" s="565"/>
    </row>
    <row r="300" spans="12:24" x14ac:dyDescent="0.25">
      <c r="L300" s="565"/>
      <c r="M300" s="565"/>
      <c r="N300" s="565"/>
      <c r="O300" s="565"/>
      <c r="P300" s="565"/>
      <c r="Q300" s="565"/>
      <c r="R300" s="565"/>
      <c r="S300" s="651"/>
      <c r="T300" s="651"/>
      <c r="U300" s="565"/>
      <c r="V300" s="565"/>
      <c r="W300" s="565"/>
      <c r="X300" s="565"/>
    </row>
    <row r="301" spans="12:24" x14ac:dyDescent="0.25">
      <c r="L301" s="565"/>
      <c r="M301" s="565"/>
      <c r="N301" s="565"/>
      <c r="O301" s="565"/>
      <c r="P301" s="565"/>
      <c r="Q301" s="565"/>
      <c r="R301" s="565"/>
      <c r="S301" s="651"/>
      <c r="T301" s="651"/>
      <c r="U301" s="565"/>
      <c r="V301" s="565"/>
      <c r="W301" s="565"/>
      <c r="X301" s="565"/>
    </row>
    <row r="302" spans="12:24" x14ac:dyDescent="0.25">
      <c r="L302" s="565"/>
      <c r="M302" s="565"/>
      <c r="N302" s="565"/>
      <c r="O302" s="565"/>
      <c r="P302" s="565"/>
      <c r="Q302" s="565"/>
      <c r="R302" s="565"/>
      <c r="S302" s="651"/>
      <c r="T302" s="651"/>
      <c r="U302" s="565"/>
      <c r="V302" s="565"/>
      <c r="W302" s="565"/>
      <c r="X302" s="565"/>
    </row>
    <row r="303" spans="12:24" x14ac:dyDescent="0.25">
      <c r="L303" s="565"/>
      <c r="M303" s="565"/>
      <c r="N303" s="565"/>
      <c r="O303" s="565"/>
      <c r="P303" s="565"/>
      <c r="Q303" s="565"/>
      <c r="R303" s="565"/>
      <c r="S303" s="651"/>
      <c r="T303" s="651"/>
      <c r="U303" s="565"/>
      <c r="V303" s="565"/>
      <c r="W303" s="565"/>
      <c r="X303" s="565"/>
    </row>
    <row r="304" spans="12:24" x14ac:dyDescent="0.25">
      <c r="L304" s="565"/>
      <c r="M304" s="565"/>
      <c r="N304" s="565"/>
      <c r="O304" s="565"/>
      <c r="P304" s="565"/>
      <c r="Q304" s="565"/>
      <c r="R304" s="565"/>
      <c r="S304" s="651"/>
      <c r="T304" s="651"/>
      <c r="U304" s="565"/>
      <c r="V304" s="565"/>
      <c r="W304" s="565"/>
      <c r="X304" s="565"/>
    </row>
    <row r="305" spans="12:24" x14ac:dyDescent="0.25">
      <c r="L305" s="565"/>
      <c r="M305" s="565"/>
      <c r="N305" s="565"/>
      <c r="O305" s="565"/>
      <c r="P305" s="565"/>
      <c r="Q305" s="565"/>
      <c r="R305" s="565"/>
      <c r="S305" s="651"/>
      <c r="T305" s="651"/>
      <c r="U305" s="565"/>
      <c r="V305" s="565"/>
      <c r="W305" s="565"/>
      <c r="X305" s="565"/>
    </row>
    <row r="306" spans="12:24" x14ac:dyDescent="0.25">
      <c r="L306" s="565"/>
      <c r="M306" s="565"/>
      <c r="N306" s="565"/>
      <c r="O306" s="565"/>
      <c r="P306" s="565"/>
      <c r="Q306" s="565"/>
      <c r="R306" s="565"/>
      <c r="S306" s="651"/>
      <c r="T306" s="651"/>
      <c r="U306" s="565"/>
      <c r="V306" s="565"/>
      <c r="W306" s="565"/>
      <c r="X306" s="565"/>
    </row>
    <row r="307" spans="12:24" x14ac:dyDescent="0.25">
      <c r="L307" s="565"/>
      <c r="M307" s="565"/>
      <c r="N307" s="565"/>
      <c r="O307" s="565"/>
      <c r="P307" s="565"/>
      <c r="Q307" s="565"/>
      <c r="R307" s="565"/>
      <c r="S307" s="651"/>
      <c r="T307" s="651"/>
      <c r="U307" s="565"/>
      <c r="V307" s="565"/>
      <c r="W307" s="565"/>
      <c r="X307" s="565"/>
    </row>
    <row r="308" spans="12:24" x14ac:dyDescent="0.25">
      <c r="L308" s="565"/>
      <c r="M308" s="565"/>
      <c r="N308" s="565"/>
      <c r="O308" s="565"/>
      <c r="P308" s="565"/>
      <c r="Q308" s="565"/>
      <c r="R308" s="565"/>
      <c r="S308" s="651"/>
      <c r="T308" s="651"/>
      <c r="U308" s="565"/>
      <c r="V308" s="565"/>
      <c r="W308" s="565"/>
      <c r="X308" s="565"/>
    </row>
    <row r="309" spans="12:24" x14ac:dyDescent="0.25">
      <c r="L309" s="565"/>
      <c r="M309" s="565"/>
      <c r="N309" s="565"/>
      <c r="O309" s="565"/>
      <c r="P309" s="565"/>
      <c r="Q309" s="565"/>
      <c r="R309" s="565"/>
      <c r="S309" s="651"/>
      <c r="T309" s="651"/>
      <c r="U309" s="565"/>
      <c r="V309" s="565"/>
      <c r="W309" s="565"/>
      <c r="X309" s="565"/>
    </row>
    <row r="310" spans="12:24" x14ac:dyDescent="0.25">
      <c r="L310" s="565"/>
      <c r="M310" s="565"/>
      <c r="N310" s="565"/>
      <c r="O310" s="565"/>
      <c r="P310" s="565"/>
      <c r="Q310" s="565"/>
      <c r="R310" s="565"/>
      <c r="S310" s="651"/>
      <c r="T310" s="651"/>
      <c r="U310" s="565"/>
      <c r="V310" s="565"/>
      <c r="W310" s="565"/>
      <c r="X310" s="565"/>
    </row>
    <row r="311" spans="12:24" x14ac:dyDescent="0.25">
      <c r="L311" s="565"/>
      <c r="M311" s="565"/>
      <c r="N311" s="565"/>
      <c r="O311" s="565"/>
      <c r="P311" s="565"/>
      <c r="Q311" s="565"/>
      <c r="R311" s="565"/>
      <c r="S311" s="651"/>
      <c r="T311" s="651"/>
      <c r="U311" s="565"/>
      <c r="V311" s="565"/>
      <c r="W311" s="565"/>
      <c r="X311" s="565"/>
    </row>
    <row r="312" spans="12:24" x14ac:dyDescent="0.25">
      <c r="L312" s="565"/>
      <c r="M312" s="565"/>
      <c r="N312" s="565"/>
      <c r="O312" s="565"/>
      <c r="P312" s="565"/>
      <c r="Q312" s="565"/>
      <c r="R312" s="565"/>
      <c r="S312" s="651"/>
      <c r="T312" s="651"/>
      <c r="U312" s="565"/>
      <c r="V312" s="565"/>
      <c r="W312" s="565"/>
      <c r="X312" s="565"/>
    </row>
    <row r="313" spans="12:24" x14ac:dyDescent="0.25">
      <c r="L313" s="565"/>
      <c r="M313" s="565"/>
      <c r="N313" s="565"/>
      <c r="O313" s="565"/>
      <c r="P313" s="565"/>
      <c r="Q313" s="565"/>
      <c r="R313" s="565"/>
      <c r="S313" s="651"/>
      <c r="T313" s="651"/>
      <c r="U313" s="565"/>
      <c r="V313" s="565"/>
      <c r="W313" s="565"/>
      <c r="X313" s="565"/>
    </row>
    <row r="314" spans="12:24" x14ac:dyDescent="0.25">
      <c r="L314" s="565"/>
      <c r="M314" s="565"/>
      <c r="N314" s="565"/>
      <c r="O314" s="565"/>
      <c r="P314" s="565"/>
      <c r="Q314" s="565"/>
      <c r="R314" s="565"/>
      <c r="S314" s="651"/>
      <c r="T314" s="651"/>
      <c r="U314" s="565"/>
      <c r="V314" s="565"/>
      <c r="W314" s="565"/>
      <c r="X314" s="565"/>
    </row>
    <row r="315" spans="12:24" x14ac:dyDescent="0.25">
      <c r="L315" s="565"/>
      <c r="M315" s="565"/>
      <c r="N315" s="565"/>
      <c r="O315" s="565"/>
      <c r="P315" s="565"/>
      <c r="Q315" s="565"/>
      <c r="R315" s="565"/>
      <c r="S315" s="651"/>
      <c r="T315" s="651"/>
      <c r="U315" s="565"/>
      <c r="V315" s="565"/>
      <c r="W315" s="565"/>
      <c r="X315" s="565"/>
    </row>
    <row r="316" spans="12:24" x14ac:dyDescent="0.25">
      <c r="L316" s="565"/>
      <c r="M316" s="565"/>
      <c r="N316" s="565"/>
      <c r="O316" s="565"/>
      <c r="P316" s="565"/>
      <c r="Q316" s="565"/>
      <c r="R316" s="565"/>
      <c r="S316" s="651"/>
      <c r="T316" s="651"/>
      <c r="U316" s="565"/>
      <c r="V316" s="565"/>
      <c r="W316" s="565"/>
      <c r="X316" s="565"/>
    </row>
    <row r="317" spans="12:24" x14ac:dyDescent="0.25">
      <c r="L317" s="565"/>
      <c r="M317" s="565"/>
      <c r="N317" s="565"/>
      <c r="O317" s="565"/>
      <c r="P317" s="565"/>
      <c r="Q317" s="565"/>
      <c r="R317" s="565"/>
      <c r="S317" s="651"/>
      <c r="T317" s="651"/>
      <c r="U317" s="565"/>
      <c r="V317" s="565"/>
      <c r="W317" s="565"/>
      <c r="X317" s="565"/>
    </row>
    <row r="318" spans="12:24" x14ac:dyDescent="0.25">
      <c r="L318" s="565"/>
      <c r="M318" s="565"/>
      <c r="N318" s="565"/>
      <c r="O318" s="565"/>
      <c r="P318" s="565"/>
      <c r="Q318" s="565"/>
      <c r="R318" s="565"/>
      <c r="S318" s="651"/>
      <c r="T318" s="651"/>
      <c r="U318" s="565"/>
      <c r="V318" s="565"/>
      <c r="W318" s="565"/>
      <c r="X318" s="565"/>
    </row>
    <row r="319" spans="12:24" x14ac:dyDescent="0.25">
      <c r="L319" s="565"/>
      <c r="M319" s="565"/>
      <c r="N319" s="565"/>
      <c r="O319" s="565"/>
      <c r="P319" s="565"/>
      <c r="Q319" s="565"/>
      <c r="R319" s="565"/>
      <c r="S319" s="651"/>
      <c r="T319" s="651"/>
      <c r="U319" s="565"/>
      <c r="V319" s="565"/>
      <c r="W319" s="565"/>
      <c r="X319" s="565"/>
    </row>
    <row r="320" spans="12:24" x14ac:dyDescent="0.25">
      <c r="L320" s="565"/>
      <c r="M320" s="565"/>
      <c r="N320" s="565"/>
      <c r="O320" s="565"/>
      <c r="P320" s="565"/>
      <c r="Q320" s="565"/>
      <c r="R320" s="565"/>
      <c r="S320" s="651"/>
      <c r="T320" s="651"/>
      <c r="U320" s="565"/>
      <c r="V320" s="565"/>
      <c r="W320" s="565"/>
      <c r="X320" s="565"/>
    </row>
    <row r="321" spans="12:24" x14ac:dyDescent="0.25">
      <c r="L321" s="565"/>
      <c r="M321" s="565"/>
      <c r="N321" s="565"/>
      <c r="O321" s="565"/>
      <c r="P321" s="565"/>
      <c r="Q321" s="565"/>
      <c r="R321" s="565"/>
      <c r="S321" s="651"/>
      <c r="T321" s="651"/>
      <c r="U321" s="565"/>
      <c r="V321" s="565"/>
      <c r="W321" s="565"/>
      <c r="X321" s="565"/>
    </row>
    <row r="322" spans="12:24" x14ac:dyDescent="0.25">
      <c r="L322" s="565"/>
      <c r="M322" s="565"/>
      <c r="N322" s="565"/>
      <c r="O322" s="565"/>
      <c r="P322" s="565"/>
      <c r="Q322" s="565"/>
      <c r="R322" s="565"/>
      <c r="S322" s="651"/>
      <c r="T322" s="651"/>
      <c r="U322" s="565"/>
      <c r="V322" s="565"/>
      <c r="W322" s="565"/>
      <c r="X322" s="565"/>
    </row>
    <row r="323" spans="12:24" x14ac:dyDescent="0.25">
      <c r="L323" s="565"/>
      <c r="M323" s="565"/>
      <c r="N323" s="565"/>
      <c r="O323" s="565"/>
      <c r="P323" s="565"/>
      <c r="Q323" s="565"/>
      <c r="R323" s="565"/>
      <c r="S323" s="651"/>
      <c r="T323" s="651"/>
      <c r="U323" s="565"/>
      <c r="V323" s="565"/>
      <c r="W323" s="565"/>
      <c r="X323" s="565"/>
    </row>
    <row r="324" spans="12:24" x14ac:dyDescent="0.25">
      <c r="L324" s="565"/>
      <c r="M324" s="565"/>
      <c r="N324" s="565"/>
      <c r="O324" s="565"/>
      <c r="P324" s="565"/>
      <c r="Q324" s="565"/>
      <c r="R324" s="565"/>
      <c r="S324" s="651"/>
      <c r="T324" s="651"/>
      <c r="U324" s="565"/>
      <c r="V324" s="565"/>
      <c r="W324" s="565"/>
      <c r="X324" s="565"/>
    </row>
    <row r="325" spans="12:24" x14ac:dyDescent="0.25">
      <c r="L325" s="565"/>
      <c r="M325" s="565"/>
      <c r="N325" s="565"/>
      <c r="O325" s="565"/>
      <c r="P325" s="565"/>
      <c r="Q325" s="565"/>
      <c r="R325" s="565"/>
      <c r="S325" s="651"/>
      <c r="T325" s="651"/>
      <c r="U325" s="565"/>
      <c r="V325" s="565"/>
      <c r="W325" s="565"/>
      <c r="X325" s="565"/>
    </row>
    <row r="326" spans="12:24" x14ac:dyDescent="0.25">
      <c r="L326" s="565"/>
      <c r="M326" s="565"/>
      <c r="N326" s="565"/>
      <c r="O326" s="565"/>
      <c r="P326" s="565"/>
      <c r="Q326" s="565"/>
      <c r="R326" s="565"/>
      <c r="S326" s="651"/>
      <c r="T326" s="651"/>
      <c r="U326" s="565"/>
      <c r="V326" s="565"/>
      <c r="W326" s="565"/>
      <c r="X326" s="565"/>
    </row>
    <row r="327" spans="12:24" x14ac:dyDescent="0.25">
      <c r="L327" s="565"/>
      <c r="M327" s="565"/>
      <c r="N327" s="565"/>
      <c r="O327" s="565"/>
      <c r="P327" s="565"/>
      <c r="Q327" s="565"/>
      <c r="R327" s="565"/>
      <c r="S327" s="651"/>
      <c r="T327" s="651"/>
      <c r="U327" s="565"/>
      <c r="V327" s="565"/>
      <c r="W327" s="565"/>
      <c r="X327" s="565"/>
    </row>
    <row r="328" spans="12:24" x14ac:dyDescent="0.25">
      <c r="L328" s="565"/>
      <c r="M328" s="565"/>
      <c r="N328" s="565"/>
      <c r="O328" s="565"/>
      <c r="P328" s="565"/>
      <c r="Q328" s="565"/>
      <c r="R328" s="565"/>
      <c r="S328" s="651"/>
      <c r="T328" s="651"/>
      <c r="U328" s="565"/>
      <c r="V328" s="565"/>
      <c r="W328" s="565"/>
      <c r="X328" s="565"/>
    </row>
    <row r="329" spans="12:24" x14ac:dyDescent="0.25">
      <c r="L329" s="565"/>
      <c r="M329" s="565"/>
      <c r="N329" s="565"/>
      <c r="O329" s="565"/>
      <c r="P329" s="565"/>
      <c r="Q329" s="565"/>
      <c r="R329" s="565"/>
      <c r="S329" s="651"/>
      <c r="T329" s="651"/>
      <c r="U329" s="565"/>
      <c r="V329" s="565"/>
      <c r="W329" s="565"/>
      <c r="X329" s="565"/>
    </row>
    <row r="330" spans="12:24" x14ac:dyDescent="0.25">
      <c r="L330" s="565"/>
      <c r="M330" s="565"/>
      <c r="N330" s="565"/>
      <c r="O330" s="565"/>
      <c r="P330" s="565"/>
      <c r="Q330" s="565"/>
      <c r="R330" s="565"/>
      <c r="S330" s="651"/>
      <c r="T330" s="651"/>
      <c r="U330" s="565"/>
      <c r="V330" s="565"/>
      <c r="W330" s="565"/>
      <c r="X330" s="565"/>
    </row>
    <row r="331" spans="12:24" x14ac:dyDescent="0.25">
      <c r="L331" s="565"/>
      <c r="M331" s="565"/>
      <c r="N331" s="565"/>
      <c r="O331" s="565"/>
      <c r="P331" s="565"/>
      <c r="Q331" s="565"/>
      <c r="R331" s="565"/>
      <c r="S331" s="651"/>
      <c r="T331" s="651"/>
      <c r="U331" s="565"/>
      <c r="V331" s="565"/>
      <c r="W331" s="565"/>
      <c r="X331" s="565"/>
    </row>
    <row r="332" spans="12:24" x14ac:dyDescent="0.25">
      <c r="L332" s="565"/>
      <c r="M332" s="565"/>
      <c r="N332" s="565"/>
      <c r="O332" s="565"/>
      <c r="P332" s="565"/>
      <c r="Q332" s="565"/>
      <c r="R332" s="565"/>
      <c r="S332" s="651"/>
      <c r="T332" s="651"/>
      <c r="U332" s="565"/>
      <c r="V332" s="565"/>
      <c r="W332" s="565"/>
      <c r="X332" s="565"/>
    </row>
    <row r="333" spans="12:24" x14ac:dyDescent="0.25">
      <c r="L333" s="565"/>
      <c r="M333" s="565"/>
      <c r="N333" s="565"/>
      <c r="O333" s="565"/>
      <c r="P333" s="565"/>
      <c r="Q333" s="565"/>
      <c r="R333" s="565"/>
      <c r="S333" s="651"/>
      <c r="T333" s="651"/>
      <c r="U333" s="565"/>
      <c r="V333" s="565"/>
      <c r="W333" s="565"/>
      <c r="X333" s="565"/>
    </row>
    <row r="334" spans="12:24" x14ac:dyDescent="0.25">
      <c r="L334" s="565"/>
      <c r="M334" s="565"/>
      <c r="N334" s="565"/>
      <c r="O334" s="565"/>
      <c r="P334" s="565"/>
      <c r="Q334" s="565"/>
      <c r="R334" s="565"/>
      <c r="S334" s="651"/>
      <c r="T334" s="651"/>
      <c r="U334" s="565"/>
      <c r="V334" s="565"/>
      <c r="W334" s="565"/>
      <c r="X334" s="565"/>
    </row>
    <row r="335" spans="12:24" x14ac:dyDescent="0.25">
      <c r="L335" s="565"/>
      <c r="M335" s="565"/>
      <c r="N335" s="565"/>
      <c r="O335" s="565"/>
      <c r="P335" s="565"/>
      <c r="Q335" s="565"/>
      <c r="R335" s="565"/>
      <c r="S335" s="651"/>
      <c r="T335" s="651"/>
      <c r="U335" s="565"/>
      <c r="V335" s="565"/>
      <c r="W335" s="565"/>
      <c r="X335" s="565"/>
    </row>
    <row r="336" spans="12:24" x14ac:dyDescent="0.25">
      <c r="L336" s="565"/>
      <c r="M336" s="565"/>
      <c r="N336" s="565"/>
      <c r="O336" s="565"/>
      <c r="P336" s="565"/>
      <c r="Q336" s="565"/>
      <c r="R336" s="565"/>
      <c r="S336" s="651"/>
      <c r="T336" s="651"/>
      <c r="U336" s="565"/>
      <c r="V336" s="565"/>
      <c r="W336" s="565"/>
      <c r="X336" s="565"/>
    </row>
    <row r="337" spans="12:24" x14ac:dyDescent="0.25">
      <c r="L337" s="565"/>
      <c r="M337" s="565"/>
      <c r="N337" s="565"/>
      <c r="O337" s="565"/>
      <c r="P337" s="565"/>
      <c r="Q337" s="565"/>
      <c r="R337" s="565"/>
      <c r="S337" s="651"/>
      <c r="T337" s="651"/>
      <c r="U337" s="565"/>
      <c r="V337" s="565"/>
      <c r="W337" s="565"/>
      <c r="X337" s="565"/>
    </row>
    <row r="338" spans="12:24" x14ac:dyDescent="0.25">
      <c r="L338" s="565"/>
      <c r="M338" s="565"/>
      <c r="N338" s="565"/>
      <c r="O338" s="565"/>
      <c r="P338" s="565"/>
      <c r="Q338" s="565"/>
      <c r="R338" s="565"/>
      <c r="S338" s="651"/>
      <c r="T338" s="651"/>
      <c r="U338" s="565"/>
      <c r="V338" s="565"/>
      <c r="W338" s="565"/>
      <c r="X338" s="565"/>
    </row>
    <row r="339" spans="12:24" x14ac:dyDescent="0.25">
      <c r="L339" s="565"/>
      <c r="M339" s="565"/>
      <c r="N339" s="565"/>
      <c r="O339" s="565"/>
      <c r="P339" s="565"/>
      <c r="Q339" s="565"/>
      <c r="R339" s="565"/>
      <c r="S339" s="651"/>
      <c r="T339" s="651"/>
      <c r="U339" s="565"/>
      <c r="V339" s="565"/>
      <c r="W339" s="565"/>
      <c r="X339" s="565"/>
    </row>
    <row r="340" spans="12:24" x14ac:dyDescent="0.25">
      <c r="L340" s="565"/>
      <c r="M340" s="565"/>
      <c r="N340" s="565"/>
      <c r="O340" s="565"/>
      <c r="P340" s="565"/>
      <c r="Q340" s="565"/>
      <c r="R340" s="565"/>
      <c r="S340" s="651"/>
      <c r="T340" s="651"/>
      <c r="U340" s="565"/>
      <c r="V340" s="565"/>
      <c r="W340" s="565"/>
      <c r="X340" s="565"/>
    </row>
    <row r="341" spans="12:24" x14ac:dyDescent="0.25">
      <c r="L341" s="565"/>
      <c r="M341" s="565"/>
      <c r="N341" s="565"/>
      <c r="O341" s="565"/>
      <c r="P341" s="565"/>
      <c r="Q341" s="565"/>
      <c r="R341" s="565"/>
      <c r="S341" s="651"/>
      <c r="T341" s="651"/>
      <c r="U341" s="565"/>
      <c r="V341" s="565"/>
      <c r="W341" s="565"/>
      <c r="X341" s="565"/>
    </row>
    <row r="342" spans="12:24" x14ac:dyDescent="0.25">
      <c r="L342" s="565"/>
      <c r="M342" s="565"/>
      <c r="N342" s="565"/>
      <c r="O342" s="565"/>
      <c r="P342" s="565"/>
      <c r="Q342" s="565"/>
      <c r="R342" s="565"/>
      <c r="S342" s="651"/>
      <c r="T342" s="651"/>
      <c r="U342" s="565"/>
      <c r="V342" s="565"/>
      <c r="W342" s="565"/>
      <c r="X342" s="565"/>
    </row>
    <row r="343" spans="12:24" x14ac:dyDescent="0.25">
      <c r="L343" s="565"/>
      <c r="M343" s="565"/>
      <c r="N343" s="565"/>
      <c r="O343" s="565"/>
      <c r="P343" s="565"/>
      <c r="Q343" s="565"/>
      <c r="R343" s="565"/>
      <c r="S343" s="651"/>
      <c r="T343" s="651"/>
      <c r="U343" s="565"/>
      <c r="V343" s="565"/>
      <c r="W343" s="565"/>
      <c r="X343" s="565"/>
    </row>
    <row r="344" spans="12:24" x14ac:dyDescent="0.25">
      <c r="L344" s="565"/>
      <c r="M344" s="565"/>
      <c r="N344" s="565"/>
      <c r="O344" s="565"/>
      <c r="P344" s="565"/>
      <c r="Q344" s="565"/>
      <c r="R344" s="565"/>
      <c r="S344" s="651"/>
      <c r="T344" s="651"/>
      <c r="U344" s="565"/>
      <c r="V344" s="565"/>
      <c r="W344" s="565"/>
      <c r="X344" s="565"/>
    </row>
    <row r="345" spans="12:24" x14ac:dyDescent="0.25">
      <c r="L345" s="565"/>
      <c r="M345" s="565"/>
      <c r="N345" s="565"/>
      <c r="O345" s="565"/>
      <c r="P345" s="565"/>
      <c r="Q345" s="565"/>
      <c r="R345" s="565"/>
      <c r="S345" s="651"/>
      <c r="T345" s="651"/>
      <c r="U345" s="565"/>
      <c r="V345" s="565"/>
      <c r="W345" s="565"/>
      <c r="X345" s="565"/>
    </row>
    <row r="346" spans="12:24" x14ac:dyDescent="0.25">
      <c r="L346" s="565"/>
      <c r="M346" s="565"/>
      <c r="N346" s="565"/>
      <c r="O346" s="565"/>
      <c r="P346" s="565"/>
      <c r="Q346" s="565"/>
      <c r="R346" s="565"/>
      <c r="S346" s="651"/>
      <c r="T346" s="651"/>
      <c r="U346" s="565"/>
      <c r="V346" s="565"/>
      <c r="W346" s="565"/>
      <c r="X346" s="565"/>
    </row>
    <row r="347" spans="12:24" x14ac:dyDescent="0.25">
      <c r="L347" s="565"/>
      <c r="M347" s="565"/>
      <c r="N347" s="565"/>
      <c r="O347" s="565"/>
      <c r="P347" s="565"/>
      <c r="Q347" s="565"/>
      <c r="R347" s="565"/>
      <c r="S347" s="651"/>
      <c r="T347" s="651"/>
      <c r="U347" s="565"/>
      <c r="V347" s="565"/>
      <c r="W347" s="565"/>
      <c r="X347" s="565"/>
    </row>
    <row r="348" spans="12:24" x14ac:dyDescent="0.25">
      <c r="L348" s="565"/>
      <c r="M348" s="565"/>
      <c r="N348" s="565"/>
      <c r="O348" s="565"/>
      <c r="P348" s="565"/>
      <c r="Q348" s="565"/>
      <c r="R348" s="565"/>
      <c r="S348" s="651"/>
      <c r="T348" s="651"/>
      <c r="U348" s="565"/>
      <c r="V348" s="565"/>
      <c r="W348" s="565"/>
      <c r="X348" s="565"/>
    </row>
    <row r="349" spans="12:24" x14ac:dyDescent="0.25">
      <c r="L349" s="565"/>
      <c r="M349" s="565"/>
      <c r="N349" s="565"/>
      <c r="O349" s="565"/>
      <c r="P349" s="565"/>
      <c r="Q349" s="565"/>
      <c r="R349" s="565"/>
      <c r="S349" s="651"/>
      <c r="T349" s="651"/>
      <c r="U349" s="565"/>
      <c r="V349" s="565"/>
      <c r="W349" s="565"/>
      <c r="X349" s="565"/>
    </row>
    <row r="350" spans="12:24" x14ac:dyDescent="0.25">
      <c r="L350" s="565"/>
      <c r="M350" s="565"/>
      <c r="N350" s="565"/>
      <c r="O350" s="565"/>
      <c r="P350" s="565"/>
      <c r="Q350" s="565"/>
      <c r="R350" s="565"/>
      <c r="S350" s="651"/>
      <c r="T350" s="651"/>
      <c r="U350" s="565"/>
      <c r="V350" s="565"/>
      <c r="W350" s="565"/>
      <c r="X350" s="565"/>
    </row>
    <row r="351" spans="12:24" x14ac:dyDescent="0.25">
      <c r="L351" s="565"/>
      <c r="M351" s="565"/>
      <c r="N351" s="565"/>
      <c r="O351" s="565"/>
      <c r="P351" s="565"/>
      <c r="Q351" s="565"/>
      <c r="R351" s="565"/>
      <c r="S351" s="651"/>
      <c r="T351" s="651"/>
      <c r="U351" s="565"/>
      <c r="V351" s="565"/>
      <c r="W351" s="565"/>
      <c r="X351" s="565"/>
    </row>
    <row r="352" spans="12:24" x14ac:dyDescent="0.25">
      <c r="L352" s="565"/>
      <c r="M352" s="565"/>
      <c r="N352" s="565"/>
      <c r="O352" s="565"/>
      <c r="P352" s="565"/>
      <c r="Q352" s="565"/>
      <c r="R352" s="565"/>
      <c r="S352" s="651"/>
      <c r="T352" s="651"/>
      <c r="U352" s="565"/>
      <c r="V352" s="565"/>
      <c r="W352" s="565"/>
      <c r="X352" s="565"/>
    </row>
    <row r="353" spans="12:24" x14ac:dyDescent="0.25">
      <c r="L353" s="565"/>
      <c r="M353" s="565"/>
      <c r="N353" s="565"/>
      <c r="O353" s="565"/>
      <c r="P353" s="565"/>
      <c r="Q353" s="565"/>
      <c r="R353" s="565"/>
      <c r="S353" s="651"/>
      <c r="T353" s="651"/>
      <c r="U353" s="565"/>
      <c r="V353" s="565"/>
      <c r="W353" s="565"/>
      <c r="X353" s="565"/>
    </row>
    <row r="354" spans="12:24" x14ac:dyDescent="0.25">
      <c r="L354" s="565"/>
      <c r="M354" s="565"/>
      <c r="N354" s="565"/>
      <c r="O354" s="565"/>
      <c r="P354" s="565"/>
      <c r="Q354" s="565"/>
      <c r="R354" s="565"/>
      <c r="S354" s="651"/>
      <c r="T354" s="651"/>
      <c r="U354" s="565"/>
      <c r="V354" s="565"/>
      <c r="W354" s="565"/>
      <c r="X354" s="565"/>
    </row>
    <row r="355" spans="12:24" x14ac:dyDescent="0.25">
      <c r="L355" s="565"/>
      <c r="M355" s="565"/>
      <c r="N355" s="565"/>
      <c r="O355" s="565"/>
      <c r="P355" s="565"/>
      <c r="Q355" s="565"/>
      <c r="R355" s="565"/>
      <c r="S355" s="651"/>
      <c r="T355" s="651"/>
      <c r="U355" s="565"/>
      <c r="V355" s="565"/>
      <c r="W355" s="565"/>
      <c r="X355" s="565"/>
    </row>
    <row r="356" spans="12:24" x14ac:dyDescent="0.25">
      <c r="L356" s="565"/>
      <c r="M356" s="565"/>
      <c r="N356" s="565"/>
      <c r="O356" s="565"/>
      <c r="P356" s="565"/>
      <c r="Q356" s="565"/>
      <c r="R356" s="565"/>
      <c r="S356" s="651"/>
      <c r="T356" s="651"/>
      <c r="U356" s="565"/>
      <c r="V356" s="565"/>
      <c r="W356" s="565"/>
      <c r="X356" s="565"/>
    </row>
    <row r="357" spans="12:24" x14ac:dyDescent="0.25">
      <c r="L357" s="565"/>
      <c r="M357" s="565"/>
      <c r="N357" s="565"/>
      <c r="O357" s="565"/>
      <c r="P357" s="565"/>
      <c r="Q357" s="565"/>
      <c r="R357" s="565"/>
      <c r="S357" s="651"/>
      <c r="T357" s="651"/>
      <c r="U357" s="565"/>
      <c r="V357" s="565"/>
      <c r="W357" s="565"/>
      <c r="X357" s="565"/>
    </row>
    <row r="358" spans="12:24" x14ac:dyDescent="0.25">
      <c r="L358" s="565"/>
      <c r="M358" s="565"/>
      <c r="N358" s="565"/>
      <c r="O358" s="565"/>
      <c r="P358" s="565"/>
      <c r="Q358" s="565"/>
      <c r="R358" s="565"/>
      <c r="S358" s="651"/>
      <c r="T358" s="651"/>
      <c r="U358" s="565"/>
      <c r="V358" s="565"/>
      <c r="W358" s="565"/>
      <c r="X358" s="565"/>
    </row>
    <row r="359" spans="12:24" x14ac:dyDescent="0.25">
      <c r="L359" s="565"/>
      <c r="M359" s="565"/>
      <c r="N359" s="565"/>
      <c r="O359" s="565"/>
      <c r="P359" s="565"/>
      <c r="Q359" s="565"/>
      <c r="R359" s="565"/>
      <c r="S359" s="651"/>
      <c r="T359" s="651"/>
      <c r="U359" s="565"/>
      <c r="V359" s="565"/>
      <c r="W359" s="565"/>
      <c r="X359" s="565"/>
    </row>
    <row r="360" spans="12:24" x14ac:dyDescent="0.25">
      <c r="L360" s="565"/>
      <c r="M360" s="565"/>
      <c r="N360" s="565"/>
      <c r="O360" s="565"/>
      <c r="P360" s="565"/>
      <c r="Q360" s="565"/>
      <c r="R360" s="565"/>
      <c r="S360" s="651"/>
      <c r="T360" s="651"/>
      <c r="U360" s="565"/>
      <c r="V360" s="565"/>
      <c r="W360" s="565"/>
      <c r="X360" s="565"/>
    </row>
    <row r="361" spans="12:24" x14ac:dyDescent="0.25">
      <c r="L361" s="565"/>
      <c r="M361" s="565"/>
      <c r="N361" s="565"/>
      <c r="O361" s="565"/>
      <c r="P361" s="565"/>
      <c r="Q361" s="565"/>
      <c r="R361" s="565"/>
      <c r="S361" s="651"/>
      <c r="T361" s="651"/>
      <c r="U361" s="565"/>
      <c r="V361" s="565"/>
      <c r="W361" s="565"/>
      <c r="X361" s="565"/>
    </row>
    <row r="362" spans="12:24" x14ac:dyDescent="0.25">
      <c r="L362" s="565"/>
      <c r="M362" s="565"/>
      <c r="N362" s="565"/>
      <c r="O362" s="565"/>
      <c r="P362" s="565"/>
      <c r="Q362" s="565"/>
      <c r="R362" s="565"/>
      <c r="S362" s="651"/>
      <c r="T362" s="651"/>
      <c r="U362" s="565"/>
      <c r="V362" s="565"/>
      <c r="W362" s="565"/>
      <c r="X362" s="565"/>
    </row>
    <row r="363" spans="12:24" x14ac:dyDescent="0.25">
      <c r="L363" s="565"/>
      <c r="M363" s="565"/>
      <c r="N363" s="565"/>
      <c r="O363" s="565"/>
      <c r="P363" s="565"/>
      <c r="Q363" s="565"/>
      <c r="R363" s="565"/>
      <c r="S363" s="651"/>
      <c r="T363" s="651"/>
      <c r="U363" s="565"/>
      <c r="V363" s="565"/>
      <c r="W363" s="565"/>
      <c r="X363" s="565"/>
    </row>
    <row r="364" spans="12:24" x14ac:dyDescent="0.25">
      <c r="L364" s="565"/>
      <c r="M364" s="565"/>
      <c r="N364" s="565"/>
      <c r="O364" s="565"/>
      <c r="P364" s="565"/>
      <c r="Q364" s="565"/>
      <c r="R364" s="565"/>
      <c r="S364" s="651"/>
      <c r="T364" s="651"/>
      <c r="U364" s="565"/>
      <c r="V364" s="565"/>
      <c r="W364" s="565"/>
      <c r="X364" s="565"/>
    </row>
    <row r="365" spans="12:24" x14ac:dyDescent="0.25">
      <c r="L365" s="565"/>
      <c r="M365" s="565"/>
      <c r="N365" s="565"/>
      <c r="O365" s="565"/>
      <c r="P365" s="565"/>
      <c r="Q365" s="565"/>
      <c r="R365" s="565"/>
      <c r="S365" s="651"/>
      <c r="T365" s="651"/>
      <c r="U365" s="565"/>
      <c r="V365" s="565"/>
      <c r="W365" s="565"/>
      <c r="X365" s="565"/>
    </row>
    <row r="366" spans="12:24" x14ac:dyDescent="0.25">
      <c r="L366" s="565"/>
      <c r="M366" s="565"/>
      <c r="N366" s="565"/>
      <c r="O366" s="565"/>
      <c r="P366" s="565"/>
      <c r="Q366" s="565"/>
      <c r="R366" s="565"/>
      <c r="S366" s="651"/>
      <c r="T366" s="651"/>
      <c r="U366" s="565"/>
      <c r="V366" s="565"/>
      <c r="W366" s="565"/>
      <c r="X366" s="565"/>
    </row>
    <row r="367" spans="12:24" x14ac:dyDescent="0.25">
      <c r="L367" s="565"/>
      <c r="M367" s="565"/>
      <c r="N367" s="565"/>
      <c r="O367" s="565"/>
      <c r="P367" s="565"/>
      <c r="Q367" s="565"/>
      <c r="R367" s="565"/>
      <c r="S367" s="651"/>
      <c r="T367" s="651"/>
      <c r="U367" s="565"/>
      <c r="V367" s="565"/>
      <c r="W367" s="565"/>
      <c r="X367" s="565"/>
    </row>
    <row r="368" spans="12:24" x14ac:dyDescent="0.25">
      <c r="L368" s="565"/>
      <c r="M368" s="565"/>
      <c r="N368" s="565"/>
      <c r="O368" s="565"/>
      <c r="P368" s="565"/>
      <c r="Q368" s="565"/>
      <c r="R368" s="565"/>
      <c r="S368" s="651"/>
      <c r="T368" s="651"/>
      <c r="U368" s="565"/>
      <c r="V368" s="565"/>
      <c r="W368" s="565"/>
      <c r="X368" s="565"/>
    </row>
    <row r="369" spans="12:24" x14ac:dyDescent="0.25">
      <c r="L369" s="565"/>
      <c r="M369" s="565"/>
      <c r="N369" s="565"/>
      <c r="O369" s="565"/>
      <c r="P369" s="565"/>
      <c r="Q369" s="565"/>
      <c r="R369" s="565"/>
      <c r="S369" s="651"/>
      <c r="T369" s="651"/>
      <c r="U369" s="565"/>
      <c r="V369" s="565"/>
      <c r="W369" s="565"/>
      <c r="X369" s="565"/>
    </row>
    <row r="370" spans="12:24" x14ac:dyDescent="0.25">
      <c r="L370" s="565"/>
      <c r="M370" s="565"/>
      <c r="N370" s="565"/>
      <c r="O370" s="565"/>
      <c r="P370" s="565"/>
      <c r="Q370" s="565"/>
      <c r="R370" s="565"/>
      <c r="S370" s="651"/>
      <c r="T370" s="651"/>
      <c r="U370" s="565"/>
      <c r="V370" s="565"/>
      <c r="W370" s="565"/>
      <c r="X370" s="565"/>
    </row>
    <row r="371" spans="12:24" x14ac:dyDescent="0.25">
      <c r="L371" s="565"/>
      <c r="M371" s="565"/>
      <c r="N371" s="565"/>
      <c r="O371" s="565"/>
      <c r="P371" s="565"/>
      <c r="Q371" s="565"/>
      <c r="R371" s="565"/>
      <c r="S371" s="651"/>
      <c r="T371" s="651"/>
      <c r="U371" s="565"/>
      <c r="V371" s="565"/>
      <c r="W371" s="565"/>
      <c r="X371" s="565"/>
    </row>
    <row r="372" spans="12:24" x14ac:dyDescent="0.25">
      <c r="L372" s="565"/>
      <c r="M372" s="565"/>
      <c r="N372" s="565"/>
      <c r="O372" s="565"/>
      <c r="P372" s="565"/>
      <c r="Q372" s="565"/>
      <c r="R372" s="565"/>
      <c r="S372" s="651"/>
      <c r="T372" s="651"/>
      <c r="U372" s="565"/>
      <c r="V372" s="565"/>
      <c r="W372" s="565"/>
      <c r="X372" s="565"/>
    </row>
    <row r="373" spans="12:24" x14ac:dyDescent="0.25">
      <c r="L373" s="565"/>
      <c r="M373" s="565"/>
      <c r="N373" s="565"/>
      <c r="O373" s="565"/>
      <c r="P373" s="565"/>
      <c r="Q373" s="565"/>
      <c r="R373" s="565"/>
      <c r="S373" s="651"/>
      <c r="T373" s="651"/>
      <c r="U373" s="565"/>
      <c r="V373" s="565"/>
      <c r="W373" s="565"/>
      <c r="X373" s="565"/>
    </row>
    <row r="374" spans="12:24" x14ac:dyDescent="0.25">
      <c r="L374" s="565"/>
      <c r="M374" s="565"/>
      <c r="N374" s="565"/>
      <c r="O374" s="565"/>
      <c r="P374" s="565"/>
      <c r="Q374" s="565"/>
      <c r="R374" s="565"/>
      <c r="S374" s="651"/>
      <c r="T374" s="651"/>
      <c r="U374" s="565"/>
      <c r="V374" s="565"/>
      <c r="W374" s="565"/>
      <c r="X374" s="565"/>
    </row>
    <row r="375" spans="12:24" x14ac:dyDescent="0.25">
      <c r="L375" s="565"/>
      <c r="M375" s="565"/>
      <c r="N375" s="565"/>
      <c r="O375" s="565"/>
      <c r="P375" s="565"/>
      <c r="Q375" s="565"/>
      <c r="R375" s="565"/>
      <c r="S375" s="651"/>
      <c r="T375" s="651"/>
      <c r="U375" s="565"/>
      <c r="V375" s="565"/>
      <c r="W375" s="565"/>
      <c r="X375" s="565"/>
    </row>
    <row r="376" spans="12:24" x14ac:dyDescent="0.25">
      <c r="L376" s="565"/>
      <c r="M376" s="565"/>
      <c r="N376" s="565"/>
      <c r="O376" s="565"/>
      <c r="P376" s="565"/>
      <c r="Q376" s="565"/>
      <c r="R376" s="565"/>
      <c r="S376" s="651"/>
      <c r="T376" s="651"/>
      <c r="U376" s="565"/>
      <c r="V376" s="565"/>
      <c r="W376" s="565"/>
      <c r="X376" s="565"/>
    </row>
    <row r="377" spans="12:24" x14ac:dyDescent="0.25">
      <c r="L377" s="565"/>
      <c r="M377" s="565"/>
      <c r="N377" s="565"/>
      <c r="O377" s="565"/>
      <c r="P377" s="565"/>
      <c r="Q377" s="565"/>
      <c r="R377" s="565"/>
      <c r="S377" s="651"/>
      <c r="T377" s="651"/>
      <c r="U377" s="565"/>
      <c r="V377" s="565"/>
      <c r="W377" s="565"/>
      <c r="X377" s="565"/>
    </row>
    <row r="378" spans="12:24" x14ac:dyDescent="0.25">
      <c r="L378" s="565"/>
      <c r="M378" s="565"/>
      <c r="N378" s="565"/>
      <c r="O378" s="565"/>
      <c r="P378" s="565"/>
      <c r="Q378" s="565"/>
      <c r="R378" s="565"/>
      <c r="S378" s="651"/>
      <c r="T378" s="651"/>
      <c r="U378" s="565"/>
      <c r="V378" s="565"/>
      <c r="W378" s="565"/>
      <c r="X378" s="565"/>
    </row>
    <row r="379" spans="12:24" x14ac:dyDescent="0.25">
      <c r="L379" s="565"/>
      <c r="M379" s="565"/>
      <c r="N379" s="565"/>
      <c r="O379" s="565"/>
      <c r="P379" s="565"/>
      <c r="Q379" s="565"/>
      <c r="R379" s="565"/>
      <c r="S379" s="651"/>
      <c r="T379" s="651"/>
      <c r="U379" s="565"/>
      <c r="V379" s="565"/>
      <c r="W379" s="565"/>
      <c r="X379" s="565"/>
    </row>
    <row r="380" spans="12:24" x14ac:dyDescent="0.25">
      <c r="L380" s="565"/>
      <c r="M380" s="565"/>
      <c r="N380" s="565"/>
      <c r="O380" s="565"/>
      <c r="P380" s="565"/>
      <c r="Q380" s="565"/>
      <c r="R380" s="565"/>
      <c r="S380" s="651"/>
      <c r="T380" s="651"/>
      <c r="U380" s="565"/>
      <c r="V380" s="565"/>
      <c r="W380" s="565"/>
      <c r="X380" s="565"/>
    </row>
    <row r="381" spans="12:24" x14ac:dyDescent="0.25">
      <c r="L381" s="565"/>
      <c r="M381" s="565"/>
      <c r="N381" s="565"/>
      <c r="O381" s="565"/>
      <c r="P381" s="565"/>
      <c r="Q381" s="565"/>
      <c r="R381" s="565"/>
      <c r="S381" s="651"/>
      <c r="T381" s="651"/>
      <c r="U381" s="565"/>
      <c r="V381" s="565"/>
      <c r="W381" s="565"/>
      <c r="X381" s="565"/>
    </row>
    <row r="382" spans="12:24" x14ac:dyDescent="0.25">
      <c r="L382" s="565"/>
      <c r="M382" s="565"/>
      <c r="N382" s="565"/>
      <c r="O382" s="565"/>
      <c r="P382" s="565"/>
      <c r="Q382" s="565"/>
      <c r="R382" s="565"/>
      <c r="S382" s="651"/>
      <c r="T382" s="651"/>
      <c r="U382" s="565"/>
      <c r="V382" s="565"/>
      <c r="W382" s="565"/>
      <c r="X382" s="565"/>
    </row>
    <row r="383" spans="12:24" x14ac:dyDescent="0.25">
      <c r="L383" s="565"/>
      <c r="M383" s="565"/>
      <c r="N383" s="565"/>
      <c r="O383" s="565"/>
      <c r="P383" s="565"/>
      <c r="Q383" s="565"/>
      <c r="R383" s="565"/>
      <c r="S383" s="651"/>
      <c r="T383" s="651"/>
      <c r="U383" s="565"/>
      <c r="V383" s="565"/>
      <c r="W383" s="565"/>
      <c r="X383" s="565"/>
    </row>
    <row r="384" spans="12:24" x14ac:dyDescent="0.25">
      <c r="L384" s="565"/>
      <c r="M384" s="565"/>
      <c r="N384" s="565"/>
      <c r="O384" s="565"/>
      <c r="P384" s="565"/>
      <c r="Q384" s="565"/>
      <c r="R384" s="565"/>
      <c r="S384" s="651"/>
      <c r="T384" s="651"/>
      <c r="U384" s="565"/>
      <c r="V384" s="565"/>
      <c r="W384" s="565"/>
      <c r="X384" s="565"/>
    </row>
    <row r="385" spans="12:24" x14ac:dyDescent="0.25">
      <c r="L385" s="565"/>
      <c r="M385" s="565"/>
      <c r="N385" s="565"/>
      <c r="O385" s="565"/>
      <c r="P385" s="565"/>
      <c r="Q385" s="565"/>
      <c r="R385" s="565"/>
      <c r="S385" s="651"/>
      <c r="T385" s="651"/>
      <c r="U385" s="565"/>
      <c r="V385" s="565"/>
      <c r="W385" s="565"/>
      <c r="X385" s="565"/>
    </row>
    <row r="386" spans="12:24" x14ac:dyDescent="0.25">
      <c r="L386" s="565"/>
      <c r="M386" s="565"/>
      <c r="N386" s="565"/>
      <c r="O386" s="565"/>
      <c r="P386" s="565"/>
      <c r="Q386" s="565"/>
      <c r="R386" s="565"/>
      <c r="S386" s="651"/>
      <c r="T386" s="651"/>
      <c r="U386" s="565"/>
      <c r="V386" s="565"/>
      <c r="W386" s="565"/>
      <c r="X386" s="565"/>
    </row>
    <row r="387" spans="12:24" x14ac:dyDescent="0.25">
      <c r="L387" s="565"/>
      <c r="M387" s="565"/>
      <c r="N387" s="565"/>
      <c r="O387" s="565"/>
      <c r="P387" s="565"/>
      <c r="Q387" s="565"/>
      <c r="R387" s="565"/>
      <c r="S387" s="651"/>
      <c r="T387" s="651"/>
      <c r="U387" s="565"/>
      <c r="V387" s="565"/>
      <c r="W387" s="565"/>
      <c r="X387" s="565"/>
    </row>
    <row r="388" spans="12:24" x14ac:dyDescent="0.25">
      <c r="L388" s="565"/>
      <c r="M388" s="565"/>
      <c r="N388" s="565"/>
      <c r="O388" s="565"/>
      <c r="P388" s="565"/>
      <c r="Q388" s="565"/>
      <c r="R388" s="565"/>
      <c r="S388" s="651"/>
      <c r="T388" s="651"/>
      <c r="U388" s="565"/>
      <c r="V388" s="565"/>
      <c r="W388" s="565"/>
      <c r="X388" s="565"/>
    </row>
    <row r="389" spans="12:24" x14ac:dyDescent="0.25">
      <c r="L389" s="565"/>
      <c r="M389" s="565"/>
      <c r="N389" s="565"/>
      <c r="O389" s="565"/>
      <c r="P389" s="565"/>
      <c r="Q389" s="565"/>
      <c r="R389" s="565"/>
      <c r="S389" s="651"/>
      <c r="T389" s="651"/>
      <c r="U389" s="565"/>
      <c r="V389" s="565"/>
      <c r="W389" s="565"/>
      <c r="X389" s="565"/>
    </row>
    <row r="390" spans="12:24" x14ac:dyDescent="0.25">
      <c r="L390" s="565"/>
      <c r="M390" s="565"/>
      <c r="N390" s="565"/>
      <c r="O390" s="565"/>
      <c r="P390" s="565"/>
      <c r="Q390" s="565"/>
      <c r="R390" s="565"/>
      <c r="S390" s="651"/>
      <c r="T390" s="651"/>
      <c r="U390" s="565"/>
      <c r="V390" s="565"/>
      <c r="W390" s="565"/>
      <c r="X390" s="565"/>
    </row>
    <row r="391" spans="12:24" x14ac:dyDescent="0.25">
      <c r="L391" s="565"/>
      <c r="M391" s="565"/>
      <c r="N391" s="565"/>
      <c r="O391" s="565"/>
      <c r="P391" s="565"/>
      <c r="Q391" s="565"/>
      <c r="R391" s="565"/>
      <c r="S391" s="651"/>
      <c r="T391" s="651"/>
      <c r="U391" s="565"/>
      <c r="V391" s="565"/>
      <c r="W391" s="565"/>
      <c r="X391" s="565"/>
    </row>
    <row r="392" spans="12:24" x14ac:dyDescent="0.25">
      <c r="L392" s="565"/>
      <c r="M392" s="565"/>
      <c r="N392" s="565"/>
      <c r="O392" s="565"/>
      <c r="P392" s="565"/>
      <c r="Q392" s="565"/>
      <c r="R392" s="565"/>
      <c r="S392" s="651"/>
      <c r="T392" s="651"/>
      <c r="U392" s="565"/>
      <c r="V392" s="565"/>
      <c r="W392" s="565"/>
      <c r="X392" s="565"/>
    </row>
    <row r="393" spans="12:24" x14ac:dyDescent="0.25">
      <c r="L393" s="565"/>
      <c r="M393" s="565"/>
      <c r="N393" s="565"/>
      <c r="O393" s="565"/>
      <c r="P393" s="565"/>
      <c r="Q393" s="565"/>
      <c r="R393" s="565"/>
      <c r="S393" s="651"/>
      <c r="T393" s="651"/>
      <c r="U393" s="565"/>
      <c r="V393" s="565"/>
      <c r="W393" s="565"/>
      <c r="X393" s="565"/>
    </row>
    <row r="394" spans="12:24" x14ac:dyDescent="0.25">
      <c r="L394" s="565"/>
      <c r="M394" s="565"/>
      <c r="N394" s="565"/>
      <c r="O394" s="565"/>
      <c r="P394" s="565"/>
      <c r="Q394" s="565"/>
      <c r="R394" s="565"/>
      <c r="S394" s="651"/>
      <c r="T394" s="651"/>
      <c r="U394" s="565"/>
      <c r="V394" s="565"/>
      <c r="W394" s="565"/>
      <c r="X394" s="565"/>
    </row>
    <row r="395" spans="12:24" x14ac:dyDescent="0.25">
      <c r="L395" s="565"/>
      <c r="M395" s="565"/>
      <c r="N395" s="565"/>
      <c r="O395" s="565"/>
      <c r="P395" s="565"/>
      <c r="Q395" s="565"/>
      <c r="R395" s="565"/>
      <c r="S395" s="651"/>
      <c r="T395" s="651"/>
      <c r="U395" s="565"/>
      <c r="V395" s="565"/>
      <c r="W395" s="565"/>
      <c r="X395" s="565"/>
    </row>
    <row r="396" spans="12:24" x14ac:dyDescent="0.25">
      <c r="L396" s="565"/>
      <c r="M396" s="565"/>
      <c r="N396" s="565"/>
      <c r="O396" s="565"/>
      <c r="P396" s="565"/>
      <c r="Q396" s="565"/>
      <c r="R396" s="565"/>
      <c r="S396" s="651"/>
      <c r="T396" s="651"/>
      <c r="U396" s="565"/>
      <c r="V396" s="565"/>
      <c r="W396" s="565"/>
      <c r="X396" s="565"/>
    </row>
    <row r="397" spans="12:24" x14ac:dyDescent="0.25">
      <c r="L397" s="565"/>
      <c r="M397" s="565"/>
      <c r="N397" s="565"/>
      <c r="O397" s="565"/>
      <c r="P397" s="565"/>
      <c r="Q397" s="565"/>
      <c r="R397" s="565"/>
      <c r="S397" s="651"/>
      <c r="T397" s="651"/>
      <c r="U397" s="565"/>
      <c r="V397" s="565"/>
      <c r="W397" s="565"/>
      <c r="X397" s="565"/>
    </row>
    <row r="398" spans="12:24" x14ac:dyDescent="0.25">
      <c r="L398" s="565"/>
      <c r="M398" s="565"/>
      <c r="N398" s="565"/>
      <c r="O398" s="565"/>
      <c r="P398" s="565"/>
      <c r="Q398" s="565"/>
      <c r="R398" s="565"/>
      <c r="S398" s="651"/>
      <c r="T398" s="651"/>
      <c r="U398" s="565"/>
      <c r="V398" s="565"/>
      <c r="W398" s="565"/>
      <c r="X398" s="565"/>
    </row>
    <row r="399" spans="12:24" x14ac:dyDescent="0.25">
      <c r="L399" s="565"/>
      <c r="M399" s="565"/>
      <c r="N399" s="565"/>
      <c r="O399" s="565"/>
      <c r="P399" s="565"/>
      <c r="Q399" s="565"/>
      <c r="R399" s="565"/>
      <c r="S399" s="651"/>
      <c r="T399" s="651"/>
      <c r="U399" s="565"/>
      <c r="V399" s="565"/>
      <c r="W399" s="565"/>
      <c r="X399" s="565"/>
    </row>
    <row r="400" spans="12:24" x14ac:dyDescent="0.25">
      <c r="L400" s="565"/>
      <c r="M400" s="565"/>
      <c r="N400" s="565"/>
      <c r="O400" s="565"/>
      <c r="P400" s="565"/>
      <c r="Q400" s="565"/>
      <c r="R400" s="565"/>
      <c r="S400" s="651"/>
      <c r="T400" s="651"/>
      <c r="U400" s="565"/>
      <c r="V400" s="565"/>
      <c r="W400" s="565"/>
      <c r="X400" s="565"/>
    </row>
    <row r="401" spans="12:24" x14ac:dyDescent="0.25">
      <c r="L401" s="565"/>
      <c r="M401" s="565"/>
      <c r="N401" s="565"/>
      <c r="O401" s="565"/>
      <c r="P401" s="565"/>
      <c r="Q401" s="565"/>
      <c r="R401" s="565"/>
      <c r="S401" s="651"/>
      <c r="T401" s="651"/>
      <c r="U401" s="565"/>
      <c r="V401" s="565"/>
      <c r="W401" s="565"/>
      <c r="X401" s="565"/>
    </row>
    <row r="402" spans="12:24" x14ac:dyDescent="0.25">
      <c r="L402" s="565"/>
      <c r="M402" s="565"/>
      <c r="N402" s="565"/>
      <c r="O402" s="565"/>
      <c r="P402" s="565"/>
      <c r="Q402" s="565"/>
      <c r="R402" s="565"/>
      <c r="S402" s="651"/>
      <c r="T402" s="651"/>
      <c r="U402" s="565"/>
      <c r="V402" s="565"/>
      <c r="W402" s="565"/>
      <c r="X402" s="565"/>
    </row>
    <row r="403" spans="12:24" x14ac:dyDescent="0.25">
      <c r="L403" s="565"/>
      <c r="M403" s="565"/>
      <c r="N403" s="565"/>
      <c r="O403" s="565"/>
      <c r="P403" s="565"/>
      <c r="Q403" s="565"/>
      <c r="R403" s="565"/>
      <c r="S403" s="651"/>
      <c r="T403" s="651"/>
      <c r="U403" s="565"/>
      <c r="V403" s="565"/>
      <c r="W403" s="565"/>
      <c r="X403" s="565"/>
    </row>
    <row r="404" spans="12:24" x14ac:dyDescent="0.25">
      <c r="L404" s="565"/>
      <c r="M404" s="565"/>
      <c r="N404" s="565"/>
      <c r="O404" s="565"/>
      <c r="P404" s="565"/>
      <c r="Q404" s="565"/>
      <c r="R404" s="565"/>
      <c r="S404" s="651"/>
      <c r="T404" s="651"/>
      <c r="U404" s="565"/>
      <c r="V404" s="565"/>
      <c r="W404" s="565"/>
      <c r="X404" s="565"/>
    </row>
    <row r="405" spans="12:24" x14ac:dyDescent="0.25">
      <c r="L405" s="565"/>
      <c r="M405" s="565"/>
      <c r="N405" s="565"/>
      <c r="O405" s="565"/>
      <c r="P405" s="565"/>
      <c r="Q405" s="565"/>
      <c r="R405" s="565"/>
      <c r="S405" s="651"/>
      <c r="T405" s="651"/>
      <c r="U405" s="565"/>
      <c r="V405" s="565"/>
      <c r="W405" s="565"/>
      <c r="X405" s="565"/>
    </row>
    <row r="406" spans="12:24" x14ac:dyDescent="0.25">
      <c r="L406" s="565"/>
      <c r="M406" s="565"/>
      <c r="N406" s="565"/>
      <c r="O406" s="565"/>
      <c r="P406" s="565"/>
      <c r="Q406" s="565"/>
      <c r="R406" s="565"/>
      <c r="S406" s="651"/>
      <c r="T406" s="651"/>
      <c r="U406" s="565"/>
      <c r="V406" s="565"/>
      <c r="W406" s="565"/>
      <c r="X406" s="565"/>
    </row>
    <row r="407" spans="12:24" x14ac:dyDescent="0.25">
      <c r="L407" s="565"/>
      <c r="M407" s="565"/>
      <c r="N407" s="565"/>
      <c r="O407" s="565"/>
      <c r="P407" s="565"/>
      <c r="Q407" s="565"/>
      <c r="R407" s="565"/>
      <c r="S407" s="651"/>
      <c r="T407" s="651"/>
      <c r="U407" s="565"/>
      <c r="V407" s="565"/>
      <c r="W407" s="565"/>
      <c r="X407" s="565"/>
    </row>
    <row r="408" spans="12:24" x14ac:dyDescent="0.25">
      <c r="L408" s="565"/>
      <c r="M408" s="565"/>
      <c r="N408" s="565"/>
      <c r="O408" s="565"/>
      <c r="P408" s="565"/>
      <c r="Q408" s="565"/>
      <c r="R408" s="565"/>
      <c r="S408" s="651"/>
      <c r="T408" s="651"/>
      <c r="U408" s="565"/>
      <c r="V408" s="565"/>
      <c r="W408" s="565"/>
      <c r="X408" s="565"/>
    </row>
    <row r="409" spans="12:24" x14ac:dyDescent="0.25">
      <c r="L409" s="565"/>
      <c r="M409" s="565"/>
      <c r="N409" s="565"/>
      <c r="O409" s="565"/>
      <c r="P409" s="565"/>
      <c r="Q409" s="565"/>
      <c r="R409" s="565"/>
      <c r="S409" s="651"/>
      <c r="T409" s="651"/>
      <c r="U409" s="565"/>
      <c r="V409" s="565"/>
      <c r="W409" s="565"/>
      <c r="X409" s="565"/>
    </row>
    <row r="410" spans="12:24" x14ac:dyDescent="0.25">
      <c r="L410" s="565"/>
      <c r="M410" s="565"/>
      <c r="N410" s="565"/>
      <c r="O410" s="565"/>
      <c r="P410" s="565"/>
      <c r="Q410" s="565"/>
      <c r="R410" s="565"/>
      <c r="S410" s="651"/>
      <c r="T410" s="651"/>
      <c r="U410" s="565"/>
      <c r="V410" s="565"/>
      <c r="W410" s="565"/>
      <c r="X410" s="565"/>
    </row>
    <row r="411" spans="12:24" x14ac:dyDescent="0.25">
      <c r="L411" s="565"/>
      <c r="M411" s="565"/>
      <c r="N411" s="565"/>
      <c r="O411" s="565"/>
      <c r="P411" s="565"/>
      <c r="Q411" s="565"/>
      <c r="R411" s="565"/>
      <c r="S411" s="651"/>
      <c r="T411" s="651"/>
      <c r="U411" s="565"/>
      <c r="V411" s="565"/>
      <c r="W411" s="565"/>
      <c r="X411" s="565"/>
    </row>
    <row r="412" spans="12:24" x14ac:dyDescent="0.25">
      <c r="L412" s="565"/>
      <c r="M412" s="565"/>
      <c r="N412" s="565"/>
      <c r="O412" s="565"/>
      <c r="P412" s="565"/>
      <c r="Q412" s="565"/>
      <c r="R412" s="565"/>
      <c r="S412" s="651"/>
      <c r="T412" s="651"/>
      <c r="U412" s="565"/>
      <c r="V412" s="565"/>
      <c r="W412" s="565"/>
      <c r="X412" s="565"/>
    </row>
    <row r="413" spans="12:24" x14ac:dyDescent="0.25">
      <c r="L413" s="565"/>
      <c r="M413" s="565"/>
      <c r="N413" s="565"/>
      <c r="O413" s="565"/>
      <c r="P413" s="565"/>
      <c r="Q413" s="565"/>
      <c r="R413" s="565"/>
      <c r="S413" s="651"/>
      <c r="T413" s="651"/>
      <c r="U413" s="565"/>
      <c r="V413" s="565"/>
      <c r="W413" s="565"/>
      <c r="X413" s="565"/>
    </row>
    <row r="414" spans="12:24" x14ac:dyDescent="0.25">
      <c r="L414" s="565"/>
      <c r="M414" s="565"/>
      <c r="N414" s="565"/>
      <c r="O414" s="565"/>
      <c r="P414" s="565"/>
      <c r="Q414" s="565"/>
      <c r="R414" s="565"/>
      <c r="S414" s="651"/>
      <c r="T414" s="651"/>
      <c r="U414" s="565"/>
      <c r="V414" s="565"/>
      <c r="W414" s="565"/>
      <c r="X414" s="565"/>
    </row>
    <row r="415" spans="12:24" x14ac:dyDescent="0.25">
      <c r="L415" s="565"/>
      <c r="M415" s="565"/>
      <c r="N415" s="565"/>
      <c r="O415" s="565"/>
      <c r="P415" s="565"/>
      <c r="Q415" s="565"/>
      <c r="R415" s="565"/>
      <c r="S415" s="651"/>
      <c r="T415" s="651"/>
      <c r="U415" s="565"/>
      <c r="V415" s="565"/>
      <c r="W415" s="565"/>
      <c r="X415" s="565"/>
    </row>
    <row r="416" spans="12:24" x14ac:dyDescent="0.25">
      <c r="L416" s="565"/>
      <c r="M416" s="565"/>
      <c r="N416" s="565"/>
      <c r="O416" s="565"/>
      <c r="P416" s="565"/>
      <c r="Q416" s="565"/>
      <c r="R416" s="565"/>
      <c r="S416" s="651"/>
      <c r="T416" s="651"/>
      <c r="U416" s="565"/>
      <c r="V416" s="565"/>
      <c r="W416" s="565"/>
      <c r="X416" s="565"/>
    </row>
    <row r="417" spans="12:24" x14ac:dyDescent="0.25">
      <c r="L417" s="565"/>
      <c r="M417" s="565"/>
      <c r="N417" s="565"/>
      <c r="O417" s="565"/>
      <c r="P417" s="565"/>
      <c r="Q417" s="565"/>
      <c r="R417" s="565"/>
      <c r="S417" s="651"/>
      <c r="T417" s="651"/>
      <c r="U417" s="565"/>
      <c r="V417" s="565"/>
      <c r="W417" s="565"/>
      <c r="X417" s="565"/>
    </row>
    <row r="418" spans="12:24" x14ac:dyDescent="0.25">
      <c r="L418" s="565"/>
      <c r="M418" s="565"/>
      <c r="N418" s="565"/>
      <c r="O418" s="565"/>
      <c r="P418" s="565"/>
      <c r="Q418" s="565"/>
      <c r="R418" s="565"/>
      <c r="S418" s="651"/>
      <c r="T418" s="651"/>
      <c r="U418" s="565"/>
      <c r="V418" s="565"/>
      <c r="W418" s="565"/>
      <c r="X418" s="565"/>
    </row>
    <row r="419" spans="12:24" x14ac:dyDescent="0.25">
      <c r="L419" s="565"/>
      <c r="M419" s="565"/>
      <c r="N419" s="565"/>
      <c r="O419" s="565"/>
      <c r="P419" s="565"/>
      <c r="Q419" s="565"/>
      <c r="R419" s="565"/>
      <c r="S419" s="651"/>
      <c r="T419" s="651"/>
      <c r="U419" s="565"/>
      <c r="V419" s="565"/>
      <c r="W419" s="565"/>
      <c r="X419" s="565"/>
    </row>
    <row r="420" spans="12:24" x14ac:dyDescent="0.25">
      <c r="L420" s="565"/>
      <c r="M420" s="565"/>
      <c r="N420" s="565"/>
      <c r="O420" s="565"/>
      <c r="P420" s="565"/>
      <c r="Q420" s="565"/>
      <c r="R420" s="565"/>
      <c r="S420" s="651"/>
      <c r="T420" s="651"/>
      <c r="U420" s="565"/>
      <c r="V420" s="565"/>
      <c r="W420" s="565"/>
      <c r="X420" s="565"/>
    </row>
    <row r="421" spans="12:24" x14ac:dyDescent="0.25">
      <c r="L421" s="565"/>
      <c r="M421" s="565"/>
      <c r="N421" s="565"/>
      <c r="O421" s="565"/>
      <c r="P421" s="565"/>
      <c r="Q421" s="565"/>
      <c r="R421" s="565"/>
      <c r="S421" s="651"/>
      <c r="T421" s="651"/>
      <c r="U421" s="565"/>
      <c r="V421" s="565"/>
      <c r="W421" s="565"/>
      <c r="X421" s="565"/>
    </row>
    <row r="422" spans="12:24" x14ac:dyDescent="0.25">
      <c r="L422" s="565"/>
      <c r="M422" s="565"/>
      <c r="N422" s="565"/>
      <c r="O422" s="565"/>
      <c r="P422" s="565"/>
      <c r="Q422" s="565"/>
      <c r="R422" s="565"/>
      <c r="S422" s="651"/>
      <c r="T422" s="651"/>
      <c r="U422" s="565"/>
      <c r="V422" s="565"/>
      <c r="W422" s="565"/>
      <c r="X422" s="565"/>
    </row>
    <row r="423" spans="12:24" x14ac:dyDescent="0.25">
      <c r="L423" s="565"/>
      <c r="M423" s="565"/>
      <c r="N423" s="565"/>
      <c r="O423" s="565"/>
      <c r="P423" s="565"/>
      <c r="Q423" s="565"/>
      <c r="R423" s="565"/>
      <c r="S423" s="651"/>
      <c r="T423" s="651"/>
      <c r="U423" s="565"/>
      <c r="V423" s="565"/>
      <c r="W423" s="565"/>
      <c r="X423" s="565"/>
    </row>
    <row r="424" spans="12:24" x14ac:dyDescent="0.25">
      <c r="L424" s="565"/>
      <c r="M424" s="565"/>
      <c r="N424" s="565"/>
      <c r="O424" s="565"/>
      <c r="P424" s="565"/>
      <c r="Q424" s="565"/>
      <c r="R424" s="565"/>
      <c r="S424" s="651"/>
      <c r="T424" s="651"/>
      <c r="U424" s="565"/>
      <c r="V424" s="565"/>
      <c r="W424" s="565"/>
      <c r="X424" s="565"/>
    </row>
    <row r="425" spans="12:24" x14ac:dyDescent="0.25">
      <c r="L425" s="565"/>
      <c r="M425" s="565"/>
      <c r="N425" s="565"/>
      <c r="O425" s="565"/>
      <c r="P425" s="565"/>
      <c r="Q425" s="565"/>
      <c r="R425" s="565"/>
      <c r="S425" s="651"/>
      <c r="T425" s="651"/>
      <c r="U425" s="565"/>
      <c r="V425" s="565"/>
      <c r="W425" s="565"/>
      <c r="X425" s="565"/>
    </row>
    <row r="426" spans="12:24" x14ac:dyDescent="0.25">
      <c r="L426" s="565"/>
      <c r="M426" s="565"/>
      <c r="N426" s="565"/>
      <c r="O426" s="565"/>
      <c r="P426" s="565"/>
      <c r="Q426" s="565"/>
      <c r="R426" s="565"/>
      <c r="S426" s="651"/>
      <c r="T426" s="651"/>
      <c r="U426" s="565"/>
      <c r="V426" s="565"/>
      <c r="W426" s="565"/>
      <c r="X426" s="565"/>
    </row>
    <row r="427" spans="12:24" x14ac:dyDescent="0.25">
      <c r="L427" s="565"/>
      <c r="M427" s="565"/>
      <c r="N427" s="565"/>
      <c r="O427" s="565"/>
      <c r="P427" s="565"/>
      <c r="Q427" s="565"/>
      <c r="R427" s="565"/>
      <c r="S427" s="651"/>
      <c r="T427" s="651"/>
      <c r="U427" s="565"/>
      <c r="V427" s="565"/>
      <c r="W427" s="565"/>
      <c r="X427" s="565"/>
    </row>
    <row r="428" spans="12:24" x14ac:dyDescent="0.25">
      <c r="L428" s="565"/>
      <c r="M428" s="565"/>
      <c r="N428" s="565"/>
      <c r="O428" s="565"/>
      <c r="P428" s="565"/>
      <c r="Q428" s="565"/>
      <c r="R428" s="565"/>
      <c r="S428" s="651"/>
      <c r="T428" s="651"/>
      <c r="U428" s="565"/>
      <c r="V428" s="565"/>
      <c r="W428" s="565"/>
      <c r="X428" s="565"/>
    </row>
    <row r="429" spans="12:24" x14ac:dyDescent="0.25">
      <c r="L429" s="565"/>
      <c r="M429" s="565"/>
      <c r="N429" s="565"/>
      <c r="O429" s="565"/>
      <c r="P429" s="565"/>
      <c r="Q429" s="565"/>
      <c r="R429" s="565"/>
      <c r="S429" s="651"/>
      <c r="T429" s="651"/>
      <c r="U429" s="565"/>
      <c r="V429" s="565"/>
      <c r="W429" s="565"/>
      <c r="X429" s="565"/>
    </row>
    <row r="430" spans="12:24" x14ac:dyDescent="0.25">
      <c r="L430" s="565"/>
      <c r="M430" s="565"/>
      <c r="N430" s="565"/>
      <c r="O430" s="565"/>
      <c r="P430" s="565"/>
      <c r="Q430" s="565"/>
      <c r="R430" s="565"/>
      <c r="S430" s="651"/>
      <c r="T430" s="651"/>
      <c r="U430" s="565"/>
      <c r="V430" s="565"/>
      <c r="W430" s="565"/>
      <c r="X430" s="565"/>
    </row>
    <row r="431" spans="12:24" x14ac:dyDescent="0.25">
      <c r="L431" s="565"/>
      <c r="M431" s="565"/>
      <c r="N431" s="565"/>
      <c r="O431" s="565"/>
      <c r="P431" s="565"/>
      <c r="Q431" s="565"/>
      <c r="R431" s="565"/>
      <c r="S431" s="651"/>
      <c r="T431" s="651"/>
      <c r="U431" s="565"/>
      <c r="V431" s="565"/>
      <c r="W431" s="565"/>
      <c r="X431" s="565"/>
    </row>
    <row r="432" spans="12:24" x14ac:dyDescent="0.25">
      <c r="L432" s="565"/>
      <c r="M432" s="565"/>
      <c r="N432" s="565"/>
      <c r="O432" s="565"/>
      <c r="P432" s="565"/>
      <c r="Q432" s="565"/>
      <c r="R432" s="565"/>
      <c r="S432" s="651"/>
      <c r="T432" s="651"/>
      <c r="U432" s="565"/>
      <c r="V432" s="565"/>
      <c r="W432" s="565"/>
      <c r="X432" s="565"/>
    </row>
    <row r="433" spans="12:24" x14ac:dyDescent="0.25">
      <c r="L433" s="565"/>
      <c r="M433" s="565"/>
      <c r="N433" s="565"/>
      <c r="O433" s="565"/>
      <c r="P433" s="565"/>
      <c r="Q433" s="565"/>
      <c r="R433" s="565"/>
      <c r="S433" s="651"/>
      <c r="T433" s="651"/>
      <c r="U433" s="565"/>
      <c r="V433" s="565"/>
      <c r="W433" s="565"/>
      <c r="X433" s="565"/>
    </row>
    <row r="434" spans="12:24" x14ac:dyDescent="0.25">
      <c r="L434" s="565"/>
      <c r="M434" s="565"/>
      <c r="N434" s="565"/>
      <c r="O434" s="565"/>
      <c r="P434" s="565"/>
      <c r="Q434" s="565"/>
      <c r="R434" s="565"/>
      <c r="S434" s="651"/>
      <c r="T434" s="651"/>
      <c r="U434" s="565"/>
      <c r="V434" s="565"/>
      <c r="W434" s="565"/>
      <c r="X434" s="565"/>
    </row>
    <row r="435" spans="12:24" x14ac:dyDescent="0.25">
      <c r="L435" s="565"/>
      <c r="M435" s="565"/>
      <c r="N435" s="565"/>
      <c r="O435" s="565"/>
      <c r="P435" s="565"/>
      <c r="Q435" s="565"/>
      <c r="R435" s="565"/>
      <c r="S435" s="651"/>
      <c r="T435" s="651"/>
      <c r="U435" s="565"/>
      <c r="V435" s="565"/>
      <c r="W435" s="565"/>
      <c r="X435" s="565"/>
    </row>
    <row r="436" spans="12:24" x14ac:dyDescent="0.25">
      <c r="L436" s="565"/>
      <c r="M436" s="565"/>
      <c r="N436" s="565"/>
      <c r="O436" s="565"/>
      <c r="P436" s="565"/>
      <c r="Q436" s="565"/>
      <c r="R436" s="565"/>
      <c r="S436" s="651"/>
      <c r="T436" s="651"/>
      <c r="U436" s="565"/>
      <c r="V436" s="565"/>
      <c r="W436" s="565"/>
      <c r="X436" s="565"/>
    </row>
    <row r="437" spans="12:24" x14ac:dyDescent="0.25">
      <c r="L437" s="565"/>
      <c r="M437" s="565"/>
      <c r="N437" s="565"/>
      <c r="O437" s="565"/>
      <c r="P437" s="565"/>
      <c r="Q437" s="565"/>
      <c r="R437" s="565"/>
      <c r="S437" s="651"/>
      <c r="T437" s="651"/>
      <c r="U437" s="565"/>
      <c r="V437" s="565"/>
      <c r="W437" s="565"/>
      <c r="X437" s="565"/>
    </row>
    <row r="438" spans="12:24" x14ac:dyDescent="0.25">
      <c r="L438" s="565"/>
      <c r="M438" s="565"/>
      <c r="N438" s="565"/>
      <c r="O438" s="565"/>
      <c r="P438" s="565"/>
      <c r="Q438" s="565"/>
      <c r="R438" s="565"/>
      <c r="S438" s="651"/>
      <c r="T438" s="651"/>
      <c r="U438" s="565"/>
      <c r="V438" s="565"/>
      <c r="W438" s="565"/>
      <c r="X438" s="565"/>
    </row>
    <row r="439" spans="12:24" x14ac:dyDescent="0.25">
      <c r="L439" s="565"/>
      <c r="M439" s="565"/>
      <c r="N439" s="565"/>
      <c r="O439" s="565"/>
      <c r="P439" s="565"/>
      <c r="Q439" s="565"/>
      <c r="R439" s="565"/>
      <c r="S439" s="651"/>
      <c r="T439" s="651"/>
      <c r="U439" s="565"/>
      <c r="V439" s="565"/>
      <c r="W439" s="565"/>
      <c r="X439" s="565"/>
    </row>
    <row r="440" spans="12:24" x14ac:dyDescent="0.25">
      <c r="L440" s="565"/>
      <c r="M440" s="565"/>
      <c r="N440" s="565"/>
      <c r="O440" s="565"/>
      <c r="P440" s="565"/>
      <c r="Q440" s="565"/>
      <c r="R440" s="565"/>
      <c r="S440" s="651"/>
      <c r="T440" s="651"/>
      <c r="U440" s="565"/>
      <c r="V440" s="565"/>
      <c r="W440" s="565"/>
      <c r="X440" s="565"/>
    </row>
    <row r="441" spans="12:24" x14ac:dyDescent="0.25">
      <c r="L441" s="565"/>
      <c r="M441" s="565"/>
      <c r="N441" s="565"/>
      <c r="O441" s="565"/>
      <c r="P441" s="565"/>
      <c r="Q441" s="565"/>
      <c r="R441" s="565"/>
      <c r="S441" s="651"/>
      <c r="T441" s="651"/>
      <c r="U441" s="565"/>
      <c r="V441" s="565"/>
      <c r="W441" s="565"/>
      <c r="X441" s="565"/>
    </row>
    <row r="442" spans="12:24" x14ac:dyDescent="0.25">
      <c r="L442" s="565"/>
      <c r="M442" s="565"/>
      <c r="N442" s="565"/>
      <c r="O442" s="565"/>
      <c r="P442" s="565"/>
      <c r="Q442" s="565"/>
      <c r="R442" s="565"/>
      <c r="S442" s="651"/>
      <c r="T442" s="651"/>
      <c r="U442" s="565"/>
      <c r="V442" s="565"/>
      <c r="W442" s="565"/>
      <c r="X442" s="565"/>
    </row>
    <row r="443" spans="12:24" x14ac:dyDescent="0.25">
      <c r="L443" s="565"/>
      <c r="M443" s="565"/>
      <c r="N443" s="565"/>
      <c r="O443" s="565"/>
      <c r="P443" s="565"/>
      <c r="Q443" s="565"/>
      <c r="R443" s="565"/>
      <c r="S443" s="651"/>
      <c r="T443" s="651"/>
      <c r="U443" s="565"/>
      <c r="V443" s="565"/>
      <c r="W443" s="565"/>
      <c r="X443" s="565"/>
    </row>
    <row r="444" spans="12:24" x14ac:dyDescent="0.25">
      <c r="L444" s="565"/>
      <c r="M444" s="565"/>
      <c r="N444" s="565"/>
      <c r="O444" s="565"/>
      <c r="P444" s="565"/>
      <c r="Q444" s="565"/>
      <c r="R444" s="565"/>
      <c r="S444" s="651"/>
      <c r="T444" s="651"/>
      <c r="U444" s="565"/>
      <c r="V444" s="565"/>
      <c r="W444" s="565"/>
      <c r="X444" s="565"/>
    </row>
    <row r="445" spans="12:24" x14ac:dyDescent="0.25">
      <c r="L445" s="565"/>
      <c r="M445" s="565"/>
      <c r="N445" s="565"/>
      <c r="O445" s="565"/>
      <c r="P445" s="565"/>
      <c r="Q445" s="565"/>
      <c r="R445" s="565"/>
      <c r="S445" s="651"/>
      <c r="T445" s="651"/>
      <c r="U445" s="565"/>
      <c r="V445" s="565"/>
      <c r="W445" s="565"/>
      <c r="X445" s="565"/>
    </row>
    <row r="446" spans="12:24" x14ac:dyDescent="0.25">
      <c r="L446" s="565"/>
      <c r="M446" s="565"/>
      <c r="N446" s="565"/>
      <c r="O446" s="565"/>
      <c r="P446" s="565"/>
      <c r="Q446" s="565"/>
      <c r="R446" s="565"/>
      <c r="S446" s="651"/>
      <c r="T446" s="651"/>
      <c r="U446" s="565"/>
      <c r="V446" s="565"/>
      <c r="W446" s="565"/>
      <c r="X446" s="565"/>
    </row>
    <row r="447" spans="12:24" x14ac:dyDescent="0.25">
      <c r="L447" s="565"/>
      <c r="M447" s="565"/>
      <c r="N447" s="565"/>
      <c r="O447" s="565"/>
      <c r="P447" s="565"/>
      <c r="Q447" s="565"/>
      <c r="R447" s="565"/>
      <c r="S447" s="651"/>
      <c r="T447" s="651"/>
      <c r="U447" s="565"/>
      <c r="V447" s="565"/>
      <c r="W447" s="565"/>
      <c r="X447" s="565"/>
    </row>
    <row r="448" spans="12:24" x14ac:dyDescent="0.25">
      <c r="L448" s="565"/>
      <c r="M448" s="565"/>
      <c r="N448" s="565"/>
      <c r="O448" s="565"/>
      <c r="P448" s="565"/>
      <c r="Q448" s="565"/>
      <c r="R448" s="565"/>
      <c r="S448" s="651"/>
      <c r="T448" s="651"/>
      <c r="U448" s="565"/>
      <c r="V448" s="565"/>
      <c r="W448" s="565"/>
      <c r="X448" s="565"/>
    </row>
    <row r="449" spans="12:24" x14ac:dyDescent="0.25">
      <c r="L449" s="565"/>
      <c r="M449" s="565"/>
      <c r="N449" s="565"/>
      <c r="O449" s="565"/>
      <c r="P449" s="565"/>
      <c r="Q449" s="565"/>
      <c r="R449" s="565"/>
      <c r="S449" s="651"/>
      <c r="T449" s="651"/>
      <c r="U449" s="565"/>
      <c r="V449" s="565"/>
      <c r="W449" s="565"/>
      <c r="X449" s="565"/>
    </row>
    <row r="450" spans="12:24" x14ac:dyDescent="0.25">
      <c r="L450" s="565"/>
      <c r="M450" s="565"/>
      <c r="N450" s="565"/>
      <c r="O450" s="565"/>
      <c r="P450" s="565"/>
      <c r="Q450" s="565"/>
      <c r="R450" s="565"/>
      <c r="S450" s="651"/>
      <c r="T450" s="651"/>
      <c r="U450" s="565"/>
      <c r="V450" s="565"/>
      <c r="W450" s="565"/>
      <c r="X450" s="565"/>
    </row>
    <row r="451" spans="12:24" x14ac:dyDescent="0.25">
      <c r="L451" s="565"/>
      <c r="M451" s="565"/>
      <c r="N451" s="565"/>
      <c r="O451" s="565"/>
      <c r="P451" s="565"/>
      <c r="Q451" s="565"/>
      <c r="R451" s="565"/>
      <c r="S451" s="651"/>
      <c r="T451" s="651"/>
      <c r="U451" s="565"/>
      <c r="V451" s="565"/>
      <c r="W451" s="565"/>
      <c r="X451" s="565"/>
    </row>
    <row r="452" spans="12:24" x14ac:dyDescent="0.25">
      <c r="L452" s="565"/>
      <c r="M452" s="565"/>
      <c r="N452" s="565"/>
      <c r="O452" s="565"/>
      <c r="P452" s="565"/>
      <c r="Q452" s="565"/>
      <c r="R452" s="565"/>
      <c r="S452" s="651"/>
      <c r="T452" s="651"/>
      <c r="U452" s="565"/>
      <c r="V452" s="565"/>
      <c r="W452" s="565"/>
      <c r="X452" s="565"/>
    </row>
    <row r="453" spans="12:24" x14ac:dyDescent="0.25">
      <c r="L453" s="565"/>
      <c r="M453" s="565"/>
      <c r="N453" s="565"/>
      <c r="O453" s="565"/>
      <c r="P453" s="565"/>
      <c r="Q453" s="565"/>
      <c r="R453" s="565"/>
      <c r="S453" s="651"/>
      <c r="T453" s="651"/>
      <c r="U453" s="565"/>
      <c r="V453" s="565"/>
      <c r="W453" s="565"/>
      <c r="X453" s="565"/>
    </row>
    <row r="454" spans="12:24" x14ac:dyDescent="0.25">
      <c r="L454" s="565"/>
      <c r="M454" s="565"/>
      <c r="N454" s="565"/>
      <c r="O454" s="565"/>
      <c r="P454" s="565"/>
      <c r="Q454" s="565"/>
      <c r="R454" s="565"/>
      <c r="S454" s="651"/>
      <c r="T454" s="651"/>
      <c r="U454" s="565"/>
      <c r="V454" s="565"/>
      <c r="W454" s="565"/>
      <c r="X454" s="565"/>
    </row>
    <row r="455" spans="12:24" x14ac:dyDescent="0.25">
      <c r="L455" s="565"/>
      <c r="M455" s="565"/>
      <c r="N455" s="565"/>
      <c r="O455" s="565"/>
      <c r="P455" s="565"/>
      <c r="Q455" s="565"/>
      <c r="R455" s="565"/>
      <c r="S455" s="651"/>
      <c r="T455" s="651"/>
      <c r="U455" s="565"/>
      <c r="V455" s="565"/>
      <c r="W455" s="565"/>
      <c r="X455" s="565"/>
    </row>
    <row r="456" spans="12:24" x14ac:dyDescent="0.25">
      <c r="L456" s="565"/>
      <c r="M456" s="565"/>
      <c r="N456" s="565"/>
      <c r="O456" s="565"/>
      <c r="P456" s="565"/>
      <c r="Q456" s="565"/>
      <c r="R456" s="565"/>
      <c r="S456" s="651"/>
      <c r="T456" s="651"/>
      <c r="U456" s="565"/>
      <c r="V456" s="565"/>
      <c r="W456" s="565"/>
      <c r="X456" s="565"/>
    </row>
    <row r="457" spans="12:24" x14ac:dyDescent="0.25">
      <c r="L457" s="565"/>
      <c r="M457" s="565"/>
      <c r="N457" s="565"/>
      <c r="O457" s="565"/>
      <c r="P457" s="565"/>
      <c r="Q457" s="565"/>
      <c r="R457" s="565"/>
      <c r="S457" s="651"/>
      <c r="T457" s="651"/>
      <c r="U457" s="565"/>
      <c r="V457" s="565"/>
      <c r="W457" s="565"/>
      <c r="X457" s="565"/>
    </row>
    <row r="458" spans="12:24" x14ac:dyDescent="0.25">
      <c r="L458" s="565"/>
      <c r="M458" s="565"/>
      <c r="N458" s="565"/>
      <c r="O458" s="565"/>
      <c r="P458" s="565"/>
      <c r="Q458" s="565"/>
      <c r="R458" s="565"/>
      <c r="S458" s="651"/>
      <c r="T458" s="651"/>
      <c r="U458" s="565"/>
      <c r="V458" s="565"/>
      <c r="W458" s="565"/>
      <c r="X458" s="565"/>
    </row>
    <row r="459" spans="12:24" x14ac:dyDescent="0.25">
      <c r="L459" s="565"/>
      <c r="M459" s="565"/>
      <c r="N459" s="565"/>
      <c r="O459" s="565"/>
      <c r="P459" s="565"/>
      <c r="Q459" s="565"/>
      <c r="R459" s="565"/>
      <c r="S459" s="651"/>
      <c r="T459" s="651"/>
      <c r="U459" s="565"/>
      <c r="V459" s="565"/>
      <c r="W459" s="565"/>
      <c r="X459" s="565"/>
    </row>
    <row r="460" spans="12:24" x14ac:dyDescent="0.25">
      <c r="L460" s="565"/>
      <c r="M460" s="565"/>
      <c r="N460" s="565"/>
      <c r="O460" s="565"/>
      <c r="P460" s="565"/>
      <c r="Q460" s="565"/>
      <c r="R460" s="565"/>
      <c r="S460" s="651"/>
      <c r="T460" s="651"/>
      <c r="U460" s="565"/>
      <c r="V460" s="565"/>
      <c r="W460" s="565"/>
      <c r="X460" s="565"/>
    </row>
    <row r="461" spans="12:24" x14ac:dyDescent="0.25">
      <c r="L461" s="565"/>
      <c r="M461" s="565"/>
      <c r="N461" s="565"/>
      <c r="O461" s="565"/>
      <c r="P461" s="565"/>
      <c r="Q461" s="565"/>
      <c r="R461" s="565"/>
      <c r="S461" s="651"/>
      <c r="T461" s="651"/>
      <c r="U461" s="565"/>
      <c r="V461" s="565"/>
      <c r="W461" s="565"/>
      <c r="X461" s="565"/>
    </row>
    <row r="462" spans="12:24" x14ac:dyDescent="0.25">
      <c r="L462" s="565"/>
      <c r="M462" s="565"/>
      <c r="N462" s="565"/>
      <c r="O462" s="565"/>
      <c r="P462" s="565"/>
      <c r="Q462" s="565"/>
      <c r="R462" s="565"/>
      <c r="S462" s="651"/>
      <c r="T462" s="651"/>
      <c r="U462" s="565"/>
      <c r="V462" s="565"/>
      <c r="W462" s="565"/>
      <c r="X462" s="565"/>
    </row>
    <row r="463" spans="12:24" x14ac:dyDescent="0.25">
      <c r="L463" s="565"/>
      <c r="M463" s="565"/>
      <c r="N463" s="565"/>
      <c r="O463" s="565"/>
      <c r="P463" s="565"/>
      <c r="Q463" s="565"/>
      <c r="R463" s="565"/>
      <c r="S463" s="651"/>
      <c r="T463" s="651"/>
      <c r="U463" s="565"/>
      <c r="V463" s="565"/>
      <c r="W463" s="565"/>
      <c r="X463" s="565"/>
    </row>
    <row r="464" spans="12:24" x14ac:dyDescent="0.25">
      <c r="L464" s="565"/>
      <c r="M464" s="565"/>
      <c r="N464" s="565"/>
      <c r="O464" s="565"/>
      <c r="P464" s="565"/>
      <c r="Q464" s="565"/>
      <c r="R464" s="565"/>
      <c r="S464" s="651"/>
      <c r="T464" s="651"/>
      <c r="U464" s="565"/>
      <c r="V464" s="565"/>
      <c r="W464" s="565"/>
      <c r="X464" s="565"/>
    </row>
    <row r="465" spans="12:24" x14ac:dyDescent="0.25">
      <c r="L465" s="565"/>
      <c r="M465" s="565"/>
      <c r="N465" s="565"/>
      <c r="O465" s="565"/>
      <c r="P465" s="565"/>
      <c r="Q465" s="565"/>
      <c r="R465" s="565"/>
      <c r="S465" s="651"/>
      <c r="T465" s="651"/>
      <c r="U465" s="565"/>
      <c r="V465" s="565"/>
      <c r="W465" s="565"/>
      <c r="X465" s="565"/>
    </row>
    <row r="466" spans="12:24" x14ac:dyDescent="0.25">
      <c r="L466" s="565"/>
      <c r="M466" s="565"/>
      <c r="N466" s="565"/>
      <c r="O466" s="565"/>
      <c r="P466" s="565"/>
      <c r="Q466" s="565"/>
      <c r="R466" s="565"/>
      <c r="S466" s="651"/>
      <c r="T466" s="651"/>
      <c r="U466" s="565"/>
      <c r="V466" s="565"/>
      <c r="W466" s="565"/>
      <c r="X466" s="565"/>
    </row>
    <row r="467" spans="12:24" x14ac:dyDescent="0.25">
      <c r="L467" s="565"/>
      <c r="M467" s="565"/>
      <c r="N467" s="565"/>
      <c r="O467" s="565"/>
      <c r="P467" s="565"/>
      <c r="Q467" s="565"/>
      <c r="R467" s="565"/>
      <c r="S467" s="651"/>
      <c r="T467" s="651"/>
      <c r="U467" s="565"/>
      <c r="V467" s="565"/>
      <c r="W467" s="565"/>
      <c r="X467" s="565"/>
    </row>
    <row r="468" spans="12:24" x14ac:dyDescent="0.25">
      <c r="L468" s="565"/>
      <c r="M468" s="565"/>
      <c r="N468" s="565"/>
      <c r="O468" s="565"/>
      <c r="P468" s="565"/>
      <c r="Q468" s="565"/>
      <c r="R468" s="565"/>
      <c r="S468" s="651"/>
      <c r="T468" s="651"/>
      <c r="U468" s="565"/>
      <c r="V468" s="565"/>
      <c r="W468" s="565"/>
      <c r="X468" s="565"/>
    </row>
    <row r="469" spans="12:24" x14ac:dyDescent="0.25">
      <c r="L469" s="565"/>
      <c r="M469" s="565"/>
      <c r="N469" s="565"/>
      <c r="O469" s="565"/>
      <c r="P469" s="565"/>
      <c r="Q469" s="565"/>
      <c r="R469" s="565"/>
      <c r="S469" s="651"/>
      <c r="T469" s="651"/>
      <c r="U469" s="565"/>
      <c r="V469" s="565"/>
      <c r="W469" s="565"/>
      <c r="X469" s="565"/>
    </row>
    <row r="470" spans="12:24" x14ac:dyDescent="0.25">
      <c r="L470" s="565"/>
      <c r="M470" s="565"/>
      <c r="N470" s="565"/>
      <c r="O470" s="565"/>
      <c r="P470" s="565"/>
      <c r="Q470" s="565"/>
      <c r="R470" s="565"/>
      <c r="S470" s="651"/>
      <c r="T470" s="651"/>
      <c r="U470" s="565"/>
      <c r="V470" s="565"/>
      <c r="W470" s="565"/>
      <c r="X470" s="565"/>
    </row>
    <row r="471" spans="12:24" x14ac:dyDescent="0.25">
      <c r="L471" s="565"/>
      <c r="M471" s="565"/>
      <c r="N471" s="565"/>
      <c r="O471" s="565"/>
      <c r="P471" s="565"/>
      <c r="Q471" s="565"/>
      <c r="R471" s="565"/>
      <c r="S471" s="651"/>
      <c r="T471" s="651"/>
      <c r="U471" s="565"/>
      <c r="V471" s="565"/>
      <c r="W471" s="565"/>
      <c r="X471" s="565"/>
    </row>
    <row r="472" spans="12:24" x14ac:dyDescent="0.25">
      <c r="L472" s="565"/>
      <c r="M472" s="565"/>
      <c r="N472" s="565"/>
      <c r="O472" s="565"/>
      <c r="P472" s="565"/>
      <c r="Q472" s="565"/>
      <c r="R472" s="565"/>
      <c r="S472" s="651"/>
      <c r="T472" s="651"/>
      <c r="U472" s="565"/>
      <c r="V472" s="565"/>
      <c r="W472" s="565"/>
      <c r="X472" s="565"/>
    </row>
    <row r="473" spans="12:24" x14ac:dyDescent="0.25">
      <c r="L473" s="565"/>
      <c r="M473" s="565"/>
      <c r="N473" s="565"/>
      <c r="O473" s="565"/>
      <c r="P473" s="565"/>
      <c r="Q473" s="565"/>
      <c r="R473" s="565"/>
      <c r="S473" s="651"/>
      <c r="T473" s="651"/>
      <c r="U473" s="565"/>
      <c r="V473" s="565"/>
      <c r="W473" s="565"/>
      <c r="X473" s="565"/>
    </row>
    <row r="474" spans="12:24" x14ac:dyDescent="0.25">
      <c r="L474" s="565"/>
      <c r="M474" s="565"/>
      <c r="N474" s="565"/>
      <c r="O474" s="565"/>
      <c r="P474" s="565"/>
      <c r="Q474" s="565"/>
      <c r="R474" s="565"/>
      <c r="S474" s="651"/>
      <c r="T474" s="651"/>
      <c r="U474" s="565"/>
      <c r="V474" s="565"/>
      <c r="W474" s="565"/>
      <c r="X474" s="565"/>
    </row>
    <row r="475" spans="12:24" x14ac:dyDescent="0.25">
      <c r="L475" s="565"/>
      <c r="M475" s="565"/>
      <c r="N475" s="565"/>
      <c r="O475" s="565"/>
      <c r="P475" s="565"/>
      <c r="Q475" s="565"/>
      <c r="R475" s="565"/>
      <c r="S475" s="651"/>
      <c r="T475" s="651"/>
      <c r="U475" s="565"/>
      <c r="V475" s="565"/>
      <c r="W475" s="565"/>
      <c r="X475" s="565"/>
    </row>
    <row r="476" spans="12:24" x14ac:dyDescent="0.25">
      <c r="L476" s="565"/>
      <c r="M476" s="565"/>
      <c r="N476" s="565"/>
      <c r="O476" s="565"/>
      <c r="P476" s="565"/>
      <c r="Q476" s="565"/>
      <c r="R476" s="565"/>
      <c r="S476" s="651"/>
      <c r="T476" s="651"/>
      <c r="U476" s="565"/>
      <c r="V476" s="565"/>
      <c r="W476" s="565"/>
      <c r="X476" s="565"/>
    </row>
    <row r="477" spans="12:24" x14ac:dyDescent="0.25">
      <c r="L477" s="565"/>
      <c r="M477" s="565"/>
      <c r="N477" s="565"/>
      <c r="O477" s="565"/>
      <c r="P477" s="565"/>
      <c r="Q477" s="565"/>
      <c r="R477" s="565"/>
      <c r="S477" s="651"/>
      <c r="T477" s="651"/>
      <c r="U477" s="565"/>
      <c r="V477" s="565"/>
      <c r="W477" s="565"/>
      <c r="X477" s="565"/>
    </row>
    <row r="478" spans="12:24" x14ac:dyDescent="0.25">
      <c r="L478" s="565"/>
      <c r="M478" s="565"/>
      <c r="N478" s="565"/>
      <c r="O478" s="565"/>
      <c r="P478" s="565"/>
      <c r="Q478" s="565"/>
      <c r="R478" s="565"/>
      <c r="S478" s="651"/>
      <c r="T478" s="651"/>
      <c r="U478" s="565"/>
      <c r="V478" s="565"/>
      <c r="W478" s="565"/>
      <c r="X478" s="565"/>
    </row>
    <row r="479" spans="12:24" x14ac:dyDescent="0.25">
      <c r="L479" s="565"/>
      <c r="M479" s="565"/>
      <c r="N479" s="565"/>
      <c r="O479" s="565"/>
      <c r="P479" s="565"/>
      <c r="Q479" s="565"/>
      <c r="R479" s="565"/>
      <c r="S479" s="651"/>
      <c r="T479" s="651"/>
      <c r="U479" s="565"/>
      <c r="V479" s="565"/>
      <c r="W479" s="565"/>
      <c r="X479" s="565"/>
    </row>
    <row r="480" spans="12:24" x14ac:dyDescent="0.25">
      <c r="L480" s="565"/>
      <c r="M480" s="565"/>
      <c r="N480" s="565"/>
      <c r="O480" s="565"/>
      <c r="P480" s="565"/>
      <c r="Q480" s="565"/>
      <c r="R480" s="565"/>
      <c r="S480" s="651"/>
      <c r="T480" s="651"/>
      <c r="U480" s="565"/>
      <c r="V480" s="565"/>
      <c r="W480" s="565"/>
      <c r="X480" s="565"/>
    </row>
    <row r="481" spans="12:24" x14ac:dyDescent="0.25">
      <c r="L481" s="565"/>
      <c r="M481" s="565"/>
      <c r="N481" s="565"/>
      <c r="O481" s="565"/>
      <c r="P481" s="565"/>
      <c r="Q481" s="565"/>
      <c r="R481" s="565"/>
      <c r="S481" s="651"/>
      <c r="T481" s="651"/>
      <c r="U481" s="565"/>
      <c r="V481" s="565"/>
      <c r="W481" s="565"/>
      <c r="X481" s="565"/>
    </row>
    <row r="482" spans="12:24" x14ac:dyDescent="0.25">
      <c r="L482" s="565"/>
      <c r="M482" s="565"/>
      <c r="N482" s="565"/>
      <c r="O482" s="565"/>
      <c r="P482" s="565"/>
      <c r="Q482" s="565"/>
      <c r="R482" s="565"/>
      <c r="S482" s="651"/>
      <c r="T482" s="651"/>
      <c r="U482" s="565"/>
      <c r="V482" s="565"/>
      <c r="W482" s="565"/>
      <c r="X482" s="565"/>
    </row>
    <row r="483" spans="12:24" x14ac:dyDescent="0.25">
      <c r="L483" s="565"/>
      <c r="M483" s="565"/>
      <c r="N483" s="565"/>
      <c r="O483" s="565"/>
      <c r="P483" s="565"/>
      <c r="Q483" s="565"/>
      <c r="R483" s="565"/>
      <c r="S483" s="651"/>
      <c r="T483" s="651"/>
      <c r="U483" s="565"/>
      <c r="V483" s="565"/>
      <c r="W483" s="565"/>
      <c r="X483" s="565"/>
    </row>
    <row r="484" spans="12:24" x14ac:dyDescent="0.25">
      <c r="L484" s="565"/>
      <c r="M484" s="565"/>
      <c r="N484" s="565"/>
      <c r="O484" s="565"/>
      <c r="P484" s="565"/>
      <c r="Q484" s="565"/>
      <c r="R484" s="565"/>
      <c r="S484" s="651"/>
      <c r="T484" s="651"/>
      <c r="U484" s="565"/>
      <c r="V484" s="565"/>
      <c r="W484" s="565"/>
      <c r="X484" s="565"/>
    </row>
    <row r="485" spans="12:24" x14ac:dyDescent="0.25">
      <c r="L485" s="565"/>
      <c r="M485" s="565"/>
      <c r="N485" s="565"/>
      <c r="O485" s="565"/>
      <c r="P485" s="565"/>
      <c r="Q485" s="565"/>
      <c r="R485" s="565"/>
      <c r="S485" s="651"/>
      <c r="T485" s="651"/>
      <c r="U485" s="565"/>
      <c r="V485" s="565"/>
      <c r="W485" s="565"/>
      <c r="X485" s="565"/>
    </row>
    <row r="486" spans="12:24" x14ac:dyDescent="0.25">
      <c r="L486" s="565"/>
      <c r="M486" s="565"/>
      <c r="N486" s="565"/>
      <c r="O486" s="565"/>
      <c r="P486" s="565"/>
      <c r="Q486" s="565"/>
      <c r="R486" s="565"/>
      <c r="S486" s="651"/>
      <c r="T486" s="651"/>
      <c r="U486" s="565"/>
      <c r="V486" s="565"/>
      <c r="W486" s="565"/>
      <c r="X486" s="565"/>
    </row>
    <row r="487" spans="12:24" x14ac:dyDescent="0.25">
      <c r="L487" s="565"/>
      <c r="M487" s="565"/>
      <c r="N487" s="565"/>
      <c r="O487" s="565"/>
      <c r="P487" s="565"/>
      <c r="Q487" s="565"/>
      <c r="R487" s="565"/>
      <c r="S487" s="651"/>
      <c r="T487" s="651"/>
      <c r="U487" s="565"/>
      <c r="V487" s="565"/>
      <c r="W487" s="565"/>
      <c r="X487" s="565"/>
    </row>
    <row r="488" spans="12:24" x14ac:dyDescent="0.25">
      <c r="L488" s="565"/>
      <c r="M488" s="565"/>
      <c r="N488" s="565"/>
      <c r="O488" s="565"/>
      <c r="P488" s="565"/>
      <c r="Q488" s="565"/>
      <c r="R488" s="565"/>
      <c r="S488" s="651"/>
      <c r="T488" s="651"/>
      <c r="U488" s="565"/>
      <c r="V488" s="565"/>
      <c r="W488" s="565"/>
      <c r="X488" s="565"/>
    </row>
    <row r="489" spans="12:24" x14ac:dyDescent="0.25">
      <c r="L489" s="565"/>
      <c r="M489" s="565"/>
      <c r="N489" s="565"/>
      <c r="O489" s="565"/>
      <c r="P489" s="565"/>
      <c r="Q489" s="565"/>
      <c r="R489" s="565"/>
      <c r="S489" s="651"/>
      <c r="T489" s="651"/>
      <c r="U489" s="565"/>
      <c r="V489" s="565"/>
      <c r="W489" s="565"/>
      <c r="X489" s="565"/>
    </row>
    <row r="490" spans="12:24" x14ac:dyDescent="0.25">
      <c r="L490" s="565"/>
      <c r="M490" s="565"/>
      <c r="N490" s="565"/>
      <c r="O490" s="565"/>
      <c r="P490" s="565"/>
      <c r="Q490" s="565"/>
      <c r="R490" s="565"/>
      <c r="S490" s="651"/>
      <c r="T490" s="651"/>
      <c r="U490" s="565"/>
      <c r="V490" s="565"/>
      <c r="W490" s="565"/>
      <c r="X490" s="565"/>
    </row>
    <row r="491" spans="12:24" x14ac:dyDescent="0.25">
      <c r="L491" s="565"/>
      <c r="M491" s="565"/>
      <c r="N491" s="565"/>
      <c r="O491" s="565"/>
      <c r="P491" s="565"/>
      <c r="Q491" s="565"/>
      <c r="R491" s="565"/>
      <c r="S491" s="651"/>
      <c r="T491" s="651"/>
      <c r="U491" s="565"/>
      <c r="V491" s="565"/>
      <c r="W491" s="565"/>
      <c r="X491" s="565"/>
    </row>
    <row r="492" spans="12:24" x14ac:dyDescent="0.25">
      <c r="L492" s="565"/>
      <c r="M492" s="565"/>
      <c r="N492" s="565"/>
      <c r="O492" s="565"/>
      <c r="P492" s="565"/>
      <c r="Q492" s="565"/>
      <c r="R492" s="565"/>
      <c r="S492" s="651"/>
      <c r="T492" s="651"/>
      <c r="U492" s="565"/>
      <c r="V492" s="565"/>
      <c r="W492" s="565"/>
      <c r="X492" s="565"/>
    </row>
    <row r="493" spans="12:24" x14ac:dyDescent="0.25">
      <c r="L493" s="565"/>
      <c r="M493" s="565"/>
      <c r="N493" s="565"/>
      <c r="O493" s="565"/>
      <c r="P493" s="565"/>
      <c r="Q493" s="565"/>
      <c r="R493" s="565"/>
      <c r="S493" s="651"/>
      <c r="T493" s="651"/>
      <c r="U493" s="565"/>
      <c r="V493" s="565"/>
      <c r="W493" s="565"/>
      <c r="X493" s="565"/>
    </row>
    <row r="494" spans="12:24" x14ac:dyDescent="0.25">
      <c r="L494" s="565"/>
      <c r="M494" s="565"/>
      <c r="N494" s="565"/>
      <c r="O494" s="565"/>
      <c r="P494" s="565"/>
      <c r="Q494" s="565"/>
      <c r="R494" s="565"/>
      <c r="S494" s="651"/>
      <c r="T494" s="651"/>
      <c r="U494" s="565"/>
      <c r="V494" s="565"/>
      <c r="W494" s="565"/>
      <c r="X494" s="565"/>
    </row>
    <row r="495" spans="12:24" x14ac:dyDescent="0.25">
      <c r="L495" s="565"/>
      <c r="M495" s="565"/>
      <c r="N495" s="565"/>
      <c r="O495" s="565"/>
      <c r="P495" s="565"/>
      <c r="Q495" s="565"/>
      <c r="R495" s="565"/>
      <c r="S495" s="651"/>
      <c r="T495" s="651"/>
      <c r="U495" s="565"/>
      <c r="V495" s="565"/>
      <c r="W495" s="565"/>
      <c r="X495" s="565"/>
    </row>
    <row r="496" spans="12:24" x14ac:dyDescent="0.25">
      <c r="L496" s="565"/>
      <c r="M496" s="565"/>
      <c r="N496" s="565"/>
      <c r="O496" s="565"/>
      <c r="P496" s="565"/>
      <c r="Q496" s="565"/>
      <c r="R496" s="565"/>
      <c r="S496" s="651"/>
      <c r="T496" s="651"/>
      <c r="U496" s="565"/>
      <c r="V496" s="565"/>
      <c r="W496" s="565"/>
      <c r="X496" s="565"/>
    </row>
    <row r="497" spans="12:24" x14ac:dyDescent="0.25">
      <c r="L497" s="565"/>
      <c r="M497" s="565"/>
      <c r="N497" s="565"/>
      <c r="O497" s="565"/>
      <c r="P497" s="565"/>
      <c r="Q497" s="565"/>
      <c r="R497" s="565"/>
      <c r="S497" s="651"/>
      <c r="T497" s="651"/>
      <c r="U497" s="565"/>
      <c r="V497" s="565"/>
      <c r="W497" s="565"/>
      <c r="X497" s="565"/>
    </row>
    <row r="498" spans="12:24" x14ac:dyDescent="0.25">
      <c r="L498" s="565"/>
      <c r="M498" s="565"/>
      <c r="N498" s="565"/>
      <c r="O498" s="565"/>
      <c r="P498" s="565"/>
      <c r="Q498" s="565"/>
      <c r="R498" s="565"/>
      <c r="S498" s="651"/>
      <c r="T498" s="651"/>
      <c r="U498" s="565"/>
      <c r="V498" s="565"/>
      <c r="W498" s="565"/>
      <c r="X498" s="565"/>
    </row>
    <row r="499" spans="12:24" x14ac:dyDescent="0.25">
      <c r="L499" s="565"/>
      <c r="M499" s="565"/>
      <c r="N499" s="565"/>
      <c r="O499" s="565"/>
      <c r="P499" s="565"/>
      <c r="Q499" s="565"/>
      <c r="R499" s="565"/>
      <c r="S499" s="651"/>
      <c r="T499" s="651"/>
      <c r="U499" s="565"/>
      <c r="V499" s="565"/>
      <c r="W499" s="565"/>
      <c r="X499" s="565"/>
    </row>
    <row r="500" spans="12:24" x14ac:dyDescent="0.25">
      <c r="L500" s="565"/>
      <c r="M500" s="565"/>
      <c r="N500" s="565"/>
      <c r="O500" s="565"/>
      <c r="P500" s="565"/>
      <c r="Q500" s="565"/>
      <c r="R500" s="565"/>
      <c r="S500" s="651"/>
      <c r="T500" s="651"/>
      <c r="U500" s="565"/>
      <c r="V500" s="565"/>
      <c r="W500" s="565"/>
      <c r="X500" s="565"/>
    </row>
    <row r="501" spans="12:24" x14ac:dyDescent="0.25">
      <c r="L501" s="565"/>
      <c r="M501" s="565"/>
      <c r="N501" s="565"/>
      <c r="O501" s="565"/>
      <c r="P501" s="565"/>
      <c r="Q501" s="565"/>
      <c r="R501" s="565"/>
      <c r="S501" s="651"/>
      <c r="T501" s="651"/>
      <c r="U501" s="565"/>
      <c r="V501" s="565"/>
      <c r="W501" s="565"/>
      <c r="X501" s="565"/>
    </row>
    <row r="502" spans="12:24" x14ac:dyDescent="0.25">
      <c r="L502" s="565"/>
      <c r="M502" s="565"/>
      <c r="N502" s="565"/>
      <c r="O502" s="565"/>
      <c r="P502" s="565"/>
      <c r="Q502" s="565"/>
      <c r="R502" s="565"/>
      <c r="S502" s="651"/>
      <c r="T502" s="651"/>
      <c r="U502" s="565"/>
      <c r="V502" s="565"/>
      <c r="W502" s="565"/>
      <c r="X502" s="565"/>
    </row>
    <row r="503" spans="12:24" x14ac:dyDescent="0.25">
      <c r="L503" s="565"/>
      <c r="M503" s="565"/>
      <c r="N503" s="565"/>
      <c r="O503" s="565"/>
      <c r="P503" s="565"/>
      <c r="Q503" s="565"/>
      <c r="R503" s="565"/>
      <c r="S503" s="651"/>
      <c r="T503" s="651"/>
      <c r="U503" s="565"/>
      <c r="V503" s="565"/>
      <c r="W503" s="565"/>
      <c r="X503" s="565"/>
    </row>
    <row r="504" spans="12:24" x14ac:dyDescent="0.25">
      <c r="L504" s="565"/>
      <c r="M504" s="565"/>
      <c r="N504" s="565"/>
      <c r="O504" s="565"/>
      <c r="P504" s="565"/>
      <c r="Q504" s="565"/>
      <c r="R504" s="565"/>
      <c r="S504" s="651"/>
      <c r="T504" s="651"/>
      <c r="U504" s="565"/>
      <c r="V504" s="565"/>
      <c r="W504" s="565"/>
      <c r="X504" s="565"/>
    </row>
    <row r="505" spans="12:24" x14ac:dyDescent="0.25">
      <c r="L505" s="565"/>
      <c r="M505" s="565"/>
      <c r="N505" s="565"/>
      <c r="O505" s="565"/>
      <c r="P505" s="565"/>
      <c r="Q505" s="565"/>
      <c r="R505" s="565"/>
      <c r="S505" s="651"/>
      <c r="T505" s="651"/>
      <c r="U505" s="565"/>
      <c r="V505" s="565"/>
      <c r="W505" s="565"/>
      <c r="X505" s="565"/>
    </row>
    <row r="506" spans="12:24" x14ac:dyDescent="0.25">
      <c r="L506" s="565"/>
      <c r="M506" s="565"/>
      <c r="N506" s="565"/>
      <c r="O506" s="565"/>
      <c r="P506" s="565"/>
      <c r="Q506" s="565"/>
      <c r="R506" s="565"/>
      <c r="S506" s="651"/>
      <c r="T506" s="651"/>
      <c r="U506" s="565"/>
      <c r="V506" s="565"/>
      <c r="W506" s="565"/>
      <c r="X506" s="565"/>
    </row>
    <row r="507" spans="12:24" x14ac:dyDescent="0.25">
      <c r="L507" s="565"/>
      <c r="M507" s="565"/>
      <c r="N507" s="565"/>
      <c r="O507" s="565"/>
      <c r="P507" s="565"/>
      <c r="Q507" s="565"/>
      <c r="R507" s="565"/>
      <c r="S507" s="651"/>
      <c r="T507" s="651"/>
      <c r="U507" s="565"/>
      <c r="V507" s="565"/>
      <c r="W507" s="565"/>
      <c r="X507" s="565"/>
    </row>
    <row r="508" spans="12:24" x14ac:dyDescent="0.25">
      <c r="L508" s="565"/>
      <c r="M508" s="565"/>
      <c r="N508" s="565"/>
      <c r="O508" s="565"/>
      <c r="P508" s="565"/>
      <c r="Q508" s="565"/>
      <c r="R508" s="565"/>
      <c r="S508" s="651"/>
      <c r="T508" s="651"/>
      <c r="U508" s="565"/>
      <c r="V508" s="565"/>
      <c r="W508" s="565"/>
      <c r="X508" s="565"/>
    </row>
    <row r="509" spans="12:24" x14ac:dyDescent="0.25">
      <c r="L509" s="565"/>
      <c r="M509" s="565"/>
      <c r="N509" s="565"/>
      <c r="O509" s="565"/>
      <c r="P509" s="565"/>
      <c r="Q509" s="565"/>
      <c r="R509" s="565"/>
      <c r="S509" s="651"/>
      <c r="T509" s="651"/>
      <c r="U509" s="565"/>
      <c r="V509" s="565"/>
      <c r="W509" s="565"/>
      <c r="X509" s="565"/>
    </row>
    <row r="510" spans="12:24" x14ac:dyDescent="0.25">
      <c r="L510" s="565"/>
      <c r="M510" s="565"/>
      <c r="N510" s="565"/>
      <c r="O510" s="565"/>
      <c r="P510" s="565"/>
      <c r="Q510" s="565"/>
      <c r="R510" s="565"/>
      <c r="S510" s="651"/>
      <c r="T510" s="651"/>
      <c r="U510" s="565"/>
      <c r="V510" s="565"/>
      <c r="W510" s="565"/>
      <c r="X510" s="565"/>
    </row>
    <row r="511" spans="12:24" x14ac:dyDescent="0.25">
      <c r="L511" s="565"/>
      <c r="M511" s="565"/>
      <c r="N511" s="565"/>
      <c r="O511" s="565"/>
      <c r="P511" s="565"/>
      <c r="Q511" s="565"/>
      <c r="R511" s="565"/>
      <c r="S511" s="651"/>
      <c r="T511" s="651"/>
      <c r="U511" s="565"/>
      <c r="V511" s="565"/>
      <c r="W511" s="565"/>
      <c r="X511" s="565"/>
    </row>
    <row r="512" spans="12:24" x14ac:dyDescent="0.25">
      <c r="L512" s="565"/>
      <c r="M512" s="565"/>
      <c r="N512" s="565"/>
      <c r="O512" s="565"/>
      <c r="P512" s="565"/>
      <c r="Q512" s="565"/>
      <c r="R512" s="565"/>
      <c r="S512" s="651"/>
      <c r="T512" s="651"/>
      <c r="U512" s="565"/>
      <c r="V512" s="565"/>
      <c r="W512" s="565"/>
      <c r="X512" s="565"/>
    </row>
    <row r="513" spans="12:24" x14ac:dyDescent="0.25">
      <c r="L513" s="565"/>
      <c r="M513" s="565"/>
      <c r="N513" s="565"/>
      <c r="O513" s="565"/>
      <c r="P513" s="565"/>
      <c r="Q513" s="565"/>
      <c r="R513" s="565"/>
      <c r="S513" s="651"/>
      <c r="T513" s="651"/>
      <c r="U513" s="565"/>
      <c r="V513" s="565"/>
      <c r="W513" s="565"/>
      <c r="X513" s="565"/>
    </row>
    <row r="514" spans="12:24" x14ac:dyDescent="0.25">
      <c r="L514" s="565"/>
      <c r="M514" s="565"/>
      <c r="N514" s="565"/>
      <c r="O514" s="565"/>
      <c r="P514" s="565"/>
      <c r="Q514" s="565"/>
      <c r="R514" s="565"/>
      <c r="S514" s="651"/>
      <c r="T514" s="651"/>
      <c r="U514" s="565"/>
      <c r="V514" s="565"/>
      <c r="W514" s="565"/>
      <c r="X514" s="565"/>
    </row>
    <row r="515" spans="12:24" x14ac:dyDescent="0.25">
      <c r="L515" s="565"/>
      <c r="M515" s="565"/>
      <c r="N515" s="565"/>
      <c r="O515" s="565"/>
      <c r="P515" s="565"/>
      <c r="Q515" s="565"/>
      <c r="R515" s="565"/>
      <c r="S515" s="651"/>
      <c r="T515" s="651"/>
      <c r="U515" s="565"/>
      <c r="V515" s="565"/>
      <c r="W515" s="565"/>
      <c r="X515" s="565"/>
    </row>
    <row r="516" spans="12:24" x14ac:dyDescent="0.25">
      <c r="L516" s="565"/>
      <c r="M516" s="565"/>
      <c r="N516" s="565"/>
      <c r="O516" s="565"/>
      <c r="P516" s="565"/>
      <c r="Q516" s="565"/>
      <c r="R516" s="565"/>
      <c r="S516" s="651"/>
      <c r="T516" s="651"/>
      <c r="U516" s="565"/>
      <c r="V516" s="565"/>
      <c r="W516" s="565"/>
      <c r="X516" s="565"/>
    </row>
    <row r="517" spans="12:24" x14ac:dyDescent="0.25">
      <c r="L517" s="565"/>
      <c r="M517" s="565"/>
      <c r="N517" s="565"/>
      <c r="O517" s="565"/>
      <c r="P517" s="565"/>
      <c r="Q517" s="565"/>
      <c r="R517" s="565"/>
      <c r="S517" s="651"/>
      <c r="T517" s="651"/>
      <c r="U517" s="565"/>
      <c r="V517" s="565"/>
      <c r="W517" s="565"/>
      <c r="X517" s="565"/>
    </row>
    <row r="518" spans="12:24" x14ac:dyDescent="0.25">
      <c r="L518" s="565"/>
      <c r="M518" s="565"/>
      <c r="N518" s="565"/>
      <c r="O518" s="565"/>
      <c r="P518" s="565"/>
      <c r="Q518" s="565"/>
      <c r="R518" s="565"/>
      <c r="S518" s="651"/>
      <c r="T518" s="651"/>
      <c r="U518" s="565"/>
      <c r="V518" s="565"/>
      <c r="W518" s="565"/>
      <c r="X518" s="565"/>
    </row>
    <row r="519" spans="12:24" x14ac:dyDescent="0.25">
      <c r="L519" s="565"/>
      <c r="M519" s="565"/>
      <c r="N519" s="565"/>
      <c r="O519" s="565"/>
      <c r="P519" s="565"/>
      <c r="Q519" s="565"/>
      <c r="R519" s="565"/>
      <c r="S519" s="651"/>
      <c r="T519" s="651"/>
      <c r="U519" s="565"/>
      <c r="V519" s="565"/>
      <c r="W519" s="565"/>
      <c r="X519" s="565"/>
    </row>
    <row r="520" spans="12:24" x14ac:dyDescent="0.25">
      <c r="L520" s="565"/>
      <c r="M520" s="565"/>
      <c r="N520" s="565"/>
      <c r="O520" s="565"/>
      <c r="P520" s="565"/>
      <c r="Q520" s="565"/>
      <c r="R520" s="565"/>
      <c r="S520" s="651"/>
      <c r="T520" s="651"/>
      <c r="U520" s="565"/>
      <c r="V520" s="565"/>
      <c r="W520" s="565"/>
      <c r="X520" s="565"/>
    </row>
    <row r="521" spans="12:24" x14ac:dyDescent="0.25">
      <c r="L521" s="565"/>
      <c r="M521" s="565"/>
      <c r="N521" s="565"/>
      <c r="O521" s="565"/>
      <c r="P521" s="565"/>
      <c r="Q521" s="565"/>
      <c r="R521" s="565"/>
      <c r="S521" s="651"/>
      <c r="T521" s="651"/>
      <c r="U521" s="565"/>
      <c r="V521" s="565"/>
      <c r="W521" s="565"/>
      <c r="X521" s="565"/>
    </row>
    <row r="522" spans="12:24" x14ac:dyDescent="0.25">
      <c r="L522" s="565"/>
      <c r="M522" s="565"/>
      <c r="N522" s="565"/>
      <c r="O522" s="565"/>
      <c r="P522" s="565"/>
      <c r="Q522" s="565"/>
      <c r="R522" s="565"/>
      <c r="S522" s="651"/>
      <c r="T522" s="651"/>
      <c r="U522" s="565"/>
      <c r="V522" s="565"/>
      <c r="W522" s="565"/>
      <c r="X522" s="565"/>
    </row>
    <row r="523" spans="12:24" x14ac:dyDescent="0.25">
      <c r="L523" s="565"/>
      <c r="M523" s="565"/>
      <c r="N523" s="565"/>
      <c r="O523" s="565"/>
      <c r="P523" s="565"/>
      <c r="Q523" s="565"/>
      <c r="R523" s="565"/>
      <c r="S523" s="651"/>
      <c r="T523" s="651"/>
      <c r="U523" s="565"/>
      <c r="V523" s="565"/>
      <c r="W523" s="565"/>
      <c r="X523" s="565"/>
    </row>
    <row r="524" spans="12:24" x14ac:dyDescent="0.25">
      <c r="L524" s="565"/>
      <c r="M524" s="565"/>
      <c r="N524" s="565"/>
      <c r="O524" s="565"/>
      <c r="P524" s="565"/>
      <c r="Q524" s="565"/>
      <c r="R524" s="565"/>
      <c r="S524" s="651"/>
      <c r="T524" s="651"/>
      <c r="U524" s="565"/>
      <c r="V524" s="565"/>
      <c r="W524" s="565"/>
      <c r="X524" s="565"/>
    </row>
    <row r="525" spans="12:24" x14ac:dyDescent="0.25">
      <c r="L525" s="565"/>
      <c r="M525" s="565"/>
      <c r="N525" s="565"/>
      <c r="O525" s="565"/>
      <c r="P525" s="565"/>
      <c r="Q525" s="565"/>
      <c r="R525" s="565"/>
      <c r="S525" s="651"/>
      <c r="T525" s="651"/>
      <c r="U525" s="565"/>
      <c r="V525" s="565"/>
      <c r="W525" s="565"/>
      <c r="X525" s="565"/>
    </row>
    <row r="526" spans="12:24" x14ac:dyDescent="0.25">
      <c r="L526" s="565"/>
      <c r="M526" s="565"/>
      <c r="N526" s="565"/>
      <c r="O526" s="565"/>
      <c r="P526" s="565"/>
      <c r="Q526" s="565"/>
      <c r="R526" s="565"/>
      <c r="S526" s="651"/>
      <c r="T526" s="651"/>
      <c r="U526" s="565"/>
      <c r="V526" s="565"/>
      <c r="W526" s="565"/>
      <c r="X526" s="565"/>
    </row>
    <row r="527" spans="12:24" x14ac:dyDescent="0.25">
      <c r="L527" s="565"/>
      <c r="M527" s="565"/>
      <c r="N527" s="565"/>
      <c r="O527" s="565"/>
      <c r="P527" s="565"/>
      <c r="Q527" s="565"/>
      <c r="R527" s="565"/>
      <c r="S527" s="651"/>
      <c r="T527" s="651"/>
      <c r="U527" s="565"/>
      <c r="V527" s="565"/>
      <c r="W527" s="565"/>
      <c r="X527" s="565"/>
    </row>
    <row r="528" spans="12:24" x14ac:dyDescent="0.25">
      <c r="L528" s="565"/>
      <c r="M528" s="565"/>
      <c r="N528" s="565"/>
      <c r="O528" s="565"/>
      <c r="P528" s="565"/>
      <c r="Q528" s="565"/>
      <c r="R528" s="565"/>
      <c r="S528" s="651"/>
      <c r="T528" s="651"/>
      <c r="U528" s="565"/>
      <c r="V528" s="565"/>
      <c r="W528" s="565"/>
      <c r="X528" s="565"/>
    </row>
    <row r="529" spans="12:24" x14ac:dyDescent="0.25">
      <c r="L529" s="565"/>
      <c r="M529" s="565"/>
      <c r="N529" s="565"/>
      <c r="O529" s="565"/>
      <c r="P529" s="565"/>
      <c r="Q529" s="565"/>
      <c r="R529" s="565"/>
      <c r="S529" s="651"/>
      <c r="T529" s="651"/>
      <c r="U529" s="565"/>
      <c r="V529" s="565"/>
      <c r="W529" s="565"/>
      <c r="X529" s="565"/>
    </row>
    <row r="530" spans="12:24" x14ac:dyDescent="0.25">
      <c r="L530" s="565"/>
      <c r="M530" s="565"/>
      <c r="N530" s="565"/>
      <c r="O530" s="565"/>
      <c r="P530" s="565"/>
      <c r="Q530" s="565"/>
      <c r="R530" s="565"/>
      <c r="S530" s="651"/>
      <c r="T530" s="651"/>
      <c r="U530" s="565"/>
      <c r="V530" s="565"/>
      <c r="W530" s="565"/>
      <c r="X530" s="565"/>
    </row>
    <row r="531" spans="12:24" x14ac:dyDescent="0.25">
      <c r="L531" s="565"/>
      <c r="M531" s="565"/>
      <c r="N531" s="565"/>
      <c r="O531" s="565"/>
      <c r="P531" s="565"/>
      <c r="Q531" s="565"/>
      <c r="R531" s="565"/>
      <c r="S531" s="651"/>
      <c r="T531" s="651"/>
      <c r="U531" s="565"/>
      <c r="V531" s="565"/>
      <c r="W531" s="565"/>
      <c r="X531" s="565"/>
    </row>
    <row r="532" spans="12:24" x14ac:dyDescent="0.25">
      <c r="L532" s="565"/>
      <c r="M532" s="565"/>
      <c r="N532" s="565"/>
      <c r="O532" s="565"/>
      <c r="P532" s="565"/>
      <c r="Q532" s="565"/>
      <c r="R532" s="565"/>
      <c r="S532" s="651"/>
      <c r="T532" s="651"/>
      <c r="U532" s="565"/>
      <c r="V532" s="565"/>
      <c r="W532" s="565"/>
      <c r="X532" s="565"/>
    </row>
    <row r="533" spans="12:24" x14ac:dyDescent="0.25">
      <c r="L533" s="565"/>
      <c r="M533" s="565"/>
      <c r="N533" s="565"/>
      <c r="O533" s="565"/>
      <c r="P533" s="565"/>
      <c r="Q533" s="565"/>
      <c r="R533" s="565"/>
      <c r="S533" s="651"/>
      <c r="T533" s="651"/>
      <c r="U533" s="565"/>
      <c r="V533" s="565"/>
      <c r="W533" s="565"/>
      <c r="X533" s="565"/>
    </row>
    <row r="534" spans="12:24" x14ac:dyDescent="0.25">
      <c r="L534" s="565"/>
      <c r="M534" s="565"/>
      <c r="N534" s="565"/>
      <c r="O534" s="565"/>
      <c r="P534" s="565"/>
      <c r="Q534" s="565"/>
      <c r="R534" s="565"/>
      <c r="S534" s="651"/>
      <c r="T534" s="651"/>
      <c r="U534" s="565"/>
      <c r="V534" s="565"/>
      <c r="W534" s="565"/>
      <c r="X534" s="565"/>
    </row>
    <row r="535" spans="12:24" x14ac:dyDescent="0.25">
      <c r="L535" s="565"/>
      <c r="M535" s="565"/>
      <c r="N535" s="565"/>
      <c r="O535" s="565"/>
      <c r="P535" s="565"/>
      <c r="Q535" s="565"/>
      <c r="R535" s="565"/>
      <c r="S535" s="651"/>
      <c r="T535" s="651"/>
      <c r="U535" s="565"/>
      <c r="V535" s="565"/>
      <c r="W535" s="565"/>
      <c r="X535" s="565"/>
    </row>
    <row r="536" spans="12:24" x14ac:dyDescent="0.25">
      <c r="L536" s="565"/>
      <c r="M536" s="565"/>
      <c r="N536" s="565"/>
      <c r="O536" s="565"/>
      <c r="P536" s="565"/>
      <c r="Q536" s="565"/>
      <c r="R536" s="565"/>
      <c r="S536" s="651"/>
      <c r="T536" s="651"/>
      <c r="U536" s="565"/>
      <c r="V536" s="565"/>
      <c r="W536" s="565"/>
      <c r="X536" s="565"/>
    </row>
    <row r="537" spans="12:24" x14ac:dyDescent="0.25">
      <c r="L537" s="565"/>
      <c r="M537" s="565"/>
      <c r="N537" s="565"/>
      <c r="O537" s="565"/>
      <c r="P537" s="565"/>
      <c r="Q537" s="565"/>
      <c r="R537" s="565"/>
      <c r="S537" s="651"/>
      <c r="T537" s="651"/>
      <c r="U537" s="565"/>
      <c r="V537" s="565"/>
      <c r="W537" s="565"/>
      <c r="X537" s="565"/>
    </row>
    <row r="538" spans="12:24" x14ac:dyDescent="0.25">
      <c r="L538" s="565"/>
      <c r="M538" s="565"/>
      <c r="N538" s="565"/>
      <c r="O538" s="565"/>
      <c r="P538" s="565"/>
      <c r="Q538" s="565"/>
      <c r="R538" s="565"/>
      <c r="S538" s="651"/>
      <c r="T538" s="651"/>
      <c r="U538" s="565"/>
      <c r="V538" s="565"/>
      <c r="W538" s="565"/>
      <c r="X538" s="565"/>
    </row>
    <row r="539" spans="12:24" x14ac:dyDescent="0.25">
      <c r="L539" s="565"/>
      <c r="M539" s="565"/>
      <c r="N539" s="565"/>
      <c r="O539" s="565"/>
      <c r="P539" s="565"/>
      <c r="Q539" s="565"/>
      <c r="R539" s="565"/>
      <c r="S539" s="651"/>
      <c r="T539" s="651"/>
      <c r="U539" s="565"/>
      <c r="V539" s="565"/>
      <c r="W539" s="565"/>
      <c r="X539" s="565"/>
    </row>
    <row r="540" spans="12:24" x14ac:dyDescent="0.25">
      <c r="L540" s="565"/>
      <c r="M540" s="565"/>
      <c r="N540" s="565"/>
      <c r="O540" s="565"/>
      <c r="P540" s="565"/>
      <c r="Q540" s="565"/>
      <c r="R540" s="565"/>
      <c r="S540" s="651"/>
      <c r="T540" s="651"/>
      <c r="U540" s="565"/>
      <c r="V540" s="565"/>
      <c r="W540" s="565"/>
      <c r="X540" s="565"/>
    </row>
    <row r="541" spans="12:24" x14ac:dyDescent="0.25">
      <c r="L541" s="565"/>
      <c r="M541" s="565"/>
      <c r="N541" s="565"/>
      <c r="O541" s="565"/>
      <c r="P541" s="565"/>
      <c r="Q541" s="565"/>
      <c r="R541" s="565"/>
      <c r="S541" s="651"/>
      <c r="T541" s="651"/>
      <c r="U541" s="565"/>
      <c r="V541" s="565"/>
      <c r="W541" s="565"/>
      <c r="X541" s="565"/>
    </row>
    <row r="542" spans="12:24" x14ac:dyDescent="0.25">
      <c r="L542" s="565"/>
      <c r="M542" s="565"/>
      <c r="N542" s="565"/>
      <c r="O542" s="565"/>
      <c r="P542" s="565"/>
      <c r="Q542" s="565"/>
      <c r="R542" s="565"/>
      <c r="S542" s="651"/>
      <c r="T542" s="651"/>
      <c r="U542" s="565"/>
      <c r="V542" s="565"/>
      <c r="W542" s="565"/>
      <c r="X542" s="565"/>
    </row>
    <row r="543" spans="12:24" x14ac:dyDescent="0.25">
      <c r="L543" s="565"/>
      <c r="M543" s="565"/>
      <c r="N543" s="565"/>
      <c r="O543" s="565"/>
      <c r="P543" s="565"/>
      <c r="Q543" s="565"/>
      <c r="R543" s="565"/>
      <c r="S543" s="651"/>
      <c r="T543" s="651"/>
      <c r="U543" s="565"/>
      <c r="V543" s="565"/>
      <c r="W543" s="565"/>
      <c r="X543" s="565"/>
    </row>
    <row r="544" spans="12:24" x14ac:dyDescent="0.25">
      <c r="L544" s="565"/>
      <c r="M544" s="565"/>
      <c r="N544" s="565"/>
      <c r="O544" s="565"/>
      <c r="P544" s="565"/>
      <c r="Q544" s="565"/>
      <c r="R544" s="565"/>
      <c r="S544" s="651"/>
      <c r="T544" s="651"/>
      <c r="U544" s="565"/>
      <c r="V544" s="565"/>
      <c r="W544" s="565"/>
      <c r="X544" s="565"/>
    </row>
    <row r="545" spans="12:24" x14ac:dyDescent="0.25">
      <c r="L545" s="565"/>
      <c r="M545" s="565"/>
      <c r="N545" s="565"/>
      <c r="O545" s="565"/>
      <c r="P545" s="565"/>
      <c r="Q545" s="565"/>
      <c r="R545" s="565"/>
      <c r="S545" s="651"/>
      <c r="T545" s="651"/>
      <c r="U545" s="565"/>
      <c r="V545" s="565"/>
      <c r="W545" s="565"/>
      <c r="X545" s="565"/>
    </row>
    <row r="546" spans="12:24" x14ac:dyDescent="0.25">
      <c r="L546" s="565"/>
      <c r="M546" s="565"/>
      <c r="N546" s="565"/>
      <c r="O546" s="565"/>
      <c r="P546" s="565"/>
      <c r="Q546" s="565"/>
      <c r="R546" s="565"/>
      <c r="S546" s="651"/>
      <c r="T546" s="651"/>
      <c r="U546" s="565"/>
      <c r="V546" s="565"/>
      <c r="W546" s="565"/>
      <c r="X546" s="565"/>
    </row>
    <row r="547" spans="12:24" x14ac:dyDescent="0.25">
      <c r="L547" s="565"/>
      <c r="M547" s="565"/>
      <c r="N547" s="565"/>
      <c r="O547" s="565"/>
      <c r="P547" s="565"/>
      <c r="Q547" s="565"/>
      <c r="R547" s="565"/>
      <c r="S547" s="651"/>
      <c r="T547" s="651"/>
      <c r="U547" s="565"/>
      <c r="V547" s="565"/>
      <c r="W547" s="565"/>
      <c r="X547" s="565"/>
    </row>
    <row r="548" spans="12:24" x14ac:dyDescent="0.25">
      <c r="L548" s="565"/>
      <c r="M548" s="565"/>
      <c r="N548" s="565"/>
      <c r="O548" s="565"/>
      <c r="P548" s="565"/>
      <c r="Q548" s="565"/>
      <c r="R548" s="565"/>
      <c r="S548" s="651"/>
      <c r="T548" s="651"/>
      <c r="U548" s="565"/>
      <c r="V548" s="565"/>
      <c r="W548" s="565"/>
      <c r="X548" s="565"/>
    </row>
    <row r="549" spans="12:24" x14ac:dyDescent="0.25">
      <c r="L549" s="565"/>
      <c r="M549" s="565"/>
      <c r="N549" s="565"/>
      <c r="O549" s="565"/>
      <c r="P549" s="565"/>
      <c r="Q549" s="565"/>
      <c r="R549" s="565"/>
      <c r="S549" s="651"/>
      <c r="T549" s="651"/>
      <c r="U549" s="565"/>
      <c r="V549" s="565"/>
      <c r="W549" s="565"/>
      <c r="X549" s="565"/>
    </row>
    <row r="550" spans="12:24" x14ac:dyDescent="0.25">
      <c r="L550" s="565"/>
      <c r="M550" s="565"/>
      <c r="N550" s="565"/>
      <c r="O550" s="565"/>
      <c r="P550" s="565"/>
      <c r="Q550" s="565"/>
      <c r="R550" s="565"/>
      <c r="S550" s="651"/>
      <c r="T550" s="651"/>
      <c r="U550" s="565"/>
      <c r="V550" s="565"/>
      <c r="W550" s="565"/>
      <c r="X550" s="565"/>
    </row>
    <row r="551" spans="12:24" x14ac:dyDescent="0.25">
      <c r="L551" s="565"/>
      <c r="M551" s="565"/>
      <c r="N551" s="565"/>
      <c r="O551" s="565"/>
      <c r="P551" s="565"/>
      <c r="Q551" s="565"/>
      <c r="R551" s="565"/>
      <c r="S551" s="651"/>
      <c r="T551" s="651"/>
      <c r="U551" s="565"/>
      <c r="V551" s="565"/>
      <c r="W551" s="565"/>
      <c r="X551" s="565"/>
    </row>
    <row r="552" spans="12:24" x14ac:dyDescent="0.25">
      <c r="L552" s="565"/>
      <c r="M552" s="565"/>
      <c r="N552" s="565"/>
      <c r="O552" s="565"/>
      <c r="P552" s="565"/>
      <c r="Q552" s="565"/>
      <c r="R552" s="565"/>
      <c r="S552" s="651"/>
      <c r="T552" s="651"/>
      <c r="U552" s="565"/>
      <c r="V552" s="565"/>
      <c r="W552" s="565"/>
      <c r="X552" s="565"/>
    </row>
    <row r="553" spans="12:24" x14ac:dyDescent="0.25">
      <c r="L553" s="565"/>
      <c r="M553" s="565"/>
      <c r="N553" s="565"/>
      <c r="O553" s="565"/>
      <c r="P553" s="565"/>
      <c r="Q553" s="565"/>
      <c r="R553" s="565"/>
      <c r="S553" s="651"/>
      <c r="T553" s="651"/>
      <c r="U553" s="565"/>
      <c r="V553" s="565"/>
      <c r="W553" s="565"/>
      <c r="X553" s="565"/>
    </row>
    <row r="554" spans="12:24" x14ac:dyDescent="0.25">
      <c r="L554" s="565"/>
      <c r="M554" s="565"/>
      <c r="N554" s="565"/>
      <c r="O554" s="565"/>
      <c r="P554" s="565"/>
      <c r="Q554" s="565"/>
      <c r="R554" s="565"/>
      <c r="S554" s="651"/>
      <c r="T554" s="651"/>
      <c r="U554" s="565"/>
      <c r="V554" s="565"/>
      <c r="W554" s="565"/>
      <c r="X554" s="565"/>
    </row>
    <row r="555" spans="12:24" x14ac:dyDescent="0.25">
      <c r="L555" s="565"/>
      <c r="M555" s="565"/>
      <c r="N555" s="565"/>
      <c r="O555" s="565"/>
      <c r="P555" s="565"/>
      <c r="Q555" s="565"/>
      <c r="R555" s="565"/>
      <c r="S555" s="651"/>
      <c r="T555" s="651"/>
      <c r="U555" s="565"/>
      <c r="V555" s="565"/>
      <c r="W555" s="565"/>
      <c r="X555" s="565"/>
    </row>
    <row r="556" spans="12:24" x14ac:dyDescent="0.25">
      <c r="L556" s="565"/>
      <c r="M556" s="565"/>
      <c r="N556" s="565"/>
      <c r="O556" s="565"/>
      <c r="P556" s="565"/>
      <c r="Q556" s="565"/>
      <c r="R556" s="565"/>
      <c r="S556" s="651"/>
      <c r="T556" s="651"/>
      <c r="U556" s="565"/>
      <c r="V556" s="565"/>
      <c r="W556" s="565"/>
      <c r="X556" s="565"/>
    </row>
    <row r="557" spans="12:24" x14ac:dyDescent="0.25">
      <c r="L557" s="565"/>
      <c r="M557" s="565"/>
      <c r="N557" s="565"/>
      <c r="O557" s="565"/>
      <c r="P557" s="565"/>
      <c r="Q557" s="565"/>
      <c r="R557" s="565"/>
      <c r="S557" s="651"/>
      <c r="T557" s="651"/>
      <c r="U557" s="565"/>
      <c r="V557" s="565"/>
      <c r="W557" s="565"/>
      <c r="X557" s="565"/>
    </row>
    <row r="558" spans="12:24" x14ac:dyDescent="0.25">
      <c r="L558" s="565"/>
      <c r="M558" s="565"/>
      <c r="N558" s="565"/>
      <c r="O558" s="565"/>
      <c r="P558" s="565"/>
      <c r="Q558" s="565"/>
      <c r="R558" s="565"/>
      <c r="S558" s="651"/>
      <c r="T558" s="651"/>
      <c r="U558" s="565"/>
      <c r="V558" s="565"/>
      <c r="W558" s="565"/>
      <c r="X558" s="565"/>
    </row>
    <row r="559" spans="12:24" x14ac:dyDescent="0.25">
      <c r="L559" s="565"/>
      <c r="M559" s="565"/>
      <c r="N559" s="565"/>
      <c r="O559" s="565"/>
      <c r="P559" s="565"/>
      <c r="Q559" s="565"/>
      <c r="R559" s="565"/>
      <c r="S559" s="651"/>
      <c r="T559" s="651"/>
      <c r="U559" s="565"/>
      <c r="V559" s="565"/>
      <c r="W559" s="565"/>
      <c r="X559" s="565"/>
    </row>
    <row r="560" spans="12:24" x14ac:dyDescent="0.25">
      <c r="L560" s="565"/>
      <c r="M560" s="565"/>
      <c r="N560" s="565"/>
      <c r="O560" s="565"/>
      <c r="P560" s="565"/>
      <c r="Q560" s="565"/>
      <c r="R560" s="565"/>
      <c r="S560" s="651"/>
      <c r="T560" s="651"/>
      <c r="U560" s="565"/>
      <c r="V560" s="565"/>
      <c r="W560" s="565"/>
      <c r="X560" s="565"/>
    </row>
    <row r="561" spans="12:24" x14ac:dyDescent="0.25">
      <c r="L561" s="565"/>
      <c r="M561" s="565"/>
      <c r="N561" s="565"/>
      <c r="O561" s="565"/>
      <c r="P561" s="565"/>
      <c r="Q561" s="565"/>
      <c r="R561" s="565"/>
      <c r="S561" s="651"/>
      <c r="T561" s="651"/>
      <c r="U561" s="565"/>
      <c r="V561" s="565"/>
      <c r="W561" s="565"/>
      <c r="X561" s="565"/>
    </row>
    <row r="562" spans="12:24" x14ac:dyDescent="0.25">
      <c r="L562" s="565"/>
      <c r="M562" s="565"/>
      <c r="N562" s="565"/>
      <c r="O562" s="565"/>
      <c r="P562" s="565"/>
      <c r="Q562" s="565"/>
      <c r="R562" s="565"/>
      <c r="S562" s="651"/>
      <c r="T562" s="651"/>
      <c r="U562" s="565"/>
      <c r="V562" s="565"/>
      <c r="W562" s="565"/>
      <c r="X562" s="565"/>
    </row>
    <row r="563" spans="12:24" x14ac:dyDescent="0.25">
      <c r="L563" s="565"/>
      <c r="M563" s="565"/>
      <c r="N563" s="565"/>
      <c r="O563" s="565"/>
      <c r="P563" s="565"/>
      <c r="Q563" s="565"/>
      <c r="R563" s="565"/>
      <c r="S563" s="651"/>
      <c r="T563" s="651"/>
      <c r="U563" s="565"/>
      <c r="V563" s="565"/>
      <c r="W563" s="565"/>
      <c r="X563" s="565"/>
    </row>
    <row r="564" spans="12:24" x14ac:dyDescent="0.25">
      <c r="L564" s="565"/>
      <c r="M564" s="565"/>
      <c r="N564" s="565"/>
      <c r="O564" s="565"/>
      <c r="P564" s="565"/>
      <c r="Q564" s="565"/>
      <c r="R564" s="565"/>
      <c r="S564" s="651"/>
      <c r="T564" s="651"/>
      <c r="U564" s="565"/>
      <c r="V564" s="565"/>
      <c r="W564" s="565"/>
      <c r="X564" s="565"/>
    </row>
    <row r="565" spans="12:24" x14ac:dyDescent="0.25">
      <c r="L565" s="565"/>
      <c r="M565" s="565"/>
      <c r="N565" s="565"/>
      <c r="O565" s="565"/>
      <c r="P565" s="565"/>
      <c r="Q565" s="565"/>
      <c r="R565" s="565"/>
      <c r="S565" s="651"/>
      <c r="T565" s="651"/>
      <c r="U565" s="565"/>
      <c r="V565" s="565"/>
      <c r="W565" s="565"/>
      <c r="X565" s="565"/>
    </row>
    <row r="566" spans="12:24" x14ac:dyDescent="0.25">
      <c r="L566" s="565"/>
      <c r="M566" s="565"/>
      <c r="N566" s="565"/>
      <c r="O566" s="565"/>
      <c r="P566" s="565"/>
      <c r="Q566" s="565"/>
      <c r="R566" s="565"/>
      <c r="S566" s="651"/>
      <c r="T566" s="651"/>
      <c r="U566" s="565"/>
      <c r="V566" s="565"/>
      <c r="W566" s="565"/>
      <c r="X566" s="565"/>
    </row>
    <row r="567" spans="12:24" x14ac:dyDescent="0.25">
      <c r="L567" s="565"/>
      <c r="M567" s="565"/>
      <c r="N567" s="565"/>
      <c r="O567" s="565"/>
      <c r="P567" s="565"/>
      <c r="Q567" s="565"/>
      <c r="R567" s="565"/>
      <c r="S567" s="651"/>
      <c r="T567" s="651"/>
      <c r="U567" s="565"/>
      <c r="V567" s="565"/>
      <c r="W567" s="565"/>
      <c r="X567" s="565"/>
    </row>
    <row r="568" spans="12:24" x14ac:dyDescent="0.25">
      <c r="L568" s="565"/>
      <c r="M568" s="565"/>
      <c r="N568" s="565"/>
      <c r="O568" s="565"/>
      <c r="P568" s="565"/>
      <c r="Q568" s="565"/>
      <c r="R568" s="565"/>
      <c r="S568" s="651"/>
      <c r="T568" s="651"/>
      <c r="U568" s="565"/>
      <c r="V568" s="565"/>
      <c r="W568" s="565"/>
      <c r="X568" s="565"/>
    </row>
    <row r="569" spans="12:24" x14ac:dyDescent="0.25">
      <c r="L569" s="565"/>
      <c r="M569" s="565"/>
      <c r="N569" s="565"/>
      <c r="O569" s="565"/>
      <c r="P569" s="565"/>
      <c r="Q569" s="565"/>
      <c r="R569" s="565"/>
      <c r="S569" s="651"/>
      <c r="T569" s="651"/>
      <c r="U569" s="565"/>
      <c r="V569" s="565"/>
      <c r="W569" s="565"/>
      <c r="X569" s="565"/>
    </row>
    <row r="570" spans="12:24" x14ac:dyDescent="0.25">
      <c r="L570" s="565"/>
      <c r="M570" s="565"/>
      <c r="N570" s="565"/>
      <c r="O570" s="565"/>
      <c r="P570" s="565"/>
      <c r="Q570" s="565"/>
      <c r="R570" s="565"/>
      <c r="S570" s="651"/>
      <c r="T570" s="651"/>
      <c r="U570" s="565"/>
      <c r="V570" s="565"/>
      <c r="W570" s="565"/>
      <c r="X570" s="565"/>
    </row>
    <row r="571" spans="12:24" x14ac:dyDescent="0.25">
      <c r="L571" s="565"/>
      <c r="M571" s="565"/>
      <c r="N571" s="565"/>
      <c r="O571" s="565"/>
      <c r="P571" s="565"/>
      <c r="Q571" s="565"/>
      <c r="R571" s="565"/>
      <c r="S571" s="651"/>
      <c r="T571" s="651"/>
      <c r="U571" s="565"/>
      <c r="V571" s="565"/>
      <c r="W571" s="565"/>
      <c r="X571" s="565"/>
    </row>
    <row r="572" spans="12:24" x14ac:dyDescent="0.25">
      <c r="L572" s="565"/>
      <c r="M572" s="565"/>
      <c r="N572" s="565"/>
      <c r="O572" s="565"/>
      <c r="P572" s="565"/>
      <c r="Q572" s="565"/>
      <c r="R572" s="565"/>
      <c r="S572" s="651"/>
      <c r="T572" s="651"/>
      <c r="U572" s="565"/>
      <c r="V572" s="565"/>
      <c r="W572" s="565"/>
      <c r="X572" s="565"/>
    </row>
    <row r="573" spans="12:24" x14ac:dyDescent="0.25">
      <c r="L573" s="565"/>
      <c r="M573" s="565"/>
      <c r="N573" s="565"/>
      <c r="O573" s="565"/>
      <c r="P573" s="565"/>
      <c r="Q573" s="565"/>
      <c r="R573" s="565"/>
      <c r="S573" s="651"/>
      <c r="T573" s="651"/>
      <c r="U573" s="565"/>
      <c r="V573" s="565"/>
      <c r="W573" s="565"/>
      <c r="X573" s="565"/>
    </row>
    <row r="574" spans="12:24" x14ac:dyDescent="0.25">
      <c r="L574" s="565"/>
      <c r="M574" s="565"/>
      <c r="N574" s="565"/>
      <c r="O574" s="565"/>
      <c r="P574" s="565"/>
      <c r="Q574" s="565"/>
      <c r="R574" s="565"/>
      <c r="S574" s="651"/>
      <c r="T574" s="651"/>
      <c r="U574" s="565"/>
      <c r="V574" s="565"/>
      <c r="W574" s="565"/>
      <c r="X574" s="565"/>
    </row>
    <row r="575" spans="12:24" x14ac:dyDescent="0.25">
      <c r="L575" s="565"/>
      <c r="M575" s="565"/>
      <c r="N575" s="565"/>
      <c r="O575" s="565"/>
      <c r="P575" s="565"/>
      <c r="Q575" s="565"/>
      <c r="R575" s="565"/>
      <c r="S575" s="651"/>
      <c r="T575" s="651"/>
      <c r="U575" s="565"/>
      <c r="V575" s="565"/>
      <c r="W575" s="565"/>
      <c r="X575" s="565"/>
    </row>
    <row r="576" spans="12:24" x14ac:dyDescent="0.25">
      <c r="L576" s="565"/>
      <c r="M576" s="565"/>
      <c r="N576" s="565"/>
      <c r="O576" s="565"/>
      <c r="P576" s="565"/>
      <c r="Q576" s="565"/>
      <c r="R576" s="565"/>
      <c r="S576" s="651"/>
      <c r="T576" s="651"/>
      <c r="U576" s="565"/>
      <c r="V576" s="565"/>
      <c r="W576" s="565"/>
      <c r="X576" s="565"/>
    </row>
    <row r="577" spans="12:24" x14ac:dyDescent="0.25">
      <c r="L577" s="565"/>
      <c r="M577" s="565"/>
      <c r="N577" s="565"/>
      <c r="O577" s="565"/>
      <c r="P577" s="565"/>
      <c r="Q577" s="565"/>
      <c r="R577" s="565"/>
      <c r="S577" s="651"/>
      <c r="T577" s="651"/>
      <c r="U577" s="565"/>
      <c r="V577" s="565"/>
      <c r="W577" s="565"/>
      <c r="X577" s="565"/>
    </row>
    <row r="578" spans="12:24" x14ac:dyDescent="0.25">
      <c r="L578" s="565"/>
      <c r="M578" s="565"/>
      <c r="N578" s="565"/>
      <c r="O578" s="565"/>
      <c r="P578" s="565"/>
      <c r="Q578" s="565"/>
      <c r="R578" s="565"/>
      <c r="S578" s="651"/>
      <c r="T578" s="651"/>
      <c r="U578" s="565"/>
      <c r="V578" s="565"/>
      <c r="W578" s="565"/>
      <c r="X578" s="565"/>
    </row>
    <row r="579" spans="12:24" x14ac:dyDescent="0.25">
      <c r="L579" s="565"/>
      <c r="M579" s="565"/>
      <c r="N579" s="565"/>
      <c r="O579" s="565"/>
      <c r="P579" s="565"/>
      <c r="Q579" s="565"/>
      <c r="R579" s="565"/>
      <c r="S579" s="651"/>
      <c r="T579" s="651"/>
      <c r="U579" s="565"/>
      <c r="V579" s="565"/>
      <c r="W579" s="565"/>
      <c r="X579" s="565"/>
    </row>
    <row r="580" spans="12:24" x14ac:dyDescent="0.25">
      <c r="L580" s="565"/>
      <c r="M580" s="565"/>
      <c r="N580" s="565"/>
      <c r="O580" s="565"/>
      <c r="P580" s="565"/>
      <c r="Q580" s="565"/>
      <c r="R580" s="565"/>
      <c r="S580" s="651"/>
      <c r="T580" s="651"/>
      <c r="U580" s="565"/>
      <c r="V580" s="565"/>
      <c r="W580" s="565"/>
      <c r="X580" s="565"/>
    </row>
    <row r="581" spans="12:24" x14ac:dyDescent="0.25">
      <c r="L581" s="565"/>
      <c r="M581" s="565"/>
      <c r="N581" s="565"/>
      <c r="O581" s="565"/>
      <c r="P581" s="565"/>
      <c r="Q581" s="565"/>
      <c r="R581" s="565"/>
      <c r="S581" s="651"/>
      <c r="T581" s="651"/>
      <c r="U581" s="565"/>
      <c r="V581" s="565"/>
      <c r="W581" s="565"/>
      <c r="X581" s="565"/>
    </row>
    <row r="582" spans="12:24" x14ac:dyDescent="0.25">
      <c r="L582" s="565"/>
      <c r="M582" s="565"/>
      <c r="N582" s="565"/>
      <c r="O582" s="565"/>
      <c r="P582" s="565"/>
      <c r="Q582" s="565"/>
      <c r="R582" s="565"/>
      <c r="S582" s="651"/>
      <c r="T582" s="651"/>
      <c r="U582" s="565"/>
      <c r="V582" s="565"/>
      <c r="W582" s="565"/>
      <c r="X582" s="565"/>
    </row>
    <row r="583" spans="12:24" x14ac:dyDescent="0.25">
      <c r="L583" s="565"/>
      <c r="M583" s="565"/>
      <c r="N583" s="565"/>
      <c r="O583" s="565"/>
      <c r="P583" s="565"/>
      <c r="Q583" s="565"/>
      <c r="R583" s="565"/>
      <c r="S583" s="651"/>
      <c r="T583" s="651"/>
      <c r="U583" s="565"/>
      <c r="V583" s="565"/>
      <c r="W583" s="565"/>
      <c r="X583" s="565"/>
    </row>
    <row r="584" spans="12:24" x14ac:dyDescent="0.25">
      <c r="L584" s="565"/>
      <c r="M584" s="565"/>
      <c r="N584" s="565"/>
      <c r="O584" s="565"/>
      <c r="P584" s="565"/>
      <c r="Q584" s="565"/>
      <c r="R584" s="565"/>
      <c r="S584" s="651"/>
      <c r="T584" s="651"/>
      <c r="U584" s="565"/>
      <c r="V584" s="565"/>
      <c r="W584" s="565"/>
      <c r="X584" s="565"/>
    </row>
    <row r="585" spans="12:24" x14ac:dyDescent="0.25">
      <c r="L585" s="565"/>
      <c r="M585" s="565"/>
      <c r="N585" s="565"/>
      <c r="O585" s="565"/>
      <c r="P585" s="565"/>
      <c r="Q585" s="565"/>
      <c r="R585" s="565"/>
      <c r="S585" s="651"/>
      <c r="T585" s="651"/>
      <c r="U585" s="565"/>
      <c r="V585" s="565"/>
      <c r="W585" s="565"/>
      <c r="X585" s="565"/>
    </row>
    <row r="586" spans="12:24" x14ac:dyDescent="0.25">
      <c r="L586" s="565"/>
      <c r="M586" s="565"/>
      <c r="N586" s="565"/>
      <c r="O586" s="565"/>
      <c r="P586" s="565"/>
      <c r="Q586" s="565"/>
      <c r="R586" s="565"/>
      <c r="S586" s="651"/>
      <c r="T586" s="651"/>
      <c r="U586" s="565"/>
      <c r="V586" s="565"/>
      <c r="W586" s="565"/>
      <c r="X586" s="565"/>
    </row>
    <row r="587" spans="12:24" x14ac:dyDescent="0.25">
      <c r="L587" s="565"/>
      <c r="M587" s="565"/>
      <c r="N587" s="565"/>
      <c r="O587" s="565"/>
      <c r="P587" s="565"/>
      <c r="Q587" s="565"/>
      <c r="R587" s="565"/>
      <c r="S587" s="651"/>
      <c r="T587" s="651"/>
      <c r="U587" s="565"/>
      <c r="V587" s="565"/>
      <c r="W587" s="565"/>
      <c r="X587" s="565"/>
    </row>
    <row r="588" spans="12:24" x14ac:dyDescent="0.25">
      <c r="L588" s="565"/>
      <c r="M588" s="565"/>
      <c r="N588" s="565"/>
      <c r="O588" s="565"/>
      <c r="P588" s="565"/>
      <c r="Q588" s="565"/>
      <c r="R588" s="565"/>
      <c r="S588" s="651"/>
      <c r="T588" s="651"/>
      <c r="U588" s="565"/>
      <c r="V588" s="565"/>
      <c r="W588" s="565"/>
      <c r="X588" s="565"/>
    </row>
    <row r="589" spans="12:24" x14ac:dyDescent="0.25">
      <c r="L589" s="565"/>
      <c r="M589" s="565"/>
      <c r="N589" s="565"/>
      <c r="O589" s="565"/>
      <c r="P589" s="565"/>
      <c r="Q589" s="565"/>
      <c r="R589" s="565"/>
      <c r="S589" s="651"/>
      <c r="T589" s="651"/>
      <c r="U589" s="565"/>
      <c r="V589" s="565"/>
      <c r="W589" s="565"/>
      <c r="X589" s="565"/>
    </row>
    <row r="590" spans="12:24" x14ac:dyDescent="0.25">
      <c r="L590" s="565"/>
      <c r="M590" s="565"/>
      <c r="N590" s="565"/>
      <c r="O590" s="565"/>
      <c r="P590" s="565"/>
      <c r="Q590" s="565"/>
      <c r="R590" s="565"/>
      <c r="S590" s="651"/>
      <c r="T590" s="651"/>
      <c r="U590" s="565"/>
      <c r="V590" s="565"/>
      <c r="W590" s="565"/>
      <c r="X590" s="565"/>
    </row>
    <row r="591" spans="12:24" x14ac:dyDescent="0.25">
      <c r="L591" s="565"/>
      <c r="M591" s="565"/>
      <c r="N591" s="565"/>
      <c r="O591" s="565"/>
      <c r="P591" s="565"/>
      <c r="Q591" s="565"/>
      <c r="R591" s="565"/>
      <c r="S591" s="651"/>
      <c r="T591" s="651"/>
      <c r="U591" s="565"/>
      <c r="V591" s="565"/>
      <c r="W591" s="565"/>
      <c r="X591" s="565"/>
    </row>
    <row r="592" spans="12:24" x14ac:dyDescent="0.25">
      <c r="L592" s="565"/>
      <c r="M592" s="565"/>
      <c r="N592" s="565"/>
      <c r="O592" s="565"/>
      <c r="P592" s="565"/>
      <c r="Q592" s="565"/>
      <c r="R592" s="565"/>
      <c r="S592" s="651"/>
      <c r="T592" s="651"/>
      <c r="U592" s="565"/>
      <c r="V592" s="565"/>
      <c r="W592" s="565"/>
      <c r="X592" s="565"/>
    </row>
    <row r="593" spans="12:24" x14ac:dyDescent="0.25">
      <c r="L593" s="565"/>
      <c r="M593" s="565"/>
      <c r="N593" s="565"/>
      <c r="O593" s="565"/>
      <c r="P593" s="565"/>
      <c r="Q593" s="565"/>
      <c r="R593" s="565"/>
      <c r="S593" s="651"/>
      <c r="T593" s="651"/>
      <c r="U593" s="565"/>
      <c r="V593" s="565"/>
      <c r="W593" s="565"/>
      <c r="X593" s="565"/>
    </row>
    <row r="594" spans="12:24" x14ac:dyDescent="0.25">
      <c r="L594" s="565"/>
      <c r="M594" s="565"/>
      <c r="N594" s="565"/>
      <c r="O594" s="565"/>
      <c r="P594" s="565"/>
      <c r="Q594" s="565"/>
      <c r="R594" s="565"/>
      <c r="S594" s="651"/>
      <c r="T594" s="651"/>
      <c r="U594" s="565"/>
      <c r="V594" s="565"/>
      <c r="W594" s="565"/>
      <c r="X594" s="565"/>
    </row>
    <row r="595" spans="12:24" x14ac:dyDescent="0.25">
      <c r="L595" s="565"/>
      <c r="M595" s="565"/>
      <c r="N595" s="565"/>
      <c r="O595" s="565"/>
      <c r="P595" s="565"/>
      <c r="Q595" s="565"/>
      <c r="R595" s="565"/>
      <c r="S595" s="651"/>
      <c r="T595" s="651"/>
      <c r="U595" s="565"/>
      <c r="V595" s="565"/>
      <c r="W595" s="565"/>
      <c r="X595" s="565"/>
    </row>
    <row r="596" spans="12:24" x14ac:dyDescent="0.25">
      <c r="L596" s="565"/>
      <c r="M596" s="565"/>
      <c r="N596" s="565"/>
      <c r="O596" s="565"/>
      <c r="P596" s="565"/>
      <c r="Q596" s="565"/>
      <c r="R596" s="565"/>
      <c r="S596" s="651"/>
      <c r="T596" s="651"/>
      <c r="U596" s="565"/>
      <c r="V596" s="565"/>
      <c r="W596" s="565"/>
      <c r="X596" s="565"/>
    </row>
    <row r="597" spans="12:24" x14ac:dyDescent="0.25">
      <c r="L597" s="565"/>
      <c r="M597" s="565"/>
      <c r="N597" s="565"/>
      <c r="O597" s="565"/>
      <c r="P597" s="565"/>
      <c r="Q597" s="565"/>
      <c r="R597" s="565"/>
      <c r="S597" s="651"/>
      <c r="T597" s="651"/>
      <c r="U597" s="565"/>
      <c r="V597" s="565"/>
      <c r="W597" s="565"/>
      <c r="X597" s="565"/>
    </row>
    <row r="598" spans="12:24" x14ac:dyDescent="0.25">
      <c r="L598" s="565"/>
      <c r="M598" s="565"/>
      <c r="N598" s="565"/>
      <c r="O598" s="565"/>
      <c r="P598" s="565"/>
      <c r="Q598" s="565"/>
      <c r="R598" s="565"/>
      <c r="S598" s="651"/>
      <c r="T598" s="651"/>
      <c r="U598" s="565"/>
      <c r="V598" s="565"/>
      <c r="W598" s="565"/>
      <c r="X598" s="565"/>
    </row>
    <row r="599" spans="12:24" x14ac:dyDescent="0.25">
      <c r="L599" s="565"/>
      <c r="M599" s="565"/>
      <c r="N599" s="565"/>
      <c r="O599" s="565"/>
      <c r="P599" s="565"/>
      <c r="Q599" s="565"/>
      <c r="R599" s="565"/>
      <c r="S599" s="651"/>
      <c r="T599" s="651"/>
      <c r="U599" s="565"/>
      <c r="V599" s="565"/>
      <c r="W599" s="565"/>
      <c r="X599" s="565"/>
    </row>
    <row r="600" spans="12:24" x14ac:dyDescent="0.25">
      <c r="L600" s="565"/>
      <c r="M600" s="565"/>
      <c r="N600" s="565"/>
      <c r="O600" s="565"/>
      <c r="P600" s="565"/>
      <c r="Q600" s="565"/>
      <c r="R600" s="565"/>
      <c r="S600" s="651"/>
      <c r="T600" s="651"/>
      <c r="U600" s="565"/>
      <c r="V600" s="565"/>
      <c r="W600" s="565"/>
      <c r="X600" s="565"/>
    </row>
    <row r="601" spans="12:24" x14ac:dyDescent="0.25">
      <c r="L601" s="565"/>
      <c r="M601" s="565"/>
      <c r="N601" s="565"/>
      <c r="O601" s="565"/>
      <c r="P601" s="565"/>
      <c r="Q601" s="565"/>
      <c r="R601" s="565"/>
      <c r="S601" s="651"/>
      <c r="T601" s="651"/>
      <c r="U601" s="565"/>
      <c r="V601" s="565"/>
      <c r="W601" s="565"/>
      <c r="X601" s="565"/>
    </row>
    <row r="602" spans="12:24" x14ac:dyDescent="0.25">
      <c r="L602" s="565"/>
      <c r="M602" s="565"/>
      <c r="N602" s="565"/>
      <c r="O602" s="565"/>
      <c r="P602" s="565"/>
      <c r="Q602" s="565"/>
      <c r="R602" s="565"/>
      <c r="S602" s="651"/>
      <c r="T602" s="651"/>
      <c r="U602" s="565"/>
      <c r="V602" s="565"/>
      <c r="W602" s="565"/>
      <c r="X602" s="565"/>
    </row>
    <row r="603" spans="12:24" x14ac:dyDescent="0.25">
      <c r="L603" s="565"/>
      <c r="M603" s="565"/>
      <c r="N603" s="565"/>
      <c r="O603" s="565"/>
      <c r="P603" s="565"/>
      <c r="Q603" s="565"/>
      <c r="R603" s="565"/>
      <c r="S603" s="651"/>
      <c r="T603" s="651"/>
      <c r="U603" s="565"/>
      <c r="V603" s="565"/>
      <c r="W603" s="565"/>
      <c r="X603" s="565"/>
    </row>
    <row r="604" spans="12:24" x14ac:dyDescent="0.25">
      <c r="L604" s="565"/>
      <c r="M604" s="565"/>
      <c r="N604" s="565"/>
      <c r="O604" s="565"/>
      <c r="P604" s="565"/>
      <c r="Q604" s="565"/>
      <c r="R604" s="565"/>
      <c r="S604" s="651"/>
      <c r="T604" s="651"/>
      <c r="U604" s="565"/>
      <c r="V604" s="565"/>
      <c r="W604" s="565"/>
      <c r="X604" s="565"/>
    </row>
    <row r="605" spans="12:24" x14ac:dyDescent="0.25">
      <c r="L605" s="565"/>
      <c r="M605" s="565"/>
      <c r="N605" s="565"/>
      <c r="O605" s="565"/>
      <c r="P605" s="565"/>
      <c r="Q605" s="565"/>
      <c r="R605" s="565"/>
      <c r="S605" s="651"/>
      <c r="T605" s="651"/>
      <c r="U605" s="565"/>
      <c r="V605" s="565"/>
      <c r="W605" s="565"/>
      <c r="X605" s="565"/>
    </row>
    <row r="606" spans="12:24" x14ac:dyDescent="0.25">
      <c r="L606" s="565"/>
      <c r="M606" s="565"/>
      <c r="N606" s="565"/>
      <c r="O606" s="565"/>
      <c r="P606" s="565"/>
      <c r="Q606" s="565"/>
      <c r="R606" s="565"/>
      <c r="S606" s="651"/>
      <c r="T606" s="651"/>
      <c r="U606" s="565"/>
      <c r="V606" s="565"/>
      <c r="W606" s="565"/>
      <c r="X606" s="565"/>
    </row>
    <row r="607" spans="12:24" x14ac:dyDescent="0.25">
      <c r="L607" s="565"/>
      <c r="M607" s="565"/>
      <c r="N607" s="565"/>
      <c r="O607" s="565"/>
      <c r="P607" s="565"/>
      <c r="Q607" s="565"/>
      <c r="R607" s="565"/>
      <c r="S607" s="651"/>
      <c r="T607" s="651"/>
      <c r="U607" s="565"/>
      <c r="V607" s="565"/>
      <c r="W607" s="565"/>
      <c r="X607" s="565"/>
    </row>
    <row r="608" spans="12:24" x14ac:dyDescent="0.25">
      <c r="L608" s="565"/>
      <c r="M608" s="565"/>
      <c r="N608" s="565"/>
      <c r="O608" s="565"/>
      <c r="P608" s="565"/>
      <c r="Q608" s="565"/>
      <c r="R608" s="565"/>
      <c r="S608" s="651"/>
      <c r="T608" s="651"/>
      <c r="U608" s="565"/>
      <c r="V608" s="565"/>
      <c r="W608" s="565"/>
      <c r="X608" s="565"/>
    </row>
    <row r="609" spans="12:24" x14ac:dyDescent="0.25">
      <c r="L609" s="565"/>
      <c r="M609" s="565"/>
      <c r="N609" s="565"/>
      <c r="O609" s="565"/>
      <c r="P609" s="565"/>
      <c r="Q609" s="565"/>
      <c r="R609" s="565"/>
      <c r="S609" s="651"/>
      <c r="T609" s="651"/>
      <c r="U609" s="565"/>
      <c r="V609" s="565"/>
      <c r="W609" s="565"/>
      <c r="X609" s="565"/>
    </row>
    <row r="610" spans="12:24" x14ac:dyDescent="0.25">
      <c r="L610" s="565"/>
      <c r="M610" s="565"/>
      <c r="N610" s="565"/>
      <c r="O610" s="565"/>
      <c r="P610" s="565"/>
      <c r="Q610" s="565"/>
      <c r="R610" s="565"/>
      <c r="S610" s="651"/>
      <c r="T610" s="651"/>
      <c r="U610" s="565"/>
      <c r="V610" s="565"/>
      <c r="W610" s="565"/>
      <c r="X610" s="565"/>
    </row>
    <row r="611" spans="12:24" x14ac:dyDescent="0.25">
      <c r="L611" s="565"/>
      <c r="M611" s="565"/>
      <c r="N611" s="565"/>
      <c r="O611" s="565"/>
      <c r="P611" s="565"/>
      <c r="Q611" s="565"/>
      <c r="R611" s="565"/>
      <c r="S611" s="651"/>
      <c r="T611" s="651"/>
      <c r="U611" s="565"/>
      <c r="V611" s="565"/>
      <c r="W611" s="565"/>
      <c r="X611" s="565"/>
    </row>
    <row r="612" spans="12:24" x14ac:dyDescent="0.25">
      <c r="L612" s="565"/>
      <c r="M612" s="565"/>
      <c r="N612" s="565"/>
      <c r="O612" s="565"/>
      <c r="P612" s="565"/>
      <c r="Q612" s="565"/>
      <c r="R612" s="565"/>
      <c r="S612" s="651"/>
      <c r="T612" s="651"/>
      <c r="U612" s="565"/>
      <c r="V612" s="565"/>
      <c r="W612" s="565"/>
      <c r="X612" s="565"/>
    </row>
    <row r="613" spans="12:24" x14ac:dyDescent="0.25">
      <c r="L613" s="565"/>
      <c r="M613" s="565"/>
      <c r="N613" s="565"/>
      <c r="O613" s="565"/>
      <c r="P613" s="565"/>
      <c r="Q613" s="565"/>
      <c r="R613" s="565"/>
      <c r="S613" s="651"/>
      <c r="T613" s="651"/>
      <c r="U613" s="565"/>
      <c r="V613" s="565"/>
      <c r="W613" s="565"/>
      <c r="X613" s="565"/>
    </row>
    <row r="614" spans="12:24" x14ac:dyDescent="0.25">
      <c r="L614" s="565"/>
      <c r="M614" s="565"/>
      <c r="N614" s="565"/>
      <c r="O614" s="565"/>
      <c r="P614" s="565"/>
      <c r="Q614" s="565"/>
      <c r="R614" s="565"/>
      <c r="S614" s="651"/>
      <c r="T614" s="651"/>
      <c r="U614" s="565"/>
      <c r="V614" s="565"/>
      <c r="W614" s="565"/>
      <c r="X614" s="565"/>
    </row>
    <row r="615" spans="12:24" x14ac:dyDescent="0.25">
      <c r="L615" s="565"/>
      <c r="M615" s="565"/>
      <c r="N615" s="565"/>
      <c r="O615" s="565"/>
      <c r="P615" s="565"/>
      <c r="Q615" s="565"/>
      <c r="R615" s="565"/>
      <c r="S615" s="651"/>
      <c r="T615" s="651"/>
      <c r="U615" s="565"/>
      <c r="V615" s="565"/>
      <c r="W615" s="565"/>
      <c r="X615" s="565"/>
    </row>
    <row r="616" spans="12:24" x14ac:dyDescent="0.25">
      <c r="L616" s="565"/>
      <c r="M616" s="565"/>
      <c r="N616" s="565"/>
      <c r="O616" s="565"/>
      <c r="P616" s="565"/>
      <c r="Q616" s="565"/>
      <c r="R616" s="565"/>
      <c r="S616" s="651"/>
      <c r="T616" s="651"/>
      <c r="U616" s="565"/>
      <c r="V616" s="565"/>
      <c r="W616" s="565"/>
      <c r="X616" s="565"/>
    </row>
    <row r="617" spans="12:24" x14ac:dyDescent="0.25">
      <c r="L617" s="565"/>
      <c r="M617" s="565"/>
      <c r="N617" s="565"/>
      <c r="O617" s="565"/>
      <c r="P617" s="565"/>
      <c r="Q617" s="565"/>
      <c r="R617" s="565"/>
      <c r="S617" s="651"/>
      <c r="T617" s="651"/>
      <c r="U617" s="565"/>
      <c r="V617" s="565"/>
      <c r="W617" s="565"/>
      <c r="X617" s="565"/>
    </row>
    <row r="618" spans="12:24" x14ac:dyDescent="0.25">
      <c r="L618" s="565"/>
      <c r="M618" s="565"/>
      <c r="N618" s="565"/>
      <c r="O618" s="565"/>
      <c r="P618" s="565"/>
      <c r="Q618" s="565"/>
      <c r="R618" s="565"/>
      <c r="S618" s="651"/>
      <c r="T618" s="651"/>
      <c r="U618" s="565"/>
      <c r="V618" s="565"/>
      <c r="W618" s="565"/>
      <c r="X618" s="565"/>
    </row>
    <row r="619" spans="12:24" x14ac:dyDescent="0.25">
      <c r="L619" s="565"/>
      <c r="M619" s="565"/>
      <c r="N619" s="565"/>
      <c r="O619" s="565"/>
      <c r="P619" s="565"/>
      <c r="Q619" s="565"/>
      <c r="R619" s="565"/>
      <c r="S619" s="651"/>
      <c r="T619" s="651"/>
      <c r="U619" s="565"/>
      <c r="V619" s="565"/>
      <c r="W619" s="565"/>
      <c r="X619" s="565"/>
    </row>
    <row r="620" spans="12:24" x14ac:dyDescent="0.25">
      <c r="L620" s="565"/>
      <c r="M620" s="565"/>
      <c r="N620" s="565"/>
      <c r="O620" s="565"/>
      <c r="P620" s="565"/>
      <c r="Q620" s="565"/>
      <c r="R620" s="565"/>
      <c r="S620" s="651"/>
      <c r="T620" s="651"/>
      <c r="U620" s="565"/>
      <c r="V620" s="565"/>
      <c r="W620" s="565"/>
      <c r="X620" s="565"/>
    </row>
    <row r="621" spans="12:24" x14ac:dyDescent="0.25">
      <c r="L621" s="565"/>
      <c r="M621" s="565"/>
      <c r="N621" s="565"/>
      <c r="O621" s="565"/>
      <c r="P621" s="565"/>
      <c r="Q621" s="565"/>
      <c r="R621" s="565"/>
      <c r="S621" s="651"/>
      <c r="T621" s="651"/>
      <c r="U621" s="565"/>
      <c r="V621" s="565"/>
      <c r="W621" s="565"/>
      <c r="X621" s="565"/>
    </row>
    <row r="622" spans="12:24" x14ac:dyDescent="0.25">
      <c r="L622" s="565"/>
      <c r="M622" s="565"/>
      <c r="N622" s="565"/>
      <c r="O622" s="565"/>
      <c r="P622" s="565"/>
      <c r="Q622" s="565"/>
      <c r="R622" s="565"/>
      <c r="S622" s="651"/>
      <c r="T622" s="651"/>
      <c r="U622" s="565"/>
      <c r="V622" s="565"/>
      <c r="W622" s="565"/>
      <c r="X622" s="565"/>
    </row>
    <row r="623" spans="12:24" x14ac:dyDescent="0.25">
      <c r="L623" s="565"/>
      <c r="M623" s="565"/>
      <c r="N623" s="565"/>
      <c r="O623" s="565"/>
      <c r="P623" s="565"/>
      <c r="Q623" s="565"/>
      <c r="R623" s="565"/>
      <c r="S623" s="651"/>
      <c r="T623" s="651"/>
      <c r="U623" s="565"/>
      <c r="V623" s="565"/>
      <c r="W623" s="565"/>
      <c r="X623" s="565"/>
    </row>
    <row r="624" spans="12:24" x14ac:dyDescent="0.25">
      <c r="L624" s="565"/>
      <c r="M624" s="565"/>
      <c r="N624" s="565"/>
      <c r="O624" s="565"/>
      <c r="P624" s="565"/>
      <c r="Q624" s="565"/>
      <c r="R624" s="565"/>
      <c r="S624" s="651"/>
      <c r="T624" s="651"/>
      <c r="U624" s="565"/>
      <c r="V624" s="565"/>
      <c r="W624" s="565"/>
      <c r="X624" s="565"/>
    </row>
    <row r="625" spans="12:24" x14ac:dyDescent="0.25">
      <c r="L625" s="565"/>
      <c r="M625" s="565"/>
      <c r="N625" s="565"/>
      <c r="O625" s="565"/>
      <c r="P625" s="565"/>
      <c r="Q625" s="565"/>
      <c r="R625" s="565"/>
      <c r="S625" s="651"/>
      <c r="T625" s="651"/>
      <c r="U625" s="565"/>
      <c r="V625" s="565"/>
      <c r="W625" s="565"/>
      <c r="X625" s="565"/>
    </row>
    <row r="626" spans="12:24" x14ac:dyDescent="0.25">
      <c r="L626" s="565"/>
      <c r="M626" s="565"/>
      <c r="N626" s="565"/>
      <c r="O626" s="565"/>
      <c r="P626" s="565"/>
      <c r="Q626" s="565"/>
      <c r="R626" s="565"/>
      <c r="S626" s="651"/>
      <c r="T626" s="651"/>
      <c r="U626" s="565"/>
      <c r="V626" s="565"/>
      <c r="W626" s="565"/>
      <c r="X626" s="565"/>
    </row>
    <row r="627" spans="12:24" x14ac:dyDescent="0.25">
      <c r="L627" s="565"/>
      <c r="M627" s="565"/>
      <c r="N627" s="565"/>
      <c r="O627" s="565"/>
      <c r="P627" s="565"/>
      <c r="Q627" s="565"/>
      <c r="R627" s="565"/>
      <c r="S627" s="651"/>
      <c r="T627" s="651"/>
      <c r="U627" s="565"/>
      <c r="V627" s="565"/>
      <c r="W627" s="565"/>
      <c r="X627" s="565"/>
    </row>
    <row r="628" spans="12:24" x14ac:dyDescent="0.25">
      <c r="L628" s="565"/>
      <c r="M628" s="565"/>
      <c r="N628" s="565"/>
      <c r="O628" s="565"/>
      <c r="P628" s="565"/>
      <c r="Q628" s="565"/>
      <c r="R628" s="565"/>
      <c r="S628" s="651"/>
      <c r="T628" s="651"/>
      <c r="U628" s="565"/>
      <c r="V628" s="565"/>
      <c r="W628" s="565"/>
      <c r="X628" s="565"/>
    </row>
    <row r="629" spans="12:24" x14ac:dyDescent="0.25">
      <c r="L629" s="565"/>
      <c r="M629" s="565"/>
      <c r="N629" s="565"/>
      <c r="O629" s="565"/>
      <c r="P629" s="565"/>
      <c r="Q629" s="565"/>
      <c r="R629" s="565"/>
      <c r="S629" s="651"/>
      <c r="T629" s="651"/>
      <c r="U629" s="565"/>
      <c r="V629" s="565"/>
      <c r="W629" s="565"/>
      <c r="X629" s="565"/>
    </row>
    <row r="630" spans="12:24" x14ac:dyDescent="0.25">
      <c r="L630" s="565"/>
      <c r="M630" s="565"/>
      <c r="N630" s="565"/>
      <c r="O630" s="565"/>
      <c r="P630" s="565"/>
      <c r="Q630" s="565"/>
      <c r="R630" s="565"/>
      <c r="S630" s="651"/>
      <c r="T630" s="651"/>
      <c r="U630" s="565"/>
      <c r="V630" s="565"/>
      <c r="W630" s="565"/>
      <c r="X630" s="565"/>
    </row>
    <row r="631" spans="12:24" x14ac:dyDescent="0.25">
      <c r="L631" s="565"/>
      <c r="M631" s="565"/>
      <c r="N631" s="565"/>
      <c r="O631" s="565"/>
      <c r="P631" s="565"/>
      <c r="Q631" s="565"/>
      <c r="R631" s="565"/>
      <c r="S631" s="651"/>
      <c r="T631" s="651"/>
      <c r="U631" s="565"/>
      <c r="V631" s="565"/>
      <c r="W631" s="565"/>
      <c r="X631" s="565"/>
    </row>
    <row r="632" spans="12:24" x14ac:dyDescent="0.25">
      <c r="L632" s="565"/>
      <c r="M632" s="565"/>
      <c r="N632" s="565"/>
      <c r="O632" s="565"/>
      <c r="P632" s="565"/>
      <c r="Q632" s="565"/>
      <c r="R632" s="565"/>
      <c r="S632" s="651"/>
      <c r="T632" s="651"/>
      <c r="U632" s="565"/>
      <c r="V632" s="565"/>
      <c r="W632" s="565"/>
      <c r="X632" s="565"/>
    </row>
    <row r="633" spans="12:24" x14ac:dyDescent="0.25">
      <c r="L633" s="565"/>
      <c r="M633" s="565"/>
      <c r="N633" s="565"/>
      <c r="O633" s="565"/>
      <c r="P633" s="565"/>
      <c r="Q633" s="565"/>
      <c r="R633" s="565"/>
      <c r="S633" s="651"/>
      <c r="T633" s="651"/>
      <c r="U633" s="565"/>
      <c r="V633" s="565"/>
      <c r="W633" s="565"/>
      <c r="X633" s="565"/>
    </row>
    <row r="634" spans="12:24" x14ac:dyDescent="0.25">
      <c r="L634" s="565"/>
      <c r="M634" s="565"/>
      <c r="N634" s="565"/>
      <c r="O634" s="565"/>
      <c r="P634" s="565"/>
      <c r="Q634" s="565"/>
      <c r="R634" s="565"/>
      <c r="S634" s="651"/>
      <c r="T634" s="651"/>
      <c r="U634" s="565"/>
      <c r="V634" s="565"/>
      <c r="W634" s="565"/>
      <c r="X634" s="565"/>
    </row>
    <row r="635" spans="12:24" x14ac:dyDescent="0.25">
      <c r="L635" s="565"/>
      <c r="M635" s="565"/>
      <c r="N635" s="565"/>
      <c r="O635" s="565"/>
      <c r="P635" s="565"/>
      <c r="Q635" s="565"/>
      <c r="R635" s="565"/>
      <c r="S635" s="651"/>
      <c r="T635" s="651"/>
      <c r="U635" s="565"/>
      <c r="V635" s="565"/>
      <c r="W635" s="565"/>
      <c r="X635" s="565"/>
    </row>
    <row r="636" spans="12:24" x14ac:dyDescent="0.25">
      <c r="L636" s="565"/>
      <c r="M636" s="565"/>
      <c r="N636" s="565"/>
      <c r="O636" s="565"/>
      <c r="P636" s="565"/>
      <c r="Q636" s="565"/>
      <c r="R636" s="565"/>
      <c r="S636" s="651"/>
      <c r="T636" s="651"/>
      <c r="U636" s="565"/>
      <c r="V636" s="565"/>
      <c r="W636" s="565"/>
      <c r="X636" s="565"/>
    </row>
    <row r="637" spans="12:24" x14ac:dyDescent="0.25">
      <c r="L637" s="565"/>
      <c r="M637" s="565"/>
      <c r="N637" s="565"/>
      <c r="O637" s="565"/>
      <c r="P637" s="565"/>
      <c r="Q637" s="565"/>
      <c r="R637" s="565"/>
      <c r="S637" s="651"/>
      <c r="T637" s="651"/>
      <c r="U637" s="565"/>
      <c r="V637" s="565"/>
      <c r="W637" s="565"/>
      <c r="X637" s="565"/>
    </row>
    <row r="638" spans="12:24" x14ac:dyDescent="0.25">
      <c r="L638" s="565"/>
      <c r="M638" s="565"/>
      <c r="N638" s="565"/>
      <c r="O638" s="565"/>
      <c r="P638" s="565"/>
      <c r="Q638" s="565"/>
      <c r="R638" s="565"/>
      <c r="S638" s="651"/>
      <c r="T638" s="651"/>
      <c r="U638" s="565"/>
      <c r="V638" s="565"/>
      <c r="W638" s="565"/>
      <c r="X638" s="565"/>
    </row>
    <row r="639" spans="12:24" x14ac:dyDescent="0.25">
      <c r="L639" s="565"/>
      <c r="M639" s="565"/>
      <c r="N639" s="565"/>
      <c r="O639" s="565"/>
      <c r="P639" s="565"/>
      <c r="Q639" s="565"/>
      <c r="R639" s="565"/>
      <c r="S639" s="651"/>
      <c r="T639" s="651"/>
      <c r="U639" s="565"/>
      <c r="V639" s="565"/>
      <c r="W639" s="565"/>
      <c r="X639" s="565"/>
    </row>
    <row r="640" spans="12:24" x14ac:dyDescent="0.25">
      <c r="L640" s="565"/>
      <c r="M640" s="565"/>
      <c r="N640" s="565"/>
      <c r="O640" s="565"/>
      <c r="P640" s="565"/>
      <c r="Q640" s="565"/>
      <c r="R640" s="565"/>
      <c r="S640" s="651"/>
      <c r="T640" s="651"/>
      <c r="U640" s="565"/>
      <c r="V640" s="565"/>
      <c r="W640" s="565"/>
      <c r="X640" s="565"/>
    </row>
    <row r="641" spans="12:24" x14ac:dyDescent="0.25">
      <c r="L641" s="565"/>
      <c r="M641" s="565"/>
      <c r="N641" s="565"/>
      <c r="O641" s="565"/>
      <c r="P641" s="565"/>
      <c r="Q641" s="565"/>
      <c r="R641" s="565"/>
      <c r="S641" s="651"/>
      <c r="T641" s="651"/>
      <c r="U641" s="565"/>
      <c r="V641" s="565"/>
      <c r="W641" s="565"/>
      <c r="X641" s="565"/>
    </row>
    <row r="642" spans="12:24" x14ac:dyDescent="0.25">
      <c r="L642" s="565"/>
      <c r="M642" s="565"/>
      <c r="N642" s="565"/>
      <c r="O642" s="565"/>
      <c r="P642" s="565"/>
      <c r="Q642" s="565"/>
      <c r="R642" s="565"/>
      <c r="S642" s="651"/>
      <c r="T642" s="651"/>
      <c r="U642" s="565"/>
      <c r="V642" s="565"/>
      <c r="W642" s="565"/>
      <c r="X642" s="565"/>
    </row>
    <row r="643" spans="12:24" x14ac:dyDescent="0.25">
      <c r="L643" s="565"/>
      <c r="M643" s="565"/>
      <c r="N643" s="565"/>
      <c r="O643" s="565"/>
      <c r="P643" s="565"/>
      <c r="Q643" s="565"/>
      <c r="R643" s="565"/>
      <c r="S643" s="651"/>
      <c r="T643" s="651"/>
      <c r="U643" s="565"/>
      <c r="V643" s="565"/>
      <c r="W643" s="565"/>
      <c r="X643" s="565"/>
    </row>
    <row r="644" spans="12:24" x14ac:dyDescent="0.25">
      <c r="L644" s="565"/>
      <c r="M644" s="565"/>
      <c r="N644" s="565"/>
      <c r="O644" s="565"/>
      <c r="P644" s="565"/>
      <c r="Q644" s="565"/>
      <c r="R644" s="565"/>
      <c r="S644" s="651"/>
      <c r="T644" s="651"/>
      <c r="U644" s="565"/>
      <c r="V644" s="565"/>
      <c r="W644" s="565"/>
      <c r="X644" s="565"/>
    </row>
    <row r="645" spans="12:24" x14ac:dyDescent="0.25">
      <c r="L645" s="565"/>
      <c r="M645" s="565"/>
      <c r="N645" s="565"/>
      <c r="O645" s="565"/>
      <c r="P645" s="565"/>
      <c r="Q645" s="565"/>
      <c r="R645" s="565"/>
      <c r="S645" s="651"/>
      <c r="T645" s="651"/>
      <c r="U645" s="565"/>
      <c r="V645" s="565"/>
      <c r="W645" s="565"/>
      <c r="X645" s="565"/>
    </row>
    <row r="646" spans="12:24" x14ac:dyDescent="0.25">
      <c r="L646" s="565"/>
      <c r="M646" s="565"/>
      <c r="N646" s="565"/>
      <c r="O646" s="565"/>
      <c r="P646" s="565"/>
      <c r="Q646" s="565"/>
      <c r="R646" s="565"/>
      <c r="S646" s="651"/>
      <c r="T646" s="651"/>
      <c r="U646" s="565"/>
      <c r="V646" s="565"/>
      <c r="W646" s="565"/>
      <c r="X646" s="565"/>
    </row>
    <row r="647" spans="12:24" x14ac:dyDescent="0.25">
      <c r="L647" s="565"/>
      <c r="M647" s="565"/>
      <c r="N647" s="565"/>
      <c r="O647" s="565"/>
      <c r="P647" s="565"/>
      <c r="Q647" s="565"/>
      <c r="R647" s="565"/>
      <c r="S647" s="651"/>
      <c r="T647" s="651"/>
      <c r="U647" s="565"/>
      <c r="V647" s="565"/>
      <c r="W647" s="565"/>
      <c r="X647" s="565"/>
    </row>
    <row r="648" spans="12:24" x14ac:dyDescent="0.25">
      <c r="L648" s="565"/>
      <c r="M648" s="565"/>
      <c r="N648" s="565"/>
      <c r="O648" s="565"/>
      <c r="P648" s="565"/>
      <c r="Q648" s="565"/>
      <c r="R648" s="565"/>
      <c r="S648" s="651"/>
      <c r="T648" s="651"/>
      <c r="U648" s="565"/>
      <c r="V648" s="565"/>
      <c r="W648" s="565"/>
      <c r="X648" s="565"/>
    </row>
    <row r="649" spans="12:24" x14ac:dyDescent="0.25">
      <c r="L649" s="565"/>
      <c r="M649" s="565"/>
      <c r="N649" s="565"/>
      <c r="O649" s="565"/>
      <c r="P649" s="565"/>
      <c r="Q649" s="565"/>
      <c r="R649" s="565"/>
      <c r="S649" s="651"/>
      <c r="T649" s="651"/>
      <c r="U649" s="565"/>
      <c r="V649" s="565"/>
      <c r="W649" s="565"/>
      <c r="X649" s="565"/>
    </row>
    <row r="650" spans="12:24" x14ac:dyDescent="0.25">
      <c r="L650" s="565"/>
      <c r="M650" s="565"/>
      <c r="N650" s="565"/>
      <c r="O650" s="565"/>
      <c r="P650" s="565"/>
      <c r="Q650" s="565"/>
      <c r="R650" s="565"/>
      <c r="S650" s="651"/>
      <c r="T650" s="651"/>
      <c r="U650" s="565"/>
      <c r="V650" s="565"/>
      <c r="W650" s="565"/>
      <c r="X650" s="565"/>
    </row>
    <row r="651" spans="12:24" x14ac:dyDescent="0.25">
      <c r="L651" s="565"/>
      <c r="M651" s="565"/>
      <c r="N651" s="565"/>
      <c r="O651" s="565"/>
      <c r="P651" s="565"/>
      <c r="Q651" s="565"/>
      <c r="R651" s="565"/>
      <c r="S651" s="651"/>
      <c r="T651" s="651"/>
      <c r="U651" s="565"/>
      <c r="V651" s="565"/>
      <c r="W651" s="565"/>
      <c r="X651" s="565"/>
    </row>
    <row r="652" spans="12:24" x14ac:dyDescent="0.25">
      <c r="L652" s="565"/>
      <c r="M652" s="565"/>
      <c r="N652" s="565"/>
      <c r="O652" s="565"/>
      <c r="P652" s="565"/>
      <c r="Q652" s="565"/>
      <c r="R652" s="565"/>
      <c r="S652" s="651"/>
      <c r="T652" s="651"/>
      <c r="U652" s="565"/>
      <c r="V652" s="565"/>
      <c r="W652" s="565"/>
      <c r="X652" s="565"/>
    </row>
    <row r="653" spans="12:24" x14ac:dyDescent="0.25">
      <c r="L653" s="565"/>
      <c r="M653" s="565"/>
      <c r="N653" s="565"/>
      <c r="O653" s="565"/>
      <c r="P653" s="565"/>
      <c r="Q653" s="565"/>
      <c r="R653" s="565"/>
      <c r="S653" s="651"/>
      <c r="T653" s="651"/>
      <c r="U653" s="565"/>
      <c r="V653" s="565"/>
      <c r="W653" s="565"/>
      <c r="X653" s="565"/>
    </row>
    <row r="654" spans="12:24" x14ac:dyDescent="0.25">
      <c r="L654" s="565"/>
      <c r="M654" s="565"/>
      <c r="N654" s="565"/>
      <c r="O654" s="565"/>
      <c r="P654" s="565"/>
      <c r="Q654" s="565"/>
      <c r="R654" s="565"/>
      <c r="S654" s="651"/>
      <c r="T654" s="651"/>
      <c r="U654" s="565"/>
      <c r="V654" s="565"/>
      <c r="W654" s="565"/>
      <c r="X654" s="565"/>
    </row>
    <row r="655" spans="12:24" x14ac:dyDescent="0.25">
      <c r="L655" s="565"/>
      <c r="M655" s="565"/>
      <c r="N655" s="565"/>
      <c r="O655" s="565"/>
      <c r="P655" s="565"/>
      <c r="Q655" s="565"/>
      <c r="R655" s="565"/>
      <c r="S655" s="651"/>
      <c r="T655" s="651"/>
      <c r="U655" s="565"/>
      <c r="V655" s="565"/>
      <c r="W655" s="565"/>
      <c r="X655" s="565"/>
    </row>
    <row r="656" spans="12:24" x14ac:dyDescent="0.25">
      <c r="L656" s="565"/>
      <c r="M656" s="565"/>
      <c r="N656" s="565"/>
      <c r="O656" s="565"/>
      <c r="P656" s="565"/>
      <c r="Q656" s="565"/>
      <c r="R656" s="565"/>
      <c r="S656" s="651"/>
      <c r="T656" s="651"/>
      <c r="U656" s="565"/>
      <c r="V656" s="565"/>
      <c r="W656" s="565"/>
      <c r="X656" s="565"/>
    </row>
    <row r="657" spans="12:24" x14ac:dyDescent="0.25">
      <c r="L657" s="565"/>
      <c r="M657" s="565"/>
      <c r="N657" s="565"/>
      <c r="O657" s="565"/>
      <c r="P657" s="565"/>
      <c r="Q657" s="565"/>
      <c r="R657" s="565"/>
      <c r="S657" s="651"/>
      <c r="T657" s="651"/>
      <c r="U657" s="565"/>
      <c r="V657" s="565"/>
      <c r="W657" s="565"/>
      <c r="X657" s="565"/>
    </row>
    <row r="658" spans="12:24" x14ac:dyDescent="0.25">
      <c r="L658" s="565"/>
      <c r="M658" s="565"/>
      <c r="N658" s="565"/>
      <c r="O658" s="565"/>
      <c r="P658" s="565"/>
      <c r="Q658" s="565"/>
      <c r="R658" s="565"/>
      <c r="S658" s="651"/>
      <c r="T658" s="651"/>
      <c r="U658" s="565"/>
      <c r="V658" s="565"/>
      <c r="W658" s="565"/>
      <c r="X658" s="565"/>
    </row>
    <row r="659" spans="12:24" x14ac:dyDescent="0.25">
      <c r="L659" s="565"/>
      <c r="M659" s="565"/>
      <c r="N659" s="565"/>
      <c r="O659" s="565"/>
      <c r="P659" s="565"/>
      <c r="Q659" s="565"/>
      <c r="R659" s="565"/>
      <c r="S659" s="651"/>
      <c r="T659" s="651"/>
      <c r="U659" s="565"/>
      <c r="V659" s="565"/>
      <c r="W659" s="565"/>
      <c r="X659" s="565"/>
    </row>
    <row r="660" spans="12:24" x14ac:dyDescent="0.25">
      <c r="L660" s="565"/>
      <c r="M660" s="565"/>
      <c r="N660" s="565"/>
      <c r="O660" s="565"/>
      <c r="P660" s="565"/>
      <c r="Q660" s="565"/>
      <c r="R660" s="565"/>
      <c r="S660" s="651"/>
      <c r="T660" s="651"/>
      <c r="U660" s="565"/>
      <c r="V660" s="565"/>
      <c r="W660" s="565"/>
      <c r="X660" s="565"/>
    </row>
  </sheetData>
  <mergeCells count="55">
    <mergeCell ref="Q2:Q3"/>
    <mergeCell ref="B68:B71"/>
    <mergeCell ref="B72:B104"/>
    <mergeCell ref="B21:B34"/>
    <mergeCell ref="B50:B59"/>
    <mergeCell ref="B60:B67"/>
    <mergeCell ref="B12:B20"/>
    <mergeCell ref="I2:I3"/>
    <mergeCell ref="B35:B49"/>
    <mergeCell ref="B5:B11"/>
    <mergeCell ref="BY1:CF1"/>
    <mergeCell ref="CC2:CF2"/>
    <mergeCell ref="BY2:CB2"/>
    <mergeCell ref="BW2:BW3"/>
    <mergeCell ref="BA1:BV1"/>
    <mergeCell ref="BS2:BV2"/>
    <mergeCell ref="BJ2:BR2"/>
    <mergeCell ref="BA2:BI2"/>
    <mergeCell ref="AG2:AG3"/>
    <mergeCell ref="AE2:AE3"/>
    <mergeCell ref="X2:X3"/>
    <mergeCell ref="Y2:Z2"/>
    <mergeCell ref="V2:V3"/>
    <mergeCell ref="AJ2:AJ3"/>
    <mergeCell ref="C2:C3"/>
    <mergeCell ref="S2:S3"/>
    <mergeCell ref="N2:N3"/>
    <mergeCell ref="J2:J3"/>
    <mergeCell ref="R2:R3"/>
    <mergeCell ref="L2:L3"/>
    <mergeCell ref="AB2:AB3"/>
    <mergeCell ref="AC2:AC3"/>
    <mergeCell ref="E2:E3"/>
    <mergeCell ref="H2:H3"/>
    <mergeCell ref="M2:M3"/>
    <mergeCell ref="F2:F3"/>
    <mergeCell ref="O2:O3"/>
    <mergeCell ref="AH2:AH3"/>
    <mergeCell ref="U2:U3"/>
    <mergeCell ref="B1:AY1"/>
    <mergeCell ref="AM2:AM3"/>
    <mergeCell ref="AI2:AI3"/>
    <mergeCell ref="K2:K3"/>
    <mergeCell ref="AA2:AA3"/>
    <mergeCell ref="AD2:AD3"/>
    <mergeCell ref="AK2:AK3"/>
    <mergeCell ref="AL2:AL3"/>
    <mergeCell ref="D2:D3"/>
    <mergeCell ref="AN2:AY3"/>
    <mergeCell ref="B2:B3"/>
    <mergeCell ref="G2:G3"/>
    <mergeCell ref="T2:T3"/>
    <mergeCell ref="W2:W3"/>
    <mergeCell ref="P2:P3"/>
    <mergeCell ref="AF2:AF3"/>
  </mergeCells>
  <phoneticPr fontId="29" type="noConversion"/>
  <conditionalFormatting sqref="AH4:AH104">
    <cfRule type="cellIs" dxfId="0" priority="72" operator="greaterThan">
      <formula>0.055</formula>
    </cfRule>
  </conditionalFormatting>
  <dataValidations count="1">
    <dataValidation type="list" allowBlank="1" showInputMessage="1" showErrorMessage="1" sqref="G4:G104" xr:uid="{21AB3E70-9099-459C-A4AC-58FAE0D254F3}">
      <formula1>"Monocondutor,Multicondutor"</formula1>
    </dataValidation>
  </dataValidations>
  <printOptions horizontalCentered="1" verticalCentered="1"/>
  <pageMargins left="0.39370078740157483" right="0.39370078740157483" top="0.74803149606299213" bottom="0.74803149606299213" header="0.31496062992125984" footer="0.31496062992125984"/>
  <pageSetup paperSize="9" scale="26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70D94998-CAA0-463F-B2E0-5153742B96AB}">
          <x14:formula1>
            <xm:f>Outros!$J$3:$J$6</xm:f>
          </x14:formula1>
          <xm:sqref>I4:I104</xm:sqref>
        </x14:dataValidation>
        <x14:dataValidation type="list" allowBlank="1" showInputMessage="1" showErrorMessage="1" xr:uid="{72A49385-E47B-47C0-8D0D-E66AB050196A}">
          <x14:formula1>
            <xm:f>Outros!$B$3:$B$21</xm:f>
          </x14:formula1>
          <xm:sqref>M4:M104</xm:sqref>
        </x14:dataValidation>
        <x14:dataValidation type="list" allowBlank="1" showInputMessage="1" showErrorMessage="1" xr:uid="{CBFFDEA9-ADAF-41ED-8043-E56CB5813D18}">
          <x14:formula1>
            <xm:f>Outros!$E$3:$E$4</xm:f>
          </x14:formula1>
          <xm:sqref>J4:J104</xm:sqref>
        </x14:dataValidation>
        <x14:dataValidation type="list" allowBlank="1" showInputMessage="1" showErrorMessage="1" xr:uid="{335E6825-87AE-4704-AD12-9D6EFABDC719}">
          <x14:formula1>
            <xm:f>Outros!$G$3:$G$6</xm:f>
          </x14:formula1>
          <xm:sqref>K4:K104</xm:sqref>
        </x14:dataValidation>
        <x14:dataValidation type="list" allowBlank="1" showInputMessage="1" showErrorMessage="1" xr:uid="{F09052DE-6BF1-4C0C-AE97-87A88B67997C}">
          <x14:formula1>
            <xm:f>Outros!$F$3:$F$4</xm:f>
          </x14:formula1>
          <xm:sqref>F4:F104</xm:sqref>
        </x14:dataValidation>
        <x14:dataValidation type="list" allowBlank="1" showInputMessage="1" showErrorMessage="1" xr:uid="{B1A3D8E8-431F-4780-AC5C-40E39C46FC41}">
          <x14:formula1>
            <xm:f>Outros!$H$3:$H$4</xm:f>
          </x14:formula1>
          <xm:sqref>U4:U104</xm:sqref>
        </x14:dataValidation>
        <x14:dataValidation type="list" allowBlank="1" showInputMessage="1" showErrorMessage="1" xr:uid="{D36FF211-2585-4602-89BE-F2A8F9551D62}">
          <x14:formula1>
            <xm:f>Outros!$C$3:$C$11</xm:f>
          </x14:formula1>
          <xm:sqref>AJ4:AJ104</xm:sqref>
        </x14:dataValidation>
        <x14:dataValidation type="list" allowBlank="1" showInputMessage="1" showErrorMessage="1" xr:uid="{79C3EA68-C728-44EF-804A-BC06EF85D600}">
          <x14:formula1>
            <xm:f>Consulta!$L$5:$L$31</xm:f>
          </x14:formula1>
          <xm:sqref>V4:V104</xm:sqref>
        </x14:dataValidation>
        <x14:dataValidation type="list" allowBlank="1" showInputMessage="1" showErrorMessage="1" xr:uid="{2518AB99-9F22-4CB2-B214-A65A459947DB}">
          <x14:formula1>
            <xm:f>Outros!$D$3:$D$11</xm:f>
          </x14:formula1>
          <xm:sqref>N4:N104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AG13"/>
  <sheetViews>
    <sheetView showGridLines="0" view="pageBreakPreview" topLeftCell="I1" zoomScale="85" zoomScaleNormal="55" zoomScaleSheetLayoutView="85" workbookViewId="0">
      <selection activeCell="Q8" sqref="Q8"/>
    </sheetView>
  </sheetViews>
  <sheetFormatPr defaultColWidth="9.140625" defaultRowHeight="14.25" x14ac:dyDescent="0.2"/>
  <cols>
    <col min="1" max="1" width="0.85546875" style="1" customWidth="1"/>
    <col min="2" max="2" width="57.5703125" style="1" bestFit="1" customWidth="1"/>
    <col min="3" max="3" width="15.85546875" style="1" customWidth="1"/>
    <col min="4" max="4" width="12.42578125" style="1" customWidth="1"/>
    <col min="5" max="5" width="16" style="1" customWidth="1"/>
    <col min="6" max="6" width="16.5703125" style="1" customWidth="1"/>
    <col min="7" max="7" width="14.5703125" style="1" customWidth="1"/>
    <col min="8" max="8" width="13" style="1" customWidth="1"/>
    <col min="9" max="9" width="19.42578125" style="1" customWidth="1"/>
    <col min="10" max="10" width="13.85546875" style="1" customWidth="1"/>
    <col min="11" max="11" width="11.5703125" style="1" customWidth="1"/>
    <col min="12" max="12" width="11.7109375" style="1" customWidth="1"/>
    <col min="13" max="13" width="19.7109375" style="1" customWidth="1"/>
    <col min="14" max="14" width="14.140625" style="1" customWidth="1"/>
    <col min="15" max="15" width="14.5703125" style="1" customWidth="1"/>
    <col min="16" max="16" width="16.28515625" style="1" customWidth="1"/>
    <col min="17" max="17" width="14.140625" style="1" customWidth="1"/>
    <col min="18" max="18" width="14" style="1" customWidth="1"/>
    <col min="19" max="19" width="11.28515625" style="1" customWidth="1"/>
    <col min="20" max="20" width="13.140625" style="1" customWidth="1"/>
    <col min="21" max="21" width="14.42578125" style="1" customWidth="1"/>
    <col min="22" max="22" width="18.28515625" style="1" customWidth="1"/>
    <col min="23" max="23" width="12.28515625" style="1" customWidth="1"/>
    <col min="24" max="24" width="11.28515625" style="1" customWidth="1"/>
    <col min="25" max="25" width="59.42578125" style="1" customWidth="1"/>
    <col min="26" max="26" width="0.85546875" style="1" customWidth="1"/>
    <col min="27" max="27" width="15.85546875" style="1" customWidth="1"/>
    <col min="28" max="28" width="16.140625" style="1" customWidth="1"/>
    <col min="29" max="29" width="15.140625" style="1" customWidth="1"/>
    <col min="30" max="30" width="17.5703125" style="1" customWidth="1"/>
    <col min="31" max="31" width="13.42578125" style="1" customWidth="1"/>
    <col min="32" max="32" width="18.28515625" style="1" customWidth="1"/>
    <col min="33" max="33" width="16.7109375" style="1" customWidth="1"/>
    <col min="34" max="34" width="12.85546875" style="1" customWidth="1"/>
    <col min="35" max="35" width="12.42578125" style="1" customWidth="1"/>
    <col min="36" max="38" width="13.85546875" style="1" customWidth="1"/>
    <col min="39" max="16384" width="9.140625" style="1"/>
  </cols>
  <sheetData>
    <row r="1" spans="2:33" ht="4.5" customHeight="1" thickBot="1" x14ac:dyDescent="0.25"/>
    <row r="2" spans="2:33" ht="62.25" customHeight="1" thickBot="1" x14ac:dyDescent="0.25">
      <c r="B2" s="1135" t="s">
        <v>562</v>
      </c>
      <c r="C2" s="1136"/>
      <c r="D2" s="1136"/>
      <c r="E2" s="1136"/>
      <c r="F2" s="1136"/>
      <c r="G2" s="1136"/>
      <c r="H2" s="1136"/>
      <c r="I2" s="1136"/>
      <c r="J2" s="1136"/>
      <c r="K2" s="1136"/>
      <c r="L2" s="1136"/>
      <c r="M2" s="1136"/>
      <c r="N2" s="1136"/>
      <c r="O2" s="1136"/>
      <c r="P2" s="1136"/>
      <c r="Q2" s="1136"/>
      <c r="R2" s="1136"/>
      <c r="S2" s="1136"/>
      <c r="T2" s="1136"/>
      <c r="U2" s="1136"/>
      <c r="V2" s="1136"/>
      <c r="W2" s="1136"/>
      <c r="X2" s="1136"/>
      <c r="Y2" s="1137"/>
      <c r="AB2" s="1138"/>
      <c r="AC2" s="1138"/>
      <c r="AD2" s="1138"/>
      <c r="AE2" s="1138"/>
      <c r="AF2" s="1138"/>
      <c r="AG2" s="1138"/>
    </row>
    <row r="3" spans="2:33" ht="21" customHeight="1" x14ac:dyDescent="0.2">
      <c r="B3" s="1139" t="s">
        <v>536</v>
      </c>
      <c r="C3" s="1146" t="s">
        <v>690</v>
      </c>
      <c r="D3" s="1141" t="s">
        <v>594</v>
      </c>
      <c r="E3" s="1143" t="s">
        <v>537</v>
      </c>
      <c r="F3" s="1144" t="s">
        <v>538</v>
      </c>
      <c r="G3" s="1144" t="s">
        <v>539</v>
      </c>
      <c r="H3" s="1145" t="s">
        <v>595</v>
      </c>
      <c r="I3" s="1143" t="s">
        <v>540</v>
      </c>
      <c r="J3" s="1146"/>
      <c r="K3" s="1146"/>
      <c r="L3" s="1147"/>
      <c r="M3" s="1148" t="s">
        <v>541</v>
      </c>
      <c r="N3" s="1144"/>
      <c r="O3" s="1145"/>
      <c r="P3" s="1143" t="s">
        <v>542</v>
      </c>
      <c r="Q3" s="1146"/>
      <c r="R3" s="1146"/>
      <c r="S3" s="1146"/>
      <c r="T3" s="1146"/>
      <c r="U3" s="1146"/>
      <c r="V3" s="1146"/>
      <c r="W3" s="1146"/>
      <c r="X3" s="1147"/>
      <c r="Y3" s="1149" t="s">
        <v>543</v>
      </c>
      <c r="Z3" s="35"/>
      <c r="AA3" s="35"/>
      <c r="AB3" s="35"/>
      <c r="AC3" s="35"/>
      <c r="AD3" s="35"/>
      <c r="AE3" s="35"/>
      <c r="AF3" s="35"/>
      <c r="AG3" s="35"/>
    </row>
    <row r="4" spans="2:33" ht="36" customHeight="1" x14ac:dyDescent="0.2">
      <c r="B4" s="1140"/>
      <c r="C4" s="1132"/>
      <c r="D4" s="1142"/>
      <c r="E4" s="1131"/>
      <c r="F4" s="1128"/>
      <c r="G4" s="1128"/>
      <c r="H4" s="1130"/>
      <c r="I4" s="1131" t="s">
        <v>37</v>
      </c>
      <c r="J4" s="1151" t="s">
        <v>544</v>
      </c>
      <c r="K4" s="1132" t="s">
        <v>545</v>
      </c>
      <c r="L4" s="1133" t="s">
        <v>546</v>
      </c>
      <c r="M4" s="1134" t="s">
        <v>547</v>
      </c>
      <c r="N4" s="1128" t="s">
        <v>548</v>
      </c>
      <c r="O4" s="1130" t="s">
        <v>549</v>
      </c>
      <c r="P4" s="1131" t="s">
        <v>550</v>
      </c>
      <c r="Q4" s="1132" t="s">
        <v>551</v>
      </c>
      <c r="R4" s="1128" t="s">
        <v>552</v>
      </c>
      <c r="S4" s="1128" t="s">
        <v>553</v>
      </c>
      <c r="T4" s="1128" t="s">
        <v>554</v>
      </c>
      <c r="U4" s="1128" t="s">
        <v>555</v>
      </c>
      <c r="V4" s="1128" t="s">
        <v>556</v>
      </c>
      <c r="W4" s="1128" t="s">
        <v>557</v>
      </c>
      <c r="X4" s="1129"/>
      <c r="Y4" s="1150"/>
      <c r="Z4" s="83"/>
      <c r="AA4" s="83"/>
      <c r="AB4" s="212"/>
      <c r="AC4" s="212"/>
    </row>
    <row r="5" spans="2:33" ht="59.25" customHeight="1" x14ac:dyDescent="0.2">
      <c r="B5" s="1140"/>
      <c r="C5" s="1132"/>
      <c r="D5" s="1142"/>
      <c r="E5" s="1131"/>
      <c r="F5" s="1128"/>
      <c r="G5" s="1128"/>
      <c r="H5" s="1130"/>
      <c r="I5" s="1131"/>
      <c r="J5" s="1151"/>
      <c r="K5" s="1132"/>
      <c r="L5" s="1133"/>
      <c r="M5" s="1134"/>
      <c r="N5" s="1128"/>
      <c r="O5" s="1130"/>
      <c r="P5" s="1131"/>
      <c r="Q5" s="1132"/>
      <c r="R5" s="1128"/>
      <c r="S5" s="1128"/>
      <c r="T5" s="1128"/>
      <c r="U5" s="1128"/>
      <c r="V5" s="1128"/>
      <c r="W5" s="421" t="s">
        <v>558</v>
      </c>
      <c r="X5" s="437" t="s">
        <v>559</v>
      </c>
      <c r="Y5" s="1150"/>
    </row>
    <row r="6" spans="2:33" ht="16.5" customHeight="1" x14ac:dyDescent="0.25">
      <c r="B6" s="265" t="str">
        <f>'Canalizações e Proteções'!C4</f>
        <v>Q.G.B.T. / Q.E.</v>
      </c>
      <c r="C6" s="309">
        <f>'ICC PT'!Q11</f>
        <v>288.6751345948129</v>
      </c>
      <c r="D6" s="425">
        <f>'ICC PT'!Q18</f>
        <v>5.6900486451014363</v>
      </c>
      <c r="E6" s="427" t="s">
        <v>242</v>
      </c>
      <c r="F6" s="414">
        <f>IF(E6="Cobre",2000,IF(E6="Alumínio",1000,))</f>
        <v>2000</v>
      </c>
      <c r="G6" s="415">
        <f>IF(E6="Cobre",12.5*10^5,IF(E6="Alumínio",7.1*10^5,))</f>
        <v>1250000</v>
      </c>
      <c r="H6" s="429">
        <f>IF(E6="Cobre",8.9,IF(E6="Alumínio",2.7,))</f>
        <v>8.9</v>
      </c>
      <c r="I6" s="620" t="s">
        <v>560</v>
      </c>
      <c r="J6" s="622" t="s">
        <v>561</v>
      </c>
      <c r="K6" s="624">
        <v>5</v>
      </c>
      <c r="L6" s="626">
        <v>25</v>
      </c>
      <c r="M6" s="431">
        <f>((10.8*((D6*1000)^2)*10^-8)/K6)</f>
        <v>0.69933571740620715</v>
      </c>
      <c r="N6" s="418">
        <f>(M6*(L6^2))/16</f>
        <v>27.317801461179968</v>
      </c>
      <c r="O6" s="433">
        <f>N6/F6</f>
        <v>1.3658900730589984E-2</v>
      </c>
      <c r="P6" s="628">
        <v>1</v>
      </c>
      <c r="Q6" s="629" t="s">
        <v>148</v>
      </c>
      <c r="R6" s="414">
        <f>(IF(AND(E6="Cobre",J6="Ao Baixo"),VLOOKUP(Q6,Consulta!$BB$7:$BI$27,6,FALSE),IF(AND(E6="Cobre",J6="Ao Alto"),VLOOKUP(Q6,Consulta!$BB$34:$BI$54,6,FALSE),IF(AND(E6="Alumínio",J6="Ao Baixo"),VLOOKUP(Q6,Consulta!$BB$61:$BI$81,6,FALSE),IF(AND(E6="Alumínio",J6="Ao Alto"),VLOOKUP(Q6,Consulta!$BB$88:$BI$108,6,FALSE))))))*P6</f>
        <v>520</v>
      </c>
      <c r="S6" s="414">
        <f>IF(AND(E6="Cobre",J6="Ao Baixo"),VLOOKUP(Q6,Consulta!$BB$7:$BI$27,5,FALSE),IF(AND(E6="Cobre",J6="Ao Alto"),VLOOKUP(Q6,Consulta!$BB$34:$BI$54,5,FALSE),IF(AND(E6="Alumínio",J6="Ao Baixo"),VLOOKUP(Q6,Consulta!$BB$61:$BI$81,5,FALSE),IF(AND(E6="Alumínio",J6="Ao Alto"),VLOOKUP(Q6,Consulta!$BB$88:$BI$108,5,FALSE)))))</f>
        <v>1.77</v>
      </c>
      <c r="T6" s="422">
        <f>IF(AND(E6="Cobre",J6="Ao Baixo"),VLOOKUP(Q6,Consulta!$BB$7:$BI$27,4,FALSE),IF(AND(E6="Cobre",J6="Ao Alto"),VLOOKUP(Q6,Consulta!$BB$34:$BI$54,4,FALSE),IF(AND(E6="Alumínio",J6="Ao Baixo"),VLOOKUP(Q6,Consulta!$BB$61:$BI$81,4,FALSE),IF(AND(E6="Alumínio",J6="Ao Alto"),VLOOKUP(Q6,Consulta!$BB$88:$BI$108,4,FALSE)))))</f>
        <v>4.1700000000000001E-2</v>
      </c>
      <c r="U6" s="422">
        <f>IF(AND(E6="Cobre",J6="Ao Baixo"),VLOOKUP(Q6,Consulta!$BB$7:$BI$27,3,FALSE),IF(AND(E6="Cobre",J6="Ao Alto"),VLOOKUP(Q6,Consulta!$BB$34:$BI$54,3,FALSE),IF(AND(E6="Alumínio",J6="Ao Baixo"),VLOOKUP(Q6,Consulta!$BB$61:$BI$81,3,FALSE),IF(AND(E6="Alumínio",J6="Ao Alto"),VLOOKUP(Q6,Consulta!$BB$88:$BI$108,3,FALSE)))))</f>
        <v>0.16700000000000001</v>
      </c>
      <c r="V6" s="423">
        <f>(((S6*(L6^4))/(384*G6*T6))/L6)</f>
        <v>1.381707134292566E-3</v>
      </c>
      <c r="W6" s="414" t="str">
        <f>IF(AND(E6="Cobre",J6="Ao Baixo"),VLOOKUP(Q6,Consulta!$BB$7:$BI$27,7,FALSE),IF(AND(E6="Cobre",J6="Ao Alto"),VLOOKUP(Q6,Consulta!$BB$34:$BI$54,7,FALSE),IF(AND(E6="Alumínio",J6="Ao Baixo"),VLOOKUP(Q6,Consulta!$BB$61:$BI$81,7,FALSE),IF(AND(E6="Alumínio",J6="Ao Alto"),VLOOKUP(Q6,Consulta!$BB$88:$BI$108,7,FALSE)))))</f>
        <v>60-66</v>
      </c>
      <c r="X6" s="438" t="str">
        <f>IF(AND(E6="Cobre",J6="Ao Baixo"),VLOOKUP(Q6,Consulta!$BB$7:$BI$27,8,FALSE),IF(AND(E6="Cobre",J6="Ao Alto"),VLOOKUP(Q6,Consulta!$BB$34:$BI$54,8,FALSE),IF(AND(E6="Alumínio",J6="Ao Baixo"),VLOOKUP(Q6,Consulta!$BB$61:$BI$81,8,FALSE),IF(AND(E6="Alumínio",J6="Ao Alto"),VLOOKUP(Q6,Consulta!$BB$88:$BI$108,8,FALSE)))))</f>
        <v>42-47</v>
      </c>
      <c r="Y6" s="435" t="str">
        <f>IF(AND(V6&lt;=0.005,U6&gt;O6,R6&gt;C6),"Em conformidade","Em não conformidade")</f>
        <v>Em conformidade</v>
      </c>
    </row>
    <row r="7" spans="2:33" ht="15" x14ac:dyDescent="0.25">
      <c r="B7" s="266" t="str">
        <f>'Canalizações e Proteções'!C5</f>
        <v>Q.G.B.T. / Q_PS1</v>
      </c>
      <c r="C7" s="310">
        <f>'Canalizações e Proteções'!S5</f>
        <v>53.374829573520095</v>
      </c>
      <c r="D7" s="426">
        <f>'Canalizações e Proteções'!AI5</f>
        <v>2.3769935120606127</v>
      </c>
      <c r="E7" s="428" t="s">
        <v>242</v>
      </c>
      <c r="F7" s="416">
        <f>IF(E7="Cobre",2000,IF(E7="Alumínio",1000,))</f>
        <v>2000</v>
      </c>
      <c r="G7" s="417">
        <f>IF(E7="Cobre",12.5*10^5,IF(E7="Alumínio",7.1*10^5,))</f>
        <v>1250000</v>
      </c>
      <c r="H7" s="430">
        <f>IF(E7="Cobre",8.9,IF(E7="Alumínio",2.7,))</f>
        <v>8.9</v>
      </c>
      <c r="I7" s="621" t="s">
        <v>560</v>
      </c>
      <c r="J7" s="623" t="s">
        <v>561</v>
      </c>
      <c r="K7" s="625">
        <v>5</v>
      </c>
      <c r="L7" s="627">
        <v>25</v>
      </c>
      <c r="M7" s="432">
        <f>((10.8*((D7*1000)^2)*10^-8)/K7)</f>
        <v>0.12204212017777014</v>
      </c>
      <c r="N7" s="419">
        <f>(M7*(L7^2))/16</f>
        <v>4.7672703194441457</v>
      </c>
      <c r="O7" s="434">
        <f>N7/F7</f>
        <v>2.3836351597220726E-3</v>
      </c>
      <c r="P7" s="630">
        <v>1</v>
      </c>
      <c r="Q7" s="631" t="s">
        <v>132</v>
      </c>
      <c r="R7" s="416">
        <f>(IF(AND(E7="Cobre",J7="Ao Baixo"),VLOOKUP(Q7,Consulta!$BB$7:$BI$27,6,FALSE),IF(AND(E7="Cobre",J7="Ao Alto"),VLOOKUP(Q7,Consulta!$BB$34:$BI$54,6,FALSE),IF(AND(E7="Alumínio",J7="Ao Baixo"),VLOOKUP(Q7,Consulta!$BB$61:$BI$81,6,FALSE),IF(AND(E7="Alumínio",J7="Ao Alto"),VLOOKUP(Q7,Consulta!$BB$88:$BI$108,6,FALSE))))))*P7</f>
        <v>170</v>
      </c>
      <c r="S7" s="416">
        <f>IF(AND(E7="Cobre",J7="Ao Baixo"),VLOOKUP(Q7,Consulta!$BB$7:$BI$27,5,FALSE),IF(AND(E7="Cobre",J7="Ao Alto"),VLOOKUP(Q7,Consulta!$BB$34:$BI$54,5,FALSE),IF(AND(E7="Alumínio",J7="Ao Baixo"),VLOOKUP(Q7,Consulta!$BB$61:$BI$81,5,FALSE),IF(AND(E7="Alumínio",J7="Ao Alto"),VLOOKUP(Q7,Consulta!$BB$88:$BI$108,5,FALSE)))))</f>
        <v>0.39600000000000002</v>
      </c>
      <c r="T7" s="416">
        <f>IF(AND(E7="Cobre",J7="Ao Baixo"),VLOOKUP(Q7,Consulta!$BB$7:$BI$27,4,FALSE),IF(AND(E7="Cobre",J7="Ao Alto"),VLOOKUP(Q7,Consulta!$BB$34:$BI$54,4,FALSE),IF(AND(E7="Alumínio",J7="Ao Baixo"),VLOOKUP(Q7,Consulta!$BB$61:$BI$81,4,FALSE),IF(AND(E7="Alumínio",J7="Ao Alto"),VLOOKUP(Q7,Consulta!$BB$88:$BI$108,4,FALSE)))))</f>
        <v>3.3999999999999998E-3</v>
      </c>
      <c r="U7" s="416">
        <f>IF(AND(E7="Cobre",J7="Ao Baixo"),VLOOKUP(Q7,Consulta!$BB$7:$BI$27,3,FALSE),IF(AND(E7="Cobre",J7="Ao Alto"),VLOOKUP(Q7,Consulta!$BB$34:$BI$54,3,FALSE),IF(AND(E7="Alumínio",J7="Ao Baixo"),VLOOKUP(Q7,Consulta!$BB$61:$BI$81,3,FALSE),IF(AND(E7="Alumínio",J7="Ao Alto"),VLOOKUP(Q7,Consulta!$BB$88:$BI$108,3,FALSE)))))</f>
        <v>2.3E-2</v>
      </c>
      <c r="V7" s="424">
        <f>(((S7*(L7^4))/(384*G7*T7))/L7)</f>
        <v>3.791360294117647E-3</v>
      </c>
      <c r="W7" s="416" t="str">
        <f>IF(AND(E7="Cobre",J7="Ao Baixo"),VLOOKUP(Q7,Consulta!$BB$7:$BI$27,7,FALSE),IF(AND(E7="Cobre",J7="Ao Alto"),VLOOKUP(Q7,Consulta!$BB$34:$BI$54,7,FALSE),IF(AND(E7="Alumínio",J7="Ao Baixo"),VLOOKUP(Q7,Consulta!$BB$61:$BI$81,7,FALSE),IF(AND(E7="Alumínio",J7="Ao Alto"),VLOOKUP(Q7,Consulta!$BB$88:$BI$108,7,FALSE)))))</f>
        <v>46-51</v>
      </c>
      <c r="X7" s="439" t="str">
        <f>IF(AND(E7="Cobre",J7="Ao Baixo"),VLOOKUP(Q7,Consulta!$BB$7:$BI$27,8,FALSE),IF(AND(E7="Cobre",J7="Ao Alto"),VLOOKUP(Q7,Consulta!$BB$34:$BI$54,8,FALSE),IF(AND(E7="Alumínio",J7="Ao Baixo"),VLOOKUP(Q7,Consulta!$BB$61:$BI$81,8,FALSE),IF(AND(E7="Alumínio",J7="Ao Alto"),VLOOKUP(Q7,Consulta!$BB$88:$BI$108,8,FALSE)))))</f>
        <v>32-36</v>
      </c>
      <c r="Y7" s="436" t="str">
        <f>IF(AND(V7&lt;=0.005,U7&gt;O7,R7&gt;C7),"Em conformidade","Em não conformidade")</f>
        <v>Em conformidade</v>
      </c>
    </row>
    <row r="8" spans="2:33" ht="15" x14ac:dyDescent="0.25">
      <c r="B8" s="266" t="str">
        <f>'Canalizações e Proteções'!C6</f>
        <v>Q.G.B.T. / Q_PS2</v>
      </c>
      <c r="C8" s="310">
        <f>'Canalizações e Proteções'!S6</f>
        <v>65.192467895995279</v>
      </c>
      <c r="D8" s="426">
        <f>'Canalizações e Proteções'!AI6</f>
        <v>2.9749918268207791</v>
      </c>
      <c r="E8" s="428" t="s">
        <v>242</v>
      </c>
      <c r="F8" s="416">
        <f>IF(E8="Cobre",2000,IF(E8="Alumínio",1000,))</f>
        <v>2000</v>
      </c>
      <c r="G8" s="417">
        <f>IF(E8="Cobre",12.5*10^5,IF(E8="Alumínio",7.1*10^5,))</f>
        <v>1250000</v>
      </c>
      <c r="H8" s="430">
        <f>IF(E8="Cobre",8.9,IF(E8="Alumínio",2.7,))</f>
        <v>8.9</v>
      </c>
      <c r="I8" s="621" t="s">
        <v>560</v>
      </c>
      <c r="J8" s="623" t="s">
        <v>561</v>
      </c>
      <c r="K8" s="625">
        <v>5</v>
      </c>
      <c r="L8" s="627">
        <v>25</v>
      </c>
      <c r="M8" s="432">
        <f>((10.8*((D8*1000)^2)*10^-8)/K8)</f>
        <v>0.1911724495844494</v>
      </c>
      <c r="N8" s="419">
        <f>(M8*(L8^2))/16</f>
        <v>7.4676738118925545</v>
      </c>
      <c r="O8" s="434">
        <f>N8/F8</f>
        <v>3.7338369059462771E-3</v>
      </c>
      <c r="P8" s="630">
        <v>1</v>
      </c>
      <c r="Q8" s="631" t="s">
        <v>148</v>
      </c>
      <c r="R8" s="416">
        <f>(IF(AND(E8="Cobre",J8="Ao Baixo"),VLOOKUP(Q8,Consulta!$BB$7:$BI$27,6,FALSE),IF(AND(E8="Cobre",J8="Ao Alto"),VLOOKUP(Q8,Consulta!$BB$34:$BI$54,6,FALSE),IF(AND(E8="Alumínio",J8="Ao Baixo"),VLOOKUP(Q8,Consulta!$BB$61:$BI$81,6,FALSE),IF(AND(E8="Alumínio",J8="Ao Alto"),VLOOKUP(Q8,Consulta!$BB$88:$BI$108,6,FALSE))))))*P8</f>
        <v>520</v>
      </c>
      <c r="S8" s="416">
        <f>IF(AND(E8="Cobre",J8="Ao Baixo"),VLOOKUP(Q8,Consulta!$BB$7:$BI$27,5,FALSE),IF(AND(E8="Cobre",J8="Ao Alto"),VLOOKUP(Q8,Consulta!$BB$34:$BI$54,5,FALSE),IF(AND(E8="Alumínio",J8="Ao Baixo"),VLOOKUP(Q8,Consulta!$BB$61:$BI$81,5,FALSE),IF(AND(E8="Alumínio",J8="Ao Alto"),VLOOKUP(Q8,Consulta!$BB$88:$BI$108,5,FALSE)))))</f>
        <v>1.77</v>
      </c>
      <c r="T8" s="416">
        <f>IF(AND(E8="Cobre",J8="Ao Baixo"),VLOOKUP(Q8,Consulta!$BB$7:$BI$27,4,FALSE),IF(AND(E8="Cobre",J8="Ao Alto"),VLOOKUP(Q8,Consulta!$BB$34:$BI$54,4,FALSE),IF(AND(E8="Alumínio",J8="Ao Baixo"),VLOOKUP(Q8,Consulta!$BB$61:$BI$81,4,FALSE),IF(AND(E8="Alumínio",J8="Ao Alto"),VLOOKUP(Q8,Consulta!$BB$88:$BI$108,4,FALSE)))))</f>
        <v>4.1700000000000001E-2</v>
      </c>
      <c r="U8" s="416">
        <f>IF(AND(E8="Cobre",J8="Ao Baixo"),VLOOKUP(Q8,Consulta!$BB$7:$BI$27,3,FALSE),IF(AND(E8="Cobre",J8="Ao Alto"),VLOOKUP(Q8,Consulta!$BB$34:$BI$54,3,FALSE),IF(AND(E8="Alumínio",J8="Ao Baixo"),VLOOKUP(Q8,Consulta!$BB$61:$BI$81,3,FALSE),IF(AND(E8="Alumínio",J8="Ao Alto"),VLOOKUP(Q8,Consulta!$BB$88:$BI$108,3,FALSE)))))</f>
        <v>0.16700000000000001</v>
      </c>
      <c r="V8" s="424">
        <f>(((S8*(L8^4))/(384*G8*T8))/L8)</f>
        <v>1.381707134292566E-3</v>
      </c>
      <c r="W8" s="416" t="str">
        <f>IF(AND(E8="Cobre",J8="Ao Baixo"),VLOOKUP(Q8,Consulta!$BB$7:$BI$27,7,FALSE),IF(AND(E8="Cobre",J8="Ao Alto"),VLOOKUP(Q8,Consulta!$BB$34:$BI$54,7,FALSE),IF(AND(E8="Alumínio",J8="Ao Baixo"),VLOOKUP(Q8,Consulta!$BB$61:$BI$81,7,FALSE),IF(AND(E8="Alumínio",J8="Ao Alto"),VLOOKUP(Q8,Consulta!$BB$88:$BI$108,7,FALSE)))))</f>
        <v>60-66</v>
      </c>
      <c r="X8" s="439" t="str">
        <f>IF(AND(E8="Cobre",J8="Ao Baixo"),VLOOKUP(Q8,Consulta!$BB$7:$BI$27,8,FALSE),IF(AND(E8="Cobre",J8="Ao Alto"),VLOOKUP(Q8,Consulta!$BB$34:$BI$54,8,FALSE),IF(AND(E8="Alumínio",J8="Ao Baixo"),VLOOKUP(Q8,Consulta!$BB$61:$BI$81,8,FALSE),IF(AND(E8="Alumínio",J8="Ao Alto"),VLOOKUP(Q8,Consulta!$BB$88:$BI$108,8,FALSE)))))</f>
        <v>42-47</v>
      </c>
      <c r="Y8" s="436" t="str">
        <f>IF(AND(V8&lt;=0.005,U8&gt;O8,R8&gt;C8),"Em conformidade","Em não conformidade")</f>
        <v>Em conformidade</v>
      </c>
    </row>
    <row r="9" spans="2:33" ht="15" x14ac:dyDescent="0.25">
      <c r="B9" s="267" t="str">
        <f>'Canalizações e Proteções'!C7</f>
        <v>Q.G.B.T. / Q_PS3</v>
      </c>
      <c r="C9" s="310">
        <f>'Canalizações e Proteções'!S7</f>
        <v>47.816329716243942</v>
      </c>
      <c r="D9" s="426">
        <f>'Canalizações e Proteções'!AI7</f>
        <v>5.2005321655651562</v>
      </c>
      <c r="E9" s="428" t="s">
        <v>242</v>
      </c>
      <c r="F9" s="416">
        <f>IF(E9="Cobre",2000,IF(E9="Alumínio",1000,))</f>
        <v>2000</v>
      </c>
      <c r="G9" s="417">
        <f>IF(E9="Cobre",12.5*10^5,IF(E9="Alumínio",7.1*10^5,))</f>
        <v>1250000</v>
      </c>
      <c r="H9" s="430">
        <f>IF(E9="Cobre",8.9,IF(E9="Alumínio",2.7,))</f>
        <v>8.9</v>
      </c>
      <c r="I9" s="621" t="s">
        <v>560</v>
      </c>
      <c r="J9" s="623" t="s">
        <v>561</v>
      </c>
      <c r="K9" s="625">
        <v>5</v>
      </c>
      <c r="L9" s="627">
        <v>25</v>
      </c>
      <c r="M9" s="432">
        <f>((10.8*((D9*1000)^2)*10^-8)/K9)</f>
        <v>0.58418355178968073</v>
      </c>
      <c r="N9" s="419">
        <f>(M9*(L9^2))/16</f>
        <v>22.819669991784405</v>
      </c>
      <c r="O9" s="434">
        <f t="shared" ref="O9:O10" si="0">N9/F9</f>
        <v>1.1409834995892203E-2</v>
      </c>
      <c r="P9" s="630">
        <v>1</v>
      </c>
      <c r="Q9" s="631" t="s">
        <v>132</v>
      </c>
      <c r="R9" s="416">
        <f>(IF(AND(E9="Cobre",J9="Ao Baixo"),VLOOKUP(Q9,Consulta!$BB$7:$BI$27,6,FALSE),IF(AND(E9="Cobre",J9="Ao Alto"),VLOOKUP(Q9,Consulta!$BB$34:$BI$54,6,FALSE),IF(AND(E9="Alumínio",J9="Ao Baixo"),VLOOKUP(Q9,Consulta!$BB$61:$BI$81,6,FALSE),IF(AND(E9="Alumínio",J9="Ao Alto"),VLOOKUP(Q9,Consulta!$BB$88:$BI$108,6,FALSE))))))*P9</f>
        <v>170</v>
      </c>
      <c r="S9" s="416">
        <f>IF(AND(E9="Cobre",J9="Ao Baixo"),VLOOKUP(Q9,Consulta!$BB$7:$BI$27,5,FALSE),IF(AND(E9="Cobre",J9="Ao Alto"),VLOOKUP(Q9,Consulta!$BB$34:$BI$54,5,FALSE),IF(AND(E9="Alumínio",J9="Ao Baixo"),VLOOKUP(Q9,Consulta!$BB$61:$BI$81,5,FALSE),IF(AND(E9="Alumínio",J9="Ao Alto"),VLOOKUP(Q9,Consulta!$BB$88:$BI$108,5,FALSE)))))</f>
        <v>0.39600000000000002</v>
      </c>
      <c r="T9" s="416">
        <f>IF(AND(E9="Cobre",J9="Ao Baixo"),VLOOKUP(Q9,Consulta!$BB$7:$BI$27,4,FALSE),IF(AND(E9="Cobre",J9="Ao Alto"),VLOOKUP(Q9,Consulta!$BB$34:$BI$54,4,FALSE),IF(AND(E9="Alumínio",J9="Ao Baixo"),VLOOKUP(Q9,Consulta!$BB$61:$BI$81,4,FALSE),IF(AND(E9="Alumínio",J9="Ao Alto"),VLOOKUP(Q9,Consulta!$BB$88:$BI$108,4,FALSE)))))</f>
        <v>3.3999999999999998E-3</v>
      </c>
      <c r="U9" s="416">
        <f>IF(AND(E9="Cobre",J9="Ao Baixo"),VLOOKUP(Q9,Consulta!$BB$7:$BI$27,3,FALSE),IF(AND(E9="Cobre",J9="Ao Alto"),VLOOKUP(Q9,Consulta!$BB$34:$BI$54,3,FALSE),IF(AND(E9="Alumínio",J9="Ao Baixo"),VLOOKUP(Q9,Consulta!$BB$61:$BI$81,3,FALSE),IF(AND(E9="Alumínio",J9="Ao Alto"),VLOOKUP(Q9,Consulta!$BB$88:$BI$108,3,FALSE)))))</f>
        <v>2.3E-2</v>
      </c>
      <c r="V9" s="424">
        <f t="shared" ref="V9" si="1">(((S9*(L9^4))/(384*G9*T9))/L9)</f>
        <v>3.791360294117647E-3</v>
      </c>
      <c r="W9" s="416" t="str">
        <f>IF(AND(E9="Cobre",J9="Ao Baixo"),VLOOKUP(Q9,Consulta!$BB$7:$BI$27,7,FALSE),IF(AND(E9="Cobre",J9="Ao Alto"),VLOOKUP(Q9,Consulta!$BB$34:$BI$54,7,FALSE),IF(AND(E9="Alumínio",J9="Ao Baixo"),VLOOKUP(Q9,Consulta!$BB$61:$BI$81,7,FALSE),IF(AND(E9="Alumínio",J9="Ao Alto"),VLOOKUP(Q9,Consulta!$BB$88:$BI$108,7,FALSE)))))</f>
        <v>46-51</v>
      </c>
      <c r="X9" s="439" t="str">
        <f>IF(AND(E9="Cobre",J9="Ao Baixo"),VLOOKUP(Q9,Consulta!$BB$7:$BI$27,8,FALSE),IF(AND(E9="Cobre",J9="Ao Alto"),VLOOKUP(Q9,Consulta!$BB$34:$BI$54,8,FALSE),IF(AND(E9="Alumínio",J9="Ao Baixo"),VLOOKUP(Q9,Consulta!$BB$61:$BI$81,8,FALSE),IF(AND(E9="Alumínio",J9="Ao Alto"),VLOOKUP(Q9,Consulta!$BB$88:$BI$108,8,FALSE)))))</f>
        <v>32-36</v>
      </c>
      <c r="Y9" s="436" t="str">
        <f>IF(AND(V9&lt;=0.005,U9&gt;O9,R9&gt;C9),"Em conformidade","Em não conformidade")</f>
        <v>Em conformidade</v>
      </c>
    </row>
    <row r="10" spans="2:33" ht="15" x14ac:dyDescent="0.25">
      <c r="B10" s="266" t="str">
        <f>'Canalizações e Proteções'!C8</f>
        <v>Q.G.B.T. / Q_PS4</v>
      </c>
      <c r="C10" s="310">
        <f>'Canalizações e Proteções'!S8</f>
        <v>52.869648087979179</v>
      </c>
      <c r="D10" s="426">
        <f>'Canalizações e Proteções'!AI8</f>
        <v>2.4413285922193784</v>
      </c>
      <c r="E10" s="428" t="s">
        <v>242</v>
      </c>
      <c r="F10" s="416">
        <f t="shared" ref="F10:F13" si="2">IF(E10="Cobre",2000,IF(E10="Alumínio",1000,))</f>
        <v>2000</v>
      </c>
      <c r="G10" s="417">
        <f t="shared" ref="G10:G13" si="3">IF(E10="Cobre",12.5*10^5,IF(E10="Alumínio",7.1*10^5,))</f>
        <v>1250000</v>
      </c>
      <c r="H10" s="430">
        <f t="shared" ref="H10:H13" si="4">IF(E10="Cobre",8.9,IF(E10="Alumínio",2.7,))</f>
        <v>8.9</v>
      </c>
      <c r="I10" s="621" t="s">
        <v>560</v>
      </c>
      <c r="J10" s="623" t="s">
        <v>561</v>
      </c>
      <c r="K10" s="625">
        <v>5</v>
      </c>
      <c r="L10" s="627">
        <v>25</v>
      </c>
      <c r="M10" s="432">
        <f t="shared" ref="M10:M13" si="5">((10.8*((D10*1000)^2)*10^-8)/K10)</f>
        <v>0.12873784237605759</v>
      </c>
      <c r="N10" s="419">
        <f t="shared" ref="N10:N13" si="6">(M10*(L10^2))/16</f>
        <v>5.0288219678147499</v>
      </c>
      <c r="O10" s="434">
        <f t="shared" si="0"/>
        <v>2.5144109839073748E-3</v>
      </c>
      <c r="P10" s="630">
        <v>1</v>
      </c>
      <c r="Q10" s="631" t="s">
        <v>137</v>
      </c>
      <c r="R10" s="416">
        <f>(IF(AND(E10="Cobre",J10="Ao Baixo"),VLOOKUP(Q10,Consulta!$BB$7:$BI$27,6,FALSE),IF(AND(E10="Cobre",J10="Ao Alto"),VLOOKUP(Q10,Consulta!$BB$34:$BI$54,6,FALSE),IF(AND(E10="Alumínio",J10="Ao Baixo"),VLOOKUP(Q10,Consulta!$BB$61:$BI$81,6,FALSE),IF(AND(E10="Alumínio",J10="Ao Alto"),VLOOKUP(Q10,Consulta!$BB$88:$BI$108,6,FALSE))))))*P10</f>
        <v>295</v>
      </c>
      <c r="S10" s="416">
        <f>IF(AND(E10="Cobre",J10="Ao Baixo"),VLOOKUP(Q10,Consulta!$BB$7:$BI$27,5,FALSE),IF(AND(E10="Cobre",J10="Ao Alto"),VLOOKUP(Q10,Consulta!$BB$34:$BI$54,5,FALSE),IF(AND(E10="Alumínio",J10="Ao Baixo"),VLOOKUP(Q10,Consulta!$BB$61:$BI$81,5,FALSE),IF(AND(E10="Alumínio",J10="Ao Alto"),VLOOKUP(Q10,Consulta!$BB$88:$BI$108,5,FALSE)))))</f>
        <v>0.88200000000000001</v>
      </c>
      <c r="T10" s="416">
        <f>IF(AND(E10="Cobre",J10="Ao Baixo"),VLOOKUP(Q10,Consulta!$BB$7:$BI$27,4,FALSE),IF(AND(E10="Cobre",J10="Ao Alto"),VLOOKUP(Q10,Consulta!$BB$34:$BI$54,4,FALSE),IF(AND(E10="Alumínio",J10="Ao Baixo"),VLOOKUP(Q10,Consulta!$BB$61:$BI$81,4,FALSE),IF(AND(E10="Alumínio",J10="Ao Alto"),VLOOKUP(Q10,Consulta!$BB$88:$BI$108,4,FALSE)))))</f>
        <v>2.0799999999999999E-2</v>
      </c>
      <c r="U10" s="416">
        <f>IF(AND(E10="Cobre",J10="Ao Baixo"),VLOOKUP(Q10,Consulta!$BB$7:$BI$27,3,FALSE),IF(AND(E10="Cobre",J10="Ao Alto"),VLOOKUP(Q10,Consulta!$BB$34:$BI$54,3,FALSE),IF(AND(E10="Alumínio",J10="Ao Baixo"),VLOOKUP(Q10,Consulta!$BB$61:$BI$81,3,FALSE),IF(AND(E10="Alumínio",J10="Ao Alto"),VLOOKUP(Q10,Consulta!$BB$88:$BI$108,3,FALSE)))))</f>
        <v>8.3000000000000004E-2</v>
      </c>
      <c r="V10" s="424">
        <f t="shared" ref="V10:V13" si="7">(((S10*(L10^4))/(384*G10*T10))/L10)</f>
        <v>1.380333533653846E-3</v>
      </c>
      <c r="W10" s="416" t="str">
        <f>IF(AND(E10="Cobre",J10="Ao Baixo"),VLOOKUP(Q10,Consulta!$BB$7:$BI$27,7,FALSE),IF(AND(E10="Cobre",J10="Ao Alto"),VLOOKUP(Q10,Consulta!$BB$34:$BI$54,7,FALSE),IF(AND(E10="Alumínio",J10="Ao Baixo"),VLOOKUP(Q10,Consulta!$BB$61:$BI$81,7,FALSE),IF(AND(E10="Alumínio",J10="Ao Alto"),VLOOKUP(Q10,Consulta!$BB$88:$BI$108,7,FALSE)))))</f>
        <v>60-66</v>
      </c>
      <c r="X10" s="439" t="str">
        <f>IF(AND(E10="Cobre",J10="Ao Baixo"),VLOOKUP(Q10,Consulta!$BB$7:$BI$27,8,FALSE),IF(AND(E10="Cobre",J10="Ao Alto"),VLOOKUP(Q10,Consulta!$BB$34:$BI$54,8,FALSE),IF(AND(E10="Alumínio",J10="Ao Baixo"),VLOOKUP(Q10,Consulta!$BB$61:$BI$81,8,FALSE),IF(AND(E10="Alumínio",J10="Ao Alto"),VLOOKUP(Q10,Consulta!$BB$88:$BI$108,8,FALSE)))))</f>
        <v>42-47</v>
      </c>
      <c r="Y10" s="436" t="str">
        <f t="shared" ref="Y10:Y13" si="8">IF(AND(V10&lt;=0.005,U10&gt;O10,R10&gt;C10),"Em conformidade","Em não conformidade")</f>
        <v>Em conformidade</v>
      </c>
    </row>
    <row r="11" spans="2:33" ht="15" x14ac:dyDescent="0.25">
      <c r="B11" s="267" t="str">
        <f>'Canalizações e Proteções'!C9</f>
        <v>Q_PS4. / Q_PS5</v>
      </c>
      <c r="C11" s="310">
        <f>'Canalizações e Proteções'!S9</f>
        <v>27.875192684311621</v>
      </c>
      <c r="D11" s="426">
        <f>'Canalizações e Proteções'!AI9</f>
        <v>1.443495644826011</v>
      </c>
      <c r="E11" s="428" t="s">
        <v>242</v>
      </c>
      <c r="F11" s="416">
        <f t="shared" si="2"/>
        <v>2000</v>
      </c>
      <c r="G11" s="417">
        <f t="shared" si="3"/>
        <v>1250000</v>
      </c>
      <c r="H11" s="430">
        <f t="shared" si="4"/>
        <v>8.9</v>
      </c>
      <c r="I11" s="621" t="s">
        <v>560</v>
      </c>
      <c r="J11" s="623" t="s">
        <v>561</v>
      </c>
      <c r="K11" s="625">
        <v>5</v>
      </c>
      <c r="L11" s="627">
        <v>25</v>
      </c>
      <c r="M11" s="432">
        <f t="shared" si="5"/>
        <v>4.5007481015243885E-2</v>
      </c>
      <c r="N11" s="419">
        <f t="shared" si="6"/>
        <v>1.7581047271579642</v>
      </c>
      <c r="O11" s="434">
        <f t="shared" ref="O11:O13" si="9">N11/F11</f>
        <v>8.7905236357898209E-4</v>
      </c>
      <c r="P11" s="630">
        <v>1</v>
      </c>
      <c r="Q11" s="631" t="s">
        <v>132</v>
      </c>
      <c r="R11" s="416">
        <f>(IF(AND(E11="Cobre",J11="Ao Baixo"),VLOOKUP(Q11,Consulta!$BB$7:$BI$27,6,FALSE),IF(AND(E11="Cobre",J11="Ao Alto"),VLOOKUP(Q11,Consulta!$BB$34:$BI$54,6,FALSE),IF(AND(E11="Alumínio",J11="Ao Baixo"),VLOOKUP(Q11,Consulta!$BB$61:$BI$81,6,FALSE),IF(AND(E11="Alumínio",J11="Ao Alto"),VLOOKUP(Q11,Consulta!$BB$88:$BI$108,6,FALSE))))))*P11</f>
        <v>170</v>
      </c>
      <c r="S11" s="416">
        <f>IF(AND(E11="Cobre",J11="Ao Baixo"),VLOOKUP(Q11,Consulta!$BB$7:$BI$27,5,FALSE),IF(AND(E11="Cobre",J11="Ao Alto"),VLOOKUP(Q11,Consulta!$BB$34:$BI$54,5,FALSE),IF(AND(E11="Alumínio",J11="Ao Baixo"),VLOOKUP(Q11,Consulta!$BB$61:$BI$81,5,FALSE),IF(AND(E11="Alumínio",J11="Ao Alto"),VLOOKUP(Q11,Consulta!$BB$88:$BI$108,5,FALSE)))))</f>
        <v>0.39600000000000002</v>
      </c>
      <c r="T11" s="416">
        <f>IF(AND(E11="Cobre",J11="Ao Baixo"),VLOOKUP(Q11,Consulta!$BB$7:$BI$27,4,FALSE),IF(AND(E11="Cobre",J11="Ao Alto"),VLOOKUP(Q11,Consulta!$BB$34:$BI$54,4,FALSE),IF(AND(E11="Alumínio",J11="Ao Baixo"),VLOOKUP(Q11,Consulta!$BB$61:$BI$81,4,FALSE),IF(AND(E11="Alumínio",J11="Ao Alto"),VLOOKUP(Q11,Consulta!$BB$88:$BI$108,4,FALSE)))))</f>
        <v>3.3999999999999998E-3</v>
      </c>
      <c r="U11" s="416">
        <f>IF(AND(E11="Cobre",J11="Ao Baixo"),VLOOKUP(Q11,Consulta!$BB$7:$BI$27,3,FALSE),IF(AND(E11="Cobre",J11="Ao Alto"),VLOOKUP(Q11,Consulta!$BB$34:$BI$54,3,FALSE),IF(AND(E11="Alumínio",J11="Ao Baixo"),VLOOKUP(Q11,Consulta!$BB$61:$BI$81,3,FALSE),IF(AND(E11="Alumínio",J11="Ao Alto"),VLOOKUP(Q11,Consulta!$BB$88:$BI$108,3,FALSE)))))</f>
        <v>2.3E-2</v>
      </c>
      <c r="V11" s="424">
        <f t="shared" si="7"/>
        <v>3.791360294117647E-3</v>
      </c>
      <c r="W11" s="416" t="str">
        <f>IF(AND(E11="Cobre",J11="Ao Baixo"),VLOOKUP(Q11,Consulta!$BB$7:$BI$27,7,FALSE),IF(AND(E11="Cobre",J11="Ao Alto"),VLOOKUP(Q11,Consulta!$BB$34:$BI$54,7,FALSE),IF(AND(E11="Alumínio",J11="Ao Baixo"),VLOOKUP(Q11,Consulta!$BB$61:$BI$81,7,FALSE),IF(AND(E11="Alumínio",J11="Ao Alto"),VLOOKUP(Q11,Consulta!$BB$88:$BI$108,7,FALSE)))))</f>
        <v>46-51</v>
      </c>
      <c r="X11" s="439" t="str">
        <f>IF(AND(E11="Cobre",J11="Ao Baixo"),VLOOKUP(Q11,Consulta!$BB$7:$BI$27,8,FALSE),IF(AND(E11="Cobre",J11="Ao Alto"),VLOOKUP(Q11,Consulta!$BB$34:$BI$54,8,FALSE),IF(AND(E11="Alumínio",J11="Ao Baixo"),VLOOKUP(Q11,Consulta!$BB$61:$BI$81,8,FALSE),IF(AND(E11="Alumínio",J11="Ao Alto"),VLOOKUP(Q11,Consulta!$BB$88:$BI$108,8,FALSE)))))</f>
        <v>32-36</v>
      </c>
      <c r="Y11" s="436" t="str">
        <f t="shared" si="8"/>
        <v>Em conformidade</v>
      </c>
    </row>
    <row r="12" spans="2:33" ht="15" x14ac:dyDescent="0.25">
      <c r="B12" s="266" t="str">
        <f>'Canalizações e Proteções'!C10</f>
        <v>Q.G.B.T. / Q_PS6</v>
      </c>
      <c r="C12" s="310">
        <f>'Canalizações e Proteções'!S10</f>
        <v>42.970496597498716</v>
      </c>
      <c r="D12" s="426">
        <f>'Canalizações e Proteções'!AI10</f>
        <v>0.68871304505722908</v>
      </c>
      <c r="E12" s="428" t="s">
        <v>242</v>
      </c>
      <c r="F12" s="416">
        <f t="shared" si="2"/>
        <v>2000</v>
      </c>
      <c r="G12" s="417">
        <f t="shared" si="3"/>
        <v>1250000</v>
      </c>
      <c r="H12" s="430">
        <f t="shared" si="4"/>
        <v>8.9</v>
      </c>
      <c r="I12" s="621" t="s">
        <v>560</v>
      </c>
      <c r="J12" s="623" t="s">
        <v>561</v>
      </c>
      <c r="K12" s="625">
        <v>5</v>
      </c>
      <c r="L12" s="627">
        <v>25</v>
      </c>
      <c r="M12" s="432">
        <f t="shared" si="5"/>
        <v>1.0245434222131221E-2</v>
      </c>
      <c r="N12" s="419">
        <f t="shared" si="6"/>
        <v>0.40021227430200079</v>
      </c>
      <c r="O12" s="434">
        <f t="shared" si="9"/>
        <v>2.0010613715100041E-4</v>
      </c>
      <c r="P12" s="630">
        <v>1</v>
      </c>
      <c r="Q12" s="631" t="s">
        <v>132</v>
      </c>
      <c r="R12" s="416">
        <f>(IF(AND(E12="Cobre",J12="Ao Baixo"),VLOOKUP(Q12,Consulta!$BB$7:$BI$27,6,FALSE),IF(AND(E12="Cobre",J12="Ao Alto"),VLOOKUP(Q12,Consulta!$BB$34:$BI$54,6,FALSE),IF(AND(E12="Alumínio",J12="Ao Baixo"),VLOOKUP(Q12,Consulta!$BB$61:$BI$81,6,FALSE),IF(AND(E12="Alumínio",J12="Ao Alto"),VLOOKUP(Q12,Consulta!$BB$88:$BI$108,6,FALSE))))))*P12</f>
        <v>170</v>
      </c>
      <c r="S12" s="416">
        <f>IF(AND(E12="Cobre",J12="Ao Baixo"),VLOOKUP(Q12,Consulta!$BB$7:$BI$27,5,FALSE),IF(AND(E12="Cobre",J12="Ao Alto"),VLOOKUP(Q12,Consulta!$BB$34:$BI$54,5,FALSE),IF(AND(E12="Alumínio",J12="Ao Baixo"),VLOOKUP(Q12,Consulta!$BB$61:$BI$81,5,FALSE),IF(AND(E12="Alumínio",J12="Ao Alto"),VLOOKUP(Q12,Consulta!$BB$88:$BI$108,5,FALSE)))))</f>
        <v>0.39600000000000002</v>
      </c>
      <c r="T12" s="416">
        <f>IF(AND(E12="Cobre",J12="Ao Baixo"),VLOOKUP(Q12,Consulta!$BB$7:$BI$27,4,FALSE),IF(AND(E12="Cobre",J12="Ao Alto"),VLOOKUP(Q12,Consulta!$BB$34:$BI$54,4,FALSE),IF(AND(E12="Alumínio",J12="Ao Baixo"),VLOOKUP(Q12,Consulta!$BB$61:$BI$81,4,FALSE),IF(AND(E12="Alumínio",J12="Ao Alto"),VLOOKUP(Q12,Consulta!$BB$88:$BI$108,4,FALSE)))))</f>
        <v>3.3999999999999998E-3</v>
      </c>
      <c r="U12" s="416">
        <f>IF(AND(E12="Cobre",J12="Ao Baixo"),VLOOKUP(Q12,Consulta!$BB$7:$BI$27,3,FALSE),IF(AND(E12="Cobre",J12="Ao Alto"),VLOOKUP(Q12,Consulta!$BB$34:$BI$54,3,FALSE),IF(AND(E12="Alumínio",J12="Ao Baixo"),VLOOKUP(Q12,Consulta!$BB$61:$BI$81,3,FALSE),IF(AND(E12="Alumínio",J12="Ao Alto"),VLOOKUP(Q12,Consulta!$BB$88:$BI$108,3,FALSE)))))</f>
        <v>2.3E-2</v>
      </c>
      <c r="V12" s="424">
        <f t="shared" si="7"/>
        <v>3.791360294117647E-3</v>
      </c>
      <c r="W12" s="416" t="str">
        <f>IF(AND(E12="Cobre",J12="Ao Baixo"),VLOOKUP(Q12,Consulta!$BB$7:$BI$27,7,FALSE),IF(AND(E12="Cobre",J12="Ao Alto"),VLOOKUP(Q12,Consulta!$BB$34:$BI$54,7,FALSE),IF(AND(E12="Alumínio",J12="Ao Baixo"),VLOOKUP(Q12,Consulta!$BB$61:$BI$81,7,FALSE),IF(AND(E12="Alumínio",J12="Ao Alto"),VLOOKUP(Q12,Consulta!$BB$88:$BI$108,7,FALSE)))))</f>
        <v>46-51</v>
      </c>
      <c r="X12" s="439" t="str">
        <f>IF(AND(E12="Cobre",J12="Ao Baixo"),VLOOKUP(Q12,Consulta!$BB$7:$BI$27,8,FALSE),IF(AND(E12="Cobre",J12="Ao Alto"),VLOOKUP(Q12,Consulta!$BB$34:$BI$54,8,FALSE),IF(AND(E12="Alumínio",J12="Ao Baixo"),VLOOKUP(Q12,Consulta!$BB$61:$BI$81,8,FALSE),IF(AND(E12="Alumínio",J12="Ao Alto"),VLOOKUP(Q12,Consulta!$BB$88:$BI$108,8,FALSE)))))</f>
        <v>32-36</v>
      </c>
      <c r="Y12" s="436" t="str">
        <f t="shared" si="8"/>
        <v>Em conformidade</v>
      </c>
    </row>
    <row r="13" spans="2:33" ht="15" x14ac:dyDescent="0.25">
      <c r="B13" s="633" t="str">
        <f>'Canalizações e Proteções'!C11</f>
        <v>Q.G.B.T. / Q_PS1.1</v>
      </c>
      <c r="C13" s="634">
        <f>'Canalizações e Proteções'!S11</f>
        <v>78.387327173099862</v>
      </c>
      <c r="D13" s="635">
        <f>'Canalizações e Proteções'!AI11</f>
        <v>3.5396616016422615</v>
      </c>
      <c r="E13" s="636" t="s">
        <v>242</v>
      </c>
      <c r="F13" s="617">
        <f t="shared" si="2"/>
        <v>2000</v>
      </c>
      <c r="G13" s="637">
        <f t="shared" si="3"/>
        <v>1250000</v>
      </c>
      <c r="H13" s="638">
        <f t="shared" si="4"/>
        <v>8.9</v>
      </c>
      <c r="I13" s="639" t="s">
        <v>560</v>
      </c>
      <c r="J13" s="640" t="s">
        <v>561</v>
      </c>
      <c r="K13" s="641">
        <v>5</v>
      </c>
      <c r="L13" s="642">
        <v>25</v>
      </c>
      <c r="M13" s="643">
        <f t="shared" si="5"/>
        <v>0.27063081188943822</v>
      </c>
      <c r="N13" s="460">
        <f t="shared" si="6"/>
        <v>10.57151608943118</v>
      </c>
      <c r="O13" s="644">
        <f t="shared" si="9"/>
        <v>5.2857580447155895E-3</v>
      </c>
      <c r="P13" s="645">
        <v>1</v>
      </c>
      <c r="Q13" s="632" t="s">
        <v>136</v>
      </c>
      <c r="R13" s="617">
        <f>(IF(AND(E13="Cobre",J13="Ao Baixo"),VLOOKUP(Q13,Consulta!$BB$7:$BI$27,6,FALSE),IF(AND(E13="Cobre",J13="Ao Alto"),VLOOKUP(Q13,Consulta!$BB$34:$BI$54,6,FALSE),IF(AND(E13="Alumínio",J13="Ao Baixo"),VLOOKUP(Q13,Consulta!$BB$61:$BI$81,6,FALSE),IF(AND(E13="Alumínio",J13="Ao Alto"),VLOOKUP(Q13,Consulta!$BB$88:$BI$108,6,FALSE))))))*P13</f>
        <v>220</v>
      </c>
      <c r="S13" s="617">
        <f>IF(AND(E13="Cobre",J13="Ao Baixo"),VLOOKUP(Q13,Consulta!$BB$7:$BI$27,5,FALSE),IF(AND(E13="Cobre",J13="Ao Alto"),VLOOKUP(Q13,Consulta!$BB$34:$BI$54,5,FALSE),IF(AND(E13="Alumínio",J13="Ao Baixo"),VLOOKUP(Q13,Consulta!$BB$61:$BI$81,5,FALSE),IF(AND(E13="Alumínio",J13="Ao Alto"),VLOOKUP(Q13,Consulta!$BB$88:$BI$108,5,FALSE)))))</f>
        <v>0.52900000000000003</v>
      </c>
      <c r="T13" s="617">
        <f>IF(AND(E13="Cobre",J13="Ao Baixo"),VLOOKUP(Q13,Consulta!$BB$7:$BI$27,4,FALSE),IF(AND(E13="Cobre",J13="Ao Alto"),VLOOKUP(Q13,Consulta!$BB$34:$BI$54,4,FALSE),IF(AND(E13="Alumínio",J13="Ao Baixo"),VLOOKUP(Q13,Consulta!$BB$61:$BI$81,4,FALSE),IF(AND(E13="Alumínio",J13="Ao Alto"),VLOOKUP(Q13,Consulta!$BB$88:$BI$108,4,FALSE)))))</f>
        <v>4.4999999999999997E-3</v>
      </c>
      <c r="U13" s="617">
        <f>IF(AND(E13="Cobre",J13="Ao Baixo"),VLOOKUP(Q13,Consulta!$BB$7:$BI$27,3,FALSE),IF(AND(E13="Cobre",J13="Ao Alto"),VLOOKUP(Q13,Consulta!$BB$34:$BI$54,3,FALSE),IF(AND(E13="Alumínio",J13="Ao Baixo"),VLOOKUP(Q13,Consulta!$BB$61:$BI$81,3,FALSE),IF(AND(E13="Alumínio",J13="Ao Alto"),VLOOKUP(Q13,Consulta!$BB$88:$BI$108,3,FALSE)))))</f>
        <v>0.03</v>
      </c>
      <c r="V13" s="646">
        <f t="shared" si="7"/>
        <v>3.8266782407407407E-3</v>
      </c>
      <c r="W13" s="617" t="str">
        <f>IF(AND(E13="Cobre",J13="Ao Baixo"),VLOOKUP(Q13,Consulta!$BB$7:$BI$27,7,FALSE),IF(AND(E13="Cobre",J13="Ao Alto"),VLOOKUP(Q13,Consulta!$BB$34:$BI$54,7,FALSE),IF(AND(E13="Alumínio",J13="Ao Baixo"),VLOOKUP(Q13,Consulta!$BB$61:$BI$81,7,FALSE),IF(AND(E13="Alumínio",J13="Ao Alto"),VLOOKUP(Q13,Consulta!$BB$88:$BI$108,7,FALSE)))))</f>
        <v>46-51</v>
      </c>
      <c r="X13" s="647" t="str">
        <f>IF(AND(E13="Cobre",J13="Ao Baixo"),VLOOKUP(Q13,Consulta!$BB$7:$BI$27,8,FALSE),IF(AND(E13="Cobre",J13="Ao Alto"),VLOOKUP(Q13,Consulta!$BB$34:$BI$54,8,FALSE),IF(AND(E13="Alumínio",J13="Ao Baixo"),VLOOKUP(Q13,Consulta!$BB$61:$BI$81,8,FALSE),IF(AND(E13="Alumínio",J13="Ao Alto"),VLOOKUP(Q13,Consulta!$BB$88:$BI$108,8,FALSE)))))</f>
        <v>32-36</v>
      </c>
      <c r="Y13" s="648" t="str">
        <f t="shared" si="8"/>
        <v>Em conformidade</v>
      </c>
    </row>
  </sheetData>
  <mergeCells count="29">
    <mergeCell ref="B2:Y2"/>
    <mergeCell ref="AB2:AD2"/>
    <mergeCell ref="AE2:AG2"/>
    <mergeCell ref="B3:B5"/>
    <mergeCell ref="D3:D5"/>
    <mergeCell ref="E3:E5"/>
    <mergeCell ref="F3:F5"/>
    <mergeCell ref="G3:G5"/>
    <mergeCell ref="H3:H5"/>
    <mergeCell ref="C3:C5"/>
    <mergeCell ref="I3:L3"/>
    <mergeCell ref="M3:O3"/>
    <mergeCell ref="P3:X3"/>
    <mergeCell ref="Y3:Y5"/>
    <mergeCell ref="I4:I5"/>
    <mergeCell ref="J4:J5"/>
    <mergeCell ref="K4:K5"/>
    <mergeCell ref="L4:L5"/>
    <mergeCell ref="M4:M5"/>
    <mergeCell ref="N4:N5"/>
    <mergeCell ref="U4:U5"/>
    <mergeCell ref="V4:V5"/>
    <mergeCell ref="W4:X4"/>
    <mergeCell ref="O4:O5"/>
    <mergeCell ref="P4:P5"/>
    <mergeCell ref="Q4:Q5"/>
    <mergeCell ref="R4:R5"/>
    <mergeCell ref="S4:S5"/>
    <mergeCell ref="T4:T5"/>
  </mergeCells>
  <phoneticPr fontId="74" type="noConversion"/>
  <dataValidations count="2">
    <dataValidation type="list" allowBlank="1" showInputMessage="1" showErrorMessage="1" sqref="I6:I13" xr:uid="{00000000-0002-0000-0600-000000000000}">
      <formula1>"Barra Rectangular,Vareta"</formula1>
    </dataValidation>
    <dataValidation type="list" allowBlank="1" showInputMessage="1" showErrorMessage="1" sqref="J6:J13" xr:uid="{00000000-0002-0000-0600-000001000000}">
      <formula1>"Ao Alto,Ao Baixo"</formula1>
    </dataValidation>
  </dataValidations>
  <pageMargins left="0.70866141732283472" right="0.70866141732283472" top="0.74803149606299213" bottom="0.74803149606299213" header="0.31496062992125984" footer="0.31496062992125984"/>
  <pageSetup paperSize="9" scale="29" orientation="landscape" r:id="rId1"/>
  <colBreaks count="1" manualBreakCount="1">
    <brk id="26" max="7" man="1"/>
  </colBreaks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2000000}">
          <x14:formula1>
            <xm:f>Consulta!$BB$7:$BB$27</xm:f>
          </x14:formula1>
          <xm:sqref>Q6:Q13</xm:sqref>
        </x14:dataValidation>
        <x14:dataValidation type="list" allowBlank="1" showInputMessage="1" showErrorMessage="1" xr:uid="{3E42C62C-663D-4960-8B4A-237A35DE6256}">
          <x14:formula1>
            <xm:f>Outros!$E$3:$E$4</xm:f>
          </x14:formula1>
          <xm:sqref>E6:E13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D0909-B8E6-4216-A5D5-38584F3C0C0B}">
  <dimension ref="B1:U67"/>
  <sheetViews>
    <sheetView showGridLines="0" view="pageBreakPreview" topLeftCell="A4" zoomScale="85" zoomScaleSheetLayoutView="85" workbookViewId="0">
      <selection activeCell="F5" sqref="F5:F9"/>
    </sheetView>
  </sheetViews>
  <sheetFormatPr defaultColWidth="9.140625" defaultRowHeight="14.25" x14ac:dyDescent="0.2"/>
  <cols>
    <col min="1" max="1" width="0.85546875" style="1" customWidth="1"/>
    <col min="2" max="2" width="13.140625" style="1" customWidth="1"/>
    <col min="3" max="3" width="10.7109375" style="1" customWidth="1"/>
    <col min="4" max="4" width="14.42578125" style="1" customWidth="1"/>
    <col min="5" max="5" width="13.85546875" style="1" customWidth="1"/>
    <col min="6" max="6" width="10.5703125" style="1" customWidth="1"/>
    <col min="7" max="7" width="13.5703125" style="1" customWidth="1"/>
    <col min="8" max="8" width="26.140625" style="1" customWidth="1"/>
    <col min="9" max="9" width="7.7109375" style="1" customWidth="1"/>
    <col min="10" max="11" width="12.42578125" style="1" customWidth="1"/>
    <col min="12" max="12" width="13.42578125" style="1" customWidth="1"/>
    <col min="13" max="13" width="9.140625" style="1" customWidth="1"/>
    <col min="14" max="14" width="9.85546875" style="1" customWidth="1"/>
    <col min="15" max="15" width="13.85546875" style="1" customWidth="1"/>
    <col min="16" max="16" width="9.42578125" style="1" customWidth="1"/>
    <col min="17" max="17" width="12.5703125" style="1" customWidth="1"/>
    <col min="18" max="18" width="8.42578125" style="1" customWidth="1"/>
    <col min="19" max="19" width="13.28515625" style="1" customWidth="1"/>
    <col min="20" max="20" width="14.28515625" style="1" customWidth="1"/>
    <col min="21" max="21" width="22.7109375" style="1" customWidth="1"/>
    <col min="22" max="22" width="0.85546875" style="1" customWidth="1"/>
    <col min="23" max="16384" width="9.140625" style="1"/>
  </cols>
  <sheetData>
    <row r="1" spans="2:21" ht="4.5" customHeight="1" thickBot="1" x14ac:dyDescent="0.25"/>
    <row r="2" spans="2:21" ht="56.25" customHeight="1" thickBot="1" x14ac:dyDescent="0.25">
      <c r="B2" s="1214" t="s">
        <v>707</v>
      </c>
      <c r="C2" s="1215"/>
      <c r="D2" s="1215"/>
      <c r="E2" s="1215"/>
      <c r="F2" s="1215"/>
      <c r="G2" s="1215"/>
      <c r="H2" s="1215"/>
      <c r="I2" s="1215"/>
      <c r="J2" s="1215"/>
      <c r="K2" s="1215"/>
      <c r="L2" s="1215"/>
      <c r="M2" s="1215"/>
      <c r="N2" s="1215"/>
      <c r="O2" s="1215"/>
      <c r="P2" s="1215"/>
      <c r="Q2" s="1215"/>
      <c r="R2" s="1215"/>
      <c r="S2" s="1215"/>
      <c r="T2" s="1215"/>
      <c r="U2" s="1216"/>
    </row>
    <row r="3" spans="2:21" ht="47.25" customHeight="1" x14ac:dyDescent="0.2">
      <c r="B3" s="1260" t="s">
        <v>691</v>
      </c>
      <c r="C3" s="1262" t="s">
        <v>692</v>
      </c>
      <c r="D3" s="1264" t="s">
        <v>694</v>
      </c>
      <c r="E3" s="1217" t="s">
        <v>708</v>
      </c>
      <c r="F3" s="1218"/>
      <c r="G3" s="1287"/>
      <c r="H3" s="1266" t="s">
        <v>697</v>
      </c>
      <c r="I3" s="1267"/>
      <c r="J3" s="1267"/>
      <c r="K3" s="1267"/>
      <c r="L3" s="1267"/>
      <c r="M3" s="1267"/>
      <c r="N3" s="1268"/>
      <c r="O3" s="1269" t="s">
        <v>698</v>
      </c>
      <c r="P3" s="1217" t="s">
        <v>699</v>
      </c>
      <c r="Q3" s="1218"/>
      <c r="R3" s="1218"/>
      <c r="S3" s="1218"/>
      <c r="T3" s="1218"/>
      <c r="U3" s="1219"/>
    </row>
    <row r="4" spans="2:21" ht="87.75" customHeight="1" thickBot="1" x14ac:dyDescent="0.25">
      <c r="B4" s="1261"/>
      <c r="C4" s="1263"/>
      <c r="D4" s="1265"/>
      <c r="E4" s="441" t="s">
        <v>693</v>
      </c>
      <c r="F4" s="440" t="s">
        <v>695</v>
      </c>
      <c r="G4" s="450" t="s">
        <v>696</v>
      </c>
      <c r="H4" s="442" t="s">
        <v>712</v>
      </c>
      <c r="I4" s="408" t="s">
        <v>700</v>
      </c>
      <c r="J4" s="407" t="s">
        <v>701</v>
      </c>
      <c r="K4" s="407" t="s">
        <v>702</v>
      </c>
      <c r="L4" s="457" t="s">
        <v>703</v>
      </c>
      <c r="M4" s="457" t="s">
        <v>704</v>
      </c>
      <c r="N4" s="458" t="s">
        <v>705</v>
      </c>
      <c r="O4" s="1270"/>
      <c r="P4" s="442" t="s">
        <v>705</v>
      </c>
      <c r="Q4" s="407" t="s">
        <v>714</v>
      </c>
      <c r="R4" s="407" t="s">
        <v>715</v>
      </c>
      <c r="S4" s="407" t="s">
        <v>716</v>
      </c>
      <c r="T4" s="463" t="s">
        <v>718</v>
      </c>
      <c r="U4" s="445" t="s">
        <v>717</v>
      </c>
    </row>
    <row r="5" spans="2:21" ht="17.25" customHeight="1" thickTop="1" x14ac:dyDescent="0.2">
      <c r="B5" s="1240" t="s">
        <v>710</v>
      </c>
      <c r="C5" s="1243">
        <v>0</v>
      </c>
      <c r="D5" s="1249">
        <v>3</v>
      </c>
      <c r="E5" s="1246">
        <v>0</v>
      </c>
      <c r="F5" s="1234">
        <v>0</v>
      </c>
      <c r="G5" s="1252">
        <f>(F5*E5)/D5</f>
        <v>0</v>
      </c>
      <c r="H5" s="476" t="s">
        <v>713</v>
      </c>
      <c r="I5" s="446">
        <v>3</v>
      </c>
      <c r="J5" s="477">
        <v>13.9</v>
      </c>
      <c r="K5" s="478">
        <v>0.28499999999999998</v>
      </c>
      <c r="L5" s="459">
        <f t="shared" ref="L5:L66" si="0">(PI()*J5^2)/4</f>
        <v>151.74677915002098</v>
      </c>
      <c r="M5" s="1237">
        <f>SUMPRODUCT(I5:I9,K5:K9)</f>
        <v>5.4</v>
      </c>
      <c r="N5" s="1252">
        <f>SUMPRODUCT(I5:I9*L5:L9)</f>
        <v>2287.8334340502311</v>
      </c>
      <c r="O5" s="1257">
        <v>1.5</v>
      </c>
      <c r="P5" s="1225">
        <f>($O$5*N5)</f>
        <v>3431.7501510753464</v>
      </c>
      <c r="Q5" s="1234">
        <v>30</v>
      </c>
      <c r="R5" s="1228">
        <f>P5/Q5</f>
        <v>114.39167170251154</v>
      </c>
      <c r="S5" s="1231">
        <v>200</v>
      </c>
      <c r="T5" s="1237">
        <f>(1.3*M5)+G5</f>
        <v>7.0200000000000005</v>
      </c>
      <c r="U5" s="1220" t="s">
        <v>721</v>
      </c>
    </row>
    <row r="6" spans="2:21" ht="17.25" customHeight="1" x14ac:dyDescent="0.2">
      <c r="B6" s="1241"/>
      <c r="C6" s="1244"/>
      <c r="D6" s="1250"/>
      <c r="E6" s="1247"/>
      <c r="F6" s="1235"/>
      <c r="G6" s="1253"/>
      <c r="H6" s="452" t="s">
        <v>722</v>
      </c>
      <c r="I6" s="444">
        <f>I13</f>
        <v>2</v>
      </c>
      <c r="J6" s="471">
        <v>19.8</v>
      </c>
      <c r="K6" s="465">
        <v>1.0149999999999999</v>
      </c>
      <c r="L6" s="419">
        <f t="shared" si="0"/>
        <v>307.90749597833565</v>
      </c>
      <c r="M6" s="1255"/>
      <c r="N6" s="1253"/>
      <c r="O6" s="1258"/>
      <c r="P6" s="1226"/>
      <c r="Q6" s="1235"/>
      <c r="R6" s="1229"/>
      <c r="S6" s="1232"/>
      <c r="T6" s="1238"/>
      <c r="U6" s="1221"/>
    </row>
    <row r="7" spans="2:21" ht="17.25" customHeight="1" x14ac:dyDescent="0.2">
      <c r="B7" s="1241"/>
      <c r="C7" s="1244"/>
      <c r="D7" s="1250"/>
      <c r="E7" s="1247"/>
      <c r="F7" s="1235"/>
      <c r="G7" s="1253"/>
      <c r="H7" s="452" t="s">
        <v>723</v>
      </c>
      <c r="I7" s="448">
        <f>I14</f>
        <v>1</v>
      </c>
      <c r="J7" s="471">
        <v>14.5</v>
      </c>
      <c r="K7" s="465">
        <v>0.435</v>
      </c>
      <c r="L7" s="461">
        <f t="shared" si="0"/>
        <v>165.1299638543135</v>
      </c>
      <c r="M7" s="1255"/>
      <c r="N7" s="1253"/>
      <c r="O7" s="1258"/>
      <c r="P7" s="1226"/>
      <c r="Q7" s="1235"/>
      <c r="R7" s="1229"/>
      <c r="S7" s="1232"/>
      <c r="T7" s="1238"/>
      <c r="U7" s="1221"/>
    </row>
    <row r="8" spans="2:21" ht="17.25" customHeight="1" x14ac:dyDescent="0.2">
      <c r="B8" s="1241"/>
      <c r="C8" s="1244"/>
      <c r="D8" s="1250"/>
      <c r="E8" s="1247"/>
      <c r="F8" s="1235"/>
      <c r="G8" s="1253"/>
      <c r="H8" s="452" t="s">
        <v>719</v>
      </c>
      <c r="I8" s="448">
        <f>I11+I15</f>
        <v>4</v>
      </c>
      <c r="J8" s="471">
        <v>11.5</v>
      </c>
      <c r="K8" s="465">
        <v>0.22</v>
      </c>
      <c r="L8" s="461">
        <f t="shared" si="0"/>
        <v>103.86890710931253</v>
      </c>
      <c r="M8" s="1255"/>
      <c r="N8" s="1253"/>
      <c r="O8" s="1258"/>
      <c r="P8" s="1226"/>
      <c r="Q8" s="1235"/>
      <c r="R8" s="1229"/>
      <c r="S8" s="1232"/>
      <c r="T8" s="1238"/>
      <c r="U8" s="1221"/>
    </row>
    <row r="9" spans="2:21" ht="17.25" customHeight="1" x14ac:dyDescent="0.2">
      <c r="B9" s="1242"/>
      <c r="C9" s="1245"/>
      <c r="D9" s="1251"/>
      <c r="E9" s="1248"/>
      <c r="F9" s="1236"/>
      <c r="G9" s="1254"/>
      <c r="H9" s="453" t="s">
        <v>720</v>
      </c>
      <c r="I9" s="447">
        <f>I12+I16</f>
        <v>10</v>
      </c>
      <c r="J9" s="473">
        <v>9</v>
      </c>
      <c r="K9" s="467">
        <v>0.12</v>
      </c>
      <c r="L9" s="460">
        <f t="shared" si="0"/>
        <v>63.617251235193308</v>
      </c>
      <c r="M9" s="1256"/>
      <c r="N9" s="1254"/>
      <c r="O9" s="1259"/>
      <c r="P9" s="1227"/>
      <c r="Q9" s="1236"/>
      <c r="R9" s="1230"/>
      <c r="S9" s="1233"/>
      <c r="T9" s="1239"/>
      <c r="U9" s="1222"/>
    </row>
    <row r="10" spans="2:21" ht="17.25" customHeight="1" x14ac:dyDescent="0.2">
      <c r="B10" s="1158" t="s">
        <v>710</v>
      </c>
      <c r="C10" s="1161" t="s">
        <v>709</v>
      </c>
      <c r="D10" s="1164">
        <v>10</v>
      </c>
      <c r="E10" s="1167">
        <v>0</v>
      </c>
      <c r="F10" s="1170">
        <v>0</v>
      </c>
      <c r="G10" s="1173">
        <f>(F10*E10)/D10</f>
        <v>0</v>
      </c>
      <c r="H10" s="454" t="s">
        <v>713</v>
      </c>
      <c r="I10" s="443">
        <v>3</v>
      </c>
      <c r="J10" s="474">
        <v>13.9</v>
      </c>
      <c r="K10" s="468">
        <v>0.28499999999999998</v>
      </c>
      <c r="L10" s="418">
        <f t="shared" si="0"/>
        <v>151.74677915002098</v>
      </c>
      <c r="M10" s="1176">
        <f>SUMPRODUCT(I10:I12,K10:K12)</f>
        <v>2.0149999999999997</v>
      </c>
      <c r="N10" s="1173">
        <f>SUMPRODUCT(I10:I12*L10:L12)</f>
        <v>1044.681659079848</v>
      </c>
      <c r="O10" s="1178">
        <v>1.5</v>
      </c>
      <c r="P10" s="1185">
        <f>(O10*N10)</f>
        <v>1567.022488619772</v>
      </c>
      <c r="Q10" s="1170">
        <v>30</v>
      </c>
      <c r="R10" s="1190">
        <f>P10/Q10</f>
        <v>52.234082953992399</v>
      </c>
      <c r="S10" s="1193">
        <v>200</v>
      </c>
      <c r="T10" s="1152">
        <f>(1.3*M10)+G10</f>
        <v>2.6194999999999995</v>
      </c>
      <c r="U10" s="1155" t="s">
        <v>721</v>
      </c>
    </row>
    <row r="11" spans="2:21" ht="17.25" customHeight="1" x14ac:dyDescent="0.2">
      <c r="B11" s="1202"/>
      <c r="C11" s="1204"/>
      <c r="D11" s="1206"/>
      <c r="E11" s="1199"/>
      <c r="F11" s="1188"/>
      <c r="G11" s="1181"/>
      <c r="H11" s="452" t="s">
        <v>719</v>
      </c>
      <c r="I11" s="444">
        <v>2</v>
      </c>
      <c r="J11" s="471">
        <v>11.5</v>
      </c>
      <c r="K11" s="465">
        <v>0.22</v>
      </c>
      <c r="L11" s="419">
        <f t="shared" si="0"/>
        <v>103.86890710931253</v>
      </c>
      <c r="M11" s="1196"/>
      <c r="N11" s="1181"/>
      <c r="O11" s="1183"/>
      <c r="P11" s="1186"/>
      <c r="Q11" s="1188"/>
      <c r="R11" s="1191"/>
      <c r="S11" s="1194"/>
      <c r="T11" s="1196"/>
      <c r="U11" s="1198"/>
    </row>
    <row r="12" spans="2:21" ht="17.25" customHeight="1" x14ac:dyDescent="0.2">
      <c r="B12" s="1203"/>
      <c r="C12" s="1205"/>
      <c r="D12" s="1207"/>
      <c r="E12" s="1200"/>
      <c r="F12" s="1189"/>
      <c r="G12" s="1182"/>
      <c r="H12" s="453" t="s">
        <v>720</v>
      </c>
      <c r="I12" s="444">
        <v>6</v>
      </c>
      <c r="J12" s="471">
        <v>9</v>
      </c>
      <c r="K12" s="465">
        <v>0.12</v>
      </c>
      <c r="L12" s="419">
        <f t="shared" si="0"/>
        <v>63.617251235193308</v>
      </c>
      <c r="M12" s="1197"/>
      <c r="N12" s="1182"/>
      <c r="O12" s="1184"/>
      <c r="P12" s="1187"/>
      <c r="Q12" s="1189"/>
      <c r="R12" s="1192"/>
      <c r="S12" s="1195"/>
      <c r="T12" s="1197"/>
      <c r="U12" s="1201"/>
    </row>
    <row r="13" spans="2:21" ht="17.25" customHeight="1" x14ac:dyDescent="0.2">
      <c r="B13" s="1158" t="s">
        <v>710</v>
      </c>
      <c r="C13" s="1161" t="s">
        <v>711</v>
      </c>
      <c r="D13" s="1164">
        <v>25</v>
      </c>
      <c r="E13" s="1167">
        <v>0</v>
      </c>
      <c r="F13" s="1170">
        <v>0</v>
      </c>
      <c r="G13" s="1173">
        <f>(F13*E13)/D13</f>
        <v>0</v>
      </c>
      <c r="H13" s="454" t="s">
        <v>722</v>
      </c>
      <c r="I13" s="443">
        <v>2</v>
      </c>
      <c r="J13" s="474">
        <v>19.8</v>
      </c>
      <c r="K13" s="468">
        <v>1.0149999999999999</v>
      </c>
      <c r="L13" s="418">
        <f t="shared" si="0"/>
        <v>307.90749597833565</v>
      </c>
      <c r="M13" s="1176">
        <f>SUMPRODUCT(I13:I16,K13:K16)</f>
        <v>3.3849999999999998</v>
      </c>
      <c r="N13" s="1173">
        <f>SUMPRODUCT(I13:I16*L13:L16)</f>
        <v>1243.151774970383</v>
      </c>
      <c r="O13" s="1178">
        <v>1.5</v>
      </c>
      <c r="P13" s="1185">
        <f>(O13*N13)</f>
        <v>1864.7276624555745</v>
      </c>
      <c r="Q13" s="1170">
        <v>30</v>
      </c>
      <c r="R13" s="1190">
        <f>P13/Q13</f>
        <v>62.157588748519153</v>
      </c>
      <c r="S13" s="1193">
        <v>200</v>
      </c>
      <c r="T13" s="1152">
        <f>(1.3*M13)+G13</f>
        <v>4.4005000000000001</v>
      </c>
      <c r="U13" s="1155" t="s">
        <v>721</v>
      </c>
    </row>
    <row r="14" spans="2:21" ht="17.25" customHeight="1" x14ac:dyDescent="0.2">
      <c r="B14" s="1202"/>
      <c r="C14" s="1204"/>
      <c r="D14" s="1206"/>
      <c r="E14" s="1199"/>
      <c r="F14" s="1188"/>
      <c r="G14" s="1181"/>
      <c r="H14" s="452" t="s">
        <v>723</v>
      </c>
      <c r="I14" s="444">
        <v>1</v>
      </c>
      <c r="J14" s="471">
        <v>14.5</v>
      </c>
      <c r="K14" s="465">
        <v>0.435</v>
      </c>
      <c r="L14" s="419">
        <f t="shared" si="0"/>
        <v>165.1299638543135</v>
      </c>
      <c r="M14" s="1196"/>
      <c r="N14" s="1181"/>
      <c r="O14" s="1183"/>
      <c r="P14" s="1186"/>
      <c r="Q14" s="1188"/>
      <c r="R14" s="1191"/>
      <c r="S14" s="1194"/>
      <c r="T14" s="1196"/>
      <c r="U14" s="1198"/>
    </row>
    <row r="15" spans="2:21" ht="17.25" customHeight="1" x14ac:dyDescent="0.2">
      <c r="B15" s="1203"/>
      <c r="C15" s="1205"/>
      <c r="D15" s="1207"/>
      <c r="E15" s="1200"/>
      <c r="F15" s="1189"/>
      <c r="G15" s="1182"/>
      <c r="H15" s="452" t="s">
        <v>719</v>
      </c>
      <c r="I15" s="444">
        <v>2</v>
      </c>
      <c r="J15" s="471">
        <v>11.5</v>
      </c>
      <c r="K15" s="465">
        <v>0.22</v>
      </c>
      <c r="L15" s="461">
        <f t="shared" si="0"/>
        <v>103.86890710931253</v>
      </c>
      <c r="M15" s="1197"/>
      <c r="N15" s="1182"/>
      <c r="O15" s="1184"/>
      <c r="P15" s="1187"/>
      <c r="Q15" s="1189"/>
      <c r="R15" s="1192"/>
      <c r="S15" s="1195"/>
      <c r="T15" s="1197"/>
      <c r="U15" s="1201"/>
    </row>
    <row r="16" spans="2:21" ht="17.25" customHeight="1" thickBot="1" x14ac:dyDescent="0.25">
      <c r="B16" s="1203"/>
      <c r="C16" s="1205"/>
      <c r="D16" s="1207"/>
      <c r="E16" s="1200"/>
      <c r="F16" s="1189"/>
      <c r="G16" s="1182"/>
      <c r="H16" s="455" t="s">
        <v>720</v>
      </c>
      <c r="I16" s="448">
        <v>4</v>
      </c>
      <c r="J16" s="472">
        <v>9</v>
      </c>
      <c r="K16" s="466">
        <v>0.12</v>
      </c>
      <c r="L16" s="461">
        <f t="shared" si="0"/>
        <v>63.617251235193308</v>
      </c>
      <c r="M16" s="1197"/>
      <c r="N16" s="1182"/>
      <c r="O16" s="1184"/>
      <c r="P16" s="1187"/>
      <c r="Q16" s="1189"/>
      <c r="R16" s="1192"/>
      <c r="S16" s="1195"/>
      <c r="T16" s="1197"/>
      <c r="U16" s="1201"/>
    </row>
    <row r="17" spans="2:21" ht="17.25" customHeight="1" thickTop="1" x14ac:dyDescent="0.2">
      <c r="B17" s="1278" t="s">
        <v>706</v>
      </c>
      <c r="C17" s="1279">
        <v>-1</v>
      </c>
      <c r="D17" s="1280">
        <v>10</v>
      </c>
      <c r="E17" s="1281">
        <v>0</v>
      </c>
      <c r="F17" s="1282">
        <v>0</v>
      </c>
      <c r="G17" s="1289">
        <f>(F17*E17)/D17</f>
        <v>0</v>
      </c>
      <c r="H17" s="451" t="s">
        <v>739</v>
      </c>
      <c r="I17" s="446">
        <v>17</v>
      </c>
      <c r="J17" s="470">
        <v>19.3</v>
      </c>
      <c r="K17" s="464">
        <v>0.56499999999999995</v>
      </c>
      <c r="L17" s="459">
        <f t="shared" si="0"/>
        <v>292.55296188391554</v>
      </c>
      <c r="M17" s="1292">
        <f>SUMPRODUCT(I17:I19,K17:K19)</f>
        <v>9.9649999999999999</v>
      </c>
      <c r="N17" s="1289">
        <f>SUMPRODUCT(I17:I19*L17:L19)</f>
        <v>5148.1514433824959</v>
      </c>
      <c r="O17" s="1293">
        <v>1.5</v>
      </c>
      <c r="P17" s="1294">
        <f>(O17*N17)</f>
        <v>7722.2271650737439</v>
      </c>
      <c r="Q17" s="1282">
        <v>30</v>
      </c>
      <c r="R17" s="1295">
        <f>P17/Q17</f>
        <v>257.40757216912482</v>
      </c>
      <c r="S17" s="1296">
        <v>600</v>
      </c>
      <c r="T17" s="1291">
        <f>(1.3*M17)+G17</f>
        <v>12.954499999999999</v>
      </c>
      <c r="U17" s="1223" t="s">
        <v>741</v>
      </c>
    </row>
    <row r="18" spans="2:21" ht="17.25" customHeight="1" x14ac:dyDescent="0.2">
      <c r="B18" s="1241"/>
      <c r="C18" s="1244"/>
      <c r="D18" s="1250"/>
      <c r="E18" s="1247"/>
      <c r="F18" s="1235"/>
      <c r="G18" s="1253"/>
      <c r="H18" s="455" t="s">
        <v>719</v>
      </c>
      <c r="I18" s="448">
        <v>1</v>
      </c>
      <c r="J18" s="472">
        <v>11.5</v>
      </c>
      <c r="K18" s="466">
        <v>0.22</v>
      </c>
      <c r="L18" s="483">
        <f t="shared" si="0"/>
        <v>103.86890710931253</v>
      </c>
      <c r="M18" s="1238"/>
      <c r="N18" s="1253"/>
      <c r="O18" s="1258"/>
      <c r="P18" s="1226"/>
      <c r="Q18" s="1235"/>
      <c r="R18" s="1229"/>
      <c r="S18" s="1232"/>
      <c r="T18" s="1255"/>
      <c r="U18" s="1221"/>
    </row>
    <row r="19" spans="2:21" ht="17.25" customHeight="1" x14ac:dyDescent="0.2">
      <c r="B19" s="1160"/>
      <c r="C19" s="1163"/>
      <c r="D19" s="1166"/>
      <c r="E19" s="1169"/>
      <c r="F19" s="1172"/>
      <c r="G19" s="1175"/>
      <c r="H19" s="455" t="s">
        <v>740</v>
      </c>
      <c r="I19" s="448">
        <v>1</v>
      </c>
      <c r="J19" s="472">
        <v>9.5</v>
      </c>
      <c r="K19" s="466">
        <v>0.14000000000000001</v>
      </c>
      <c r="L19" s="460">
        <f t="shared" si="0"/>
        <v>70.882184246619701</v>
      </c>
      <c r="M19" s="1154"/>
      <c r="N19" s="1175"/>
      <c r="O19" s="1180"/>
      <c r="P19" s="1208"/>
      <c r="Q19" s="1172"/>
      <c r="R19" s="1209"/>
      <c r="S19" s="1210"/>
      <c r="T19" s="1154"/>
      <c r="U19" s="1157"/>
    </row>
    <row r="20" spans="2:21" ht="17.25" customHeight="1" x14ac:dyDescent="0.2">
      <c r="B20" s="1158" t="s">
        <v>706</v>
      </c>
      <c r="C20" s="1290" t="s">
        <v>724</v>
      </c>
      <c r="D20" s="1164">
        <v>22</v>
      </c>
      <c r="E20" s="1167">
        <v>0</v>
      </c>
      <c r="F20" s="1170">
        <v>0</v>
      </c>
      <c r="G20" s="1173">
        <f>(F20*E20)/D20</f>
        <v>0</v>
      </c>
      <c r="H20" s="454" t="s">
        <v>739</v>
      </c>
      <c r="I20" s="443">
        <v>15</v>
      </c>
      <c r="J20" s="474">
        <v>19.3</v>
      </c>
      <c r="K20" s="468">
        <v>0.56499999999999995</v>
      </c>
      <c r="L20" s="418">
        <f t="shared" si="0"/>
        <v>292.55296188391554</v>
      </c>
      <c r="M20" s="1176">
        <f>SUMPRODUCT(I20:I21,K20:K21)</f>
        <v>8.9149999999999991</v>
      </c>
      <c r="N20" s="1173">
        <f>SUMPRODUCT(I20:I21*L20:L21)</f>
        <v>4596.0322424773585</v>
      </c>
      <c r="O20" s="1178">
        <v>1.5</v>
      </c>
      <c r="P20" s="1185">
        <f>(O20*N20)</f>
        <v>6894.0483637160378</v>
      </c>
      <c r="Q20" s="1170">
        <v>30</v>
      </c>
      <c r="R20" s="1190">
        <f>P20/Q20</f>
        <v>229.80161212386793</v>
      </c>
      <c r="S20" s="1193">
        <v>500</v>
      </c>
      <c r="T20" s="1152">
        <f>(1.3*M20)+G20</f>
        <v>11.589499999999999</v>
      </c>
      <c r="U20" s="1155" t="s">
        <v>742</v>
      </c>
    </row>
    <row r="21" spans="2:21" ht="17.25" customHeight="1" x14ac:dyDescent="0.2">
      <c r="B21" s="1160"/>
      <c r="C21" s="1163"/>
      <c r="D21" s="1166"/>
      <c r="E21" s="1169"/>
      <c r="F21" s="1172"/>
      <c r="G21" s="1175"/>
      <c r="H21" s="452" t="s">
        <v>719</v>
      </c>
      <c r="I21" s="444">
        <v>2</v>
      </c>
      <c r="J21" s="471">
        <v>11.5</v>
      </c>
      <c r="K21" s="465">
        <v>0.22</v>
      </c>
      <c r="L21" s="460">
        <f t="shared" si="0"/>
        <v>103.86890710931253</v>
      </c>
      <c r="M21" s="1154"/>
      <c r="N21" s="1175"/>
      <c r="O21" s="1180"/>
      <c r="P21" s="1208"/>
      <c r="Q21" s="1172"/>
      <c r="R21" s="1209"/>
      <c r="S21" s="1210"/>
      <c r="T21" s="1154"/>
      <c r="U21" s="1157"/>
    </row>
    <row r="22" spans="2:21" ht="17.25" customHeight="1" x14ac:dyDescent="0.2">
      <c r="B22" s="1158" t="s">
        <v>706</v>
      </c>
      <c r="C22" s="1161" t="s">
        <v>725</v>
      </c>
      <c r="D22" s="1164">
        <v>24</v>
      </c>
      <c r="E22" s="1167">
        <v>0</v>
      </c>
      <c r="F22" s="1170">
        <v>0</v>
      </c>
      <c r="G22" s="1173">
        <f>(F22*E22)/D22</f>
        <v>0</v>
      </c>
      <c r="H22" s="454" t="s">
        <v>739</v>
      </c>
      <c r="I22" s="443">
        <v>10</v>
      </c>
      <c r="J22" s="474">
        <v>19.3</v>
      </c>
      <c r="K22" s="468">
        <v>0.56499999999999995</v>
      </c>
      <c r="L22" s="418">
        <f t="shared" si="0"/>
        <v>292.55296188391554</v>
      </c>
      <c r="M22" s="1176">
        <f>SUMPRODUCT(I22:I24,K22:K24)</f>
        <v>6.5249999999999995</v>
      </c>
      <c r="N22" s="1173">
        <f>SUMPRODUCT(I22:I24*L22:L24)</f>
        <v>3298.3973969120939</v>
      </c>
      <c r="O22" s="1178">
        <v>1.5</v>
      </c>
      <c r="P22" s="1185">
        <f>(O22*N22)</f>
        <v>4947.5960953681406</v>
      </c>
      <c r="Q22" s="1170">
        <v>30</v>
      </c>
      <c r="R22" s="1190">
        <f>P22/Q22</f>
        <v>164.91986984560469</v>
      </c>
      <c r="S22" s="1193">
        <v>500</v>
      </c>
      <c r="T22" s="1152">
        <f>(1.3*M22)+G22</f>
        <v>8.4824999999999999</v>
      </c>
      <c r="U22" s="1155" t="s">
        <v>742</v>
      </c>
    </row>
    <row r="23" spans="2:21" ht="17.25" customHeight="1" x14ac:dyDescent="0.2">
      <c r="B23" s="1202"/>
      <c r="C23" s="1204"/>
      <c r="D23" s="1206"/>
      <c r="E23" s="1199"/>
      <c r="F23" s="1188"/>
      <c r="G23" s="1181"/>
      <c r="H23" s="452" t="s">
        <v>723</v>
      </c>
      <c r="I23" s="444">
        <v>1</v>
      </c>
      <c r="J23" s="471">
        <v>14.5</v>
      </c>
      <c r="K23" s="465">
        <v>0.435</v>
      </c>
      <c r="L23" s="419">
        <f t="shared" si="0"/>
        <v>165.1299638543135</v>
      </c>
      <c r="M23" s="1196"/>
      <c r="N23" s="1181"/>
      <c r="O23" s="1183"/>
      <c r="P23" s="1186"/>
      <c r="Q23" s="1188"/>
      <c r="R23" s="1191"/>
      <c r="S23" s="1194"/>
      <c r="T23" s="1196"/>
      <c r="U23" s="1198"/>
    </row>
    <row r="24" spans="2:21" ht="17.25" customHeight="1" thickBot="1" x14ac:dyDescent="0.25">
      <c r="B24" s="1160"/>
      <c r="C24" s="1163"/>
      <c r="D24" s="1166"/>
      <c r="E24" s="1169"/>
      <c r="F24" s="1172"/>
      <c r="G24" s="1175"/>
      <c r="H24" s="455" t="s">
        <v>719</v>
      </c>
      <c r="I24" s="444">
        <v>2</v>
      </c>
      <c r="J24" s="471">
        <v>11.5</v>
      </c>
      <c r="K24" s="465">
        <v>0.22</v>
      </c>
      <c r="L24" s="460">
        <f t="shared" si="0"/>
        <v>103.86890710931253</v>
      </c>
      <c r="M24" s="1154"/>
      <c r="N24" s="1175"/>
      <c r="O24" s="1180"/>
      <c r="P24" s="1208"/>
      <c r="Q24" s="1172"/>
      <c r="R24" s="1209"/>
      <c r="S24" s="1210"/>
      <c r="T24" s="1154"/>
      <c r="U24" s="1157"/>
    </row>
    <row r="25" spans="2:21" ht="17.25" customHeight="1" thickTop="1" x14ac:dyDescent="0.2">
      <c r="B25" s="1158" t="s">
        <v>706</v>
      </c>
      <c r="C25" s="1161" t="s">
        <v>726</v>
      </c>
      <c r="D25" s="1164">
        <v>25</v>
      </c>
      <c r="E25" s="1167">
        <v>0</v>
      </c>
      <c r="F25" s="1170">
        <v>0</v>
      </c>
      <c r="G25" s="1173">
        <f>(F25*E25)/D25</f>
        <v>0</v>
      </c>
      <c r="H25" s="454" t="s">
        <v>743</v>
      </c>
      <c r="I25" s="443">
        <v>1</v>
      </c>
      <c r="J25" s="474">
        <v>17</v>
      </c>
      <c r="K25" s="468">
        <v>0.63500000000000001</v>
      </c>
      <c r="L25" s="418">
        <f t="shared" si="0"/>
        <v>226.98006922186255</v>
      </c>
      <c r="M25" s="1176">
        <f>SUMPRODUCT(I25:I29,K25:K29)</f>
        <v>2.3650000000000002</v>
      </c>
      <c r="N25" s="1173">
        <f>SUMPRODUCT(I25:I29*L25:L29)</f>
        <v>1033.6153989575778</v>
      </c>
      <c r="O25" s="1178">
        <v>1.5</v>
      </c>
      <c r="P25" s="1185">
        <f>(O25*N25)</f>
        <v>1550.4230984363667</v>
      </c>
      <c r="Q25" s="1170">
        <v>30</v>
      </c>
      <c r="R25" s="1190">
        <f>P25/Q25</f>
        <v>51.680769947878886</v>
      </c>
      <c r="S25" s="1193">
        <v>200</v>
      </c>
      <c r="T25" s="1152">
        <f>(1.3*M25)+G25</f>
        <v>3.0745000000000005</v>
      </c>
      <c r="U25" s="1220" t="s">
        <v>721</v>
      </c>
    </row>
    <row r="26" spans="2:21" ht="17.25" customHeight="1" x14ac:dyDescent="0.2">
      <c r="B26" s="1159"/>
      <c r="C26" s="1162"/>
      <c r="D26" s="1165"/>
      <c r="E26" s="1168"/>
      <c r="F26" s="1171"/>
      <c r="G26" s="1174"/>
      <c r="H26" s="452" t="s">
        <v>723</v>
      </c>
      <c r="I26" s="444">
        <v>1</v>
      </c>
      <c r="J26" s="471">
        <v>14.5</v>
      </c>
      <c r="K26" s="465">
        <v>0.435</v>
      </c>
      <c r="L26" s="461">
        <f>(PI()*J26^2)/4</f>
        <v>165.1299638543135</v>
      </c>
      <c r="M26" s="1177"/>
      <c r="N26" s="1174"/>
      <c r="O26" s="1179"/>
      <c r="P26" s="1211"/>
      <c r="Q26" s="1171"/>
      <c r="R26" s="1212"/>
      <c r="S26" s="1213"/>
      <c r="T26" s="1153"/>
      <c r="U26" s="1221"/>
    </row>
    <row r="27" spans="2:21" ht="17.25" customHeight="1" x14ac:dyDescent="0.2">
      <c r="B27" s="1159"/>
      <c r="C27" s="1162"/>
      <c r="D27" s="1165"/>
      <c r="E27" s="1168"/>
      <c r="F27" s="1171"/>
      <c r="G27" s="1174"/>
      <c r="H27" s="455" t="s">
        <v>719</v>
      </c>
      <c r="I27" s="448">
        <v>3</v>
      </c>
      <c r="J27" s="472">
        <v>11.5</v>
      </c>
      <c r="K27" s="466">
        <v>0.22</v>
      </c>
      <c r="L27" s="461">
        <f>(PI()*J27^2)/4</f>
        <v>103.86890710931253</v>
      </c>
      <c r="M27" s="1177"/>
      <c r="N27" s="1174"/>
      <c r="O27" s="1179"/>
      <c r="P27" s="1211"/>
      <c r="Q27" s="1171"/>
      <c r="R27" s="1212"/>
      <c r="S27" s="1213"/>
      <c r="T27" s="1153"/>
      <c r="U27" s="1221"/>
    </row>
    <row r="28" spans="2:21" ht="17.25" customHeight="1" x14ac:dyDescent="0.2">
      <c r="B28" s="1202"/>
      <c r="C28" s="1204"/>
      <c r="D28" s="1206"/>
      <c r="E28" s="1199"/>
      <c r="F28" s="1188"/>
      <c r="G28" s="1181"/>
      <c r="H28" s="455" t="s">
        <v>744</v>
      </c>
      <c r="I28" s="444">
        <v>1</v>
      </c>
      <c r="J28" s="471">
        <v>9.8000000000000007</v>
      </c>
      <c r="K28" s="465">
        <v>0.155</v>
      </c>
      <c r="L28" s="419">
        <f t="shared" si="0"/>
        <v>75.429639612690949</v>
      </c>
      <c r="M28" s="1196"/>
      <c r="N28" s="1181"/>
      <c r="O28" s="1183"/>
      <c r="P28" s="1186"/>
      <c r="Q28" s="1188"/>
      <c r="R28" s="1191"/>
      <c r="S28" s="1194"/>
      <c r="T28" s="1196"/>
      <c r="U28" s="1221"/>
    </row>
    <row r="29" spans="2:21" ht="17.25" customHeight="1" x14ac:dyDescent="0.2">
      <c r="B29" s="1203"/>
      <c r="C29" s="1205"/>
      <c r="D29" s="1207"/>
      <c r="E29" s="1200"/>
      <c r="F29" s="1189"/>
      <c r="G29" s="1182"/>
      <c r="H29" s="455" t="s">
        <v>720</v>
      </c>
      <c r="I29" s="444">
        <v>4</v>
      </c>
      <c r="J29" s="472">
        <v>9</v>
      </c>
      <c r="K29" s="466">
        <v>0.12</v>
      </c>
      <c r="L29" s="461">
        <f t="shared" si="0"/>
        <v>63.617251235193308</v>
      </c>
      <c r="M29" s="1197"/>
      <c r="N29" s="1182"/>
      <c r="O29" s="1184"/>
      <c r="P29" s="1187"/>
      <c r="Q29" s="1189"/>
      <c r="R29" s="1192"/>
      <c r="S29" s="1195"/>
      <c r="T29" s="1197"/>
      <c r="U29" s="1222"/>
    </row>
    <row r="30" spans="2:21" ht="17.25" customHeight="1" x14ac:dyDescent="0.2">
      <c r="B30" s="1158" t="s">
        <v>706</v>
      </c>
      <c r="C30" s="1161" t="s">
        <v>727</v>
      </c>
      <c r="D30" s="1164">
        <v>30</v>
      </c>
      <c r="E30" s="1167">
        <v>0</v>
      </c>
      <c r="F30" s="1170">
        <v>0</v>
      </c>
      <c r="G30" s="1173">
        <f>(F30*E30)/D30</f>
        <v>0</v>
      </c>
      <c r="H30" s="454" t="s">
        <v>722</v>
      </c>
      <c r="I30" s="443">
        <v>1</v>
      </c>
      <c r="J30" s="474">
        <v>19.8</v>
      </c>
      <c r="K30" s="468">
        <v>1.0149999999999999</v>
      </c>
      <c r="L30" s="418">
        <f t="shared" si="0"/>
        <v>307.90749597833565</v>
      </c>
      <c r="M30" s="1176">
        <f>SUMPRODUCT(I30:I33,K30:K33)</f>
        <v>2.37</v>
      </c>
      <c r="N30" s="1173">
        <f>SUMPRODUCT(I30:I33*L30:L33)</f>
        <v>935.24427899204738</v>
      </c>
      <c r="O30" s="1178">
        <v>1.5</v>
      </c>
      <c r="P30" s="1185">
        <f>(O30*N30)</f>
        <v>1402.8664184880711</v>
      </c>
      <c r="Q30" s="1170">
        <v>30</v>
      </c>
      <c r="R30" s="1190">
        <f>P30/Q30</f>
        <v>46.762213949602369</v>
      </c>
      <c r="S30" s="1193">
        <v>200</v>
      </c>
      <c r="T30" s="1152">
        <f>(1.3*M30)+G30</f>
        <v>3.0810000000000004</v>
      </c>
      <c r="U30" s="1155" t="s">
        <v>721</v>
      </c>
    </row>
    <row r="31" spans="2:21" ht="17.25" customHeight="1" x14ac:dyDescent="0.2">
      <c r="B31" s="1202"/>
      <c r="C31" s="1204"/>
      <c r="D31" s="1206"/>
      <c r="E31" s="1199"/>
      <c r="F31" s="1188"/>
      <c r="G31" s="1181"/>
      <c r="H31" s="452" t="s">
        <v>723</v>
      </c>
      <c r="I31" s="444">
        <v>1</v>
      </c>
      <c r="J31" s="471">
        <v>14.5</v>
      </c>
      <c r="K31" s="465">
        <v>0.435</v>
      </c>
      <c r="L31" s="419">
        <f t="shared" si="0"/>
        <v>165.1299638543135</v>
      </c>
      <c r="M31" s="1196"/>
      <c r="N31" s="1181"/>
      <c r="O31" s="1183"/>
      <c r="P31" s="1186"/>
      <c r="Q31" s="1188"/>
      <c r="R31" s="1191"/>
      <c r="S31" s="1194"/>
      <c r="T31" s="1196"/>
      <c r="U31" s="1198"/>
    </row>
    <row r="32" spans="2:21" ht="17.25" customHeight="1" x14ac:dyDescent="0.2">
      <c r="B32" s="1203"/>
      <c r="C32" s="1205"/>
      <c r="D32" s="1207"/>
      <c r="E32" s="1200"/>
      <c r="F32" s="1189"/>
      <c r="G32" s="1182"/>
      <c r="H32" s="455" t="s">
        <v>719</v>
      </c>
      <c r="I32" s="448">
        <v>2</v>
      </c>
      <c r="J32" s="472">
        <v>11.5</v>
      </c>
      <c r="K32" s="466">
        <v>0.22</v>
      </c>
      <c r="L32" s="461">
        <f t="shared" si="0"/>
        <v>103.86890710931253</v>
      </c>
      <c r="M32" s="1197"/>
      <c r="N32" s="1182"/>
      <c r="O32" s="1184"/>
      <c r="P32" s="1187"/>
      <c r="Q32" s="1189"/>
      <c r="R32" s="1192"/>
      <c r="S32" s="1195"/>
      <c r="T32" s="1197"/>
      <c r="U32" s="1201"/>
    </row>
    <row r="33" spans="2:21" ht="17.25" customHeight="1" x14ac:dyDescent="0.2">
      <c r="B33" s="1160"/>
      <c r="C33" s="1163"/>
      <c r="D33" s="1166"/>
      <c r="E33" s="1169"/>
      <c r="F33" s="1172"/>
      <c r="G33" s="1175"/>
      <c r="H33" s="455" t="s">
        <v>720</v>
      </c>
      <c r="I33" s="448">
        <v>4</v>
      </c>
      <c r="J33" s="472">
        <v>9</v>
      </c>
      <c r="K33" s="466">
        <v>0.12</v>
      </c>
      <c r="L33" s="460">
        <f t="shared" si="0"/>
        <v>63.617251235193308</v>
      </c>
      <c r="M33" s="1154"/>
      <c r="N33" s="1175"/>
      <c r="O33" s="1180"/>
      <c r="P33" s="1208"/>
      <c r="Q33" s="1172"/>
      <c r="R33" s="1209"/>
      <c r="S33" s="1210"/>
      <c r="T33" s="1154"/>
      <c r="U33" s="1157"/>
    </row>
    <row r="34" spans="2:21" ht="17.25" customHeight="1" x14ac:dyDescent="0.2">
      <c r="B34" s="1158" t="s">
        <v>706</v>
      </c>
      <c r="C34" s="1161" t="s">
        <v>728</v>
      </c>
      <c r="D34" s="1164">
        <v>22</v>
      </c>
      <c r="E34" s="1167">
        <v>0</v>
      </c>
      <c r="F34" s="1170">
        <v>0</v>
      </c>
      <c r="G34" s="1173">
        <f>(F34*E34)/D34</f>
        <v>0</v>
      </c>
      <c r="H34" s="454" t="s">
        <v>719</v>
      </c>
      <c r="I34" s="443">
        <v>2</v>
      </c>
      <c r="J34" s="474">
        <v>11.5</v>
      </c>
      <c r="K34" s="468">
        <v>0.22</v>
      </c>
      <c r="L34" s="418">
        <f t="shared" ref="L34:L49" si="1">(PI()*J34^2)/4</f>
        <v>103.86890710931253</v>
      </c>
      <c r="M34" s="1176">
        <f>SUMPRODUCT(I34:I36,K34:K36)</f>
        <v>1.3149999999999999</v>
      </c>
      <c r="N34" s="1173">
        <f>SUMPRODUCT(I34:I36*L34:L36)</f>
        <v>664.87096124247591</v>
      </c>
      <c r="O34" s="1178">
        <v>1.5</v>
      </c>
      <c r="P34" s="1185">
        <f>(O34*N34)</f>
        <v>997.30644186371387</v>
      </c>
      <c r="Q34" s="1170">
        <v>30</v>
      </c>
      <c r="R34" s="1190">
        <f>P34/Q34</f>
        <v>33.243548062123793</v>
      </c>
      <c r="S34" s="1193">
        <v>200</v>
      </c>
      <c r="T34" s="1152">
        <f>(1.3*M34)+G34</f>
        <v>1.7095</v>
      </c>
      <c r="U34" s="1155" t="s">
        <v>721</v>
      </c>
    </row>
    <row r="35" spans="2:21" ht="17.25" customHeight="1" x14ac:dyDescent="0.2">
      <c r="B35" s="1202"/>
      <c r="C35" s="1204"/>
      <c r="D35" s="1206"/>
      <c r="E35" s="1199"/>
      <c r="F35" s="1188"/>
      <c r="G35" s="1181"/>
      <c r="H35" s="455" t="s">
        <v>744</v>
      </c>
      <c r="I35" s="444">
        <v>1</v>
      </c>
      <c r="J35" s="471">
        <v>9.8000000000000007</v>
      </c>
      <c r="K35" s="465">
        <v>0.155</v>
      </c>
      <c r="L35" s="419">
        <f t="shared" si="1"/>
        <v>75.429639612690949</v>
      </c>
      <c r="M35" s="1196"/>
      <c r="N35" s="1181"/>
      <c r="O35" s="1183"/>
      <c r="P35" s="1186"/>
      <c r="Q35" s="1188"/>
      <c r="R35" s="1191"/>
      <c r="S35" s="1194"/>
      <c r="T35" s="1196"/>
      <c r="U35" s="1198"/>
    </row>
    <row r="36" spans="2:21" ht="17.25" customHeight="1" x14ac:dyDescent="0.2">
      <c r="B36" s="1160"/>
      <c r="C36" s="1163"/>
      <c r="D36" s="1166"/>
      <c r="E36" s="1169"/>
      <c r="F36" s="1172"/>
      <c r="G36" s="1175"/>
      <c r="H36" s="455" t="s">
        <v>720</v>
      </c>
      <c r="I36" s="448">
        <v>6</v>
      </c>
      <c r="J36" s="472">
        <v>9</v>
      </c>
      <c r="K36" s="466">
        <v>0.12</v>
      </c>
      <c r="L36" s="460">
        <f t="shared" si="1"/>
        <v>63.617251235193308</v>
      </c>
      <c r="M36" s="1154"/>
      <c r="N36" s="1175"/>
      <c r="O36" s="1180"/>
      <c r="P36" s="1208"/>
      <c r="Q36" s="1172"/>
      <c r="R36" s="1209"/>
      <c r="S36" s="1210"/>
      <c r="T36" s="1154"/>
      <c r="U36" s="1157"/>
    </row>
    <row r="37" spans="2:21" ht="17.25" customHeight="1" x14ac:dyDescent="0.2">
      <c r="B37" s="1158" t="s">
        <v>706</v>
      </c>
      <c r="C37" s="1161" t="s">
        <v>729</v>
      </c>
      <c r="D37" s="1164">
        <v>35</v>
      </c>
      <c r="E37" s="1167">
        <v>0</v>
      </c>
      <c r="F37" s="1170">
        <v>0</v>
      </c>
      <c r="G37" s="1173">
        <f>(F37*E37)/D37</f>
        <v>0</v>
      </c>
      <c r="H37" s="454" t="s">
        <v>746</v>
      </c>
      <c r="I37" s="443">
        <v>1</v>
      </c>
      <c r="J37" s="474">
        <v>26</v>
      </c>
      <c r="K37" s="468">
        <v>1.7849999999999999</v>
      </c>
      <c r="L37" s="418">
        <f t="shared" si="1"/>
        <v>530.92915845667505</v>
      </c>
      <c r="M37" s="1176">
        <f>SUMPRODUCT(I37:I41,K37:K41)</f>
        <v>4.4749999999999996</v>
      </c>
      <c r="N37" s="1173">
        <f>SUMPRODUCT(I37:I41*L37:L41)</f>
        <v>1591.640794051465</v>
      </c>
      <c r="O37" s="1178">
        <v>1.5</v>
      </c>
      <c r="P37" s="1185">
        <f>(O37*N37)</f>
        <v>2387.4611910771973</v>
      </c>
      <c r="Q37" s="1170">
        <v>30</v>
      </c>
      <c r="R37" s="1190">
        <f>P37/Q37</f>
        <v>79.58203970257324</v>
      </c>
      <c r="S37" s="1193">
        <v>200</v>
      </c>
      <c r="T37" s="1152">
        <f>(1.3*M37)+G37</f>
        <v>5.8174999999999999</v>
      </c>
      <c r="U37" s="1155" t="s">
        <v>721</v>
      </c>
    </row>
    <row r="38" spans="2:21" ht="17.25" customHeight="1" x14ac:dyDescent="0.2">
      <c r="B38" s="1202"/>
      <c r="C38" s="1204"/>
      <c r="D38" s="1206"/>
      <c r="E38" s="1199"/>
      <c r="F38" s="1188"/>
      <c r="G38" s="1181"/>
      <c r="H38" s="452" t="s">
        <v>722</v>
      </c>
      <c r="I38" s="444">
        <v>1</v>
      </c>
      <c r="J38" s="471">
        <v>19.8</v>
      </c>
      <c r="K38" s="465">
        <v>1.0149999999999999</v>
      </c>
      <c r="L38" s="419">
        <f t="shared" si="1"/>
        <v>307.90749597833565</v>
      </c>
      <c r="M38" s="1196"/>
      <c r="N38" s="1181"/>
      <c r="O38" s="1183"/>
      <c r="P38" s="1186"/>
      <c r="Q38" s="1188"/>
      <c r="R38" s="1191"/>
      <c r="S38" s="1194"/>
      <c r="T38" s="1196"/>
      <c r="U38" s="1198"/>
    </row>
    <row r="39" spans="2:21" ht="17.25" customHeight="1" x14ac:dyDescent="0.2">
      <c r="B39" s="1203"/>
      <c r="C39" s="1205"/>
      <c r="D39" s="1207"/>
      <c r="E39" s="1200"/>
      <c r="F39" s="1189"/>
      <c r="G39" s="1182"/>
      <c r="H39" s="455" t="s">
        <v>745</v>
      </c>
      <c r="I39" s="444">
        <v>1</v>
      </c>
      <c r="J39" s="471">
        <v>17</v>
      </c>
      <c r="K39" s="465">
        <v>0.63500000000000001</v>
      </c>
      <c r="L39" s="461">
        <f t="shared" si="1"/>
        <v>226.98006922186255</v>
      </c>
      <c r="M39" s="1197"/>
      <c r="N39" s="1182"/>
      <c r="O39" s="1184"/>
      <c r="P39" s="1187"/>
      <c r="Q39" s="1189"/>
      <c r="R39" s="1192"/>
      <c r="S39" s="1195"/>
      <c r="T39" s="1197"/>
      <c r="U39" s="1201"/>
    </row>
    <row r="40" spans="2:21" ht="17.25" customHeight="1" x14ac:dyDescent="0.2">
      <c r="B40" s="1203"/>
      <c r="C40" s="1205"/>
      <c r="D40" s="1207"/>
      <c r="E40" s="1200"/>
      <c r="F40" s="1189"/>
      <c r="G40" s="1182"/>
      <c r="H40" s="455" t="s">
        <v>719</v>
      </c>
      <c r="I40" s="448">
        <v>2</v>
      </c>
      <c r="J40" s="472">
        <v>11.5</v>
      </c>
      <c r="K40" s="466">
        <v>0.22</v>
      </c>
      <c r="L40" s="461">
        <f t="shared" si="1"/>
        <v>103.86890710931253</v>
      </c>
      <c r="M40" s="1197"/>
      <c r="N40" s="1182"/>
      <c r="O40" s="1184"/>
      <c r="P40" s="1187"/>
      <c r="Q40" s="1189"/>
      <c r="R40" s="1192"/>
      <c r="S40" s="1195"/>
      <c r="T40" s="1197"/>
      <c r="U40" s="1201"/>
    </row>
    <row r="41" spans="2:21" ht="17.25" customHeight="1" x14ac:dyDescent="0.2">
      <c r="B41" s="1160"/>
      <c r="C41" s="1163"/>
      <c r="D41" s="1166"/>
      <c r="E41" s="1169"/>
      <c r="F41" s="1172"/>
      <c r="G41" s="1175"/>
      <c r="H41" s="455" t="s">
        <v>720</v>
      </c>
      <c r="I41" s="448">
        <v>5</v>
      </c>
      <c r="J41" s="472">
        <v>9</v>
      </c>
      <c r="K41" s="466">
        <v>0.12</v>
      </c>
      <c r="L41" s="460">
        <f t="shared" si="1"/>
        <v>63.617251235193308</v>
      </c>
      <c r="M41" s="1154"/>
      <c r="N41" s="1175"/>
      <c r="O41" s="1180"/>
      <c r="P41" s="1208"/>
      <c r="Q41" s="1172"/>
      <c r="R41" s="1209"/>
      <c r="S41" s="1210"/>
      <c r="T41" s="1154"/>
      <c r="U41" s="1157"/>
    </row>
    <row r="42" spans="2:21" ht="17.25" customHeight="1" x14ac:dyDescent="0.2">
      <c r="B42" s="1158" t="s">
        <v>706</v>
      </c>
      <c r="C42" s="1161" t="s">
        <v>730</v>
      </c>
      <c r="D42" s="1164">
        <v>20</v>
      </c>
      <c r="E42" s="1167">
        <v>0</v>
      </c>
      <c r="F42" s="1170">
        <v>0</v>
      </c>
      <c r="G42" s="1173">
        <f>(F42*E42)/D42</f>
        <v>0</v>
      </c>
      <c r="H42" s="454" t="s">
        <v>722</v>
      </c>
      <c r="I42" s="443">
        <v>1</v>
      </c>
      <c r="J42" s="474">
        <v>19.8</v>
      </c>
      <c r="K42" s="468">
        <v>1.0149999999999999</v>
      </c>
      <c r="L42" s="418">
        <f t="shared" si="1"/>
        <v>307.90749597833565</v>
      </c>
      <c r="M42" s="1176">
        <f>SUMPRODUCT(I42:I44,K42:K44)</f>
        <v>1.8699999999999999</v>
      </c>
      <c r="N42" s="1173">
        <f>SUMPRODUCT(I42:I44*L42:L44)</f>
        <v>638.75647230951074</v>
      </c>
      <c r="O42" s="1178">
        <v>1.5</v>
      </c>
      <c r="P42" s="1185">
        <f>(O42*N42)</f>
        <v>958.13470846426617</v>
      </c>
      <c r="Q42" s="1170">
        <v>30</v>
      </c>
      <c r="R42" s="1190">
        <f>P42/Q42</f>
        <v>31.937823615475541</v>
      </c>
      <c r="S42" s="1193">
        <v>200</v>
      </c>
      <c r="T42" s="1152">
        <f>(1.3*M42)+G42</f>
        <v>2.431</v>
      </c>
      <c r="U42" s="1155" t="s">
        <v>721</v>
      </c>
    </row>
    <row r="43" spans="2:21" ht="17.25" customHeight="1" x14ac:dyDescent="0.2">
      <c r="B43" s="1202"/>
      <c r="C43" s="1204"/>
      <c r="D43" s="1206"/>
      <c r="E43" s="1199"/>
      <c r="F43" s="1188"/>
      <c r="G43" s="1181"/>
      <c r="H43" s="455" t="s">
        <v>745</v>
      </c>
      <c r="I43" s="444">
        <v>1</v>
      </c>
      <c r="J43" s="471">
        <v>17</v>
      </c>
      <c r="K43" s="465">
        <v>0.63500000000000001</v>
      </c>
      <c r="L43" s="419">
        <f t="shared" si="1"/>
        <v>226.98006922186255</v>
      </c>
      <c r="M43" s="1196"/>
      <c r="N43" s="1181"/>
      <c r="O43" s="1183"/>
      <c r="P43" s="1186"/>
      <c r="Q43" s="1188"/>
      <c r="R43" s="1191"/>
      <c r="S43" s="1194"/>
      <c r="T43" s="1196"/>
      <c r="U43" s="1198"/>
    </row>
    <row r="44" spans="2:21" ht="17.25" customHeight="1" x14ac:dyDescent="0.2">
      <c r="B44" s="1203"/>
      <c r="C44" s="1205"/>
      <c r="D44" s="1207"/>
      <c r="E44" s="1200"/>
      <c r="F44" s="1189"/>
      <c r="G44" s="1182"/>
      <c r="H44" s="455" t="s">
        <v>719</v>
      </c>
      <c r="I44" s="448">
        <v>1</v>
      </c>
      <c r="J44" s="472">
        <v>11.5</v>
      </c>
      <c r="K44" s="466">
        <v>0.22</v>
      </c>
      <c r="L44" s="461">
        <f t="shared" si="1"/>
        <v>103.86890710931253</v>
      </c>
      <c r="M44" s="1197"/>
      <c r="N44" s="1182"/>
      <c r="O44" s="1184"/>
      <c r="P44" s="1187"/>
      <c r="Q44" s="1189"/>
      <c r="R44" s="1192"/>
      <c r="S44" s="1195"/>
      <c r="T44" s="1197"/>
      <c r="U44" s="1157"/>
    </row>
    <row r="45" spans="2:21" ht="17.25" customHeight="1" x14ac:dyDescent="0.2">
      <c r="B45" s="1158" t="s">
        <v>706</v>
      </c>
      <c r="C45" s="1161" t="s">
        <v>731</v>
      </c>
      <c r="D45" s="1164">
        <v>3</v>
      </c>
      <c r="E45" s="1167">
        <v>0</v>
      </c>
      <c r="F45" s="1170">
        <v>0</v>
      </c>
      <c r="G45" s="1173">
        <f>(F45*E45)/D45</f>
        <v>0</v>
      </c>
      <c r="H45" s="454" t="s">
        <v>739</v>
      </c>
      <c r="I45" s="443">
        <v>5</v>
      </c>
      <c r="J45" s="474">
        <v>19.3</v>
      </c>
      <c r="K45" s="468">
        <v>0.56499999999999995</v>
      </c>
      <c r="L45" s="418">
        <f t="shared" si="1"/>
        <v>292.55296188391554</v>
      </c>
      <c r="M45" s="1176">
        <f>SUMPRODUCT(I45:I49,K45:K49)</f>
        <v>6.5250000000000004</v>
      </c>
      <c r="N45" s="1173">
        <f>SUMPRODUCT(I45:I49*L45:L49)</f>
        <v>2826.8364856266317</v>
      </c>
      <c r="O45" s="1178">
        <v>1.5</v>
      </c>
      <c r="P45" s="1185">
        <f>(O45*N45)</f>
        <v>4240.2547284399479</v>
      </c>
      <c r="Q45" s="1170">
        <v>30</v>
      </c>
      <c r="R45" s="1190">
        <f>P45/Q45</f>
        <v>141.34182428133161</v>
      </c>
      <c r="S45" s="1193">
        <v>200</v>
      </c>
      <c r="T45" s="1152">
        <f>(1.3*M45)+G45</f>
        <v>8.4824999999999999</v>
      </c>
      <c r="U45" s="1155" t="s">
        <v>721</v>
      </c>
    </row>
    <row r="46" spans="2:21" ht="17.25" customHeight="1" x14ac:dyDescent="0.2">
      <c r="B46" s="1159"/>
      <c r="C46" s="1162"/>
      <c r="D46" s="1165"/>
      <c r="E46" s="1168"/>
      <c r="F46" s="1171"/>
      <c r="G46" s="1174"/>
      <c r="H46" s="456" t="s">
        <v>722</v>
      </c>
      <c r="I46" s="449">
        <v>1</v>
      </c>
      <c r="J46" s="475">
        <v>19.8</v>
      </c>
      <c r="K46" s="469">
        <v>1.0149999999999999</v>
      </c>
      <c r="L46" s="462">
        <f t="shared" si="1"/>
        <v>307.90749597833565</v>
      </c>
      <c r="M46" s="1177"/>
      <c r="N46" s="1174"/>
      <c r="O46" s="1179"/>
      <c r="P46" s="1211"/>
      <c r="Q46" s="1171"/>
      <c r="R46" s="1212"/>
      <c r="S46" s="1213"/>
      <c r="T46" s="1153"/>
      <c r="U46" s="1156"/>
    </row>
    <row r="47" spans="2:21" ht="17.25" customHeight="1" x14ac:dyDescent="0.2">
      <c r="B47" s="1159"/>
      <c r="C47" s="1162"/>
      <c r="D47" s="1165"/>
      <c r="E47" s="1168"/>
      <c r="F47" s="1171"/>
      <c r="G47" s="1174"/>
      <c r="H47" s="452" t="s">
        <v>745</v>
      </c>
      <c r="I47" s="444">
        <v>3</v>
      </c>
      <c r="J47" s="471">
        <v>17</v>
      </c>
      <c r="K47" s="465">
        <v>0.63500000000000001</v>
      </c>
      <c r="L47" s="462">
        <f t="shared" si="1"/>
        <v>226.98006922186255</v>
      </c>
      <c r="M47" s="1177"/>
      <c r="N47" s="1174"/>
      <c r="O47" s="1179"/>
      <c r="P47" s="1211"/>
      <c r="Q47" s="1171"/>
      <c r="R47" s="1212"/>
      <c r="S47" s="1213"/>
      <c r="T47" s="1153"/>
      <c r="U47" s="1156"/>
    </row>
    <row r="48" spans="2:21" ht="17.25" customHeight="1" x14ac:dyDescent="0.2">
      <c r="B48" s="1159"/>
      <c r="C48" s="1162"/>
      <c r="D48" s="1165"/>
      <c r="E48" s="1168"/>
      <c r="F48" s="1171"/>
      <c r="G48" s="1174"/>
      <c r="H48" s="452" t="s">
        <v>719</v>
      </c>
      <c r="I48" s="444">
        <v>3</v>
      </c>
      <c r="J48" s="471">
        <v>11.5</v>
      </c>
      <c r="K48" s="465">
        <v>0.22</v>
      </c>
      <c r="L48" s="462">
        <f t="shared" si="1"/>
        <v>103.86890710931253</v>
      </c>
      <c r="M48" s="1177"/>
      <c r="N48" s="1174"/>
      <c r="O48" s="1179"/>
      <c r="P48" s="1211"/>
      <c r="Q48" s="1171"/>
      <c r="R48" s="1212"/>
      <c r="S48" s="1213"/>
      <c r="T48" s="1153"/>
      <c r="U48" s="1156"/>
    </row>
    <row r="49" spans="2:21" ht="17.25" customHeight="1" x14ac:dyDescent="0.2">
      <c r="B49" s="1160"/>
      <c r="C49" s="1163"/>
      <c r="D49" s="1166"/>
      <c r="E49" s="1169"/>
      <c r="F49" s="1172"/>
      <c r="G49" s="1175"/>
      <c r="H49" s="455" t="s">
        <v>720</v>
      </c>
      <c r="I49" s="448">
        <v>1</v>
      </c>
      <c r="J49" s="472">
        <v>9</v>
      </c>
      <c r="K49" s="466">
        <v>0.12</v>
      </c>
      <c r="L49" s="460">
        <f t="shared" si="1"/>
        <v>63.617251235193308</v>
      </c>
      <c r="M49" s="1154"/>
      <c r="N49" s="1175"/>
      <c r="O49" s="1180"/>
      <c r="P49" s="1208"/>
      <c r="Q49" s="1172"/>
      <c r="R49" s="1209"/>
      <c r="S49" s="1210"/>
      <c r="T49" s="1154"/>
      <c r="U49" s="1157"/>
    </row>
    <row r="50" spans="2:21" ht="17.25" customHeight="1" x14ac:dyDescent="0.2">
      <c r="B50" s="1158" t="s">
        <v>706</v>
      </c>
      <c r="C50" s="1161" t="s">
        <v>732</v>
      </c>
      <c r="D50" s="1164">
        <v>15</v>
      </c>
      <c r="E50" s="1167">
        <v>0</v>
      </c>
      <c r="F50" s="1170">
        <v>0</v>
      </c>
      <c r="G50" s="1173">
        <f>(F50*E50)/D50</f>
        <v>0</v>
      </c>
      <c r="H50" s="454" t="s">
        <v>719</v>
      </c>
      <c r="I50" s="443">
        <v>1</v>
      </c>
      <c r="J50" s="474">
        <v>11.5</v>
      </c>
      <c r="K50" s="468">
        <v>0.22</v>
      </c>
      <c r="L50" s="418">
        <f t="shared" ref="L50:L60" si="2">(PI()*J50^2)/4</f>
        <v>103.86890710931253</v>
      </c>
      <c r="M50" s="1176">
        <f>SUMPRODUCT(I50:I51,K50:K51)</f>
        <v>0.7</v>
      </c>
      <c r="N50" s="1173">
        <f>SUMPRODUCT(I50:I51*L50:L51)</f>
        <v>358.33791205008578</v>
      </c>
      <c r="O50" s="1178">
        <v>1.5</v>
      </c>
      <c r="P50" s="1185">
        <f>(O50*N50)</f>
        <v>537.50686807512864</v>
      </c>
      <c r="Q50" s="1170">
        <v>30</v>
      </c>
      <c r="R50" s="1190">
        <f>P50/Q50</f>
        <v>17.916895602504287</v>
      </c>
      <c r="S50" s="1193">
        <v>200</v>
      </c>
      <c r="T50" s="1152">
        <f>(1.3*M50)+G50</f>
        <v>0.90999999999999992</v>
      </c>
      <c r="U50" s="1155" t="s">
        <v>721</v>
      </c>
    </row>
    <row r="51" spans="2:21" ht="17.25" customHeight="1" x14ac:dyDescent="0.2">
      <c r="B51" s="1160"/>
      <c r="C51" s="1163"/>
      <c r="D51" s="1166"/>
      <c r="E51" s="1169"/>
      <c r="F51" s="1172"/>
      <c r="G51" s="1175"/>
      <c r="H51" s="455" t="s">
        <v>720</v>
      </c>
      <c r="I51" s="448">
        <v>4</v>
      </c>
      <c r="J51" s="472">
        <v>9</v>
      </c>
      <c r="K51" s="466">
        <v>0.12</v>
      </c>
      <c r="L51" s="460">
        <f t="shared" si="2"/>
        <v>63.617251235193308</v>
      </c>
      <c r="M51" s="1154"/>
      <c r="N51" s="1175"/>
      <c r="O51" s="1180"/>
      <c r="P51" s="1208"/>
      <c r="Q51" s="1172"/>
      <c r="R51" s="1209"/>
      <c r="S51" s="1210"/>
      <c r="T51" s="1154"/>
      <c r="U51" s="1157"/>
    </row>
    <row r="52" spans="2:21" ht="17.25" customHeight="1" x14ac:dyDescent="0.2">
      <c r="B52" s="1158" t="s">
        <v>706</v>
      </c>
      <c r="C52" s="1161" t="s">
        <v>733</v>
      </c>
      <c r="D52" s="1164">
        <v>25</v>
      </c>
      <c r="E52" s="1167">
        <v>0</v>
      </c>
      <c r="F52" s="1170">
        <v>0</v>
      </c>
      <c r="G52" s="1173">
        <f>(F52*E52)/D52</f>
        <v>0</v>
      </c>
      <c r="H52" s="454" t="s">
        <v>739</v>
      </c>
      <c r="I52" s="443">
        <v>5</v>
      </c>
      <c r="J52" s="474">
        <v>19.3</v>
      </c>
      <c r="K52" s="468">
        <v>0.56499999999999995</v>
      </c>
      <c r="L52" s="418">
        <f t="shared" si="2"/>
        <v>292.55296188391554</v>
      </c>
      <c r="M52" s="1176">
        <f>SUMPRODUCT(I52:I56,K52:K56)</f>
        <v>6.3250000000000002</v>
      </c>
      <c r="N52" s="1173">
        <f>SUMPRODUCT(I52:I56*L52:L56)</f>
        <v>2730.2325115287454</v>
      </c>
      <c r="O52" s="1178">
        <v>1.5</v>
      </c>
      <c r="P52" s="1185">
        <f>(O52*N52)</f>
        <v>4095.3487672931178</v>
      </c>
      <c r="Q52" s="1170">
        <v>30</v>
      </c>
      <c r="R52" s="1190">
        <f>P52/Q52</f>
        <v>136.51162557643727</v>
      </c>
      <c r="S52" s="1193">
        <v>200</v>
      </c>
      <c r="T52" s="1152">
        <f>(1.3*M52)+G52</f>
        <v>8.2225000000000001</v>
      </c>
      <c r="U52" s="1155" t="s">
        <v>721</v>
      </c>
    </row>
    <row r="53" spans="2:21" ht="17.25" customHeight="1" x14ac:dyDescent="0.2">
      <c r="B53" s="1202"/>
      <c r="C53" s="1204"/>
      <c r="D53" s="1206"/>
      <c r="E53" s="1199"/>
      <c r="F53" s="1188"/>
      <c r="G53" s="1181"/>
      <c r="H53" s="456" t="s">
        <v>722</v>
      </c>
      <c r="I53" s="444">
        <v>1</v>
      </c>
      <c r="J53" s="475">
        <v>19.8</v>
      </c>
      <c r="K53" s="469">
        <v>1.0149999999999999</v>
      </c>
      <c r="L53" s="419">
        <f t="shared" si="2"/>
        <v>307.90749597833565</v>
      </c>
      <c r="M53" s="1196"/>
      <c r="N53" s="1181"/>
      <c r="O53" s="1183"/>
      <c r="P53" s="1186"/>
      <c r="Q53" s="1188"/>
      <c r="R53" s="1191"/>
      <c r="S53" s="1194"/>
      <c r="T53" s="1196"/>
      <c r="U53" s="1198"/>
    </row>
    <row r="54" spans="2:21" ht="17.25" customHeight="1" x14ac:dyDescent="0.2">
      <c r="B54" s="1203"/>
      <c r="C54" s="1205"/>
      <c r="D54" s="1207"/>
      <c r="E54" s="1200"/>
      <c r="F54" s="1189"/>
      <c r="G54" s="1182"/>
      <c r="H54" s="452" t="s">
        <v>745</v>
      </c>
      <c r="I54" s="448">
        <v>3</v>
      </c>
      <c r="J54" s="471">
        <v>17</v>
      </c>
      <c r="K54" s="465">
        <v>0.63500000000000001</v>
      </c>
      <c r="L54" s="461">
        <f t="shared" si="2"/>
        <v>226.98006922186255</v>
      </c>
      <c r="M54" s="1197"/>
      <c r="N54" s="1182"/>
      <c r="O54" s="1184"/>
      <c r="P54" s="1187"/>
      <c r="Q54" s="1189"/>
      <c r="R54" s="1192"/>
      <c r="S54" s="1195"/>
      <c r="T54" s="1197"/>
      <c r="U54" s="1201"/>
    </row>
    <row r="55" spans="2:21" ht="17.25" customHeight="1" x14ac:dyDescent="0.2">
      <c r="B55" s="1203"/>
      <c r="C55" s="1205"/>
      <c r="D55" s="1207"/>
      <c r="E55" s="1200"/>
      <c r="F55" s="1189"/>
      <c r="G55" s="1182"/>
      <c r="H55" s="452" t="s">
        <v>719</v>
      </c>
      <c r="I55" s="448">
        <v>2</v>
      </c>
      <c r="J55" s="471">
        <v>11.5</v>
      </c>
      <c r="K55" s="465">
        <v>0.22</v>
      </c>
      <c r="L55" s="461">
        <f t="shared" si="2"/>
        <v>103.86890710931253</v>
      </c>
      <c r="M55" s="1197"/>
      <c r="N55" s="1182"/>
      <c r="O55" s="1184"/>
      <c r="P55" s="1187"/>
      <c r="Q55" s="1189"/>
      <c r="R55" s="1192"/>
      <c r="S55" s="1195"/>
      <c r="T55" s="1197"/>
      <c r="U55" s="1201"/>
    </row>
    <row r="56" spans="2:21" ht="17.25" customHeight="1" x14ac:dyDescent="0.2">
      <c r="B56" s="1160"/>
      <c r="C56" s="1163"/>
      <c r="D56" s="1166"/>
      <c r="E56" s="1169"/>
      <c r="F56" s="1172"/>
      <c r="G56" s="1175"/>
      <c r="H56" s="455" t="s">
        <v>740</v>
      </c>
      <c r="I56" s="448">
        <v>1</v>
      </c>
      <c r="J56" s="472">
        <v>9.5</v>
      </c>
      <c r="K56" s="466">
        <v>0.14000000000000001</v>
      </c>
      <c r="L56" s="460">
        <f t="shared" si="2"/>
        <v>70.882184246619701</v>
      </c>
      <c r="M56" s="1154"/>
      <c r="N56" s="1175"/>
      <c r="O56" s="1180"/>
      <c r="P56" s="1208"/>
      <c r="Q56" s="1172"/>
      <c r="R56" s="1209"/>
      <c r="S56" s="1210"/>
      <c r="T56" s="1154"/>
      <c r="U56" s="1157"/>
    </row>
    <row r="57" spans="2:21" ht="17.25" customHeight="1" x14ac:dyDescent="0.2">
      <c r="B57" s="1158" t="s">
        <v>706</v>
      </c>
      <c r="C57" s="1161" t="s">
        <v>734</v>
      </c>
      <c r="D57" s="1164">
        <v>35</v>
      </c>
      <c r="E57" s="1167">
        <v>0</v>
      </c>
      <c r="F57" s="1170">
        <v>0</v>
      </c>
      <c r="G57" s="1173">
        <f>(F57*E57)/D57</f>
        <v>0</v>
      </c>
      <c r="H57" s="454" t="s">
        <v>723</v>
      </c>
      <c r="I57" s="443">
        <v>1</v>
      </c>
      <c r="J57" s="474">
        <v>14.5</v>
      </c>
      <c r="K57" s="468">
        <v>0.435</v>
      </c>
      <c r="L57" s="418">
        <f t="shared" si="2"/>
        <v>165.1299638543135</v>
      </c>
      <c r="M57" s="1176">
        <f>SUMPRODUCT(I57:I60,K57:K60)</f>
        <v>1.2400000000000002</v>
      </c>
      <c r="N57" s="1173">
        <f>SUMPRODUCT(I57:I60*L57:L60)</f>
        <v>558.90504103689216</v>
      </c>
      <c r="O57" s="1178">
        <v>1.5</v>
      </c>
      <c r="P57" s="1185">
        <f>(O57*N57)</f>
        <v>838.35756155533818</v>
      </c>
      <c r="Q57" s="1170">
        <v>30</v>
      </c>
      <c r="R57" s="1190">
        <f>P57/Q57</f>
        <v>27.945252051844605</v>
      </c>
      <c r="S57" s="1193">
        <v>200</v>
      </c>
      <c r="T57" s="1152">
        <f>(1.3*M57)+G57</f>
        <v>1.6120000000000003</v>
      </c>
      <c r="U57" s="1155" t="s">
        <v>721</v>
      </c>
    </row>
    <row r="58" spans="2:21" ht="17.25" customHeight="1" x14ac:dyDescent="0.2">
      <c r="B58" s="1202"/>
      <c r="C58" s="1204"/>
      <c r="D58" s="1206"/>
      <c r="E58" s="1199"/>
      <c r="F58" s="1188"/>
      <c r="G58" s="1181"/>
      <c r="H58" s="452" t="s">
        <v>719</v>
      </c>
      <c r="I58" s="448">
        <v>1</v>
      </c>
      <c r="J58" s="471">
        <v>11.5</v>
      </c>
      <c r="K58" s="465">
        <v>0.22</v>
      </c>
      <c r="L58" s="419">
        <f t="shared" si="2"/>
        <v>103.86890710931253</v>
      </c>
      <c r="M58" s="1196"/>
      <c r="N58" s="1181"/>
      <c r="O58" s="1183"/>
      <c r="P58" s="1186"/>
      <c r="Q58" s="1188"/>
      <c r="R58" s="1191"/>
      <c r="S58" s="1194"/>
      <c r="T58" s="1196"/>
      <c r="U58" s="1198"/>
    </row>
    <row r="59" spans="2:21" ht="17.25" customHeight="1" x14ac:dyDescent="0.2">
      <c r="B59" s="1203"/>
      <c r="C59" s="1205"/>
      <c r="D59" s="1207"/>
      <c r="E59" s="1200"/>
      <c r="F59" s="1189"/>
      <c r="G59" s="1182"/>
      <c r="H59" s="455" t="s">
        <v>744</v>
      </c>
      <c r="I59" s="444">
        <v>3</v>
      </c>
      <c r="J59" s="471">
        <v>9.8000000000000007</v>
      </c>
      <c r="K59" s="465">
        <v>0.155</v>
      </c>
      <c r="L59" s="461">
        <f t="shared" si="2"/>
        <v>75.429639612690949</v>
      </c>
      <c r="M59" s="1197"/>
      <c r="N59" s="1182"/>
      <c r="O59" s="1184"/>
      <c r="P59" s="1187"/>
      <c r="Q59" s="1189"/>
      <c r="R59" s="1192"/>
      <c r="S59" s="1195"/>
      <c r="T59" s="1197"/>
      <c r="U59" s="1201"/>
    </row>
    <row r="60" spans="2:21" ht="17.25" customHeight="1" thickBot="1" x14ac:dyDescent="0.25">
      <c r="B60" s="1203"/>
      <c r="C60" s="1205"/>
      <c r="D60" s="1207"/>
      <c r="E60" s="1200"/>
      <c r="F60" s="1189"/>
      <c r="G60" s="1182"/>
      <c r="H60" s="455" t="s">
        <v>720</v>
      </c>
      <c r="I60" s="448">
        <v>1</v>
      </c>
      <c r="J60" s="472">
        <v>9</v>
      </c>
      <c r="K60" s="466">
        <v>0.12</v>
      </c>
      <c r="L60" s="461">
        <f t="shared" si="2"/>
        <v>63.617251235193308</v>
      </c>
      <c r="M60" s="1197"/>
      <c r="N60" s="1182"/>
      <c r="O60" s="1184"/>
      <c r="P60" s="1187"/>
      <c r="Q60" s="1189"/>
      <c r="R60" s="1192"/>
      <c r="S60" s="1195"/>
      <c r="T60" s="1197"/>
      <c r="U60" s="1201"/>
    </row>
    <row r="61" spans="2:21" ht="17.25" customHeight="1" thickTop="1" x14ac:dyDescent="0.2">
      <c r="B61" s="1278" t="s">
        <v>738</v>
      </c>
      <c r="C61" s="1288" t="s">
        <v>735</v>
      </c>
      <c r="D61" s="1280">
        <v>25</v>
      </c>
      <c r="E61" s="1281">
        <v>0</v>
      </c>
      <c r="F61" s="1282">
        <v>0</v>
      </c>
      <c r="G61" s="1289">
        <f>(F61*E61)/D61</f>
        <v>0</v>
      </c>
      <c r="H61" s="451" t="s">
        <v>719</v>
      </c>
      <c r="I61" s="446">
        <v>2</v>
      </c>
      <c r="J61" s="470">
        <v>11.5</v>
      </c>
      <c r="K61" s="464">
        <v>0.22</v>
      </c>
      <c r="L61" s="459">
        <f t="shared" si="0"/>
        <v>103.86890710931253</v>
      </c>
      <c r="M61" s="1292">
        <f>SUMPRODUCT(I61:I62,K61:K62)</f>
        <v>0.67999999999999994</v>
      </c>
      <c r="N61" s="1289">
        <f>SUMPRODUCT(I61:I62*L61:L62)</f>
        <v>334.97231668901168</v>
      </c>
      <c r="O61" s="1293">
        <v>1.5</v>
      </c>
      <c r="P61" s="1294">
        <f>($O$5*N61)</f>
        <v>502.45847503351752</v>
      </c>
      <c r="Q61" s="1282">
        <v>30</v>
      </c>
      <c r="R61" s="1295">
        <f>P61/Q61</f>
        <v>16.748615834450582</v>
      </c>
      <c r="S61" s="1296">
        <v>400</v>
      </c>
      <c r="T61" s="1291">
        <f>(1.3*M61)+G61</f>
        <v>0.8839999999999999</v>
      </c>
      <c r="U61" s="1223" t="s">
        <v>747</v>
      </c>
    </row>
    <row r="62" spans="2:21" ht="17.25" customHeight="1" x14ac:dyDescent="0.2">
      <c r="B62" s="1202"/>
      <c r="C62" s="1204"/>
      <c r="D62" s="1206"/>
      <c r="E62" s="1199"/>
      <c r="F62" s="1188"/>
      <c r="G62" s="1181"/>
      <c r="H62" s="455" t="s">
        <v>720</v>
      </c>
      <c r="I62" s="448">
        <v>2</v>
      </c>
      <c r="J62" s="472">
        <v>9</v>
      </c>
      <c r="K62" s="466">
        <v>0.12</v>
      </c>
      <c r="L62" s="419">
        <f t="shared" si="0"/>
        <v>63.617251235193308</v>
      </c>
      <c r="M62" s="1196"/>
      <c r="N62" s="1181"/>
      <c r="O62" s="1183"/>
      <c r="P62" s="1186"/>
      <c r="Q62" s="1188"/>
      <c r="R62" s="1191"/>
      <c r="S62" s="1194"/>
      <c r="T62" s="1196"/>
      <c r="U62" s="1198"/>
    </row>
    <row r="63" spans="2:21" ht="17.25" customHeight="1" x14ac:dyDescent="0.2">
      <c r="B63" s="1158" t="s">
        <v>738</v>
      </c>
      <c r="C63" s="1161" t="s">
        <v>736</v>
      </c>
      <c r="D63" s="1164">
        <v>45</v>
      </c>
      <c r="E63" s="1167">
        <v>0</v>
      </c>
      <c r="F63" s="1170">
        <v>0</v>
      </c>
      <c r="G63" s="1173">
        <f>(F63*E63)/D63</f>
        <v>0</v>
      </c>
      <c r="H63" s="454"/>
      <c r="I63" s="443"/>
      <c r="J63" s="474"/>
      <c r="K63" s="468"/>
      <c r="L63" s="418">
        <f t="shared" si="0"/>
        <v>0</v>
      </c>
      <c r="M63" s="1176">
        <f>SUMPRODUCT(I63:I64,K63:K64)</f>
        <v>0</v>
      </c>
      <c r="N63" s="1173">
        <f>SUMPRODUCT(I63:I64*L63:L64)</f>
        <v>0</v>
      </c>
      <c r="O63" s="1178">
        <v>1.5</v>
      </c>
      <c r="P63" s="1185">
        <f>($O$5*N63)</f>
        <v>0</v>
      </c>
      <c r="Q63" s="1170">
        <v>30</v>
      </c>
      <c r="R63" s="1190">
        <f>P63/Q63</f>
        <v>0</v>
      </c>
      <c r="S63" s="1193">
        <v>200</v>
      </c>
      <c r="T63" s="1152">
        <f>(1.3*M63)+G63</f>
        <v>0</v>
      </c>
      <c r="U63" s="1155" t="s">
        <v>721</v>
      </c>
    </row>
    <row r="64" spans="2:21" ht="17.25" customHeight="1" x14ac:dyDescent="0.2">
      <c r="B64" s="1160"/>
      <c r="C64" s="1163"/>
      <c r="D64" s="1166"/>
      <c r="E64" s="1169"/>
      <c r="F64" s="1172"/>
      <c r="G64" s="1175"/>
      <c r="H64" s="455"/>
      <c r="I64" s="447"/>
      <c r="J64" s="473"/>
      <c r="K64" s="467"/>
      <c r="L64" s="460">
        <f t="shared" si="0"/>
        <v>0</v>
      </c>
      <c r="M64" s="1154"/>
      <c r="N64" s="1175"/>
      <c r="O64" s="1180"/>
      <c r="P64" s="1208"/>
      <c r="Q64" s="1172"/>
      <c r="R64" s="1209"/>
      <c r="S64" s="1210"/>
      <c r="T64" s="1154"/>
      <c r="U64" s="1157"/>
    </row>
    <row r="65" spans="2:21" ht="17.25" customHeight="1" x14ac:dyDescent="0.2">
      <c r="B65" s="1158" t="s">
        <v>738</v>
      </c>
      <c r="C65" s="1161" t="s">
        <v>737</v>
      </c>
      <c r="D65" s="1164">
        <v>20</v>
      </c>
      <c r="E65" s="1167">
        <v>0</v>
      </c>
      <c r="F65" s="1170">
        <v>0</v>
      </c>
      <c r="G65" s="1173">
        <f>(F65*E65)/D65</f>
        <v>0</v>
      </c>
      <c r="H65" s="454" t="s">
        <v>719</v>
      </c>
      <c r="I65" s="443">
        <v>1</v>
      </c>
      <c r="J65" s="474">
        <v>11.5</v>
      </c>
      <c r="K65" s="468">
        <v>0.22</v>
      </c>
      <c r="L65" s="418">
        <f t="shared" si="0"/>
        <v>103.86890710931253</v>
      </c>
      <c r="M65" s="1176">
        <f>SUMPRODUCT(I65:I66,K65:K66)</f>
        <v>0.22</v>
      </c>
      <c r="N65" s="1173">
        <f>SUMPRODUCT(I65:I66*L65:L66)</f>
        <v>103.86890710931253</v>
      </c>
      <c r="O65" s="1178">
        <v>1.5</v>
      </c>
      <c r="P65" s="1185">
        <f>($O$5*N65)</f>
        <v>155.80336066396879</v>
      </c>
      <c r="Q65" s="1170">
        <v>30</v>
      </c>
      <c r="R65" s="1190">
        <f>P65/Q65</f>
        <v>5.1934453554656264</v>
      </c>
      <c r="S65" s="1193">
        <v>200</v>
      </c>
      <c r="T65" s="1152">
        <f>(1.3*M65)+G65</f>
        <v>0.28600000000000003</v>
      </c>
      <c r="U65" s="1155" t="s">
        <v>721</v>
      </c>
    </row>
    <row r="66" spans="2:21" ht="17.25" customHeight="1" thickBot="1" x14ac:dyDescent="0.25">
      <c r="B66" s="1271"/>
      <c r="C66" s="1272"/>
      <c r="D66" s="1274"/>
      <c r="E66" s="1273"/>
      <c r="F66" s="1275"/>
      <c r="G66" s="1276"/>
      <c r="H66" s="479"/>
      <c r="I66" s="480"/>
      <c r="J66" s="481"/>
      <c r="K66" s="482"/>
      <c r="L66" s="420">
        <f t="shared" si="0"/>
        <v>0</v>
      </c>
      <c r="M66" s="1277"/>
      <c r="N66" s="1276"/>
      <c r="O66" s="1283"/>
      <c r="P66" s="1284"/>
      <c r="Q66" s="1275"/>
      <c r="R66" s="1285"/>
      <c r="S66" s="1286"/>
      <c r="T66" s="1277"/>
      <c r="U66" s="1224"/>
    </row>
    <row r="67" spans="2:21" ht="4.5" customHeight="1" x14ac:dyDescent="0.2"/>
  </sheetData>
  <mergeCells count="278">
    <mergeCell ref="G17:G19"/>
    <mergeCell ref="M17:M19"/>
    <mergeCell ref="N17:N19"/>
    <mergeCell ref="O17:O19"/>
    <mergeCell ref="T13:T16"/>
    <mergeCell ref="E20:E21"/>
    <mergeCell ref="F20:F21"/>
    <mergeCell ref="G20:G21"/>
    <mergeCell ref="M20:M21"/>
    <mergeCell ref="N20:N21"/>
    <mergeCell ref="O20:O21"/>
    <mergeCell ref="P17:P19"/>
    <mergeCell ref="R17:R19"/>
    <mergeCell ref="S17:S19"/>
    <mergeCell ref="T20:T21"/>
    <mergeCell ref="Q17:Q19"/>
    <mergeCell ref="T17:T19"/>
    <mergeCell ref="N13:N16"/>
    <mergeCell ref="O13:O16"/>
    <mergeCell ref="P13:P16"/>
    <mergeCell ref="R13:R16"/>
    <mergeCell ref="S13:S16"/>
    <mergeCell ref="Q13:Q16"/>
    <mergeCell ref="N22:N24"/>
    <mergeCell ref="O22:O24"/>
    <mergeCell ref="P22:P24"/>
    <mergeCell ref="R22:R24"/>
    <mergeCell ref="S22:S24"/>
    <mergeCell ref="Q22:Q24"/>
    <mergeCell ref="P20:P21"/>
    <mergeCell ref="R20:R21"/>
    <mergeCell ref="S20:S21"/>
    <mergeCell ref="Q20:Q21"/>
    <mergeCell ref="Q61:Q62"/>
    <mergeCell ref="T61:T62"/>
    <mergeCell ref="B22:B24"/>
    <mergeCell ref="C22:C24"/>
    <mergeCell ref="D22:D24"/>
    <mergeCell ref="E22:E24"/>
    <mergeCell ref="F22:F24"/>
    <mergeCell ref="G22:G24"/>
    <mergeCell ref="M22:M24"/>
    <mergeCell ref="M61:M62"/>
    <mergeCell ref="N61:N62"/>
    <mergeCell ref="O61:O62"/>
    <mergeCell ref="P61:P62"/>
    <mergeCell ref="R61:R62"/>
    <mergeCell ref="S61:S62"/>
    <mergeCell ref="N25:N29"/>
    <mergeCell ref="S25:S29"/>
    <mergeCell ref="T25:T29"/>
    <mergeCell ref="M30:M33"/>
    <mergeCell ref="N30:N33"/>
    <mergeCell ref="O30:O33"/>
    <mergeCell ref="T22:T24"/>
    <mergeCell ref="O25:O29"/>
    <mergeCell ref="P25:P29"/>
    <mergeCell ref="Q25:Q29"/>
    <mergeCell ref="R25:R29"/>
    <mergeCell ref="E3:G3"/>
    <mergeCell ref="B61:B62"/>
    <mergeCell ref="C61:C62"/>
    <mergeCell ref="D61:D62"/>
    <mergeCell ref="E61:E62"/>
    <mergeCell ref="F61:F62"/>
    <mergeCell ref="G61:G62"/>
    <mergeCell ref="B20:B21"/>
    <mergeCell ref="C20:C21"/>
    <mergeCell ref="D20:D21"/>
    <mergeCell ref="B30:B33"/>
    <mergeCell ref="C30:C33"/>
    <mergeCell ref="D30:D33"/>
    <mergeCell ref="E30:E33"/>
    <mergeCell ref="F30:F33"/>
    <mergeCell ref="G30:G33"/>
    <mergeCell ref="B52:B56"/>
    <mergeCell ref="C52:C56"/>
    <mergeCell ref="D52:D56"/>
    <mergeCell ref="E52:E56"/>
    <mergeCell ref="F10:F12"/>
    <mergeCell ref="G10:G12"/>
    <mergeCell ref="N65:N66"/>
    <mergeCell ref="N63:N64"/>
    <mergeCell ref="O65:O66"/>
    <mergeCell ref="P65:P66"/>
    <mergeCell ref="R65:R66"/>
    <mergeCell ref="S65:S66"/>
    <mergeCell ref="Q65:Q66"/>
    <mergeCell ref="T65:T66"/>
    <mergeCell ref="T63:T64"/>
    <mergeCell ref="O63:O64"/>
    <mergeCell ref="P63:P64"/>
    <mergeCell ref="R63:R64"/>
    <mergeCell ref="S63:S64"/>
    <mergeCell ref="Q63:Q64"/>
    <mergeCell ref="B65:B66"/>
    <mergeCell ref="C65:C66"/>
    <mergeCell ref="E65:E66"/>
    <mergeCell ref="D65:D66"/>
    <mergeCell ref="F65:F66"/>
    <mergeCell ref="G65:G66"/>
    <mergeCell ref="M65:M66"/>
    <mergeCell ref="B13:B16"/>
    <mergeCell ref="C13:C16"/>
    <mergeCell ref="D13:D16"/>
    <mergeCell ref="E13:E16"/>
    <mergeCell ref="F13:F16"/>
    <mergeCell ref="G13:G16"/>
    <mergeCell ref="M13:M16"/>
    <mergeCell ref="D42:D44"/>
    <mergeCell ref="E42:E44"/>
    <mergeCell ref="F42:F44"/>
    <mergeCell ref="G42:G44"/>
    <mergeCell ref="M42:M44"/>
    <mergeCell ref="B17:B19"/>
    <mergeCell ref="C17:C19"/>
    <mergeCell ref="D17:D19"/>
    <mergeCell ref="E17:E19"/>
    <mergeCell ref="F17:F19"/>
    <mergeCell ref="B3:B4"/>
    <mergeCell ref="C3:C4"/>
    <mergeCell ref="D3:D4"/>
    <mergeCell ref="H3:N3"/>
    <mergeCell ref="O3:O4"/>
    <mergeCell ref="Q10:Q12"/>
    <mergeCell ref="T10:T12"/>
    <mergeCell ref="B63:B64"/>
    <mergeCell ref="C63:C64"/>
    <mergeCell ref="E63:E64"/>
    <mergeCell ref="D63:D64"/>
    <mergeCell ref="F63:F64"/>
    <mergeCell ref="G63:G64"/>
    <mergeCell ref="M63:M64"/>
    <mergeCell ref="M10:M12"/>
    <mergeCell ref="N10:N12"/>
    <mergeCell ref="O10:O12"/>
    <mergeCell ref="P10:P12"/>
    <mergeCell ref="R10:R12"/>
    <mergeCell ref="S10:S12"/>
    <mergeCell ref="B10:B12"/>
    <mergeCell ref="C10:C12"/>
    <mergeCell ref="E10:E12"/>
    <mergeCell ref="D10:D12"/>
    <mergeCell ref="P5:P9"/>
    <mergeCell ref="R5:R9"/>
    <mergeCell ref="S5:S9"/>
    <mergeCell ref="Q5:Q9"/>
    <mergeCell ref="T5:T9"/>
    <mergeCell ref="B5:B9"/>
    <mergeCell ref="C5:C9"/>
    <mergeCell ref="E5:E9"/>
    <mergeCell ref="D5:D9"/>
    <mergeCell ref="F5:F9"/>
    <mergeCell ref="G5:G9"/>
    <mergeCell ref="M5:M9"/>
    <mergeCell ref="N5:N9"/>
    <mergeCell ref="O5:O9"/>
    <mergeCell ref="U5:U9"/>
    <mergeCell ref="U10:U12"/>
    <mergeCell ref="U13:U16"/>
    <mergeCell ref="U17:U19"/>
    <mergeCell ref="U20:U21"/>
    <mergeCell ref="U22:U24"/>
    <mergeCell ref="U61:U62"/>
    <mergeCell ref="U63:U64"/>
    <mergeCell ref="U65:U66"/>
    <mergeCell ref="U25:U29"/>
    <mergeCell ref="B2:U2"/>
    <mergeCell ref="P3:U3"/>
    <mergeCell ref="B34:B36"/>
    <mergeCell ref="C34:C36"/>
    <mergeCell ref="D34:D36"/>
    <mergeCell ref="E34:E36"/>
    <mergeCell ref="F34:F36"/>
    <mergeCell ref="G34:G36"/>
    <mergeCell ref="M34:M36"/>
    <mergeCell ref="N34:N36"/>
    <mergeCell ref="O34:O36"/>
    <mergeCell ref="P34:P36"/>
    <mergeCell ref="Q34:Q36"/>
    <mergeCell ref="R34:R36"/>
    <mergeCell ref="S34:S36"/>
    <mergeCell ref="T34:T36"/>
    <mergeCell ref="U34:U36"/>
    <mergeCell ref="B25:B29"/>
    <mergeCell ref="C25:C29"/>
    <mergeCell ref="D25:D29"/>
    <mergeCell ref="E25:E29"/>
    <mergeCell ref="F25:F29"/>
    <mergeCell ref="G25:G29"/>
    <mergeCell ref="M25:M29"/>
    <mergeCell ref="T30:T33"/>
    <mergeCell ref="U30:U33"/>
    <mergeCell ref="B50:B51"/>
    <mergeCell ref="C50:C51"/>
    <mergeCell ref="D50:D51"/>
    <mergeCell ref="E50:E51"/>
    <mergeCell ref="F50:F51"/>
    <mergeCell ref="G50:G51"/>
    <mergeCell ref="M50:M51"/>
    <mergeCell ref="N50:N51"/>
    <mergeCell ref="O50:O51"/>
    <mergeCell ref="P50:P51"/>
    <mergeCell ref="Q50:Q51"/>
    <mergeCell ref="R50:R51"/>
    <mergeCell ref="S50:S51"/>
    <mergeCell ref="T50:T51"/>
    <mergeCell ref="U50:U51"/>
    <mergeCell ref="B37:B41"/>
    <mergeCell ref="C37:C41"/>
    <mergeCell ref="D37:D41"/>
    <mergeCell ref="T37:T41"/>
    <mergeCell ref="U37:U41"/>
    <mergeCell ref="B42:B44"/>
    <mergeCell ref="C42:C44"/>
    <mergeCell ref="R52:R56"/>
    <mergeCell ref="S52:S56"/>
    <mergeCell ref="P30:P33"/>
    <mergeCell ref="Q30:Q33"/>
    <mergeCell ref="R30:R33"/>
    <mergeCell ref="S30:S33"/>
    <mergeCell ref="P37:P41"/>
    <mergeCell ref="Q37:Q41"/>
    <mergeCell ref="R37:R41"/>
    <mergeCell ref="S37:S41"/>
    <mergeCell ref="P45:P49"/>
    <mergeCell ref="Q45:Q49"/>
    <mergeCell ref="R45:R49"/>
    <mergeCell ref="S45:S49"/>
    <mergeCell ref="T52:T56"/>
    <mergeCell ref="U52:U56"/>
    <mergeCell ref="B57:B60"/>
    <mergeCell ref="C57:C60"/>
    <mergeCell ref="D57:D60"/>
    <mergeCell ref="E57:E60"/>
    <mergeCell ref="F57:F60"/>
    <mergeCell ref="G57:G60"/>
    <mergeCell ref="M57:M60"/>
    <mergeCell ref="N57:N60"/>
    <mergeCell ref="O57:O60"/>
    <mergeCell ref="P57:P60"/>
    <mergeCell ref="Q57:Q60"/>
    <mergeCell ref="R57:R60"/>
    <mergeCell ref="S57:S60"/>
    <mergeCell ref="T57:T60"/>
    <mergeCell ref="U57:U60"/>
    <mergeCell ref="F52:F56"/>
    <mergeCell ref="G52:G56"/>
    <mergeCell ref="M52:M56"/>
    <mergeCell ref="N52:N56"/>
    <mergeCell ref="O52:O56"/>
    <mergeCell ref="P52:P56"/>
    <mergeCell ref="Q52:Q56"/>
    <mergeCell ref="N42:N44"/>
    <mergeCell ref="O42:O44"/>
    <mergeCell ref="P42:P44"/>
    <mergeCell ref="Q42:Q44"/>
    <mergeCell ref="R42:R44"/>
    <mergeCell ref="S42:S44"/>
    <mergeCell ref="T42:T44"/>
    <mergeCell ref="U42:U44"/>
    <mergeCell ref="E37:E41"/>
    <mergeCell ref="F37:F41"/>
    <mergeCell ref="G37:G41"/>
    <mergeCell ref="M37:M41"/>
    <mergeCell ref="N37:N41"/>
    <mergeCell ref="O37:O41"/>
    <mergeCell ref="T45:T49"/>
    <mergeCell ref="U45:U49"/>
    <mergeCell ref="B45:B49"/>
    <mergeCell ref="C45:C49"/>
    <mergeCell ref="D45:D49"/>
    <mergeCell ref="E45:E49"/>
    <mergeCell ref="F45:F49"/>
    <mergeCell ref="G45:G49"/>
    <mergeCell ref="M45:M49"/>
    <mergeCell ref="N45:N49"/>
    <mergeCell ref="O45:O49"/>
  </mergeCells>
  <printOptions horizontalCentered="1" verticalCentered="1"/>
  <pageMargins left="0.39370078740157483" right="0.39370078740157483" top="0.39370078740157483" bottom="0.39370078740157483" header="0" footer="0"/>
  <pageSetup paperSize="8" scale="21" orientation="landscape" horizontalDpi="3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B435B-7F6B-462D-A918-6B7A63180C67}">
  <dimension ref="B1:I11"/>
  <sheetViews>
    <sheetView showGridLines="0" view="pageBreakPreview" zoomScale="130" zoomScaleNormal="100" zoomScaleSheetLayoutView="130" workbookViewId="0">
      <selection activeCell="C26" sqref="C26"/>
    </sheetView>
  </sheetViews>
  <sheetFormatPr defaultColWidth="9.140625" defaultRowHeight="14.25" x14ac:dyDescent="0.2"/>
  <cols>
    <col min="1" max="1" width="0.7109375" style="311" customWidth="1"/>
    <col min="2" max="2" width="27.140625" style="311" customWidth="1"/>
    <col min="3" max="5" width="14.85546875" style="311" customWidth="1"/>
    <col min="6" max="9" width="18.42578125" style="311" customWidth="1"/>
    <col min="10" max="10" width="0.5703125" style="311" customWidth="1"/>
    <col min="11" max="16384" width="9.140625" style="311"/>
  </cols>
  <sheetData>
    <row r="1" spans="2:9" ht="3" customHeight="1" thickBot="1" x14ac:dyDescent="0.25"/>
    <row r="2" spans="2:9" ht="36.75" customHeight="1" x14ac:dyDescent="0.2">
      <c r="B2" s="1297" t="s">
        <v>757</v>
      </c>
      <c r="C2" s="1298"/>
      <c r="D2" s="1298"/>
      <c r="E2" s="1298"/>
      <c r="F2" s="1298"/>
      <c r="G2" s="1298"/>
      <c r="H2" s="1298"/>
      <c r="I2" s="1299"/>
    </row>
    <row r="3" spans="2:9" ht="66" customHeight="1" x14ac:dyDescent="0.2">
      <c r="B3" s="485" t="s">
        <v>748</v>
      </c>
      <c r="C3" s="486" t="s">
        <v>749</v>
      </c>
      <c r="D3" s="486" t="s">
        <v>750</v>
      </c>
      <c r="E3" s="486" t="s">
        <v>751</v>
      </c>
      <c r="F3" s="486" t="s">
        <v>752</v>
      </c>
      <c r="G3" s="486" t="s">
        <v>753</v>
      </c>
      <c r="H3" s="487" t="s">
        <v>754</v>
      </c>
      <c r="I3" s="488" t="s">
        <v>755</v>
      </c>
    </row>
    <row r="4" spans="2:9" x14ac:dyDescent="0.2">
      <c r="B4" s="489"/>
      <c r="C4" s="490"/>
      <c r="D4" s="490"/>
      <c r="E4" s="490"/>
      <c r="F4" s="1300"/>
      <c r="G4" s="1300"/>
      <c r="H4" s="491"/>
      <c r="I4" s="492" t="str">
        <f t="shared" ref="I4:I9" si="0">IF(H4&gt;=5,"Em conformidade","Em não conformidade")</f>
        <v>Em não conformidade</v>
      </c>
    </row>
    <row r="5" spans="2:9" x14ac:dyDescent="0.2">
      <c r="B5" s="493" t="s">
        <v>759</v>
      </c>
      <c r="C5" s="494"/>
      <c r="D5" s="494"/>
      <c r="E5" s="494"/>
      <c r="F5" s="1301"/>
      <c r="G5" s="1301"/>
      <c r="H5" s="495"/>
      <c r="I5" s="496" t="str">
        <f t="shared" si="0"/>
        <v>Em não conformidade</v>
      </c>
    </row>
    <row r="6" spans="2:9" x14ac:dyDescent="0.2">
      <c r="B6" s="493" t="s">
        <v>758</v>
      </c>
      <c r="C6" s="494"/>
      <c r="D6" s="494"/>
      <c r="E6" s="494"/>
      <c r="F6" s="1301"/>
      <c r="G6" s="1301"/>
      <c r="H6" s="495"/>
      <c r="I6" s="496" t="str">
        <f t="shared" si="0"/>
        <v>Em não conformidade</v>
      </c>
    </row>
    <row r="7" spans="2:9" x14ac:dyDescent="0.2">
      <c r="B7" s="493"/>
      <c r="C7" s="494"/>
      <c r="D7" s="494"/>
      <c r="E7" s="494"/>
      <c r="F7" s="1301"/>
      <c r="G7" s="1301"/>
      <c r="H7" s="497"/>
      <c r="I7" s="496" t="str">
        <f t="shared" si="0"/>
        <v>Em não conformidade</v>
      </c>
    </row>
    <row r="8" spans="2:9" x14ac:dyDescent="0.2">
      <c r="B8" s="493"/>
      <c r="C8" s="494"/>
      <c r="D8" s="494"/>
      <c r="E8" s="494"/>
      <c r="F8" s="1301"/>
      <c r="G8" s="1301"/>
      <c r="H8" s="497"/>
      <c r="I8" s="496" t="str">
        <f t="shared" si="0"/>
        <v>Em não conformidade</v>
      </c>
    </row>
    <row r="9" spans="2:9" ht="15" thickBot="1" x14ac:dyDescent="0.25">
      <c r="B9" s="498"/>
      <c r="C9" s="499"/>
      <c r="D9" s="499"/>
      <c r="E9" s="499"/>
      <c r="F9" s="1302"/>
      <c r="G9" s="1302"/>
      <c r="H9" s="500"/>
      <c r="I9" s="501" t="str">
        <f t="shared" si="0"/>
        <v>Em não conformidade</v>
      </c>
    </row>
    <row r="10" spans="2:9" ht="3" customHeight="1" x14ac:dyDescent="0.2"/>
    <row r="11" spans="2:9" x14ac:dyDescent="0.2">
      <c r="B11" s="1303" t="s">
        <v>756</v>
      </c>
      <c r="C11" s="1303"/>
      <c r="D11" s="1303"/>
      <c r="E11" s="1303"/>
      <c r="F11" s="1303"/>
      <c r="G11" s="1303"/>
      <c r="H11" s="1303"/>
      <c r="I11" s="1303"/>
    </row>
  </sheetData>
  <mergeCells count="4">
    <mergeCell ref="B2:I2"/>
    <mergeCell ref="F4:F9"/>
    <mergeCell ref="G4:G9"/>
    <mergeCell ref="B11:I11"/>
  </mergeCells>
  <printOptions horizontalCentered="1" verticalCentered="1"/>
  <pageMargins left="0.39370078740157483" right="0.39370078740157483" top="0.78740157480314965" bottom="0.39370078740157483" header="0" footer="0"/>
  <pageSetup paperSize="9" scale="94" orientation="landscape" r:id="rId1"/>
  <drawing r:id="rId2"/>
  <legacyDrawing r:id="rId3"/>
  <oleObjects>
    <mc:AlternateContent xmlns:mc="http://schemas.openxmlformats.org/markup-compatibility/2006">
      <mc:Choice Requires="x14">
        <oleObject progId="Equation.DSMT4" shapeId="34817" r:id="rId4">
          <objectPr defaultSize="0" autoPict="0" r:id="rId5">
            <anchor moveWithCells="1">
              <from>
                <xdr:col>8</xdr:col>
                <xdr:colOff>542925</xdr:colOff>
                <xdr:row>2</xdr:row>
                <xdr:rowOff>457200</xdr:rowOff>
              </from>
              <to>
                <xdr:col>9</xdr:col>
                <xdr:colOff>9525</xdr:colOff>
                <xdr:row>2</xdr:row>
                <xdr:rowOff>457200</xdr:rowOff>
              </to>
            </anchor>
          </objectPr>
        </oleObject>
      </mc:Choice>
      <mc:Fallback>
        <oleObject progId="Equation.DSMT4" shapeId="34817" r:id="rId4"/>
      </mc:Fallback>
    </mc:AlternateContent>
    <mc:AlternateContent xmlns:mc="http://schemas.openxmlformats.org/markup-compatibility/2006">
      <mc:Choice Requires="x14">
        <oleObject progId="Equation.DSMT4" shapeId="34818" r:id="rId6">
          <objectPr defaultSize="0" autoPict="0" r:id="rId7">
            <anchor moveWithCells="1">
              <from>
                <xdr:col>7</xdr:col>
                <xdr:colOff>266700</xdr:colOff>
                <xdr:row>2</xdr:row>
                <xdr:rowOff>381000</xdr:rowOff>
              </from>
              <to>
                <xdr:col>7</xdr:col>
                <xdr:colOff>952500</xdr:colOff>
                <xdr:row>2</xdr:row>
                <xdr:rowOff>819150</xdr:rowOff>
              </to>
            </anchor>
          </objectPr>
        </oleObject>
      </mc:Choice>
      <mc:Fallback>
        <oleObject progId="Equation.DSMT4" shapeId="34818" r:id="rId6"/>
      </mc:Fallback>
    </mc:AlternateContent>
  </oleObjec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C00"/>
  </sheetPr>
  <dimension ref="B3:L273"/>
  <sheetViews>
    <sheetView showGridLines="0" topLeftCell="A73" zoomScale="115" zoomScaleNormal="115" workbookViewId="0">
      <selection activeCell="H95" sqref="H95"/>
    </sheetView>
  </sheetViews>
  <sheetFormatPr defaultRowHeight="15" x14ac:dyDescent="0.25"/>
  <cols>
    <col min="1" max="1" width="0.85546875" customWidth="1"/>
  </cols>
  <sheetData>
    <row r="3" spans="2:10" x14ac:dyDescent="0.25">
      <c r="C3" s="2"/>
    </row>
    <row r="4" spans="2:10" x14ac:dyDescent="0.25">
      <c r="B4" s="2"/>
      <c r="C4" s="2"/>
      <c r="D4" s="2"/>
      <c r="E4" s="2"/>
      <c r="F4" s="2"/>
      <c r="G4" s="2"/>
      <c r="H4" s="2"/>
      <c r="I4" s="2"/>
      <c r="J4" s="2"/>
    </row>
    <row r="5" spans="2:10" x14ac:dyDescent="0.25">
      <c r="B5" s="2"/>
      <c r="C5" s="2"/>
      <c r="D5" s="2"/>
      <c r="E5" s="2"/>
      <c r="F5" s="2"/>
      <c r="G5" s="2"/>
      <c r="H5" s="2"/>
      <c r="I5" s="2"/>
      <c r="J5" s="2"/>
    </row>
    <row r="6" spans="2:10" x14ac:dyDescent="0.25">
      <c r="B6" s="2"/>
      <c r="C6" s="2"/>
      <c r="D6" s="2"/>
      <c r="E6" s="2"/>
      <c r="F6" s="2"/>
      <c r="G6" s="2"/>
      <c r="H6" s="2"/>
      <c r="I6" s="2"/>
      <c r="J6" s="2"/>
    </row>
    <row r="7" spans="2:10" x14ac:dyDescent="0.25">
      <c r="B7" s="2"/>
      <c r="C7" s="2"/>
      <c r="D7" s="2"/>
      <c r="E7" s="2"/>
      <c r="F7" s="2"/>
      <c r="G7" s="2"/>
      <c r="H7" s="2"/>
      <c r="I7" s="2"/>
      <c r="J7" s="2"/>
    </row>
    <row r="8" spans="2:10" x14ac:dyDescent="0.25">
      <c r="B8" s="2"/>
      <c r="C8" s="2"/>
      <c r="D8" s="2"/>
      <c r="E8" s="2"/>
      <c r="F8" s="2"/>
      <c r="G8" s="2"/>
      <c r="H8" s="2"/>
      <c r="I8" s="2"/>
      <c r="J8" s="2"/>
    </row>
    <row r="9" spans="2:10" x14ac:dyDescent="0.25">
      <c r="B9" s="2"/>
      <c r="C9" s="2"/>
      <c r="D9" s="2"/>
      <c r="E9" s="2"/>
      <c r="F9" s="2"/>
      <c r="G9" s="2"/>
      <c r="H9" s="2"/>
      <c r="I9" s="2"/>
      <c r="J9" s="2"/>
    </row>
    <row r="10" spans="2:10" x14ac:dyDescent="0.25">
      <c r="B10" s="2"/>
      <c r="C10" s="2"/>
      <c r="D10" s="2"/>
      <c r="E10" s="2"/>
      <c r="F10" s="2"/>
      <c r="G10" s="2"/>
      <c r="H10" s="2"/>
      <c r="I10" s="2"/>
      <c r="J10" s="2"/>
    </row>
    <row r="11" spans="2:10" x14ac:dyDescent="0.25">
      <c r="B11" s="2"/>
      <c r="C11" s="2"/>
      <c r="D11" s="2"/>
      <c r="E11" s="2"/>
      <c r="F11" s="2"/>
      <c r="G11" s="2"/>
      <c r="H11" s="2"/>
      <c r="I11" s="2"/>
      <c r="J11" s="2"/>
    </row>
    <row r="12" spans="2:10" x14ac:dyDescent="0.25">
      <c r="B12" s="2"/>
    </row>
    <row r="251" spans="2:12" x14ac:dyDescent="0.25">
      <c r="B251" s="557" t="s">
        <v>330</v>
      </c>
      <c r="C251" s="558"/>
      <c r="D251" s="558"/>
      <c r="E251" s="558"/>
      <c r="F251" s="558"/>
      <c r="G251" s="558"/>
      <c r="H251" s="558"/>
      <c r="I251" s="558"/>
      <c r="J251" s="558"/>
      <c r="K251" s="558"/>
      <c r="L251" s="558"/>
    </row>
    <row r="252" spans="2:12" x14ac:dyDescent="0.25">
      <c r="B252" s="557" t="s">
        <v>331</v>
      </c>
      <c r="C252" s="558"/>
      <c r="D252" s="558"/>
      <c r="E252" s="558"/>
      <c r="F252" s="558"/>
      <c r="G252" s="558"/>
      <c r="H252" s="558"/>
      <c r="I252" s="558"/>
      <c r="J252" s="558"/>
      <c r="K252" s="558"/>
      <c r="L252" s="558"/>
    </row>
    <row r="253" spans="2:12" x14ac:dyDescent="0.25">
      <c r="B253" s="557" t="s">
        <v>332</v>
      </c>
      <c r="C253" s="558"/>
      <c r="D253" s="558"/>
      <c r="E253" s="558"/>
      <c r="F253" s="558"/>
      <c r="G253" s="558"/>
      <c r="H253" s="558"/>
      <c r="I253" s="558"/>
      <c r="J253" s="558"/>
      <c r="K253" s="558"/>
      <c r="L253" s="558"/>
    </row>
    <row r="254" spans="2:12" x14ac:dyDescent="0.25">
      <c r="B254" s="557" t="s">
        <v>333</v>
      </c>
      <c r="C254" s="558"/>
      <c r="D254" s="558"/>
      <c r="E254" s="558"/>
      <c r="F254" s="558"/>
      <c r="G254" s="558"/>
      <c r="H254" s="558"/>
      <c r="I254" s="558"/>
      <c r="J254" s="558"/>
      <c r="K254" s="558"/>
      <c r="L254" s="558"/>
    </row>
    <row r="255" spans="2:12" x14ac:dyDescent="0.25">
      <c r="B255" s="557" t="s">
        <v>334</v>
      </c>
      <c r="C255" s="558"/>
      <c r="D255" s="558"/>
      <c r="E255" s="558"/>
      <c r="F255" s="558"/>
      <c r="G255" s="558"/>
      <c r="H255" s="558"/>
      <c r="I255" s="558"/>
      <c r="J255" s="558"/>
      <c r="K255" s="558"/>
      <c r="L255" s="558"/>
    </row>
    <row r="256" spans="2:12" x14ac:dyDescent="0.25">
      <c r="B256" s="557" t="s">
        <v>335</v>
      </c>
      <c r="C256" s="558"/>
      <c r="D256" s="558"/>
      <c r="E256" s="558"/>
      <c r="F256" s="558"/>
      <c r="G256" s="558"/>
      <c r="H256" s="558"/>
      <c r="I256" s="558"/>
      <c r="J256" s="558"/>
      <c r="K256" s="558"/>
      <c r="L256" s="558"/>
    </row>
    <row r="257" spans="2:12" x14ac:dyDescent="0.25">
      <c r="B257" s="557" t="s">
        <v>336</v>
      </c>
      <c r="C257" s="558"/>
      <c r="D257" s="558"/>
      <c r="E257" s="558"/>
      <c r="F257" s="558"/>
      <c r="G257" s="558"/>
      <c r="H257" s="558"/>
      <c r="I257" s="558"/>
      <c r="J257" s="558"/>
      <c r="K257" s="558"/>
      <c r="L257" s="558"/>
    </row>
    <row r="258" spans="2:12" x14ac:dyDescent="0.25">
      <c r="B258" s="557" t="s">
        <v>337</v>
      </c>
      <c r="C258" s="558"/>
      <c r="D258" s="558"/>
      <c r="E258" s="558"/>
      <c r="F258" s="558"/>
      <c r="G258" s="558"/>
      <c r="H258" s="558"/>
      <c r="I258" s="558"/>
      <c r="J258" s="558"/>
      <c r="K258" s="558"/>
      <c r="L258" s="558"/>
    </row>
    <row r="259" spans="2:12" x14ac:dyDescent="0.25">
      <c r="B259" s="557" t="s">
        <v>338</v>
      </c>
      <c r="C259" s="558"/>
      <c r="D259" s="558"/>
      <c r="E259" s="558"/>
      <c r="F259" s="558"/>
      <c r="G259" s="558"/>
      <c r="H259" s="558"/>
      <c r="I259" s="558"/>
      <c r="J259" s="558"/>
      <c r="K259" s="558"/>
      <c r="L259" s="558"/>
    </row>
    <row r="260" spans="2:12" x14ac:dyDescent="0.25">
      <c r="B260" s="557" t="s">
        <v>339</v>
      </c>
      <c r="C260" s="558"/>
      <c r="D260" s="558"/>
      <c r="E260" s="558"/>
      <c r="F260" s="558"/>
      <c r="G260" s="558"/>
      <c r="H260" s="558"/>
      <c r="I260" s="558"/>
      <c r="J260" s="558"/>
      <c r="K260" s="558"/>
      <c r="L260" s="558"/>
    </row>
    <row r="261" spans="2:12" x14ac:dyDescent="0.25">
      <c r="B261" s="557" t="s">
        <v>340</v>
      </c>
      <c r="C261" s="558"/>
      <c r="D261" s="558"/>
      <c r="E261" s="558"/>
      <c r="F261" s="558"/>
      <c r="G261" s="558"/>
      <c r="H261" s="558"/>
      <c r="I261" s="558"/>
      <c r="J261" s="558"/>
      <c r="K261" s="558"/>
      <c r="L261" s="558"/>
    </row>
    <row r="262" spans="2:12" x14ac:dyDescent="0.25">
      <c r="B262" s="557" t="s">
        <v>341</v>
      </c>
      <c r="C262" s="558"/>
      <c r="D262" s="558"/>
      <c r="E262" s="558"/>
      <c r="F262" s="558"/>
      <c r="G262" s="558"/>
      <c r="H262" s="558"/>
      <c r="I262" s="558"/>
      <c r="J262" s="558"/>
      <c r="K262" s="558"/>
      <c r="L262" s="558"/>
    </row>
    <row r="263" spans="2:12" x14ac:dyDescent="0.25">
      <c r="B263" s="557" t="s">
        <v>342</v>
      </c>
      <c r="C263" s="558"/>
      <c r="D263" s="558"/>
      <c r="E263" s="558"/>
      <c r="F263" s="558"/>
      <c r="G263" s="558"/>
      <c r="H263" s="558"/>
      <c r="I263" s="558"/>
      <c r="J263" s="558"/>
      <c r="K263" s="558"/>
      <c r="L263" s="558"/>
    </row>
    <row r="264" spans="2:12" x14ac:dyDescent="0.25">
      <c r="B264" s="557" t="s">
        <v>343</v>
      </c>
      <c r="C264" s="558"/>
      <c r="D264" s="558"/>
      <c r="E264" s="558"/>
      <c r="F264" s="558"/>
      <c r="G264" s="558"/>
      <c r="H264" s="558"/>
      <c r="I264" s="558"/>
      <c r="J264" s="558"/>
      <c r="K264" s="558"/>
      <c r="L264" s="558"/>
    </row>
    <row r="265" spans="2:12" x14ac:dyDescent="0.25">
      <c r="B265" s="557" t="s">
        <v>344</v>
      </c>
      <c r="C265" s="558"/>
      <c r="D265" s="558"/>
      <c r="E265" s="558"/>
      <c r="F265" s="558"/>
      <c r="G265" s="558"/>
      <c r="H265" s="558"/>
      <c r="I265" s="558"/>
      <c r="J265" s="558"/>
      <c r="K265" s="558"/>
      <c r="L265" s="558"/>
    </row>
    <row r="266" spans="2:12" x14ac:dyDescent="0.25">
      <c r="B266" s="557" t="s">
        <v>345</v>
      </c>
      <c r="C266" s="558"/>
      <c r="D266" s="558"/>
      <c r="E266" s="558"/>
      <c r="F266" s="558"/>
      <c r="G266" s="558"/>
      <c r="H266" s="558"/>
      <c r="I266" s="558"/>
      <c r="J266" s="558"/>
      <c r="K266" s="558"/>
      <c r="L266" s="558"/>
    </row>
    <row r="267" spans="2:12" x14ac:dyDescent="0.25">
      <c r="B267" s="557" t="s">
        <v>346</v>
      </c>
      <c r="C267" s="558"/>
      <c r="D267" s="558"/>
      <c r="E267" s="558"/>
      <c r="F267" s="558"/>
      <c r="G267" s="558"/>
      <c r="H267" s="558"/>
      <c r="I267" s="558"/>
      <c r="J267" s="558"/>
      <c r="K267" s="558"/>
      <c r="L267" s="558"/>
    </row>
    <row r="268" spans="2:12" x14ac:dyDescent="0.25">
      <c r="B268" s="557" t="s">
        <v>347</v>
      </c>
      <c r="C268" s="558"/>
      <c r="D268" s="558"/>
      <c r="E268" s="558"/>
      <c r="F268" s="558"/>
      <c r="G268" s="558"/>
      <c r="H268" s="558"/>
      <c r="I268" s="558"/>
      <c r="J268" s="558"/>
      <c r="K268" s="558"/>
      <c r="L268" s="558"/>
    </row>
    <row r="269" spans="2:12" x14ac:dyDescent="0.25">
      <c r="B269" s="557" t="s">
        <v>348</v>
      </c>
      <c r="C269" s="558"/>
      <c r="D269" s="558"/>
      <c r="E269" s="558"/>
      <c r="F269" s="558"/>
      <c r="G269" s="558"/>
      <c r="H269" s="558"/>
      <c r="I269" s="558"/>
      <c r="J269" s="558"/>
      <c r="K269" s="558"/>
      <c r="L269" s="558"/>
    </row>
    <row r="270" spans="2:12" x14ac:dyDescent="0.25">
      <c r="B270" s="557" t="s">
        <v>349</v>
      </c>
      <c r="C270" s="558"/>
      <c r="D270" s="558"/>
      <c r="E270" s="558"/>
      <c r="F270" s="558"/>
      <c r="G270" s="558"/>
      <c r="H270" s="558"/>
      <c r="I270" s="558"/>
      <c r="J270" s="558"/>
      <c r="K270" s="558"/>
      <c r="L270" s="558"/>
    </row>
    <row r="271" spans="2:12" x14ac:dyDescent="0.25">
      <c r="B271" s="557" t="s">
        <v>350</v>
      </c>
      <c r="C271" s="558"/>
      <c r="D271" s="558"/>
      <c r="E271" s="558"/>
      <c r="F271" s="558"/>
      <c r="G271" s="558"/>
      <c r="H271" s="558"/>
      <c r="I271" s="558"/>
      <c r="J271" s="558"/>
      <c r="K271" s="558"/>
      <c r="L271" s="558"/>
    </row>
    <row r="272" spans="2:12" x14ac:dyDescent="0.25">
      <c r="B272" s="557" t="s">
        <v>351</v>
      </c>
      <c r="C272" s="558"/>
      <c r="D272" s="558"/>
      <c r="E272" s="558"/>
      <c r="F272" s="558"/>
      <c r="G272" s="558"/>
      <c r="H272" s="558"/>
      <c r="I272" s="558"/>
      <c r="J272" s="558"/>
      <c r="K272" s="558"/>
      <c r="L272" s="558"/>
    </row>
    <row r="273" spans="2:12" x14ac:dyDescent="0.25">
      <c r="B273" s="557" t="s">
        <v>352</v>
      </c>
      <c r="C273" s="558"/>
      <c r="D273" s="558"/>
      <c r="E273" s="558"/>
      <c r="F273" s="558"/>
      <c r="G273" s="558"/>
      <c r="H273" s="558"/>
      <c r="I273" s="558"/>
      <c r="J273" s="558"/>
      <c r="K273" s="558"/>
      <c r="L273" s="558"/>
    </row>
  </sheetData>
  <phoneticPr fontId="29" type="noConversion"/>
  <pageMargins left="0.25" right="0.25" top="0.75" bottom="0.75" header="0.3" footer="0.3"/>
  <pageSetup paperSize="9" orientation="portrait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C00"/>
  </sheetPr>
  <dimension ref="B2:CT43"/>
  <sheetViews>
    <sheetView showGridLines="0" topLeftCell="AM1" zoomScale="70" zoomScaleNormal="70" workbookViewId="0">
      <selection activeCell="AX6" sqref="AX6:AX7"/>
    </sheetView>
  </sheetViews>
  <sheetFormatPr defaultRowHeight="15" x14ac:dyDescent="0.25"/>
  <cols>
    <col min="2" max="2" width="26.140625" customWidth="1"/>
    <col min="7" max="7" width="26.140625" customWidth="1"/>
    <col min="12" max="12" width="26.140625" customWidth="1"/>
    <col min="17" max="17" width="26.140625" customWidth="1"/>
    <col min="22" max="22" width="15.5703125" customWidth="1"/>
    <col min="23" max="23" width="20.28515625" customWidth="1"/>
    <col min="24" max="24" width="26.140625" customWidth="1"/>
    <col min="25" max="25" width="21.28515625" customWidth="1"/>
    <col min="27" max="27" width="15.5703125" customWidth="1"/>
    <col min="28" max="28" width="19" customWidth="1"/>
    <col min="29" max="29" width="26.140625" customWidth="1"/>
    <col min="30" max="30" width="21.28515625" customWidth="1"/>
    <col min="32" max="32" width="15.5703125" customWidth="1"/>
    <col min="33" max="33" width="19.5703125" customWidth="1"/>
    <col min="34" max="34" width="22.28515625" customWidth="1"/>
    <col min="35" max="35" width="24.5703125" customWidth="1"/>
    <col min="36" max="36" width="22.28515625" customWidth="1"/>
    <col min="37" max="37" width="22.140625" customWidth="1"/>
    <col min="39" max="39" width="15.5703125" customWidth="1"/>
    <col min="40" max="40" width="19.5703125" customWidth="1"/>
    <col min="41" max="41" width="22.140625" customWidth="1"/>
    <col min="42" max="44" width="24.42578125" customWidth="1"/>
    <col min="46" max="46" width="15.28515625" customWidth="1"/>
    <col min="47" max="48" width="20.140625" customWidth="1"/>
    <col min="49" max="53" width="20.7109375" customWidth="1"/>
    <col min="55" max="55" width="16.140625" customWidth="1"/>
    <col min="56" max="57" width="20.140625" customWidth="1"/>
    <col min="58" max="62" width="20.7109375" customWidth="1"/>
    <col min="64" max="64" width="15.85546875" customWidth="1"/>
    <col min="65" max="66" width="20.140625" customWidth="1"/>
    <col min="67" max="71" width="20.7109375" customWidth="1"/>
    <col min="73" max="73" width="15.42578125" customWidth="1"/>
    <col min="74" max="75" width="20.140625" customWidth="1"/>
    <col min="76" max="80" width="20.7109375" customWidth="1"/>
    <col min="82" max="82" width="26.28515625" customWidth="1"/>
    <col min="88" max="88" width="26.28515625" customWidth="1"/>
    <col min="94" max="94" width="26.28515625" customWidth="1"/>
  </cols>
  <sheetData>
    <row r="2" spans="2:98" s="56" customFormat="1" ht="15.75" thickBot="1" x14ac:dyDescent="0.3">
      <c r="B2" s="1322" t="s">
        <v>247</v>
      </c>
      <c r="C2" s="1322"/>
      <c r="D2" s="1322"/>
      <c r="E2" s="1322"/>
      <c r="G2" s="1322" t="s">
        <v>261</v>
      </c>
      <c r="H2" s="1322"/>
      <c r="I2" s="1322"/>
      <c r="J2" s="1322"/>
      <c r="L2" s="1322" t="s">
        <v>263</v>
      </c>
      <c r="M2" s="1322"/>
      <c r="N2" s="1322"/>
      <c r="O2" s="1322"/>
      <c r="Q2" s="1322" t="s">
        <v>265</v>
      </c>
      <c r="R2" s="1322"/>
      <c r="S2" s="1322"/>
      <c r="T2" s="1322"/>
      <c r="V2" s="1322" t="s">
        <v>266</v>
      </c>
      <c r="W2" s="1322"/>
      <c r="X2" s="1322"/>
      <c r="Y2" s="1322"/>
      <c r="AA2" s="1322" t="s">
        <v>280</v>
      </c>
      <c r="AB2" s="1322"/>
      <c r="AC2" s="1322"/>
      <c r="AD2" s="1322"/>
      <c r="AF2" s="1362" t="s">
        <v>294</v>
      </c>
      <c r="AG2" s="1362"/>
      <c r="AH2" s="1362"/>
      <c r="AI2" s="1362"/>
      <c r="AJ2" s="1362"/>
      <c r="AK2" s="1362"/>
      <c r="AM2" s="1362" t="s">
        <v>295</v>
      </c>
      <c r="AN2" s="1362"/>
      <c r="AO2" s="1362"/>
      <c r="AP2" s="1362"/>
      <c r="AQ2" s="1362"/>
      <c r="AR2" s="1362"/>
      <c r="AT2" s="1322" t="s">
        <v>296</v>
      </c>
      <c r="AU2" s="1322"/>
      <c r="AV2" s="1322"/>
      <c r="AW2" s="1322"/>
      <c r="AX2" s="1322"/>
      <c r="AY2" s="1322"/>
      <c r="AZ2" s="1322"/>
      <c r="BA2" s="1322"/>
      <c r="BC2" s="1322" t="s">
        <v>311</v>
      </c>
      <c r="BD2" s="1322"/>
      <c r="BE2" s="1322"/>
      <c r="BF2" s="1322"/>
      <c r="BG2" s="1322"/>
      <c r="BH2" s="1322"/>
      <c r="BI2" s="1322"/>
      <c r="BJ2" s="1322"/>
      <c r="BL2" s="1322" t="s">
        <v>312</v>
      </c>
      <c r="BM2" s="1322"/>
      <c r="BN2" s="1322"/>
      <c r="BO2" s="1322"/>
      <c r="BP2" s="1322"/>
      <c r="BQ2" s="1322"/>
      <c r="BR2" s="1322"/>
      <c r="BS2" s="1322"/>
      <c r="BU2" s="1322" t="s">
        <v>313</v>
      </c>
      <c r="BV2" s="1322"/>
      <c r="BW2" s="1322"/>
      <c r="BX2" s="1322"/>
      <c r="BY2" s="1322"/>
      <c r="BZ2" s="1322"/>
      <c r="CA2" s="1322"/>
      <c r="CB2" s="1322"/>
      <c r="CD2" s="1362" t="s">
        <v>314</v>
      </c>
      <c r="CE2" s="1362"/>
      <c r="CF2" s="1362"/>
      <c r="CG2" s="1362"/>
      <c r="CH2" s="1362"/>
      <c r="CI2" s="57"/>
      <c r="CJ2" s="1362" t="s">
        <v>321</v>
      </c>
      <c r="CK2" s="1362"/>
      <c r="CL2" s="1362"/>
      <c r="CM2" s="1362"/>
      <c r="CN2" s="1362"/>
      <c r="CP2" s="1362" t="s">
        <v>322</v>
      </c>
      <c r="CQ2" s="1362"/>
      <c r="CR2" s="1362"/>
      <c r="CS2" s="1362"/>
      <c r="CT2" s="1362"/>
    </row>
    <row r="3" spans="2:98" ht="45.75" customHeight="1" thickTop="1" thickBot="1" x14ac:dyDescent="0.3">
      <c r="B3" s="1323" t="s">
        <v>474</v>
      </c>
      <c r="C3" s="1324"/>
      <c r="D3" s="1324"/>
      <c r="E3" s="1325"/>
      <c r="G3" s="1345" t="s">
        <v>473</v>
      </c>
      <c r="H3" s="1346"/>
      <c r="I3" s="1346"/>
      <c r="J3" s="1347"/>
      <c r="L3" s="1323" t="s">
        <v>472</v>
      </c>
      <c r="M3" s="1324"/>
      <c r="N3" s="1324"/>
      <c r="O3" s="1325"/>
      <c r="Q3" s="1345" t="s">
        <v>471</v>
      </c>
      <c r="R3" s="1346"/>
      <c r="S3" s="1346"/>
      <c r="T3" s="1347"/>
      <c r="V3" s="1356" t="s">
        <v>494</v>
      </c>
      <c r="W3" s="1357"/>
      <c r="X3" s="1357"/>
      <c r="Y3" s="1358"/>
      <c r="AA3" s="1356" t="s">
        <v>481</v>
      </c>
      <c r="AB3" s="1357"/>
      <c r="AC3" s="1357"/>
      <c r="AD3" s="1358"/>
      <c r="AF3" s="1363" t="s">
        <v>482</v>
      </c>
      <c r="AG3" s="1364"/>
      <c r="AH3" s="1364"/>
      <c r="AI3" s="1364"/>
      <c r="AJ3" s="1364"/>
      <c r="AK3" s="1365"/>
      <c r="AM3" s="1363" t="s">
        <v>483</v>
      </c>
      <c r="AN3" s="1364"/>
      <c r="AO3" s="1364"/>
      <c r="AP3" s="1364"/>
      <c r="AQ3" s="1364"/>
      <c r="AR3" s="1365"/>
      <c r="AT3" s="1394" t="s">
        <v>484</v>
      </c>
      <c r="AU3" s="1395"/>
      <c r="AV3" s="1395"/>
      <c r="AW3" s="1395"/>
      <c r="AX3" s="1395"/>
      <c r="AY3" s="1395"/>
      <c r="AZ3" s="1395"/>
      <c r="BA3" s="1396"/>
      <c r="BC3" s="1394" t="s">
        <v>475</v>
      </c>
      <c r="BD3" s="1395"/>
      <c r="BE3" s="1395"/>
      <c r="BF3" s="1395"/>
      <c r="BG3" s="1395"/>
      <c r="BH3" s="1395"/>
      <c r="BI3" s="1395"/>
      <c r="BJ3" s="1396"/>
      <c r="BL3" s="1415" t="s">
        <v>476</v>
      </c>
      <c r="BM3" s="1416"/>
      <c r="BN3" s="1416"/>
      <c r="BO3" s="1416"/>
      <c r="BP3" s="1416"/>
      <c r="BQ3" s="1416"/>
      <c r="BR3" s="1416"/>
      <c r="BS3" s="1417"/>
      <c r="BU3" s="1415" t="s">
        <v>477</v>
      </c>
      <c r="BV3" s="1416"/>
      <c r="BW3" s="1416"/>
      <c r="BX3" s="1416"/>
      <c r="BY3" s="1416"/>
      <c r="BZ3" s="1416"/>
      <c r="CA3" s="1416"/>
      <c r="CB3" s="1417"/>
      <c r="CD3" s="1394" t="s">
        <v>478</v>
      </c>
      <c r="CE3" s="1395"/>
      <c r="CF3" s="1395"/>
      <c r="CG3" s="1395"/>
      <c r="CH3" s="1395"/>
      <c r="CI3" s="53"/>
      <c r="CJ3" s="1415" t="s">
        <v>479</v>
      </c>
      <c r="CK3" s="1416"/>
      <c r="CL3" s="1416"/>
      <c r="CM3" s="1416"/>
      <c r="CN3" s="1417"/>
      <c r="CP3" s="1418" t="s">
        <v>480</v>
      </c>
      <c r="CQ3" s="1419"/>
      <c r="CR3" s="1419"/>
      <c r="CS3" s="1419"/>
      <c r="CT3" s="1420"/>
    </row>
    <row r="4" spans="2:98" ht="117.75" customHeight="1" thickBot="1" x14ac:dyDescent="0.3">
      <c r="B4" s="1330" t="s">
        <v>467</v>
      </c>
      <c r="C4" s="1331"/>
      <c r="D4" s="1331"/>
      <c r="E4" s="1332"/>
      <c r="G4" s="1336" t="s">
        <v>466</v>
      </c>
      <c r="H4" s="1337"/>
      <c r="I4" s="1337"/>
      <c r="J4" s="1338"/>
      <c r="L4" s="1330" t="s">
        <v>464</v>
      </c>
      <c r="M4" s="1331"/>
      <c r="N4" s="1331"/>
      <c r="O4" s="1332"/>
      <c r="Q4" s="1336" t="s">
        <v>465</v>
      </c>
      <c r="R4" s="1337"/>
      <c r="S4" s="1337"/>
      <c r="T4" s="1338"/>
      <c r="V4" s="1359" t="s">
        <v>485</v>
      </c>
      <c r="W4" s="1360"/>
      <c r="X4" s="1360"/>
      <c r="Y4" s="1361"/>
      <c r="AA4" s="1359" t="s">
        <v>486</v>
      </c>
      <c r="AB4" s="1360"/>
      <c r="AC4" s="1360"/>
      <c r="AD4" s="1361"/>
      <c r="AF4" s="1366" t="s">
        <v>487</v>
      </c>
      <c r="AG4" s="1367"/>
      <c r="AH4" s="1367"/>
      <c r="AI4" s="1367"/>
      <c r="AJ4" s="1367"/>
      <c r="AK4" s="1368"/>
      <c r="AM4" s="1366" t="s">
        <v>486</v>
      </c>
      <c r="AN4" s="1367"/>
      <c r="AO4" s="1367"/>
      <c r="AP4" s="1367"/>
      <c r="AQ4" s="1367"/>
      <c r="AR4" s="1368"/>
      <c r="AT4" s="1397" t="s">
        <v>488</v>
      </c>
      <c r="AU4" s="1398"/>
      <c r="AV4" s="1398"/>
      <c r="AW4" s="1398"/>
      <c r="AX4" s="1398"/>
      <c r="AY4" s="1398"/>
      <c r="AZ4" s="1398"/>
      <c r="BA4" s="1399"/>
      <c r="BC4" s="1397" t="s">
        <v>489</v>
      </c>
      <c r="BD4" s="1398"/>
      <c r="BE4" s="1398"/>
      <c r="BF4" s="1398"/>
      <c r="BG4" s="1398"/>
      <c r="BH4" s="1398"/>
      <c r="BI4" s="1398"/>
      <c r="BJ4" s="1399"/>
      <c r="BL4" s="1424" t="s">
        <v>490</v>
      </c>
      <c r="BM4" s="1425"/>
      <c r="BN4" s="1425"/>
      <c r="BO4" s="1425"/>
      <c r="BP4" s="1425"/>
      <c r="BQ4" s="1425"/>
      <c r="BR4" s="1425"/>
      <c r="BS4" s="1426"/>
      <c r="BU4" s="1424" t="s">
        <v>491</v>
      </c>
      <c r="BV4" s="1425"/>
      <c r="BW4" s="1425"/>
      <c r="BX4" s="1425"/>
      <c r="BY4" s="1425"/>
      <c r="BZ4" s="1425"/>
      <c r="CA4" s="1425"/>
      <c r="CB4" s="1426"/>
      <c r="CD4" s="1397" t="s">
        <v>492</v>
      </c>
      <c r="CE4" s="1464"/>
      <c r="CF4" s="1464"/>
      <c r="CG4" s="1464"/>
      <c r="CH4" s="1465"/>
      <c r="CJ4" s="1424" t="s">
        <v>493</v>
      </c>
      <c r="CK4" s="1462"/>
      <c r="CL4" s="1462"/>
      <c r="CM4" s="1462"/>
      <c r="CN4" s="1463"/>
      <c r="CP4" s="1421" t="s">
        <v>323</v>
      </c>
      <c r="CQ4" s="1422"/>
      <c r="CR4" s="1422"/>
      <c r="CS4" s="1422"/>
      <c r="CT4" s="1423"/>
    </row>
    <row r="5" spans="2:98" ht="35.25" customHeight="1" thickBot="1" x14ac:dyDescent="0.3">
      <c r="B5" s="1333"/>
      <c r="C5" s="1334"/>
      <c r="D5" s="1334"/>
      <c r="E5" s="1335"/>
      <c r="G5" s="1339"/>
      <c r="H5" s="1340"/>
      <c r="I5" s="1340"/>
      <c r="J5" s="1341"/>
      <c r="L5" s="1333"/>
      <c r="M5" s="1334"/>
      <c r="N5" s="1334"/>
      <c r="O5" s="1335"/>
      <c r="Q5" s="1339"/>
      <c r="R5" s="1340"/>
      <c r="S5" s="1340"/>
      <c r="T5" s="1341"/>
      <c r="V5" s="1350" t="s">
        <v>260</v>
      </c>
      <c r="W5" s="1348" t="s">
        <v>268</v>
      </c>
      <c r="X5" s="1348"/>
      <c r="Y5" s="1349"/>
      <c r="AA5" s="1350" t="s">
        <v>260</v>
      </c>
      <c r="AB5" s="1348" t="s">
        <v>268</v>
      </c>
      <c r="AC5" s="1348"/>
      <c r="AD5" s="1349"/>
      <c r="AF5" s="1369" t="s">
        <v>260</v>
      </c>
      <c r="AG5" s="1382" t="s">
        <v>267</v>
      </c>
      <c r="AH5" s="1382"/>
      <c r="AI5" s="1382"/>
      <c r="AJ5" s="1382"/>
      <c r="AK5" s="1383"/>
      <c r="AM5" s="1369" t="s">
        <v>260</v>
      </c>
      <c r="AN5" s="1382" t="s">
        <v>267</v>
      </c>
      <c r="AO5" s="1382"/>
      <c r="AP5" s="1382"/>
      <c r="AQ5" s="1382"/>
      <c r="AR5" s="1383"/>
      <c r="AT5" s="1404" t="s">
        <v>260</v>
      </c>
      <c r="AU5" s="1412" t="s">
        <v>300</v>
      </c>
      <c r="AV5" s="1413"/>
      <c r="AW5" s="1412" t="s">
        <v>301</v>
      </c>
      <c r="AX5" s="1413"/>
      <c r="AY5" s="1413"/>
      <c r="AZ5" s="1413"/>
      <c r="BA5" s="1414"/>
      <c r="BC5" s="1404" t="s">
        <v>260</v>
      </c>
      <c r="BD5" s="1412" t="s">
        <v>300</v>
      </c>
      <c r="BE5" s="1413"/>
      <c r="BF5" s="1412" t="s">
        <v>301</v>
      </c>
      <c r="BG5" s="1413"/>
      <c r="BH5" s="1413"/>
      <c r="BI5" s="1413"/>
      <c r="BJ5" s="1414"/>
      <c r="BL5" s="1435" t="s">
        <v>260</v>
      </c>
      <c r="BM5" s="1407" t="s">
        <v>300</v>
      </c>
      <c r="BN5" s="1408"/>
      <c r="BO5" s="1407" t="s">
        <v>301</v>
      </c>
      <c r="BP5" s="1408"/>
      <c r="BQ5" s="1408"/>
      <c r="BR5" s="1408"/>
      <c r="BS5" s="1434"/>
      <c r="BU5" s="1435" t="s">
        <v>260</v>
      </c>
      <c r="BV5" s="1407" t="s">
        <v>300</v>
      </c>
      <c r="BW5" s="1408"/>
      <c r="BX5" s="1407" t="s">
        <v>301</v>
      </c>
      <c r="BY5" s="1408"/>
      <c r="BZ5" s="1408"/>
      <c r="CA5" s="1408"/>
      <c r="CB5" s="1434"/>
      <c r="CD5" s="102" t="s">
        <v>260</v>
      </c>
      <c r="CE5" s="1454" t="s">
        <v>302</v>
      </c>
      <c r="CF5" s="1454"/>
      <c r="CG5" s="1454" t="s">
        <v>315</v>
      </c>
      <c r="CH5" s="1455"/>
      <c r="CJ5" s="109" t="s">
        <v>260</v>
      </c>
      <c r="CK5" s="1460" t="s">
        <v>302</v>
      </c>
      <c r="CL5" s="1460"/>
      <c r="CM5" s="1460" t="s">
        <v>315</v>
      </c>
      <c r="CN5" s="1461"/>
      <c r="CP5" s="1457" t="s">
        <v>260</v>
      </c>
      <c r="CQ5" s="1458" t="s">
        <v>324</v>
      </c>
      <c r="CR5" s="1458"/>
      <c r="CS5" s="1458"/>
      <c r="CT5" s="1459"/>
    </row>
    <row r="6" spans="2:98" ht="40.5" customHeight="1" thickBot="1" x14ac:dyDescent="0.3">
      <c r="B6" s="102" t="s">
        <v>253</v>
      </c>
      <c r="C6" s="1328" t="s">
        <v>254</v>
      </c>
      <c r="D6" s="1328"/>
      <c r="E6" s="1329"/>
      <c r="G6" s="109" t="s">
        <v>260</v>
      </c>
      <c r="H6" s="1326" t="s">
        <v>259</v>
      </c>
      <c r="I6" s="1326"/>
      <c r="J6" s="1327"/>
      <c r="L6" s="102" t="s">
        <v>260</v>
      </c>
      <c r="M6" s="1328" t="s">
        <v>259</v>
      </c>
      <c r="N6" s="1328"/>
      <c r="O6" s="1329"/>
      <c r="Q6" s="109" t="s">
        <v>260</v>
      </c>
      <c r="R6" s="1326" t="s">
        <v>259</v>
      </c>
      <c r="S6" s="1326"/>
      <c r="T6" s="1327"/>
      <c r="V6" s="1350"/>
      <c r="W6" s="1353" t="s">
        <v>495</v>
      </c>
      <c r="X6" s="1390" t="s">
        <v>270</v>
      </c>
      <c r="Y6" s="1352"/>
      <c r="AA6" s="1350"/>
      <c r="AB6" s="1354" t="s">
        <v>468</v>
      </c>
      <c r="AC6" s="1351" t="s">
        <v>270</v>
      </c>
      <c r="AD6" s="1352"/>
      <c r="AF6" s="1370"/>
      <c r="AG6" s="1354" t="s">
        <v>469</v>
      </c>
      <c r="AH6" s="1380" t="s">
        <v>470</v>
      </c>
      <c r="AI6" s="1380"/>
      <c r="AJ6" s="1380"/>
      <c r="AK6" s="1381"/>
      <c r="AM6" s="1370"/>
      <c r="AN6" s="1354" t="s">
        <v>283</v>
      </c>
      <c r="AO6" s="1380" t="s">
        <v>269</v>
      </c>
      <c r="AP6" s="1380"/>
      <c r="AQ6" s="1380"/>
      <c r="AR6" s="1381"/>
      <c r="AT6" s="1405"/>
      <c r="AU6" s="1400" t="s">
        <v>303</v>
      </c>
      <c r="AV6" s="1400" t="s">
        <v>304</v>
      </c>
      <c r="AW6" s="1400" t="s">
        <v>305</v>
      </c>
      <c r="AX6" s="1400" t="s">
        <v>306</v>
      </c>
      <c r="AY6" s="1409" t="s">
        <v>282</v>
      </c>
      <c r="AZ6" s="1410"/>
      <c r="BA6" s="1411"/>
      <c r="BC6" s="1405"/>
      <c r="BD6" s="1400" t="s">
        <v>303</v>
      </c>
      <c r="BE6" s="1400" t="s">
        <v>304</v>
      </c>
      <c r="BF6" s="1400" t="s">
        <v>305</v>
      </c>
      <c r="BG6" s="1400" t="s">
        <v>306</v>
      </c>
      <c r="BH6" s="1409" t="s">
        <v>282</v>
      </c>
      <c r="BI6" s="1410"/>
      <c r="BJ6" s="1411"/>
      <c r="BL6" s="1436"/>
      <c r="BM6" s="1402" t="s">
        <v>303</v>
      </c>
      <c r="BN6" s="1402" t="s">
        <v>304</v>
      </c>
      <c r="BO6" s="1402" t="s">
        <v>305</v>
      </c>
      <c r="BP6" s="1402" t="s">
        <v>306</v>
      </c>
      <c r="BQ6" s="1438" t="s">
        <v>282</v>
      </c>
      <c r="BR6" s="1439"/>
      <c r="BS6" s="1440"/>
      <c r="BU6" s="1436"/>
      <c r="BV6" s="1402" t="s">
        <v>303</v>
      </c>
      <c r="BW6" s="1402" t="s">
        <v>304</v>
      </c>
      <c r="BX6" s="1402" t="s">
        <v>305</v>
      </c>
      <c r="BY6" s="1402" t="s">
        <v>306</v>
      </c>
      <c r="BZ6" s="1438" t="s">
        <v>282</v>
      </c>
      <c r="CA6" s="1439"/>
      <c r="CB6" s="1440"/>
      <c r="CD6" s="102" t="s">
        <v>288</v>
      </c>
      <c r="CE6" s="107" t="s">
        <v>316</v>
      </c>
      <c r="CF6" s="107" t="s">
        <v>317</v>
      </c>
      <c r="CG6" s="107" t="s">
        <v>316</v>
      </c>
      <c r="CH6" s="108" t="s">
        <v>317</v>
      </c>
      <c r="CJ6" s="109" t="s">
        <v>288</v>
      </c>
      <c r="CK6" s="114" t="s">
        <v>316</v>
      </c>
      <c r="CL6" s="114" t="s">
        <v>317</v>
      </c>
      <c r="CM6" s="114" t="s">
        <v>316</v>
      </c>
      <c r="CN6" s="115" t="s">
        <v>317</v>
      </c>
      <c r="CP6" s="1457"/>
      <c r="CQ6" s="1427" t="s">
        <v>325</v>
      </c>
      <c r="CR6" s="1427" t="s">
        <v>326</v>
      </c>
      <c r="CS6" s="1456" t="s">
        <v>327</v>
      </c>
      <c r="CT6" s="1453" t="s">
        <v>328</v>
      </c>
    </row>
    <row r="7" spans="2:98" ht="48" customHeight="1" thickBot="1" x14ac:dyDescent="0.3">
      <c r="B7" s="102" t="s">
        <v>255</v>
      </c>
      <c r="C7" s="103" t="s">
        <v>256</v>
      </c>
      <c r="D7" s="103" t="s">
        <v>257</v>
      </c>
      <c r="E7" s="104" t="s">
        <v>258</v>
      </c>
      <c r="G7" s="109" t="s">
        <v>255</v>
      </c>
      <c r="H7" s="110" t="s">
        <v>256</v>
      </c>
      <c r="I7" s="110" t="s">
        <v>257</v>
      </c>
      <c r="J7" s="111" t="s">
        <v>258</v>
      </c>
      <c r="L7" s="102" t="s">
        <v>255</v>
      </c>
      <c r="M7" s="103" t="s">
        <v>256</v>
      </c>
      <c r="N7" s="103" t="s">
        <v>257</v>
      </c>
      <c r="O7" s="104" t="s">
        <v>258</v>
      </c>
      <c r="Q7" s="109" t="s">
        <v>255</v>
      </c>
      <c r="R7" s="110" t="s">
        <v>256</v>
      </c>
      <c r="S7" s="110" t="s">
        <v>257</v>
      </c>
      <c r="T7" s="111" t="s">
        <v>258</v>
      </c>
      <c r="V7" s="1350"/>
      <c r="W7" s="1348"/>
      <c r="X7" s="131" t="s">
        <v>271</v>
      </c>
      <c r="Y7" s="132" t="s">
        <v>272</v>
      </c>
      <c r="AA7" s="1350"/>
      <c r="AB7" s="1355"/>
      <c r="AC7" s="131" t="s">
        <v>271</v>
      </c>
      <c r="AD7" s="132" t="s">
        <v>272</v>
      </c>
      <c r="AF7" s="1371"/>
      <c r="AG7" s="1355"/>
      <c r="AH7" s="138" t="s">
        <v>284</v>
      </c>
      <c r="AI7" s="138" t="s">
        <v>285</v>
      </c>
      <c r="AJ7" s="139" t="s">
        <v>286</v>
      </c>
      <c r="AK7" s="140" t="s">
        <v>287</v>
      </c>
      <c r="AM7" s="1371"/>
      <c r="AN7" s="1355"/>
      <c r="AO7" s="138" t="s">
        <v>284</v>
      </c>
      <c r="AP7" s="138" t="s">
        <v>285</v>
      </c>
      <c r="AQ7" s="139" t="s">
        <v>286</v>
      </c>
      <c r="AR7" s="140" t="s">
        <v>287</v>
      </c>
      <c r="AT7" s="1406"/>
      <c r="AU7" s="1401"/>
      <c r="AV7" s="1401"/>
      <c r="AW7" s="1401"/>
      <c r="AX7" s="1401"/>
      <c r="AY7" s="105" t="s">
        <v>307</v>
      </c>
      <c r="AZ7" s="105" t="s">
        <v>308</v>
      </c>
      <c r="BA7" s="106" t="s">
        <v>309</v>
      </c>
      <c r="BC7" s="1406"/>
      <c r="BD7" s="1401"/>
      <c r="BE7" s="1401"/>
      <c r="BF7" s="1401"/>
      <c r="BG7" s="1401"/>
      <c r="BH7" s="105" t="s">
        <v>307</v>
      </c>
      <c r="BI7" s="105" t="s">
        <v>308</v>
      </c>
      <c r="BJ7" s="106" t="s">
        <v>309</v>
      </c>
      <c r="BL7" s="1437"/>
      <c r="BM7" s="1403"/>
      <c r="BN7" s="1403"/>
      <c r="BO7" s="1403"/>
      <c r="BP7" s="1403"/>
      <c r="BQ7" s="112" t="s">
        <v>307</v>
      </c>
      <c r="BR7" s="112" t="s">
        <v>308</v>
      </c>
      <c r="BS7" s="113" t="s">
        <v>309</v>
      </c>
      <c r="BU7" s="1437"/>
      <c r="BV7" s="1403"/>
      <c r="BW7" s="1403"/>
      <c r="BX7" s="1403"/>
      <c r="BY7" s="1403"/>
      <c r="BZ7" s="112" t="s">
        <v>307</v>
      </c>
      <c r="CA7" s="112" t="s">
        <v>308</v>
      </c>
      <c r="CB7" s="113" t="s">
        <v>309</v>
      </c>
      <c r="CD7" s="102" t="s">
        <v>278</v>
      </c>
      <c r="CE7" s="107" t="s">
        <v>318</v>
      </c>
      <c r="CF7" s="107" t="s">
        <v>319</v>
      </c>
      <c r="CG7" s="107" t="s">
        <v>279</v>
      </c>
      <c r="CH7" s="108" t="s">
        <v>320</v>
      </c>
      <c r="CJ7" s="109" t="s">
        <v>278</v>
      </c>
      <c r="CK7" s="114" t="s">
        <v>318</v>
      </c>
      <c r="CL7" s="114" t="s">
        <v>319</v>
      </c>
      <c r="CM7" s="114" t="s">
        <v>279</v>
      </c>
      <c r="CN7" s="115" t="s">
        <v>320</v>
      </c>
      <c r="CP7" s="1457"/>
      <c r="CQ7" s="1427"/>
      <c r="CR7" s="1427"/>
      <c r="CS7" s="1456"/>
      <c r="CT7" s="1453"/>
    </row>
    <row r="8" spans="2:98" ht="15.75" thickBot="1" x14ac:dyDescent="0.3">
      <c r="B8" s="116">
        <v>1.5</v>
      </c>
      <c r="C8" s="13">
        <v>14.5</v>
      </c>
      <c r="D8" s="13">
        <v>17.5</v>
      </c>
      <c r="E8" s="14">
        <v>19.5</v>
      </c>
      <c r="G8" s="124">
        <v>1.5</v>
      </c>
      <c r="H8" s="13">
        <v>19</v>
      </c>
      <c r="I8" s="13">
        <v>23</v>
      </c>
      <c r="J8" s="14">
        <v>24</v>
      </c>
      <c r="L8" s="116">
        <v>1.5</v>
      </c>
      <c r="M8" s="13">
        <v>13.5</v>
      </c>
      <c r="N8" s="13">
        <v>15.5</v>
      </c>
      <c r="O8" s="14">
        <v>17.5</v>
      </c>
      <c r="Q8" s="124">
        <v>1.5</v>
      </c>
      <c r="R8" s="13">
        <v>17</v>
      </c>
      <c r="S8" s="13">
        <v>20</v>
      </c>
      <c r="T8" s="14">
        <v>22</v>
      </c>
      <c r="V8" s="133" t="s">
        <v>278</v>
      </c>
      <c r="W8" s="26" t="s">
        <v>273</v>
      </c>
      <c r="X8" s="26" t="s">
        <v>274</v>
      </c>
      <c r="Y8" s="27" t="s">
        <v>275</v>
      </c>
      <c r="AA8" s="133" t="s">
        <v>278</v>
      </c>
      <c r="AB8" s="26" t="s">
        <v>273</v>
      </c>
      <c r="AC8" s="26" t="s">
        <v>274</v>
      </c>
      <c r="AD8" s="27" t="s">
        <v>275</v>
      </c>
      <c r="AF8" s="133" t="s">
        <v>288</v>
      </c>
      <c r="AG8" s="26" t="s">
        <v>289</v>
      </c>
      <c r="AH8" s="26" t="s">
        <v>289</v>
      </c>
      <c r="AI8" s="26" t="s">
        <v>290</v>
      </c>
      <c r="AJ8" s="26" t="s">
        <v>291</v>
      </c>
      <c r="AK8" s="27" t="s">
        <v>291</v>
      </c>
      <c r="AM8" s="133" t="s">
        <v>288</v>
      </c>
      <c r="AN8" s="26" t="s">
        <v>289</v>
      </c>
      <c r="AO8" s="26" t="s">
        <v>289</v>
      </c>
      <c r="AP8" s="26" t="s">
        <v>290</v>
      </c>
      <c r="AQ8" s="26" t="s">
        <v>291</v>
      </c>
      <c r="AR8" s="27" t="s">
        <v>291</v>
      </c>
      <c r="AT8" s="121" t="s">
        <v>288</v>
      </c>
      <c r="AU8" s="50" t="s">
        <v>298</v>
      </c>
      <c r="AV8" s="50" t="s">
        <v>298</v>
      </c>
      <c r="AW8" s="50" t="s">
        <v>290</v>
      </c>
      <c r="AX8" s="50" t="s">
        <v>290</v>
      </c>
      <c r="AY8" s="50" t="s">
        <v>290</v>
      </c>
      <c r="AZ8" s="50" t="s">
        <v>291</v>
      </c>
      <c r="BA8" s="51" t="s">
        <v>291</v>
      </c>
      <c r="BB8" s="52"/>
      <c r="BC8" s="123" t="s">
        <v>288</v>
      </c>
      <c r="BD8" s="50" t="s">
        <v>298</v>
      </c>
      <c r="BE8" s="50" t="s">
        <v>298</v>
      </c>
      <c r="BF8" s="50" t="s">
        <v>290</v>
      </c>
      <c r="BG8" s="50" t="s">
        <v>290</v>
      </c>
      <c r="BH8" s="50" t="s">
        <v>290</v>
      </c>
      <c r="BI8" s="50" t="s">
        <v>291</v>
      </c>
      <c r="BJ8" s="51" t="s">
        <v>291</v>
      </c>
      <c r="BL8" s="129" t="s">
        <v>288</v>
      </c>
      <c r="BM8" s="50" t="s">
        <v>298</v>
      </c>
      <c r="BN8" s="50" t="s">
        <v>298</v>
      </c>
      <c r="BO8" s="50" t="s">
        <v>290</v>
      </c>
      <c r="BP8" s="50" t="s">
        <v>290</v>
      </c>
      <c r="BQ8" s="50" t="s">
        <v>290</v>
      </c>
      <c r="BR8" s="50" t="s">
        <v>291</v>
      </c>
      <c r="BS8" s="51" t="s">
        <v>291</v>
      </c>
      <c r="BU8" s="129" t="s">
        <v>288</v>
      </c>
      <c r="BV8" s="50" t="s">
        <v>298</v>
      </c>
      <c r="BW8" s="50" t="s">
        <v>298</v>
      </c>
      <c r="BX8" s="50" t="s">
        <v>290</v>
      </c>
      <c r="BY8" s="50" t="s">
        <v>290</v>
      </c>
      <c r="BZ8" s="50" t="s">
        <v>290</v>
      </c>
      <c r="CA8" s="50" t="s">
        <v>291</v>
      </c>
      <c r="CB8" s="51" t="s">
        <v>291</v>
      </c>
      <c r="CD8" s="1342" t="s">
        <v>255</v>
      </c>
      <c r="CE8" s="1343"/>
      <c r="CF8" s="1343"/>
      <c r="CG8" s="1343"/>
      <c r="CH8" s="1344"/>
      <c r="CJ8" s="1342" t="s">
        <v>255</v>
      </c>
      <c r="CK8" s="1343"/>
      <c r="CL8" s="1343"/>
      <c r="CM8" s="1343"/>
      <c r="CN8" s="1344"/>
      <c r="CP8" s="1342" t="s">
        <v>255</v>
      </c>
      <c r="CQ8" s="1343"/>
      <c r="CR8" s="1343"/>
      <c r="CS8" s="1343"/>
      <c r="CT8" s="1344"/>
    </row>
    <row r="9" spans="2:98" ht="15.75" thickBot="1" x14ac:dyDescent="0.3">
      <c r="B9" s="117">
        <v>2.5</v>
      </c>
      <c r="C9" s="16">
        <v>19.5</v>
      </c>
      <c r="D9" s="16">
        <v>24</v>
      </c>
      <c r="E9" s="17">
        <v>27</v>
      </c>
      <c r="G9" s="125">
        <v>2.5</v>
      </c>
      <c r="H9" s="16">
        <v>26</v>
      </c>
      <c r="I9" s="16">
        <v>31</v>
      </c>
      <c r="J9" s="17">
        <v>33</v>
      </c>
      <c r="L9" s="117">
        <v>2.5</v>
      </c>
      <c r="M9" s="16">
        <v>18</v>
      </c>
      <c r="N9" s="16">
        <v>21</v>
      </c>
      <c r="O9" s="17">
        <v>24</v>
      </c>
      <c r="Q9" s="125">
        <v>2.5</v>
      </c>
      <c r="R9" s="16">
        <v>23</v>
      </c>
      <c r="S9" s="16">
        <v>28</v>
      </c>
      <c r="T9" s="17">
        <v>30</v>
      </c>
      <c r="V9" s="1342" t="s">
        <v>276</v>
      </c>
      <c r="W9" s="1343"/>
      <c r="X9" s="1343"/>
      <c r="Y9" s="1344"/>
      <c r="AA9" s="1342" t="s">
        <v>276</v>
      </c>
      <c r="AB9" s="1343"/>
      <c r="AC9" s="1343"/>
      <c r="AD9" s="1344"/>
      <c r="AF9" s="134" t="s">
        <v>278</v>
      </c>
      <c r="AG9" s="16" t="s">
        <v>273</v>
      </c>
      <c r="AH9" s="16" t="s">
        <v>274</v>
      </c>
      <c r="AI9" s="16" t="s">
        <v>275</v>
      </c>
      <c r="AJ9" s="16" t="s">
        <v>250</v>
      </c>
      <c r="AK9" s="17" t="s">
        <v>292</v>
      </c>
      <c r="AM9" s="134" t="s">
        <v>278</v>
      </c>
      <c r="AN9" s="16" t="s">
        <v>273</v>
      </c>
      <c r="AO9" s="16" t="s">
        <v>274</v>
      </c>
      <c r="AP9" s="16" t="s">
        <v>275</v>
      </c>
      <c r="AQ9" s="16" t="s">
        <v>250</v>
      </c>
      <c r="AR9" s="17" t="s">
        <v>292</v>
      </c>
      <c r="AT9" s="122" t="s">
        <v>278</v>
      </c>
      <c r="AU9" s="44" t="s">
        <v>273</v>
      </c>
      <c r="AV9" s="44" t="s">
        <v>274</v>
      </c>
      <c r="AW9" s="44" t="s">
        <v>275</v>
      </c>
      <c r="AX9" s="44" t="s">
        <v>250</v>
      </c>
      <c r="AY9" s="44" t="s">
        <v>292</v>
      </c>
      <c r="AZ9" s="44" t="s">
        <v>251</v>
      </c>
      <c r="BA9" s="45" t="s">
        <v>299</v>
      </c>
      <c r="BC9" s="122" t="s">
        <v>278</v>
      </c>
      <c r="BD9" s="44" t="s">
        <v>273</v>
      </c>
      <c r="BE9" s="44" t="s">
        <v>274</v>
      </c>
      <c r="BF9" s="44" t="s">
        <v>275</v>
      </c>
      <c r="BG9" s="44" t="s">
        <v>250</v>
      </c>
      <c r="BH9" s="44" t="s">
        <v>292</v>
      </c>
      <c r="BI9" s="44" t="s">
        <v>251</v>
      </c>
      <c r="BJ9" s="45" t="s">
        <v>299</v>
      </c>
      <c r="BL9" s="130" t="s">
        <v>278</v>
      </c>
      <c r="BM9" s="44" t="s">
        <v>273</v>
      </c>
      <c r="BN9" s="44" t="s">
        <v>274</v>
      </c>
      <c r="BO9" s="44" t="s">
        <v>275</v>
      </c>
      <c r="BP9" s="44" t="s">
        <v>250</v>
      </c>
      <c r="BQ9" s="44" t="s">
        <v>292</v>
      </c>
      <c r="BR9" s="44" t="s">
        <v>251</v>
      </c>
      <c r="BS9" s="45" t="s">
        <v>299</v>
      </c>
      <c r="BU9" s="130" t="s">
        <v>278</v>
      </c>
      <c r="BV9" s="44" t="s">
        <v>273</v>
      </c>
      <c r="BW9" s="44" t="s">
        <v>274</v>
      </c>
      <c r="BX9" s="44" t="s">
        <v>275</v>
      </c>
      <c r="BY9" s="44" t="s">
        <v>250</v>
      </c>
      <c r="BZ9" s="44" t="s">
        <v>292</v>
      </c>
      <c r="CA9" s="44" t="s">
        <v>251</v>
      </c>
      <c r="CB9" s="45" t="s">
        <v>299</v>
      </c>
      <c r="CD9" s="119">
        <v>1.5</v>
      </c>
      <c r="CE9" s="26">
        <v>14</v>
      </c>
      <c r="CF9" s="26">
        <v>16.5</v>
      </c>
      <c r="CG9" s="26">
        <v>13</v>
      </c>
      <c r="CH9" s="27">
        <v>15</v>
      </c>
      <c r="CJ9" s="124">
        <v>1.5</v>
      </c>
      <c r="CK9" s="13">
        <v>18.5</v>
      </c>
      <c r="CL9" s="13">
        <v>22</v>
      </c>
      <c r="CM9" s="13">
        <v>16.5</v>
      </c>
      <c r="CN9" s="14">
        <v>19.5</v>
      </c>
      <c r="CP9" s="29">
        <v>1.5</v>
      </c>
      <c r="CQ9" s="13">
        <v>26</v>
      </c>
      <c r="CR9" s="13">
        <v>32</v>
      </c>
      <c r="CS9" s="13">
        <v>31</v>
      </c>
      <c r="CT9" s="14">
        <v>37</v>
      </c>
    </row>
    <row r="10" spans="2:98" ht="15.75" thickBot="1" x14ac:dyDescent="0.3">
      <c r="B10" s="117">
        <v>4</v>
      </c>
      <c r="C10" s="16">
        <v>26</v>
      </c>
      <c r="D10" s="16">
        <v>32</v>
      </c>
      <c r="E10" s="17">
        <v>36</v>
      </c>
      <c r="G10" s="125">
        <v>4</v>
      </c>
      <c r="H10" s="16">
        <v>35</v>
      </c>
      <c r="I10" s="16">
        <v>42</v>
      </c>
      <c r="J10" s="17">
        <v>45</v>
      </c>
      <c r="L10" s="117">
        <v>4</v>
      </c>
      <c r="M10" s="16">
        <v>24</v>
      </c>
      <c r="N10" s="16">
        <v>28</v>
      </c>
      <c r="O10" s="17">
        <v>32</v>
      </c>
      <c r="Q10" s="125">
        <v>4</v>
      </c>
      <c r="R10" s="16">
        <v>31</v>
      </c>
      <c r="S10" s="16">
        <v>37</v>
      </c>
      <c r="T10" s="17">
        <v>40</v>
      </c>
      <c r="V10" s="134">
        <v>1.5</v>
      </c>
      <c r="W10" s="16">
        <v>23</v>
      </c>
      <c r="X10" s="16">
        <v>19</v>
      </c>
      <c r="Y10" s="17">
        <v>21</v>
      </c>
      <c r="AA10" s="136">
        <v>1.5</v>
      </c>
      <c r="AB10" s="13">
        <v>31</v>
      </c>
      <c r="AC10" s="13">
        <v>26</v>
      </c>
      <c r="AD10" s="14">
        <v>30</v>
      </c>
      <c r="AF10" s="1342" t="s">
        <v>276</v>
      </c>
      <c r="AG10" s="1343"/>
      <c r="AH10" s="1343"/>
      <c r="AI10" s="1343"/>
      <c r="AJ10" s="1343"/>
      <c r="AK10" s="1344"/>
      <c r="AM10" s="1342" t="s">
        <v>276</v>
      </c>
      <c r="AN10" s="1343"/>
      <c r="AO10" s="1343"/>
      <c r="AP10" s="1343"/>
      <c r="AQ10" s="1343"/>
      <c r="AR10" s="1344"/>
      <c r="AT10" s="117">
        <v>1.5</v>
      </c>
      <c r="AU10" s="16">
        <v>22</v>
      </c>
      <c r="AV10" s="16">
        <v>18.5</v>
      </c>
      <c r="AW10" s="16" t="s">
        <v>297</v>
      </c>
      <c r="AX10" s="16" t="s">
        <v>297</v>
      </c>
      <c r="AY10" s="16" t="s">
        <v>297</v>
      </c>
      <c r="AZ10" s="16" t="s">
        <v>297</v>
      </c>
      <c r="BA10" s="17" t="s">
        <v>297</v>
      </c>
      <c r="BC10" s="117">
        <v>2.5</v>
      </c>
      <c r="BD10" s="16">
        <v>23</v>
      </c>
      <c r="BE10" s="16">
        <v>19.5</v>
      </c>
      <c r="BF10" s="16" t="s">
        <v>297</v>
      </c>
      <c r="BG10" s="16" t="s">
        <v>297</v>
      </c>
      <c r="BH10" s="16" t="s">
        <v>297</v>
      </c>
      <c r="BI10" s="16" t="s">
        <v>297</v>
      </c>
      <c r="BJ10" s="17" t="s">
        <v>297</v>
      </c>
      <c r="BL10" s="125">
        <v>1.5</v>
      </c>
      <c r="BM10" s="16">
        <v>26</v>
      </c>
      <c r="BN10" s="16">
        <v>23</v>
      </c>
      <c r="BO10" s="16" t="s">
        <v>297</v>
      </c>
      <c r="BP10" s="16" t="s">
        <v>297</v>
      </c>
      <c r="BQ10" s="16" t="s">
        <v>297</v>
      </c>
      <c r="BR10" s="16" t="s">
        <v>297</v>
      </c>
      <c r="BS10" s="17" t="s">
        <v>297</v>
      </c>
      <c r="BU10" s="125">
        <v>2.5</v>
      </c>
      <c r="BV10" s="16">
        <v>28</v>
      </c>
      <c r="BW10" s="16">
        <v>24</v>
      </c>
      <c r="BX10" s="16" t="s">
        <v>297</v>
      </c>
      <c r="BY10" s="16" t="s">
        <v>297</v>
      </c>
      <c r="BZ10" s="16" t="s">
        <v>297</v>
      </c>
      <c r="CA10" s="16" t="s">
        <v>297</v>
      </c>
      <c r="CB10" s="17" t="s">
        <v>297</v>
      </c>
      <c r="CD10" s="117">
        <v>2.5</v>
      </c>
      <c r="CE10" s="16">
        <v>18.5</v>
      </c>
      <c r="CF10" s="16">
        <v>23</v>
      </c>
      <c r="CG10" s="16">
        <v>17.5</v>
      </c>
      <c r="CH10" s="17">
        <v>20</v>
      </c>
      <c r="CJ10" s="125">
        <v>2.5</v>
      </c>
      <c r="CK10" s="16">
        <v>25</v>
      </c>
      <c r="CL10" s="16">
        <v>30</v>
      </c>
      <c r="CM10" s="16">
        <v>22</v>
      </c>
      <c r="CN10" s="17">
        <v>26</v>
      </c>
      <c r="CP10" s="23">
        <v>2.5</v>
      </c>
      <c r="CQ10" s="16">
        <v>34</v>
      </c>
      <c r="CR10" s="16">
        <v>42</v>
      </c>
      <c r="CS10" s="16">
        <v>41</v>
      </c>
      <c r="CT10" s="17">
        <v>48</v>
      </c>
    </row>
    <row r="11" spans="2:98" x14ac:dyDescent="0.25">
      <c r="B11" s="117">
        <v>6</v>
      </c>
      <c r="C11" s="16">
        <v>34</v>
      </c>
      <c r="D11" s="16">
        <v>41</v>
      </c>
      <c r="E11" s="17">
        <v>46</v>
      </c>
      <c r="G11" s="125">
        <v>6</v>
      </c>
      <c r="H11" s="16">
        <v>45</v>
      </c>
      <c r="I11" s="16">
        <v>54</v>
      </c>
      <c r="J11" s="17">
        <v>58</v>
      </c>
      <c r="L11" s="117">
        <v>6</v>
      </c>
      <c r="M11" s="16">
        <v>31</v>
      </c>
      <c r="N11" s="16">
        <v>36</v>
      </c>
      <c r="O11" s="17">
        <v>41</v>
      </c>
      <c r="Q11" s="125">
        <v>6</v>
      </c>
      <c r="R11" s="16">
        <v>40</v>
      </c>
      <c r="S11" s="16">
        <v>48</v>
      </c>
      <c r="T11" s="17">
        <v>52</v>
      </c>
      <c r="V11" s="134">
        <v>2.5</v>
      </c>
      <c r="W11" s="16">
        <v>31</v>
      </c>
      <c r="X11" s="16">
        <v>26</v>
      </c>
      <c r="Y11" s="17">
        <v>29</v>
      </c>
      <c r="AA11" s="134">
        <v>2.5</v>
      </c>
      <c r="AB11" s="16">
        <v>42</v>
      </c>
      <c r="AC11" s="16">
        <v>35</v>
      </c>
      <c r="AD11" s="17">
        <v>41</v>
      </c>
      <c r="AF11" s="134">
        <v>1.5</v>
      </c>
      <c r="AG11" s="16">
        <v>25</v>
      </c>
      <c r="AH11" s="16">
        <v>21</v>
      </c>
      <c r="AI11" s="16">
        <v>23</v>
      </c>
      <c r="AJ11" s="16">
        <v>26</v>
      </c>
      <c r="AK11" s="17">
        <v>29</v>
      </c>
      <c r="AM11" s="136">
        <v>1.5</v>
      </c>
      <c r="AN11" s="13">
        <v>25</v>
      </c>
      <c r="AO11" s="13">
        <v>21</v>
      </c>
      <c r="AP11" s="13">
        <v>23</v>
      </c>
      <c r="AQ11" s="13">
        <v>26</v>
      </c>
      <c r="AR11" s="14">
        <v>29</v>
      </c>
      <c r="AT11" s="117">
        <v>2.5</v>
      </c>
      <c r="AU11" s="16">
        <v>30</v>
      </c>
      <c r="AV11" s="16">
        <v>25</v>
      </c>
      <c r="AW11" s="16" t="s">
        <v>297</v>
      </c>
      <c r="AX11" s="16" t="s">
        <v>297</v>
      </c>
      <c r="AY11" s="16" t="s">
        <v>297</v>
      </c>
      <c r="AZ11" s="16" t="s">
        <v>297</v>
      </c>
      <c r="BA11" s="17" t="s">
        <v>297</v>
      </c>
      <c r="BC11" s="117">
        <v>4</v>
      </c>
      <c r="BD11" s="16">
        <v>31</v>
      </c>
      <c r="BE11" s="16">
        <v>26</v>
      </c>
      <c r="BF11" s="16" t="s">
        <v>297</v>
      </c>
      <c r="BG11" s="16" t="s">
        <v>297</v>
      </c>
      <c r="BH11" s="16" t="s">
        <v>297</v>
      </c>
      <c r="BI11" s="16" t="s">
        <v>297</v>
      </c>
      <c r="BJ11" s="17" t="s">
        <v>297</v>
      </c>
      <c r="BL11" s="125">
        <v>2.5</v>
      </c>
      <c r="BM11" s="16">
        <v>36</v>
      </c>
      <c r="BN11" s="16">
        <v>32</v>
      </c>
      <c r="BO11" s="16" t="s">
        <v>297</v>
      </c>
      <c r="BP11" s="16" t="s">
        <v>297</v>
      </c>
      <c r="BQ11" s="16" t="s">
        <v>297</v>
      </c>
      <c r="BR11" s="16" t="s">
        <v>297</v>
      </c>
      <c r="BS11" s="17" t="s">
        <v>297</v>
      </c>
      <c r="BU11" s="125">
        <v>4</v>
      </c>
      <c r="BV11" s="16">
        <v>38</v>
      </c>
      <c r="BW11" s="16">
        <v>32</v>
      </c>
      <c r="BX11" s="16" t="s">
        <v>297</v>
      </c>
      <c r="BY11" s="16" t="s">
        <v>297</v>
      </c>
      <c r="BZ11" s="16" t="s">
        <v>297</v>
      </c>
      <c r="CA11" s="16" t="s">
        <v>297</v>
      </c>
      <c r="CB11" s="17" t="s">
        <v>297</v>
      </c>
      <c r="CD11" s="117">
        <v>4</v>
      </c>
      <c r="CE11" s="16">
        <v>25</v>
      </c>
      <c r="CF11" s="16">
        <v>30</v>
      </c>
      <c r="CG11" s="16">
        <v>23</v>
      </c>
      <c r="CH11" s="17">
        <v>27</v>
      </c>
      <c r="CJ11" s="125">
        <v>4</v>
      </c>
      <c r="CK11" s="16">
        <v>33</v>
      </c>
      <c r="CL11" s="16">
        <v>40</v>
      </c>
      <c r="CM11" s="16">
        <v>30</v>
      </c>
      <c r="CN11" s="17">
        <v>35</v>
      </c>
      <c r="CP11" s="23">
        <v>4</v>
      </c>
      <c r="CQ11" s="16">
        <v>44</v>
      </c>
      <c r="CR11" s="16">
        <v>54</v>
      </c>
      <c r="CS11" s="16">
        <v>53</v>
      </c>
      <c r="CT11" s="17">
        <v>63</v>
      </c>
    </row>
    <row r="12" spans="2:98" ht="15.75" thickBot="1" x14ac:dyDescent="0.3">
      <c r="B12" s="117">
        <v>10</v>
      </c>
      <c r="C12" s="16">
        <v>46</v>
      </c>
      <c r="D12" s="16">
        <v>57</v>
      </c>
      <c r="E12" s="17">
        <v>63</v>
      </c>
      <c r="G12" s="125">
        <v>10</v>
      </c>
      <c r="H12" s="16">
        <v>61</v>
      </c>
      <c r="I12" s="16">
        <v>75</v>
      </c>
      <c r="J12" s="17">
        <v>80</v>
      </c>
      <c r="L12" s="117">
        <v>10</v>
      </c>
      <c r="M12" s="16">
        <v>42</v>
      </c>
      <c r="N12" s="16">
        <v>50</v>
      </c>
      <c r="O12" s="17">
        <v>57</v>
      </c>
      <c r="Q12" s="125">
        <v>10</v>
      </c>
      <c r="R12" s="16">
        <v>54</v>
      </c>
      <c r="S12" s="16">
        <v>66</v>
      </c>
      <c r="T12" s="17">
        <v>71</v>
      </c>
      <c r="V12" s="134">
        <v>4</v>
      </c>
      <c r="W12" s="16">
        <v>40</v>
      </c>
      <c r="X12" s="16">
        <v>35</v>
      </c>
      <c r="Y12" s="17">
        <v>38</v>
      </c>
      <c r="AA12" s="134">
        <v>4</v>
      </c>
      <c r="AB12" s="16">
        <v>55</v>
      </c>
      <c r="AC12" s="16">
        <v>47</v>
      </c>
      <c r="AD12" s="17">
        <v>53</v>
      </c>
      <c r="AF12" s="134">
        <v>2.5</v>
      </c>
      <c r="AG12" s="16">
        <v>33</v>
      </c>
      <c r="AH12" s="16">
        <v>28</v>
      </c>
      <c r="AI12" s="16">
        <v>31</v>
      </c>
      <c r="AJ12" s="16">
        <v>34</v>
      </c>
      <c r="AK12" s="17">
        <v>39</v>
      </c>
      <c r="AM12" s="134">
        <v>2.5</v>
      </c>
      <c r="AN12" s="16">
        <v>33</v>
      </c>
      <c r="AO12" s="16">
        <v>28</v>
      </c>
      <c r="AP12" s="16">
        <v>31</v>
      </c>
      <c r="AQ12" s="16">
        <v>34</v>
      </c>
      <c r="AR12" s="17">
        <v>39</v>
      </c>
      <c r="AT12" s="117">
        <v>4</v>
      </c>
      <c r="AU12" s="16">
        <v>40</v>
      </c>
      <c r="AV12" s="16">
        <v>34</v>
      </c>
      <c r="AW12" s="16" t="s">
        <v>297</v>
      </c>
      <c r="AX12" s="16" t="s">
        <v>297</v>
      </c>
      <c r="AY12" s="16" t="s">
        <v>297</v>
      </c>
      <c r="AZ12" s="16" t="s">
        <v>297</v>
      </c>
      <c r="BA12" s="17" t="s">
        <v>297</v>
      </c>
      <c r="BC12" s="117">
        <v>6</v>
      </c>
      <c r="BD12" s="16">
        <v>39</v>
      </c>
      <c r="BE12" s="16">
        <v>33</v>
      </c>
      <c r="BF12" s="16" t="s">
        <v>297</v>
      </c>
      <c r="BG12" s="16" t="s">
        <v>297</v>
      </c>
      <c r="BH12" s="16" t="s">
        <v>297</v>
      </c>
      <c r="BI12" s="16" t="s">
        <v>297</v>
      </c>
      <c r="BJ12" s="17" t="s">
        <v>297</v>
      </c>
      <c r="BL12" s="125">
        <v>4</v>
      </c>
      <c r="BM12" s="16">
        <v>49</v>
      </c>
      <c r="BN12" s="16">
        <v>42</v>
      </c>
      <c r="BO12" s="16" t="s">
        <v>297</v>
      </c>
      <c r="BP12" s="16" t="s">
        <v>297</v>
      </c>
      <c r="BQ12" s="16" t="s">
        <v>297</v>
      </c>
      <c r="BR12" s="16" t="s">
        <v>297</v>
      </c>
      <c r="BS12" s="17" t="s">
        <v>297</v>
      </c>
      <c r="BU12" s="125">
        <v>6</v>
      </c>
      <c r="BV12" s="16">
        <v>49</v>
      </c>
      <c r="BW12" s="16">
        <v>42</v>
      </c>
      <c r="BX12" s="16" t="s">
        <v>297</v>
      </c>
      <c r="BY12" s="16" t="s">
        <v>297</v>
      </c>
      <c r="BZ12" s="16" t="s">
        <v>297</v>
      </c>
      <c r="CA12" s="16" t="s">
        <v>297</v>
      </c>
      <c r="CB12" s="17" t="s">
        <v>297</v>
      </c>
      <c r="CD12" s="117">
        <v>6</v>
      </c>
      <c r="CE12" s="16">
        <v>32</v>
      </c>
      <c r="CF12" s="16">
        <v>38</v>
      </c>
      <c r="CG12" s="16">
        <v>29</v>
      </c>
      <c r="CH12" s="17">
        <v>34</v>
      </c>
      <c r="CJ12" s="125">
        <v>6</v>
      </c>
      <c r="CK12" s="16">
        <v>42</v>
      </c>
      <c r="CL12" s="16">
        <v>51</v>
      </c>
      <c r="CM12" s="16">
        <v>38</v>
      </c>
      <c r="CN12" s="17">
        <v>44</v>
      </c>
      <c r="CP12" s="23">
        <v>6</v>
      </c>
      <c r="CQ12" s="16">
        <v>56</v>
      </c>
      <c r="CR12" s="16">
        <v>67</v>
      </c>
      <c r="CS12" s="16">
        <v>66</v>
      </c>
      <c r="CT12" s="17">
        <v>80</v>
      </c>
    </row>
    <row r="13" spans="2:98" ht="15.75" thickBot="1" x14ac:dyDescent="0.3">
      <c r="B13" s="117">
        <v>16</v>
      </c>
      <c r="C13" s="16">
        <v>61</v>
      </c>
      <c r="D13" s="16">
        <v>76</v>
      </c>
      <c r="E13" s="17">
        <v>85</v>
      </c>
      <c r="G13" s="125">
        <v>16</v>
      </c>
      <c r="H13" s="16">
        <v>81</v>
      </c>
      <c r="I13" s="16">
        <v>100</v>
      </c>
      <c r="J13" s="17">
        <v>107</v>
      </c>
      <c r="L13" s="117">
        <v>16</v>
      </c>
      <c r="M13" s="16">
        <v>56</v>
      </c>
      <c r="N13" s="16">
        <v>68</v>
      </c>
      <c r="O13" s="17">
        <v>76</v>
      </c>
      <c r="Q13" s="125">
        <v>16</v>
      </c>
      <c r="R13" s="16">
        <v>73</v>
      </c>
      <c r="S13" s="16">
        <v>88</v>
      </c>
      <c r="T13" s="17">
        <v>96</v>
      </c>
      <c r="V13" s="1342" t="s">
        <v>277</v>
      </c>
      <c r="W13" s="1343"/>
      <c r="X13" s="1343"/>
      <c r="Y13" s="1344"/>
      <c r="AA13" s="134">
        <v>6</v>
      </c>
      <c r="AB13" s="16">
        <v>70</v>
      </c>
      <c r="AC13" s="16">
        <v>59</v>
      </c>
      <c r="AD13" s="17">
        <v>67</v>
      </c>
      <c r="AF13" s="134">
        <v>4</v>
      </c>
      <c r="AG13" s="16">
        <v>44</v>
      </c>
      <c r="AH13" s="16">
        <v>37</v>
      </c>
      <c r="AI13" s="16">
        <v>41</v>
      </c>
      <c r="AJ13" s="16">
        <v>45</v>
      </c>
      <c r="AK13" s="17">
        <v>51</v>
      </c>
      <c r="AM13" s="134">
        <v>4</v>
      </c>
      <c r="AN13" s="16">
        <v>44</v>
      </c>
      <c r="AO13" s="16">
        <v>37</v>
      </c>
      <c r="AP13" s="16">
        <v>41</v>
      </c>
      <c r="AQ13" s="16">
        <v>45</v>
      </c>
      <c r="AR13" s="17">
        <v>51</v>
      </c>
      <c r="AT13" s="117">
        <v>6</v>
      </c>
      <c r="AU13" s="16">
        <v>51</v>
      </c>
      <c r="AV13" s="16">
        <v>43</v>
      </c>
      <c r="AW13" s="16" t="s">
        <v>297</v>
      </c>
      <c r="AX13" s="16" t="s">
        <v>297</v>
      </c>
      <c r="AY13" s="16" t="s">
        <v>297</v>
      </c>
      <c r="AZ13" s="16" t="s">
        <v>297</v>
      </c>
      <c r="BA13" s="17" t="s">
        <v>297</v>
      </c>
      <c r="BC13" s="117">
        <v>10</v>
      </c>
      <c r="BD13" s="16">
        <v>54</v>
      </c>
      <c r="BE13" s="16">
        <v>46</v>
      </c>
      <c r="BF13" s="16" t="s">
        <v>297</v>
      </c>
      <c r="BG13" s="16" t="s">
        <v>297</v>
      </c>
      <c r="BH13" s="16" t="s">
        <v>297</v>
      </c>
      <c r="BI13" s="16" t="s">
        <v>297</v>
      </c>
      <c r="BJ13" s="17" t="s">
        <v>297</v>
      </c>
      <c r="BL13" s="125">
        <v>6</v>
      </c>
      <c r="BM13" s="16">
        <v>63</v>
      </c>
      <c r="BN13" s="16">
        <v>54</v>
      </c>
      <c r="BO13" s="16" t="s">
        <v>297</v>
      </c>
      <c r="BP13" s="16" t="s">
        <v>297</v>
      </c>
      <c r="BQ13" s="16" t="s">
        <v>297</v>
      </c>
      <c r="BR13" s="16" t="s">
        <v>297</v>
      </c>
      <c r="BS13" s="17" t="s">
        <v>297</v>
      </c>
      <c r="BU13" s="125">
        <v>10</v>
      </c>
      <c r="BV13" s="16">
        <v>67</v>
      </c>
      <c r="BW13" s="16">
        <v>58</v>
      </c>
      <c r="BX13" s="16" t="s">
        <v>297</v>
      </c>
      <c r="BY13" s="16" t="s">
        <v>297</v>
      </c>
      <c r="BZ13" s="16" t="s">
        <v>297</v>
      </c>
      <c r="CA13" s="16" t="s">
        <v>297</v>
      </c>
      <c r="CB13" s="17" t="s">
        <v>297</v>
      </c>
      <c r="CD13" s="117">
        <v>10</v>
      </c>
      <c r="CE13" s="16">
        <v>43</v>
      </c>
      <c r="CF13" s="16">
        <v>52</v>
      </c>
      <c r="CG13" s="16">
        <v>39</v>
      </c>
      <c r="CH13" s="17">
        <v>46</v>
      </c>
      <c r="CJ13" s="125">
        <v>10</v>
      </c>
      <c r="CK13" s="16">
        <v>57</v>
      </c>
      <c r="CL13" s="16">
        <v>69</v>
      </c>
      <c r="CM13" s="16">
        <v>51</v>
      </c>
      <c r="CN13" s="17">
        <v>60</v>
      </c>
      <c r="CP13" s="23">
        <v>10</v>
      </c>
      <c r="CQ13" s="16">
        <v>74</v>
      </c>
      <c r="CR13" s="16">
        <v>90</v>
      </c>
      <c r="CS13" s="16">
        <v>87</v>
      </c>
      <c r="CT13" s="17">
        <v>104</v>
      </c>
    </row>
    <row r="14" spans="2:98" ht="15.75" thickBot="1" x14ac:dyDescent="0.3">
      <c r="B14" s="117">
        <v>25</v>
      </c>
      <c r="C14" s="16">
        <v>80</v>
      </c>
      <c r="D14" s="16">
        <v>101</v>
      </c>
      <c r="E14" s="17">
        <v>112</v>
      </c>
      <c r="G14" s="125">
        <v>25</v>
      </c>
      <c r="H14" s="16">
        <v>106</v>
      </c>
      <c r="I14" s="16">
        <v>133</v>
      </c>
      <c r="J14" s="17">
        <v>138</v>
      </c>
      <c r="L14" s="117">
        <v>25</v>
      </c>
      <c r="M14" s="16">
        <v>73</v>
      </c>
      <c r="N14" s="16">
        <v>89</v>
      </c>
      <c r="O14" s="17">
        <v>96</v>
      </c>
      <c r="Q14" s="125">
        <v>25</v>
      </c>
      <c r="R14" s="16">
        <v>95</v>
      </c>
      <c r="S14" s="16">
        <v>117</v>
      </c>
      <c r="T14" s="17">
        <v>119</v>
      </c>
      <c r="V14" s="134">
        <v>1.5</v>
      </c>
      <c r="W14" s="16">
        <v>25</v>
      </c>
      <c r="X14" s="16">
        <v>21</v>
      </c>
      <c r="Y14" s="17">
        <v>23</v>
      </c>
      <c r="AA14" s="134">
        <v>10</v>
      </c>
      <c r="AB14" s="16">
        <v>96</v>
      </c>
      <c r="AC14" s="16">
        <v>81</v>
      </c>
      <c r="AD14" s="17">
        <v>91</v>
      </c>
      <c r="AF14" s="1342" t="s">
        <v>277</v>
      </c>
      <c r="AG14" s="1343"/>
      <c r="AH14" s="1343"/>
      <c r="AI14" s="1343"/>
      <c r="AJ14" s="1343"/>
      <c r="AK14" s="1344"/>
      <c r="AM14" s="1342" t="s">
        <v>277</v>
      </c>
      <c r="AN14" s="1343"/>
      <c r="AO14" s="1343"/>
      <c r="AP14" s="1343"/>
      <c r="AQ14" s="1343"/>
      <c r="AR14" s="1344"/>
      <c r="AT14" s="117">
        <v>10</v>
      </c>
      <c r="AU14" s="16">
        <v>70</v>
      </c>
      <c r="AV14" s="16">
        <v>60</v>
      </c>
      <c r="AW14" s="16" t="s">
        <v>297</v>
      </c>
      <c r="AX14" s="16" t="s">
        <v>297</v>
      </c>
      <c r="AY14" s="16" t="s">
        <v>297</v>
      </c>
      <c r="AZ14" s="16" t="s">
        <v>297</v>
      </c>
      <c r="BA14" s="17" t="s">
        <v>297</v>
      </c>
      <c r="BC14" s="117">
        <v>16</v>
      </c>
      <c r="BD14" s="16">
        <v>73</v>
      </c>
      <c r="BE14" s="16">
        <v>61</v>
      </c>
      <c r="BF14" s="16" t="s">
        <v>297</v>
      </c>
      <c r="BG14" s="16" t="s">
        <v>297</v>
      </c>
      <c r="BH14" s="16" t="s">
        <v>297</v>
      </c>
      <c r="BI14" s="16" t="s">
        <v>297</v>
      </c>
      <c r="BJ14" s="17" t="s">
        <v>297</v>
      </c>
      <c r="BL14" s="125">
        <v>10</v>
      </c>
      <c r="BM14" s="16">
        <v>86</v>
      </c>
      <c r="BN14" s="16">
        <v>75</v>
      </c>
      <c r="BO14" s="16" t="s">
        <v>297</v>
      </c>
      <c r="BP14" s="16" t="s">
        <v>297</v>
      </c>
      <c r="BQ14" s="16" t="s">
        <v>297</v>
      </c>
      <c r="BR14" s="16" t="s">
        <v>297</v>
      </c>
      <c r="BS14" s="17" t="s">
        <v>297</v>
      </c>
      <c r="BU14" s="125">
        <v>16</v>
      </c>
      <c r="BV14" s="16">
        <v>91</v>
      </c>
      <c r="BW14" s="16">
        <v>77</v>
      </c>
      <c r="BX14" s="16" t="s">
        <v>297</v>
      </c>
      <c r="BY14" s="16" t="s">
        <v>297</v>
      </c>
      <c r="BZ14" s="16" t="s">
        <v>297</v>
      </c>
      <c r="CA14" s="16" t="s">
        <v>297</v>
      </c>
      <c r="CB14" s="17" t="s">
        <v>297</v>
      </c>
      <c r="CD14" s="117">
        <v>16</v>
      </c>
      <c r="CE14" s="16">
        <v>57</v>
      </c>
      <c r="CF14" s="16">
        <v>69</v>
      </c>
      <c r="CG14" s="16">
        <v>52</v>
      </c>
      <c r="CH14" s="17">
        <v>62</v>
      </c>
      <c r="CJ14" s="125">
        <v>16</v>
      </c>
      <c r="CK14" s="16">
        <v>76</v>
      </c>
      <c r="CL14" s="16">
        <v>91</v>
      </c>
      <c r="CM14" s="16">
        <v>68</v>
      </c>
      <c r="CN14" s="17">
        <v>80</v>
      </c>
      <c r="CP14" s="23">
        <v>16</v>
      </c>
      <c r="CQ14" s="16">
        <v>96</v>
      </c>
      <c r="CR14" s="16">
        <v>116</v>
      </c>
      <c r="CS14" s="16">
        <v>113</v>
      </c>
      <c r="CT14" s="17">
        <v>136</v>
      </c>
    </row>
    <row r="15" spans="2:98" x14ac:dyDescent="0.25">
      <c r="B15" s="117">
        <v>35</v>
      </c>
      <c r="C15" s="16">
        <v>99</v>
      </c>
      <c r="D15" s="16">
        <v>125</v>
      </c>
      <c r="E15" s="17">
        <v>138</v>
      </c>
      <c r="G15" s="125">
        <v>35</v>
      </c>
      <c r="H15" s="16">
        <v>131</v>
      </c>
      <c r="I15" s="16">
        <v>164</v>
      </c>
      <c r="J15" s="17">
        <v>171</v>
      </c>
      <c r="L15" s="117">
        <v>35</v>
      </c>
      <c r="M15" s="16">
        <v>89</v>
      </c>
      <c r="N15" s="16">
        <v>110</v>
      </c>
      <c r="O15" s="17">
        <v>119</v>
      </c>
      <c r="Q15" s="125">
        <v>35</v>
      </c>
      <c r="R15" s="16">
        <v>117</v>
      </c>
      <c r="S15" s="16">
        <v>144</v>
      </c>
      <c r="T15" s="17">
        <v>147</v>
      </c>
      <c r="V15" s="134">
        <v>2.5</v>
      </c>
      <c r="W15" s="16">
        <v>34</v>
      </c>
      <c r="X15" s="16">
        <v>28</v>
      </c>
      <c r="Y15" s="17">
        <v>31</v>
      </c>
      <c r="AA15" s="134">
        <v>16</v>
      </c>
      <c r="AB15" s="16">
        <v>127</v>
      </c>
      <c r="AC15" s="16">
        <v>107</v>
      </c>
      <c r="AD15" s="17">
        <v>119</v>
      </c>
      <c r="AF15" s="134">
        <v>1.5</v>
      </c>
      <c r="AG15" s="16">
        <v>26</v>
      </c>
      <c r="AH15" s="16">
        <v>22</v>
      </c>
      <c r="AI15" s="16">
        <v>26</v>
      </c>
      <c r="AJ15" s="16">
        <v>28</v>
      </c>
      <c r="AK15" s="17">
        <v>32</v>
      </c>
      <c r="AM15" s="134">
        <v>1.5</v>
      </c>
      <c r="AN15" s="16">
        <v>26</v>
      </c>
      <c r="AO15" s="16">
        <v>22</v>
      </c>
      <c r="AP15" s="16">
        <v>26</v>
      </c>
      <c r="AQ15" s="16">
        <v>28</v>
      </c>
      <c r="AR15" s="17">
        <v>32</v>
      </c>
      <c r="AT15" s="117">
        <v>16</v>
      </c>
      <c r="AU15" s="16">
        <v>94</v>
      </c>
      <c r="AV15" s="16">
        <v>80</v>
      </c>
      <c r="AW15" s="16" t="s">
        <v>297</v>
      </c>
      <c r="AX15" s="16" t="s">
        <v>297</v>
      </c>
      <c r="AY15" s="16" t="s">
        <v>297</v>
      </c>
      <c r="AZ15" s="16" t="s">
        <v>297</v>
      </c>
      <c r="BA15" s="17" t="s">
        <v>297</v>
      </c>
      <c r="BC15" s="117">
        <v>25</v>
      </c>
      <c r="BD15" s="16">
        <v>89</v>
      </c>
      <c r="BE15" s="16">
        <v>78</v>
      </c>
      <c r="BF15" s="16">
        <v>98</v>
      </c>
      <c r="BG15" s="16">
        <v>84</v>
      </c>
      <c r="BH15" s="16">
        <v>87</v>
      </c>
      <c r="BI15" s="16">
        <v>112</v>
      </c>
      <c r="BJ15" s="17">
        <v>99</v>
      </c>
      <c r="BL15" s="125">
        <v>16</v>
      </c>
      <c r="BM15" s="16">
        <v>115</v>
      </c>
      <c r="BN15" s="16">
        <v>100</v>
      </c>
      <c r="BO15" s="16" t="s">
        <v>297</v>
      </c>
      <c r="BP15" s="16" t="s">
        <v>297</v>
      </c>
      <c r="BQ15" s="16" t="s">
        <v>297</v>
      </c>
      <c r="BR15" s="16" t="s">
        <v>297</v>
      </c>
      <c r="BS15" s="17" t="s">
        <v>297</v>
      </c>
      <c r="BU15" s="125">
        <v>25</v>
      </c>
      <c r="BV15" s="16">
        <v>108</v>
      </c>
      <c r="BW15" s="16">
        <v>97</v>
      </c>
      <c r="BX15" s="16">
        <v>121</v>
      </c>
      <c r="BY15" s="16">
        <v>103</v>
      </c>
      <c r="BZ15" s="16">
        <v>107</v>
      </c>
      <c r="CA15" s="16">
        <v>138</v>
      </c>
      <c r="CB15" s="17">
        <v>122</v>
      </c>
      <c r="CD15" s="117">
        <v>25</v>
      </c>
      <c r="CE15" s="16">
        <v>75</v>
      </c>
      <c r="CF15" s="16">
        <v>90</v>
      </c>
      <c r="CG15" s="16">
        <v>68</v>
      </c>
      <c r="CH15" s="17">
        <v>80</v>
      </c>
      <c r="CJ15" s="125">
        <v>25</v>
      </c>
      <c r="CK15" s="16">
        <v>99</v>
      </c>
      <c r="CL15" s="16">
        <v>119</v>
      </c>
      <c r="CM15" s="16">
        <v>89</v>
      </c>
      <c r="CN15" s="17">
        <v>105</v>
      </c>
      <c r="CP15" s="23">
        <v>25</v>
      </c>
      <c r="CQ15" s="16">
        <v>123</v>
      </c>
      <c r="CR15" s="16">
        <v>148</v>
      </c>
      <c r="CS15" s="16">
        <v>144</v>
      </c>
      <c r="CT15" s="17">
        <v>173</v>
      </c>
    </row>
    <row r="16" spans="2:98" x14ac:dyDescent="0.25">
      <c r="B16" s="117">
        <v>50</v>
      </c>
      <c r="C16" s="16">
        <v>119</v>
      </c>
      <c r="D16" s="16">
        <v>151</v>
      </c>
      <c r="E16" s="17">
        <v>168</v>
      </c>
      <c r="G16" s="125">
        <v>50</v>
      </c>
      <c r="H16" s="16">
        <v>158</v>
      </c>
      <c r="I16" s="16">
        <v>198</v>
      </c>
      <c r="J16" s="17">
        <v>209</v>
      </c>
      <c r="L16" s="117">
        <v>50</v>
      </c>
      <c r="M16" s="16">
        <v>108</v>
      </c>
      <c r="N16" s="16">
        <v>134</v>
      </c>
      <c r="O16" s="17">
        <v>144</v>
      </c>
      <c r="Q16" s="125">
        <v>50</v>
      </c>
      <c r="R16" s="16">
        <v>141</v>
      </c>
      <c r="S16" s="16">
        <v>175</v>
      </c>
      <c r="T16" s="17">
        <v>179</v>
      </c>
      <c r="V16" s="134">
        <v>4</v>
      </c>
      <c r="W16" s="16">
        <v>45</v>
      </c>
      <c r="X16" s="16">
        <v>37</v>
      </c>
      <c r="Y16" s="17">
        <v>41</v>
      </c>
      <c r="AA16" s="134">
        <v>25</v>
      </c>
      <c r="AB16" s="16">
        <v>166</v>
      </c>
      <c r="AC16" s="16">
        <v>140</v>
      </c>
      <c r="AD16" s="17">
        <v>154</v>
      </c>
      <c r="AF16" s="134">
        <v>2.5</v>
      </c>
      <c r="AG16" s="16">
        <v>36</v>
      </c>
      <c r="AH16" s="16">
        <v>30</v>
      </c>
      <c r="AI16" s="16">
        <v>34</v>
      </c>
      <c r="AJ16" s="16">
        <v>37</v>
      </c>
      <c r="AK16" s="17">
        <v>43</v>
      </c>
      <c r="AM16" s="134">
        <v>2.5</v>
      </c>
      <c r="AN16" s="16">
        <v>36</v>
      </c>
      <c r="AO16" s="16">
        <v>30</v>
      </c>
      <c r="AP16" s="16">
        <v>34</v>
      </c>
      <c r="AQ16" s="16">
        <v>37</v>
      </c>
      <c r="AR16" s="17">
        <v>43</v>
      </c>
      <c r="AT16" s="117">
        <v>25</v>
      </c>
      <c r="AU16" s="16">
        <v>119</v>
      </c>
      <c r="AV16" s="16">
        <v>101</v>
      </c>
      <c r="AW16" s="16">
        <v>131</v>
      </c>
      <c r="AX16" s="16">
        <v>110</v>
      </c>
      <c r="AY16" s="16">
        <v>114</v>
      </c>
      <c r="AZ16" s="16">
        <v>146</v>
      </c>
      <c r="BA16" s="17">
        <v>130</v>
      </c>
      <c r="BC16" s="117">
        <v>35</v>
      </c>
      <c r="BD16" s="16">
        <v>111</v>
      </c>
      <c r="BE16" s="16">
        <v>96</v>
      </c>
      <c r="BF16" s="16">
        <v>122</v>
      </c>
      <c r="BG16" s="16">
        <v>105</v>
      </c>
      <c r="BH16" s="16">
        <v>109</v>
      </c>
      <c r="BI16" s="16">
        <v>139</v>
      </c>
      <c r="BJ16" s="17">
        <v>124</v>
      </c>
      <c r="BL16" s="125">
        <v>25</v>
      </c>
      <c r="BM16" s="16">
        <v>149</v>
      </c>
      <c r="BN16" s="16">
        <v>127</v>
      </c>
      <c r="BO16" s="16">
        <v>161</v>
      </c>
      <c r="BP16" s="16">
        <v>135</v>
      </c>
      <c r="BQ16" s="16">
        <v>141</v>
      </c>
      <c r="BR16" s="16">
        <v>182</v>
      </c>
      <c r="BS16" s="17">
        <v>161</v>
      </c>
      <c r="BU16" s="125">
        <v>35</v>
      </c>
      <c r="BV16" s="16">
        <v>135</v>
      </c>
      <c r="BW16" s="16">
        <v>120</v>
      </c>
      <c r="BX16" s="16">
        <v>150</v>
      </c>
      <c r="BY16" s="16">
        <v>129</v>
      </c>
      <c r="BZ16" s="16">
        <v>135</v>
      </c>
      <c r="CA16" s="16">
        <v>172</v>
      </c>
      <c r="CB16" s="17">
        <v>153</v>
      </c>
      <c r="CD16" s="117">
        <v>35</v>
      </c>
      <c r="CE16" s="16">
        <v>92</v>
      </c>
      <c r="CF16" s="16">
        <v>111</v>
      </c>
      <c r="CG16" s="16">
        <v>83</v>
      </c>
      <c r="CH16" s="17">
        <v>99</v>
      </c>
      <c r="CJ16" s="125">
        <v>35</v>
      </c>
      <c r="CK16" s="16">
        <v>121</v>
      </c>
      <c r="CL16" s="16">
        <v>146</v>
      </c>
      <c r="CM16" s="16">
        <v>109</v>
      </c>
      <c r="CN16" s="17">
        <v>128</v>
      </c>
      <c r="CP16" s="23">
        <v>35</v>
      </c>
      <c r="CQ16" s="16">
        <v>147</v>
      </c>
      <c r="CR16" s="16">
        <v>178</v>
      </c>
      <c r="CS16" s="16">
        <v>174</v>
      </c>
      <c r="CT16" s="17">
        <v>208</v>
      </c>
    </row>
    <row r="17" spans="2:98" x14ac:dyDescent="0.25">
      <c r="B17" s="117">
        <v>70</v>
      </c>
      <c r="C17" s="16">
        <v>151</v>
      </c>
      <c r="D17" s="16">
        <v>192</v>
      </c>
      <c r="E17" s="17">
        <v>213</v>
      </c>
      <c r="G17" s="125">
        <v>70</v>
      </c>
      <c r="H17" s="16">
        <v>200</v>
      </c>
      <c r="I17" s="16">
        <v>253</v>
      </c>
      <c r="J17" s="17">
        <v>269</v>
      </c>
      <c r="L17" s="117">
        <v>70</v>
      </c>
      <c r="M17" s="16">
        <v>136</v>
      </c>
      <c r="N17" s="16">
        <v>171</v>
      </c>
      <c r="O17" s="17">
        <v>184</v>
      </c>
      <c r="Q17" s="125">
        <v>70</v>
      </c>
      <c r="R17" s="16">
        <v>179</v>
      </c>
      <c r="S17" s="16">
        <v>222</v>
      </c>
      <c r="T17" s="17">
        <v>229</v>
      </c>
      <c r="V17" s="134">
        <v>6</v>
      </c>
      <c r="W17" s="16">
        <v>57</v>
      </c>
      <c r="X17" s="16">
        <v>48</v>
      </c>
      <c r="Y17" s="17">
        <v>52</v>
      </c>
      <c r="AA17" s="134">
        <v>35</v>
      </c>
      <c r="AB17" s="16">
        <v>203</v>
      </c>
      <c r="AC17" s="16">
        <v>171</v>
      </c>
      <c r="AD17" s="17">
        <v>187</v>
      </c>
      <c r="AF17" s="134">
        <v>4</v>
      </c>
      <c r="AG17" s="16">
        <v>47</v>
      </c>
      <c r="AH17" s="16">
        <v>40</v>
      </c>
      <c r="AI17" s="16">
        <v>45</v>
      </c>
      <c r="AJ17" s="16">
        <v>49</v>
      </c>
      <c r="AK17" s="17">
        <v>56</v>
      </c>
      <c r="AM17" s="134">
        <v>4</v>
      </c>
      <c r="AN17" s="16">
        <v>47</v>
      </c>
      <c r="AO17" s="16">
        <v>40</v>
      </c>
      <c r="AP17" s="16">
        <v>45</v>
      </c>
      <c r="AQ17" s="16">
        <v>49</v>
      </c>
      <c r="AR17" s="17">
        <v>56</v>
      </c>
      <c r="AT17" s="117">
        <v>35</v>
      </c>
      <c r="AU17" s="16">
        <v>148</v>
      </c>
      <c r="AV17" s="16">
        <v>126</v>
      </c>
      <c r="AW17" s="16">
        <v>162</v>
      </c>
      <c r="AX17" s="16">
        <v>137</v>
      </c>
      <c r="AY17" s="16">
        <v>143</v>
      </c>
      <c r="AZ17" s="16">
        <v>181</v>
      </c>
      <c r="BA17" s="17">
        <v>162</v>
      </c>
      <c r="BC17" s="117">
        <v>50</v>
      </c>
      <c r="BD17" s="16">
        <v>135</v>
      </c>
      <c r="BE17" s="16">
        <v>117</v>
      </c>
      <c r="BF17" s="16">
        <v>149</v>
      </c>
      <c r="BG17" s="16">
        <v>128</v>
      </c>
      <c r="BH17" s="16">
        <v>133</v>
      </c>
      <c r="BI17" s="16">
        <v>169</v>
      </c>
      <c r="BJ17" s="17">
        <v>152</v>
      </c>
      <c r="BL17" s="125">
        <v>35</v>
      </c>
      <c r="BM17" s="16">
        <v>185</v>
      </c>
      <c r="BN17" s="16">
        <v>158</v>
      </c>
      <c r="BO17" s="16">
        <v>200</v>
      </c>
      <c r="BP17" s="16">
        <v>169</v>
      </c>
      <c r="BQ17" s="16">
        <v>176</v>
      </c>
      <c r="BR17" s="16">
        <v>226</v>
      </c>
      <c r="BS17" s="17">
        <v>201</v>
      </c>
      <c r="BU17" s="125">
        <v>50</v>
      </c>
      <c r="BV17" s="16">
        <v>164</v>
      </c>
      <c r="BW17" s="16">
        <v>146</v>
      </c>
      <c r="BX17" s="16">
        <v>184</v>
      </c>
      <c r="BY17" s="16">
        <v>159</v>
      </c>
      <c r="BZ17" s="16">
        <v>165</v>
      </c>
      <c r="CA17" s="16">
        <v>210</v>
      </c>
      <c r="CB17" s="17">
        <v>188</v>
      </c>
      <c r="CD17" s="117">
        <v>50</v>
      </c>
      <c r="CE17" s="16">
        <v>110</v>
      </c>
      <c r="CF17" s="16">
        <v>133</v>
      </c>
      <c r="CG17" s="16">
        <v>99</v>
      </c>
      <c r="CH17" s="17">
        <v>118</v>
      </c>
      <c r="CJ17" s="125">
        <v>50</v>
      </c>
      <c r="CK17" s="16">
        <v>145</v>
      </c>
      <c r="CL17" s="16">
        <v>175</v>
      </c>
      <c r="CM17" s="16">
        <v>130</v>
      </c>
      <c r="CN17" s="17">
        <v>154</v>
      </c>
      <c r="CP17" s="23">
        <v>50</v>
      </c>
      <c r="CQ17" s="16">
        <v>174</v>
      </c>
      <c r="CR17" s="16">
        <v>211</v>
      </c>
      <c r="CS17" s="16">
        <v>206</v>
      </c>
      <c r="CT17" s="17">
        <v>247</v>
      </c>
    </row>
    <row r="18" spans="2:98" x14ac:dyDescent="0.25">
      <c r="B18" s="117">
        <v>95</v>
      </c>
      <c r="C18" s="16">
        <v>182</v>
      </c>
      <c r="D18" s="16">
        <v>232</v>
      </c>
      <c r="E18" s="17">
        <v>258</v>
      </c>
      <c r="G18" s="125">
        <v>95</v>
      </c>
      <c r="H18" s="16">
        <v>241</v>
      </c>
      <c r="I18" s="16">
        <v>306</v>
      </c>
      <c r="J18" s="17">
        <v>328</v>
      </c>
      <c r="L18" s="117">
        <v>95</v>
      </c>
      <c r="M18" s="16">
        <v>164</v>
      </c>
      <c r="N18" s="16">
        <v>207</v>
      </c>
      <c r="O18" s="17">
        <v>223</v>
      </c>
      <c r="Q18" s="125">
        <v>95</v>
      </c>
      <c r="R18" s="16">
        <v>216</v>
      </c>
      <c r="S18" s="16">
        <v>269</v>
      </c>
      <c r="T18" s="17">
        <v>278</v>
      </c>
      <c r="V18" s="134">
        <v>10</v>
      </c>
      <c r="W18" s="16">
        <v>77</v>
      </c>
      <c r="X18" s="16">
        <v>65</v>
      </c>
      <c r="Y18" s="17">
        <v>70</v>
      </c>
      <c r="AA18" s="134">
        <v>50</v>
      </c>
      <c r="AB18" s="16">
        <v>251</v>
      </c>
      <c r="AC18" s="16">
        <v>212</v>
      </c>
      <c r="AD18" s="17">
        <v>230</v>
      </c>
      <c r="AF18" s="134">
        <v>6</v>
      </c>
      <c r="AG18" s="16">
        <v>60</v>
      </c>
      <c r="AH18" s="16">
        <v>51</v>
      </c>
      <c r="AI18" s="16">
        <v>57</v>
      </c>
      <c r="AJ18" s="16">
        <v>62</v>
      </c>
      <c r="AK18" s="17">
        <v>71</v>
      </c>
      <c r="AM18" s="134">
        <v>6</v>
      </c>
      <c r="AN18" s="16">
        <v>60</v>
      </c>
      <c r="AO18" s="16">
        <v>51</v>
      </c>
      <c r="AP18" s="16">
        <v>57</v>
      </c>
      <c r="AQ18" s="16">
        <v>62</v>
      </c>
      <c r="AR18" s="17">
        <v>71</v>
      </c>
      <c r="AT18" s="117">
        <v>50</v>
      </c>
      <c r="AU18" s="16">
        <v>180</v>
      </c>
      <c r="AV18" s="16">
        <v>153</v>
      </c>
      <c r="AW18" s="16">
        <v>196</v>
      </c>
      <c r="AX18" s="16">
        <v>167</v>
      </c>
      <c r="AY18" s="16">
        <v>174</v>
      </c>
      <c r="AZ18" s="16">
        <v>219</v>
      </c>
      <c r="BA18" s="17">
        <v>197</v>
      </c>
      <c r="BC18" s="117">
        <v>70</v>
      </c>
      <c r="BD18" s="16">
        <v>173</v>
      </c>
      <c r="BE18" s="16">
        <v>150</v>
      </c>
      <c r="BF18" s="16">
        <v>192</v>
      </c>
      <c r="BG18" s="16">
        <v>166</v>
      </c>
      <c r="BH18" s="16">
        <v>173</v>
      </c>
      <c r="BI18" s="16">
        <v>217</v>
      </c>
      <c r="BJ18" s="17">
        <v>196</v>
      </c>
      <c r="BL18" s="125">
        <v>50</v>
      </c>
      <c r="BM18" s="16">
        <v>225</v>
      </c>
      <c r="BN18" s="16">
        <v>192</v>
      </c>
      <c r="BO18" s="16">
        <v>242</v>
      </c>
      <c r="BP18" s="16">
        <v>207</v>
      </c>
      <c r="BQ18" s="556">
        <v>216</v>
      </c>
      <c r="BR18" s="16">
        <v>275</v>
      </c>
      <c r="BS18" s="17">
        <v>246</v>
      </c>
      <c r="BU18" s="125">
        <v>70</v>
      </c>
      <c r="BV18" s="16">
        <v>211</v>
      </c>
      <c r="BW18" s="16">
        <v>187</v>
      </c>
      <c r="BX18" s="16">
        <v>237</v>
      </c>
      <c r="BY18" s="16">
        <v>206</v>
      </c>
      <c r="BZ18" s="16">
        <v>215</v>
      </c>
      <c r="CA18" s="16">
        <v>271</v>
      </c>
      <c r="CB18" s="17">
        <v>244</v>
      </c>
      <c r="CD18" s="117">
        <v>70</v>
      </c>
      <c r="CE18" s="16">
        <v>139</v>
      </c>
      <c r="CF18" s="16">
        <v>168</v>
      </c>
      <c r="CG18" s="16">
        <v>125</v>
      </c>
      <c r="CH18" s="17">
        <v>149</v>
      </c>
      <c r="CJ18" s="125">
        <v>70</v>
      </c>
      <c r="CK18" s="16">
        <v>183</v>
      </c>
      <c r="CL18" s="16">
        <v>221</v>
      </c>
      <c r="CM18" s="16">
        <v>164</v>
      </c>
      <c r="CN18" s="17">
        <v>194</v>
      </c>
      <c r="CP18" s="23">
        <v>70</v>
      </c>
      <c r="CQ18" s="16">
        <v>216</v>
      </c>
      <c r="CR18" s="16">
        <v>261</v>
      </c>
      <c r="CS18" s="16">
        <v>254</v>
      </c>
      <c r="CT18" s="17">
        <v>304</v>
      </c>
    </row>
    <row r="19" spans="2:98" x14ac:dyDescent="0.25">
      <c r="B19" s="117">
        <v>120</v>
      </c>
      <c r="C19" s="16">
        <v>210</v>
      </c>
      <c r="D19" s="16">
        <v>269</v>
      </c>
      <c r="E19" s="17">
        <v>299</v>
      </c>
      <c r="G19" s="125">
        <v>120</v>
      </c>
      <c r="H19" s="16">
        <v>278</v>
      </c>
      <c r="I19" s="16">
        <v>354</v>
      </c>
      <c r="J19" s="17">
        <v>382</v>
      </c>
      <c r="L19" s="117">
        <v>120</v>
      </c>
      <c r="M19" s="16">
        <v>188</v>
      </c>
      <c r="N19" s="16">
        <v>239</v>
      </c>
      <c r="O19" s="17">
        <v>259</v>
      </c>
      <c r="Q19" s="125">
        <v>120</v>
      </c>
      <c r="R19" s="16">
        <v>249</v>
      </c>
      <c r="S19" s="16">
        <v>312</v>
      </c>
      <c r="T19" s="17">
        <v>322</v>
      </c>
      <c r="V19" s="134">
        <v>16</v>
      </c>
      <c r="W19" s="16">
        <v>102</v>
      </c>
      <c r="X19" s="16">
        <v>86</v>
      </c>
      <c r="Y19" s="17">
        <v>92</v>
      </c>
      <c r="AA19" s="134">
        <v>70</v>
      </c>
      <c r="AB19" s="16">
        <v>307</v>
      </c>
      <c r="AC19" s="16">
        <v>260</v>
      </c>
      <c r="AD19" s="17">
        <v>280</v>
      </c>
      <c r="AF19" s="134">
        <v>10</v>
      </c>
      <c r="AG19" s="16">
        <v>82</v>
      </c>
      <c r="AH19" s="16">
        <v>69</v>
      </c>
      <c r="AI19" s="16">
        <v>77</v>
      </c>
      <c r="AJ19" s="16">
        <v>84</v>
      </c>
      <c r="AK19" s="17">
        <v>95</v>
      </c>
      <c r="AM19" s="134">
        <v>10</v>
      </c>
      <c r="AN19" s="16">
        <v>82</v>
      </c>
      <c r="AO19" s="16">
        <v>69</v>
      </c>
      <c r="AP19" s="16">
        <v>77</v>
      </c>
      <c r="AQ19" s="16">
        <v>84</v>
      </c>
      <c r="AR19" s="17">
        <v>95</v>
      </c>
      <c r="AT19" s="117">
        <v>70</v>
      </c>
      <c r="AU19" s="16">
        <v>232</v>
      </c>
      <c r="AV19" s="16">
        <v>196</v>
      </c>
      <c r="AW19" s="16">
        <v>251</v>
      </c>
      <c r="AX19" s="16">
        <v>216</v>
      </c>
      <c r="AY19" s="16">
        <v>225</v>
      </c>
      <c r="AZ19" s="16">
        <v>281</v>
      </c>
      <c r="BA19" s="17">
        <v>254</v>
      </c>
      <c r="BC19" s="117">
        <v>95</v>
      </c>
      <c r="BD19" s="16">
        <v>210</v>
      </c>
      <c r="BE19" s="16">
        <v>182</v>
      </c>
      <c r="BF19" s="16">
        <v>235</v>
      </c>
      <c r="BG19" s="16">
        <v>203</v>
      </c>
      <c r="BH19" s="16">
        <v>212</v>
      </c>
      <c r="BI19" s="16">
        <v>265</v>
      </c>
      <c r="BJ19" s="17">
        <v>241</v>
      </c>
      <c r="BL19" s="125">
        <v>70</v>
      </c>
      <c r="BM19" s="16">
        <v>289</v>
      </c>
      <c r="BN19" s="16">
        <v>246</v>
      </c>
      <c r="BO19" s="16">
        <v>310</v>
      </c>
      <c r="BP19" s="16">
        <v>268</v>
      </c>
      <c r="BQ19" s="16">
        <v>279</v>
      </c>
      <c r="BR19" s="16">
        <v>353</v>
      </c>
      <c r="BS19" s="17">
        <v>318</v>
      </c>
      <c r="BU19" s="125">
        <v>95</v>
      </c>
      <c r="BV19" s="16">
        <v>257</v>
      </c>
      <c r="BW19" s="16">
        <v>227</v>
      </c>
      <c r="BX19" s="16">
        <v>289</v>
      </c>
      <c r="BY19" s="16">
        <v>253</v>
      </c>
      <c r="BZ19" s="16">
        <v>264</v>
      </c>
      <c r="CA19" s="16">
        <v>332</v>
      </c>
      <c r="CB19" s="17">
        <v>300</v>
      </c>
      <c r="CD19" s="117">
        <v>95</v>
      </c>
      <c r="CE19" s="16">
        <v>167</v>
      </c>
      <c r="CF19" s="16">
        <v>291</v>
      </c>
      <c r="CG19" s="16">
        <v>150</v>
      </c>
      <c r="CH19" s="17">
        <v>179</v>
      </c>
      <c r="CJ19" s="125">
        <v>95</v>
      </c>
      <c r="CK19" s="16">
        <v>220</v>
      </c>
      <c r="CL19" s="16">
        <v>265</v>
      </c>
      <c r="CM19" s="16">
        <v>197</v>
      </c>
      <c r="CN19" s="17">
        <v>233</v>
      </c>
      <c r="CP19" s="23">
        <v>95</v>
      </c>
      <c r="CQ19" s="16">
        <v>256</v>
      </c>
      <c r="CR19" s="16">
        <v>308</v>
      </c>
      <c r="CS19" s="16">
        <v>301</v>
      </c>
      <c r="CT19" s="17">
        <v>360</v>
      </c>
    </row>
    <row r="20" spans="2:98" x14ac:dyDescent="0.25">
      <c r="B20" s="117">
        <v>150</v>
      </c>
      <c r="C20" s="16">
        <v>240</v>
      </c>
      <c r="D20" s="16" t="s">
        <v>252</v>
      </c>
      <c r="E20" s="17">
        <v>344</v>
      </c>
      <c r="G20" s="125">
        <v>150</v>
      </c>
      <c r="H20" s="16">
        <v>318</v>
      </c>
      <c r="I20" s="16" t="s">
        <v>252</v>
      </c>
      <c r="J20" s="17">
        <v>441</v>
      </c>
      <c r="L20" s="117">
        <v>150</v>
      </c>
      <c r="M20" s="16">
        <v>216</v>
      </c>
      <c r="N20" s="16" t="s">
        <v>252</v>
      </c>
      <c r="O20" s="17">
        <v>299</v>
      </c>
      <c r="Q20" s="125">
        <v>150</v>
      </c>
      <c r="R20" s="16">
        <v>285</v>
      </c>
      <c r="S20" s="16" t="s">
        <v>252</v>
      </c>
      <c r="T20" s="17">
        <v>371</v>
      </c>
      <c r="V20" s="134">
        <v>25</v>
      </c>
      <c r="W20" s="16">
        <v>133</v>
      </c>
      <c r="X20" s="16">
        <v>112</v>
      </c>
      <c r="Y20" s="17">
        <v>120</v>
      </c>
      <c r="AA20" s="134">
        <v>95</v>
      </c>
      <c r="AB20" s="16">
        <v>369</v>
      </c>
      <c r="AC20" s="16">
        <v>312</v>
      </c>
      <c r="AD20" s="17">
        <v>334</v>
      </c>
      <c r="AF20" s="134">
        <v>16</v>
      </c>
      <c r="AG20" s="16">
        <v>109</v>
      </c>
      <c r="AH20" s="16">
        <v>92</v>
      </c>
      <c r="AI20" s="16">
        <v>102</v>
      </c>
      <c r="AJ20" s="16">
        <v>110</v>
      </c>
      <c r="AK20" s="17">
        <v>125</v>
      </c>
      <c r="AM20" s="134">
        <v>16</v>
      </c>
      <c r="AN20" s="16">
        <v>109</v>
      </c>
      <c r="AO20" s="16">
        <v>92</v>
      </c>
      <c r="AP20" s="16">
        <v>102</v>
      </c>
      <c r="AQ20" s="16">
        <v>110</v>
      </c>
      <c r="AR20" s="17">
        <v>125</v>
      </c>
      <c r="AT20" s="117">
        <v>95</v>
      </c>
      <c r="AU20" s="16">
        <v>282</v>
      </c>
      <c r="AV20" s="16">
        <v>238</v>
      </c>
      <c r="AW20" s="16">
        <v>304</v>
      </c>
      <c r="AX20" s="16">
        <v>264</v>
      </c>
      <c r="AY20" s="16">
        <v>275</v>
      </c>
      <c r="AZ20" s="16">
        <v>341</v>
      </c>
      <c r="BA20" s="17">
        <v>311</v>
      </c>
      <c r="BC20" s="117">
        <v>120</v>
      </c>
      <c r="BD20" s="16">
        <v>244</v>
      </c>
      <c r="BE20" s="16">
        <v>212</v>
      </c>
      <c r="BF20" s="16">
        <v>273</v>
      </c>
      <c r="BG20" s="16">
        <v>237</v>
      </c>
      <c r="BH20" s="16">
        <v>247</v>
      </c>
      <c r="BI20" s="16">
        <v>308</v>
      </c>
      <c r="BJ20" s="17">
        <v>282</v>
      </c>
      <c r="BL20" s="125">
        <v>95</v>
      </c>
      <c r="BM20" s="16">
        <v>352</v>
      </c>
      <c r="BN20" s="16">
        <v>298</v>
      </c>
      <c r="BO20" s="16">
        <v>377</v>
      </c>
      <c r="BP20" s="16">
        <v>328</v>
      </c>
      <c r="BQ20" s="16">
        <v>342</v>
      </c>
      <c r="BR20" s="16">
        <v>430</v>
      </c>
      <c r="BS20" s="17">
        <v>389</v>
      </c>
      <c r="BU20" s="125">
        <v>120</v>
      </c>
      <c r="BV20" s="16">
        <v>300</v>
      </c>
      <c r="BW20" s="16">
        <v>263</v>
      </c>
      <c r="BX20" s="16">
        <v>337</v>
      </c>
      <c r="BY20" s="16">
        <v>296</v>
      </c>
      <c r="BZ20" s="16">
        <v>308</v>
      </c>
      <c r="CA20" s="16">
        <v>387</v>
      </c>
      <c r="CB20" s="17">
        <v>351</v>
      </c>
      <c r="CD20" s="117">
        <v>120</v>
      </c>
      <c r="CE20" s="16">
        <v>192</v>
      </c>
      <c r="CF20" s="16">
        <v>232</v>
      </c>
      <c r="CG20" s="16">
        <v>172</v>
      </c>
      <c r="CH20" s="17">
        <v>206</v>
      </c>
      <c r="CJ20" s="125">
        <v>120</v>
      </c>
      <c r="CK20" s="16">
        <v>253</v>
      </c>
      <c r="CL20" s="16">
        <v>305</v>
      </c>
      <c r="CM20" s="16">
        <v>227</v>
      </c>
      <c r="CN20" s="17">
        <v>268</v>
      </c>
      <c r="CP20" s="23">
        <v>120</v>
      </c>
      <c r="CQ20" s="16">
        <v>290</v>
      </c>
      <c r="CR20" s="16">
        <v>351</v>
      </c>
      <c r="CS20" s="16">
        <v>343</v>
      </c>
      <c r="CT20" s="17">
        <v>410</v>
      </c>
    </row>
    <row r="21" spans="2:98" ht="15.75" thickBot="1" x14ac:dyDescent="0.3">
      <c r="B21" s="117">
        <v>185</v>
      </c>
      <c r="C21" s="16">
        <v>273</v>
      </c>
      <c r="D21" s="16" t="s">
        <v>252</v>
      </c>
      <c r="E21" s="17">
        <v>392</v>
      </c>
      <c r="G21" s="125">
        <v>185</v>
      </c>
      <c r="H21" s="16">
        <v>362</v>
      </c>
      <c r="I21" s="16" t="s">
        <v>252</v>
      </c>
      <c r="J21" s="17">
        <v>506</v>
      </c>
      <c r="L21" s="117">
        <v>185</v>
      </c>
      <c r="M21" s="16">
        <v>245</v>
      </c>
      <c r="N21" s="16" t="s">
        <v>252</v>
      </c>
      <c r="O21" s="17">
        <v>341</v>
      </c>
      <c r="Q21" s="125">
        <v>185</v>
      </c>
      <c r="R21" s="16">
        <v>324</v>
      </c>
      <c r="S21" s="16" t="s">
        <v>252</v>
      </c>
      <c r="T21" s="17">
        <v>424</v>
      </c>
      <c r="V21" s="134">
        <v>35</v>
      </c>
      <c r="W21" s="16">
        <v>163</v>
      </c>
      <c r="X21" s="16">
        <v>137</v>
      </c>
      <c r="Y21" s="17">
        <v>147</v>
      </c>
      <c r="AA21" s="137">
        <v>120</v>
      </c>
      <c r="AB21" s="33">
        <v>424</v>
      </c>
      <c r="AC21" s="33">
        <v>359</v>
      </c>
      <c r="AD21" s="34">
        <v>383</v>
      </c>
      <c r="AF21" s="134">
        <v>25</v>
      </c>
      <c r="AG21" s="16">
        <v>142</v>
      </c>
      <c r="AH21" s="16">
        <v>120</v>
      </c>
      <c r="AI21" s="16">
        <v>132</v>
      </c>
      <c r="AJ21" s="16">
        <v>142</v>
      </c>
      <c r="AK21" s="17">
        <v>162</v>
      </c>
      <c r="AM21" s="134">
        <v>25</v>
      </c>
      <c r="AN21" s="16">
        <v>142</v>
      </c>
      <c r="AO21" s="16">
        <v>120</v>
      </c>
      <c r="AP21" s="16">
        <v>132</v>
      </c>
      <c r="AQ21" s="16">
        <v>142</v>
      </c>
      <c r="AR21" s="17">
        <v>162</v>
      </c>
      <c r="AT21" s="117">
        <v>120</v>
      </c>
      <c r="AU21" s="16">
        <v>328</v>
      </c>
      <c r="AV21" s="16">
        <v>276</v>
      </c>
      <c r="AW21" s="16">
        <v>352</v>
      </c>
      <c r="AX21" s="16">
        <v>308</v>
      </c>
      <c r="AY21" s="16">
        <v>321</v>
      </c>
      <c r="AZ21" s="16">
        <v>396</v>
      </c>
      <c r="BA21" s="17">
        <v>362</v>
      </c>
      <c r="BC21" s="117">
        <v>150</v>
      </c>
      <c r="BD21" s="16">
        <v>282</v>
      </c>
      <c r="BE21" s="16">
        <v>245</v>
      </c>
      <c r="BF21" s="16">
        <v>316</v>
      </c>
      <c r="BG21" s="16">
        <v>274</v>
      </c>
      <c r="BH21" s="16">
        <v>287</v>
      </c>
      <c r="BI21" s="16">
        <v>356</v>
      </c>
      <c r="BJ21" s="17">
        <v>327</v>
      </c>
      <c r="BL21" s="125">
        <v>120</v>
      </c>
      <c r="BM21" s="16">
        <v>410</v>
      </c>
      <c r="BN21" s="16">
        <v>346</v>
      </c>
      <c r="BO21" s="16">
        <v>437</v>
      </c>
      <c r="BP21" s="16">
        <v>383</v>
      </c>
      <c r="BQ21" s="16">
        <v>400</v>
      </c>
      <c r="BR21" s="16">
        <v>500</v>
      </c>
      <c r="BS21" s="17">
        <v>454</v>
      </c>
      <c r="BU21" s="125">
        <v>150</v>
      </c>
      <c r="BV21" s="16">
        <v>346</v>
      </c>
      <c r="BW21" s="16">
        <v>304</v>
      </c>
      <c r="BX21" s="16">
        <v>389</v>
      </c>
      <c r="BY21" s="16">
        <v>343</v>
      </c>
      <c r="BZ21" s="16">
        <v>358</v>
      </c>
      <c r="CA21" s="16">
        <v>448</v>
      </c>
      <c r="CB21" s="17">
        <v>408</v>
      </c>
      <c r="CD21" s="117">
        <v>150</v>
      </c>
      <c r="CE21" s="16">
        <v>219</v>
      </c>
      <c r="CF21" s="16" t="s">
        <v>297</v>
      </c>
      <c r="CG21" s="16">
        <v>196</v>
      </c>
      <c r="CH21" s="17" t="s">
        <v>297</v>
      </c>
      <c r="CJ21" s="125">
        <v>150</v>
      </c>
      <c r="CK21" s="16">
        <v>290</v>
      </c>
      <c r="CL21" s="16" t="s">
        <v>252</v>
      </c>
      <c r="CM21" s="16">
        <v>259</v>
      </c>
      <c r="CN21" s="17" t="s">
        <v>252</v>
      </c>
      <c r="CP21" s="23">
        <v>150</v>
      </c>
      <c r="CQ21" s="16">
        <v>328</v>
      </c>
      <c r="CR21" s="16">
        <v>397</v>
      </c>
      <c r="CS21" s="16">
        <v>387</v>
      </c>
      <c r="CT21" s="17">
        <v>463</v>
      </c>
    </row>
    <row r="22" spans="2:98" ht="15.75" thickBot="1" x14ac:dyDescent="0.3">
      <c r="B22" s="117">
        <v>240</v>
      </c>
      <c r="C22" s="16">
        <v>320</v>
      </c>
      <c r="D22" s="16" t="s">
        <v>252</v>
      </c>
      <c r="E22" s="17">
        <v>461</v>
      </c>
      <c r="G22" s="125">
        <v>240</v>
      </c>
      <c r="H22" s="16">
        <v>424</v>
      </c>
      <c r="I22" s="16" t="s">
        <v>252</v>
      </c>
      <c r="J22" s="17">
        <v>599</v>
      </c>
      <c r="L22" s="117">
        <v>240</v>
      </c>
      <c r="M22" s="16">
        <v>286</v>
      </c>
      <c r="N22" s="16" t="s">
        <v>252</v>
      </c>
      <c r="O22" s="17">
        <v>403</v>
      </c>
      <c r="Q22" s="125">
        <v>240</v>
      </c>
      <c r="R22" s="16">
        <v>380</v>
      </c>
      <c r="S22" s="16" t="s">
        <v>252</v>
      </c>
      <c r="T22" s="17">
        <v>500</v>
      </c>
      <c r="V22" s="134">
        <v>50</v>
      </c>
      <c r="W22" s="16">
        <v>202</v>
      </c>
      <c r="X22" s="16">
        <v>169</v>
      </c>
      <c r="Y22" s="17">
        <v>181</v>
      </c>
      <c r="AA22" s="1342" t="s">
        <v>277</v>
      </c>
      <c r="AB22" s="1343"/>
      <c r="AC22" s="1343"/>
      <c r="AD22" s="1344"/>
      <c r="AF22" s="134">
        <v>35</v>
      </c>
      <c r="AG22" s="16">
        <v>174</v>
      </c>
      <c r="AH22" s="16">
        <v>147</v>
      </c>
      <c r="AI22" s="16">
        <v>161</v>
      </c>
      <c r="AJ22" s="16">
        <v>173</v>
      </c>
      <c r="AK22" s="17">
        <v>197</v>
      </c>
      <c r="AM22" s="134">
        <v>35</v>
      </c>
      <c r="AN22" s="16">
        <v>174</v>
      </c>
      <c r="AO22" s="16">
        <v>147</v>
      </c>
      <c r="AP22" s="16">
        <v>161</v>
      </c>
      <c r="AQ22" s="16">
        <v>173</v>
      </c>
      <c r="AR22" s="17">
        <v>197</v>
      </c>
      <c r="AT22" s="117">
        <v>150</v>
      </c>
      <c r="AU22" s="16">
        <v>379</v>
      </c>
      <c r="AV22" s="16">
        <v>319</v>
      </c>
      <c r="AW22" s="16">
        <v>406</v>
      </c>
      <c r="AX22" s="16">
        <v>356</v>
      </c>
      <c r="AY22" s="16">
        <v>372</v>
      </c>
      <c r="AZ22" s="16">
        <v>456</v>
      </c>
      <c r="BA22" s="17">
        <v>419</v>
      </c>
      <c r="BC22" s="117">
        <v>185</v>
      </c>
      <c r="BD22" s="16">
        <v>322</v>
      </c>
      <c r="BE22" s="16">
        <v>280</v>
      </c>
      <c r="BF22" s="16">
        <v>363</v>
      </c>
      <c r="BG22" s="16">
        <v>315</v>
      </c>
      <c r="BH22" s="16">
        <v>330</v>
      </c>
      <c r="BI22" s="16">
        <v>407</v>
      </c>
      <c r="BJ22" s="17">
        <v>376</v>
      </c>
      <c r="BL22" s="125">
        <v>150</v>
      </c>
      <c r="BM22" s="16">
        <v>473</v>
      </c>
      <c r="BN22" s="16">
        <v>399</v>
      </c>
      <c r="BO22" s="16">
        <v>504</v>
      </c>
      <c r="BP22" s="16">
        <v>444</v>
      </c>
      <c r="BQ22" s="16">
        <v>464</v>
      </c>
      <c r="BR22" s="16">
        <v>577</v>
      </c>
      <c r="BS22" s="17">
        <v>527</v>
      </c>
      <c r="BU22" s="125">
        <v>185</v>
      </c>
      <c r="BV22" s="16">
        <v>397</v>
      </c>
      <c r="BW22" s="16">
        <v>347</v>
      </c>
      <c r="BX22" s="16">
        <v>447</v>
      </c>
      <c r="BY22" s="16">
        <v>395</v>
      </c>
      <c r="BZ22" s="16">
        <v>413</v>
      </c>
      <c r="CA22" s="16">
        <v>515</v>
      </c>
      <c r="CB22" s="17">
        <v>470</v>
      </c>
      <c r="CD22" s="117">
        <v>185</v>
      </c>
      <c r="CE22" s="16">
        <v>248</v>
      </c>
      <c r="CF22" s="16" t="s">
        <v>297</v>
      </c>
      <c r="CG22" s="16">
        <v>223</v>
      </c>
      <c r="CH22" s="17" t="s">
        <v>297</v>
      </c>
      <c r="CJ22" s="125">
        <v>185</v>
      </c>
      <c r="CK22" s="16">
        <v>329</v>
      </c>
      <c r="CL22" s="16" t="s">
        <v>252</v>
      </c>
      <c r="CM22" s="16">
        <v>295</v>
      </c>
      <c r="CN22" s="17" t="s">
        <v>252</v>
      </c>
      <c r="CP22" s="23">
        <v>185</v>
      </c>
      <c r="CQ22" s="16">
        <v>367</v>
      </c>
      <c r="CR22" s="16">
        <v>445</v>
      </c>
      <c r="CS22" s="16">
        <v>434</v>
      </c>
      <c r="CT22" s="17">
        <v>518</v>
      </c>
    </row>
    <row r="23" spans="2:98" ht="15.75" thickBot="1" x14ac:dyDescent="0.3">
      <c r="B23" s="118">
        <v>300</v>
      </c>
      <c r="C23" s="24">
        <v>367</v>
      </c>
      <c r="D23" s="24" t="s">
        <v>252</v>
      </c>
      <c r="E23" s="25">
        <v>530</v>
      </c>
      <c r="G23" s="126">
        <v>300</v>
      </c>
      <c r="H23" s="24">
        <v>486</v>
      </c>
      <c r="I23" s="24" t="s">
        <v>252</v>
      </c>
      <c r="J23" s="25">
        <v>693</v>
      </c>
      <c r="L23" s="118">
        <v>300</v>
      </c>
      <c r="M23" s="24">
        <v>328</v>
      </c>
      <c r="N23" s="24" t="s">
        <v>252</v>
      </c>
      <c r="O23" s="25">
        <v>464</v>
      </c>
      <c r="Q23" s="126">
        <v>300</v>
      </c>
      <c r="R23" s="24">
        <v>435</v>
      </c>
      <c r="S23" s="24" t="s">
        <v>252</v>
      </c>
      <c r="T23" s="25">
        <v>576</v>
      </c>
      <c r="V23" s="134">
        <v>70</v>
      </c>
      <c r="W23" s="16">
        <v>247</v>
      </c>
      <c r="X23" s="16">
        <v>207</v>
      </c>
      <c r="Y23" s="17">
        <v>221</v>
      </c>
      <c r="AA23" s="136">
        <v>150</v>
      </c>
      <c r="AB23" s="13">
        <v>485</v>
      </c>
      <c r="AC23" s="13">
        <v>410</v>
      </c>
      <c r="AD23" s="14">
        <v>435</v>
      </c>
      <c r="AF23" s="134">
        <v>50</v>
      </c>
      <c r="AG23" s="16">
        <v>215</v>
      </c>
      <c r="AH23" s="16">
        <v>182</v>
      </c>
      <c r="AI23" s="16">
        <v>198</v>
      </c>
      <c r="AJ23" s="16">
        <v>213</v>
      </c>
      <c r="AK23" s="17">
        <v>242</v>
      </c>
      <c r="AM23" s="134">
        <v>50</v>
      </c>
      <c r="AN23" s="16">
        <v>215</v>
      </c>
      <c r="AO23" s="16">
        <v>182</v>
      </c>
      <c r="AP23" s="16">
        <v>198</v>
      </c>
      <c r="AQ23" s="16">
        <v>213</v>
      </c>
      <c r="AR23" s="17">
        <v>242</v>
      </c>
      <c r="AT23" s="117">
        <v>185</v>
      </c>
      <c r="AU23" s="16">
        <v>434</v>
      </c>
      <c r="AV23" s="16">
        <v>364</v>
      </c>
      <c r="AW23" s="16">
        <v>463</v>
      </c>
      <c r="AX23" s="16">
        <v>409</v>
      </c>
      <c r="AY23" s="16">
        <v>427</v>
      </c>
      <c r="AZ23" s="16">
        <v>521</v>
      </c>
      <c r="BA23" s="17">
        <v>480</v>
      </c>
      <c r="BC23" s="117">
        <v>240</v>
      </c>
      <c r="BD23" s="16">
        <v>380</v>
      </c>
      <c r="BE23" s="16">
        <v>330</v>
      </c>
      <c r="BF23" s="16">
        <v>430</v>
      </c>
      <c r="BG23" s="16">
        <v>375</v>
      </c>
      <c r="BH23" s="16">
        <v>392</v>
      </c>
      <c r="BI23" s="16">
        <v>482</v>
      </c>
      <c r="BJ23" s="17">
        <v>447</v>
      </c>
      <c r="BL23" s="125">
        <v>185</v>
      </c>
      <c r="BM23" s="16">
        <v>542</v>
      </c>
      <c r="BN23" s="16">
        <v>456</v>
      </c>
      <c r="BO23" s="16">
        <v>575</v>
      </c>
      <c r="BP23" s="16">
        <v>510</v>
      </c>
      <c r="BQ23" s="16">
        <v>533</v>
      </c>
      <c r="BR23" s="16">
        <v>661</v>
      </c>
      <c r="BS23" s="17">
        <v>605</v>
      </c>
      <c r="BU23" s="125">
        <v>240</v>
      </c>
      <c r="BV23" s="16">
        <v>470</v>
      </c>
      <c r="BW23" s="16">
        <v>407</v>
      </c>
      <c r="BX23" s="16">
        <v>530</v>
      </c>
      <c r="BY23" s="16">
        <v>471</v>
      </c>
      <c r="BZ23" s="16">
        <v>492</v>
      </c>
      <c r="CA23" s="16">
        <v>611</v>
      </c>
      <c r="CB23" s="17">
        <v>561</v>
      </c>
      <c r="CD23" s="117">
        <v>240</v>
      </c>
      <c r="CE23" s="16">
        <v>291</v>
      </c>
      <c r="CF23" s="16" t="s">
        <v>297</v>
      </c>
      <c r="CG23" s="16">
        <v>261</v>
      </c>
      <c r="CH23" s="17" t="s">
        <v>297</v>
      </c>
      <c r="CJ23" s="125">
        <v>240</v>
      </c>
      <c r="CK23" s="16">
        <v>386</v>
      </c>
      <c r="CL23" s="16" t="s">
        <v>252</v>
      </c>
      <c r="CM23" s="16">
        <v>346</v>
      </c>
      <c r="CN23" s="17" t="s">
        <v>252</v>
      </c>
      <c r="CP23" s="23">
        <v>240</v>
      </c>
      <c r="CQ23" s="16">
        <v>424</v>
      </c>
      <c r="CR23" s="16">
        <v>514</v>
      </c>
      <c r="CS23" s="16">
        <v>501</v>
      </c>
      <c r="CT23" s="17">
        <v>598</v>
      </c>
    </row>
    <row r="24" spans="2:98" ht="15.75" thickBot="1" x14ac:dyDescent="0.3">
      <c r="B24" s="1342" t="s">
        <v>262</v>
      </c>
      <c r="C24" s="1343"/>
      <c r="D24" s="1343"/>
      <c r="E24" s="1344"/>
      <c r="G24" s="1342" t="s">
        <v>262</v>
      </c>
      <c r="H24" s="1343"/>
      <c r="I24" s="1343"/>
      <c r="J24" s="1344"/>
      <c r="L24" s="1342" t="s">
        <v>262</v>
      </c>
      <c r="M24" s="1343"/>
      <c r="N24" s="1343"/>
      <c r="O24" s="1344"/>
      <c r="Q24" s="1342" t="s">
        <v>262</v>
      </c>
      <c r="R24" s="1343"/>
      <c r="S24" s="1343"/>
      <c r="T24" s="1344"/>
      <c r="V24" s="134">
        <v>95</v>
      </c>
      <c r="W24" s="16">
        <v>296</v>
      </c>
      <c r="X24" s="16">
        <v>249</v>
      </c>
      <c r="Y24" s="17">
        <v>264</v>
      </c>
      <c r="AA24" s="134">
        <v>185</v>
      </c>
      <c r="AB24" s="16">
        <v>550</v>
      </c>
      <c r="AC24" s="16">
        <v>465</v>
      </c>
      <c r="AD24" s="17">
        <v>492</v>
      </c>
      <c r="AF24" s="134">
        <v>70</v>
      </c>
      <c r="AG24" s="16">
        <v>264</v>
      </c>
      <c r="AH24" s="16">
        <v>223</v>
      </c>
      <c r="AI24" s="16">
        <v>241</v>
      </c>
      <c r="AJ24" s="16">
        <v>259</v>
      </c>
      <c r="AK24" s="17">
        <v>294</v>
      </c>
      <c r="AM24" s="134">
        <v>70</v>
      </c>
      <c r="AN24" s="16">
        <v>264</v>
      </c>
      <c r="AO24" s="16">
        <v>223</v>
      </c>
      <c r="AP24" s="16">
        <v>241</v>
      </c>
      <c r="AQ24" s="16">
        <v>259</v>
      </c>
      <c r="AR24" s="17">
        <v>294</v>
      </c>
      <c r="AT24" s="117">
        <v>240</v>
      </c>
      <c r="AU24" s="16">
        <v>514</v>
      </c>
      <c r="AV24" s="16">
        <v>430</v>
      </c>
      <c r="AW24" s="16">
        <v>546</v>
      </c>
      <c r="AX24" s="16">
        <v>485</v>
      </c>
      <c r="AY24" s="16">
        <v>507</v>
      </c>
      <c r="AZ24" s="16">
        <v>615</v>
      </c>
      <c r="BA24" s="17">
        <v>569</v>
      </c>
      <c r="BC24" s="117">
        <v>300</v>
      </c>
      <c r="BD24" s="16">
        <v>439</v>
      </c>
      <c r="BE24" s="16">
        <v>381</v>
      </c>
      <c r="BF24" s="16">
        <v>497</v>
      </c>
      <c r="BG24" s="16">
        <v>434</v>
      </c>
      <c r="BH24" s="16">
        <v>455</v>
      </c>
      <c r="BI24" s="16">
        <v>557</v>
      </c>
      <c r="BJ24" s="17">
        <v>519</v>
      </c>
      <c r="BL24" s="125">
        <v>240</v>
      </c>
      <c r="BM24" s="16">
        <v>641</v>
      </c>
      <c r="BN24" s="16">
        <v>538</v>
      </c>
      <c r="BO24" s="16">
        <v>679</v>
      </c>
      <c r="BP24" s="16">
        <v>607</v>
      </c>
      <c r="BQ24" s="16">
        <v>634</v>
      </c>
      <c r="BR24" s="16">
        <v>781</v>
      </c>
      <c r="BS24" s="17">
        <v>719</v>
      </c>
      <c r="BU24" s="125">
        <v>300</v>
      </c>
      <c r="BV24" s="16">
        <v>543</v>
      </c>
      <c r="BW24" s="16">
        <v>471</v>
      </c>
      <c r="BX24" s="16">
        <v>613</v>
      </c>
      <c r="BY24" s="16">
        <v>547</v>
      </c>
      <c r="BZ24" s="16">
        <v>571</v>
      </c>
      <c r="CA24" s="16">
        <v>708</v>
      </c>
      <c r="CB24" s="17">
        <v>652</v>
      </c>
      <c r="CD24" s="118">
        <v>300</v>
      </c>
      <c r="CE24" s="24">
        <v>334</v>
      </c>
      <c r="CF24" s="24" t="s">
        <v>297</v>
      </c>
      <c r="CG24" s="24">
        <v>298</v>
      </c>
      <c r="CH24" s="25" t="s">
        <v>297</v>
      </c>
      <c r="CJ24" s="126">
        <v>300</v>
      </c>
      <c r="CK24" s="24">
        <v>442</v>
      </c>
      <c r="CL24" s="24" t="s">
        <v>252</v>
      </c>
      <c r="CM24" s="24">
        <v>396</v>
      </c>
      <c r="CN24" s="25" t="s">
        <v>252</v>
      </c>
      <c r="CP24" s="30">
        <v>300</v>
      </c>
      <c r="CQ24" s="24">
        <v>480</v>
      </c>
      <c r="CR24" s="24">
        <v>581</v>
      </c>
      <c r="CS24" s="24">
        <v>565</v>
      </c>
      <c r="CT24" s="25">
        <v>677</v>
      </c>
    </row>
    <row r="25" spans="2:98" ht="15.75" thickBot="1" x14ac:dyDescent="0.3">
      <c r="B25" s="119">
        <v>2.5</v>
      </c>
      <c r="C25" s="26">
        <v>15</v>
      </c>
      <c r="D25" s="26">
        <v>18.5</v>
      </c>
      <c r="E25" s="27">
        <v>21</v>
      </c>
      <c r="G25" s="127">
        <v>2.5</v>
      </c>
      <c r="H25" s="26">
        <v>20</v>
      </c>
      <c r="I25" s="26">
        <v>25</v>
      </c>
      <c r="J25" s="27">
        <v>26</v>
      </c>
      <c r="L25" s="119">
        <v>2.5</v>
      </c>
      <c r="M25" s="26">
        <v>14</v>
      </c>
      <c r="N25" s="26">
        <v>16.5</v>
      </c>
      <c r="O25" s="27">
        <v>18.5</v>
      </c>
      <c r="Q25" s="127">
        <v>2.5</v>
      </c>
      <c r="R25" s="26">
        <v>19</v>
      </c>
      <c r="S25" s="26">
        <v>22</v>
      </c>
      <c r="T25" s="27">
        <v>24</v>
      </c>
      <c r="V25" s="134">
        <v>120</v>
      </c>
      <c r="W25" s="16">
        <v>340</v>
      </c>
      <c r="X25" s="16">
        <v>286</v>
      </c>
      <c r="Y25" s="17">
        <v>303</v>
      </c>
      <c r="AA25" s="135">
        <v>240</v>
      </c>
      <c r="AB25" s="21">
        <v>643</v>
      </c>
      <c r="AC25" s="21">
        <v>544</v>
      </c>
      <c r="AD25" s="22">
        <v>572</v>
      </c>
      <c r="AF25" s="134">
        <v>95</v>
      </c>
      <c r="AG25" s="16">
        <v>317</v>
      </c>
      <c r="AH25" s="16">
        <v>267</v>
      </c>
      <c r="AI25" s="16">
        <v>289</v>
      </c>
      <c r="AJ25" s="16">
        <v>309</v>
      </c>
      <c r="AK25" s="17">
        <v>351</v>
      </c>
      <c r="AM25" s="134">
        <v>95</v>
      </c>
      <c r="AN25" s="16">
        <v>317</v>
      </c>
      <c r="AO25" s="16">
        <v>267</v>
      </c>
      <c r="AP25" s="16">
        <v>289</v>
      </c>
      <c r="AQ25" s="16">
        <v>309</v>
      </c>
      <c r="AR25" s="17">
        <v>351</v>
      </c>
      <c r="AT25" s="117">
        <v>300</v>
      </c>
      <c r="AU25" s="16">
        <v>593</v>
      </c>
      <c r="AV25" s="16">
        <v>497</v>
      </c>
      <c r="AW25" s="16">
        <v>629</v>
      </c>
      <c r="AX25" s="16">
        <v>561</v>
      </c>
      <c r="AY25" s="16">
        <v>587</v>
      </c>
      <c r="AZ25" s="16">
        <v>709</v>
      </c>
      <c r="BA25" s="17">
        <v>659</v>
      </c>
      <c r="BC25" s="117">
        <v>400</v>
      </c>
      <c r="BD25" s="16" t="s">
        <v>297</v>
      </c>
      <c r="BE25" s="16" t="s">
        <v>297</v>
      </c>
      <c r="BF25" s="16">
        <v>600</v>
      </c>
      <c r="BG25" s="16">
        <v>526</v>
      </c>
      <c r="BH25" s="16">
        <v>552</v>
      </c>
      <c r="BI25" s="16">
        <v>671</v>
      </c>
      <c r="BJ25" s="17">
        <v>629</v>
      </c>
      <c r="BL25" s="125">
        <v>300</v>
      </c>
      <c r="BM25" s="16">
        <v>741</v>
      </c>
      <c r="BN25" s="16">
        <v>621</v>
      </c>
      <c r="BO25" s="16">
        <v>783</v>
      </c>
      <c r="BP25" s="16">
        <v>703</v>
      </c>
      <c r="BQ25" s="16">
        <v>736</v>
      </c>
      <c r="BR25" s="16">
        <v>902</v>
      </c>
      <c r="BS25" s="17">
        <v>833</v>
      </c>
      <c r="BU25" s="125">
        <v>400</v>
      </c>
      <c r="BV25" s="16" t="s">
        <v>297</v>
      </c>
      <c r="BW25" s="16" t="s">
        <v>297</v>
      </c>
      <c r="BX25" s="16">
        <v>740</v>
      </c>
      <c r="BY25" s="16">
        <v>663</v>
      </c>
      <c r="BZ25" s="16">
        <v>694</v>
      </c>
      <c r="CA25" s="16">
        <v>856</v>
      </c>
      <c r="CB25" s="17">
        <v>792</v>
      </c>
      <c r="CD25" s="1342" t="s">
        <v>262</v>
      </c>
      <c r="CE25" s="1343"/>
      <c r="CF25" s="1343"/>
      <c r="CG25" s="1343"/>
      <c r="CH25" s="1344"/>
      <c r="CJ25" s="1450" t="s">
        <v>262</v>
      </c>
      <c r="CK25" s="1451"/>
      <c r="CL25" s="1451"/>
      <c r="CM25" s="1451"/>
      <c r="CN25" s="1452"/>
      <c r="CP25" s="1450" t="s">
        <v>262</v>
      </c>
      <c r="CQ25" s="1451"/>
      <c r="CR25" s="1451"/>
      <c r="CS25" s="1451"/>
      <c r="CT25" s="1452"/>
    </row>
    <row r="26" spans="2:98" ht="15.75" thickTop="1" x14ac:dyDescent="0.25">
      <c r="B26" s="117">
        <v>4</v>
      </c>
      <c r="C26" s="16">
        <v>20</v>
      </c>
      <c r="D26" s="16">
        <v>25</v>
      </c>
      <c r="E26" s="17">
        <v>26</v>
      </c>
      <c r="G26" s="125">
        <v>4</v>
      </c>
      <c r="H26" s="16">
        <v>27</v>
      </c>
      <c r="I26" s="16">
        <v>33</v>
      </c>
      <c r="J26" s="17">
        <v>35</v>
      </c>
      <c r="L26" s="117">
        <v>4</v>
      </c>
      <c r="M26" s="16">
        <v>18.5</v>
      </c>
      <c r="N26" s="16">
        <v>22</v>
      </c>
      <c r="O26" s="17">
        <v>25</v>
      </c>
      <c r="Q26" s="125">
        <v>4</v>
      </c>
      <c r="R26" s="16">
        <v>25</v>
      </c>
      <c r="S26" s="16">
        <v>29</v>
      </c>
      <c r="T26" s="17">
        <v>32</v>
      </c>
      <c r="V26" s="134">
        <v>150</v>
      </c>
      <c r="W26" s="16">
        <v>388</v>
      </c>
      <c r="X26" s="16">
        <v>327</v>
      </c>
      <c r="Y26" s="17">
        <v>346</v>
      </c>
      <c r="AA26" s="1391" t="s">
        <v>281</v>
      </c>
      <c r="AB26" s="1392"/>
      <c r="AC26" s="1392"/>
      <c r="AD26" s="1393"/>
      <c r="AF26" s="134">
        <v>120</v>
      </c>
      <c r="AG26" s="16">
        <v>364</v>
      </c>
      <c r="AH26" s="16">
        <v>308</v>
      </c>
      <c r="AI26" s="16">
        <v>331</v>
      </c>
      <c r="AJ26" s="16">
        <v>353</v>
      </c>
      <c r="AK26" s="17">
        <v>402</v>
      </c>
      <c r="AM26" s="134">
        <v>120</v>
      </c>
      <c r="AN26" s="16">
        <v>364</v>
      </c>
      <c r="AO26" s="16">
        <v>308</v>
      </c>
      <c r="AP26" s="16">
        <v>331</v>
      </c>
      <c r="AQ26" s="16">
        <v>353</v>
      </c>
      <c r="AR26" s="17">
        <v>402</v>
      </c>
      <c r="AT26" s="117">
        <v>400</v>
      </c>
      <c r="AU26" s="16" t="s">
        <v>297</v>
      </c>
      <c r="AV26" s="16" t="s">
        <v>297</v>
      </c>
      <c r="AW26" s="16">
        <v>754</v>
      </c>
      <c r="AX26" s="16">
        <v>656</v>
      </c>
      <c r="AY26" s="16">
        <v>689</v>
      </c>
      <c r="AZ26" s="16">
        <v>852</v>
      </c>
      <c r="BA26" s="17">
        <v>795</v>
      </c>
      <c r="BC26" s="117">
        <v>500</v>
      </c>
      <c r="BD26" s="16" t="s">
        <v>297</v>
      </c>
      <c r="BE26" s="16" t="s">
        <v>297</v>
      </c>
      <c r="BF26" s="16">
        <v>694</v>
      </c>
      <c r="BG26" s="16">
        <v>610</v>
      </c>
      <c r="BH26" s="16">
        <v>640</v>
      </c>
      <c r="BI26" s="16">
        <v>775</v>
      </c>
      <c r="BJ26" s="17">
        <v>730</v>
      </c>
      <c r="BL26" s="125">
        <v>400</v>
      </c>
      <c r="BM26" s="16" t="s">
        <v>297</v>
      </c>
      <c r="BN26" s="16" t="s">
        <v>297</v>
      </c>
      <c r="BO26" s="16">
        <v>940</v>
      </c>
      <c r="BP26" s="16">
        <v>823</v>
      </c>
      <c r="BQ26" s="16">
        <v>868</v>
      </c>
      <c r="BR26" s="16">
        <v>1085</v>
      </c>
      <c r="BS26" s="17">
        <v>1008</v>
      </c>
      <c r="BU26" s="125">
        <v>500</v>
      </c>
      <c r="BV26" s="16" t="s">
        <v>297</v>
      </c>
      <c r="BW26" s="16" t="s">
        <v>297</v>
      </c>
      <c r="BX26" s="16">
        <v>856</v>
      </c>
      <c r="BY26" s="16">
        <v>770</v>
      </c>
      <c r="BZ26" s="16">
        <v>806</v>
      </c>
      <c r="CA26" s="16">
        <v>991</v>
      </c>
      <c r="CB26" s="17">
        <v>921</v>
      </c>
      <c r="CD26" s="119">
        <v>2.5</v>
      </c>
      <c r="CE26" s="26">
        <v>14.5</v>
      </c>
      <c r="CF26" s="26">
        <v>17.5</v>
      </c>
      <c r="CG26" s="26">
        <v>13.5</v>
      </c>
      <c r="CH26" s="27">
        <v>15.5</v>
      </c>
      <c r="CJ26" s="127">
        <v>2.5</v>
      </c>
      <c r="CK26" s="26">
        <v>19.5</v>
      </c>
      <c r="CL26" s="26">
        <v>23</v>
      </c>
      <c r="CM26" s="26">
        <v>18</v>
      </c>
      <c r="CN26" s="27">
        <v>21</v>
      </c>
      <c r="CP26" s="31">
        <v>10</v>
      </c>
      <c r="CQ26" s="26">
        <v>57</v>
      </c>
      <c r="CR26" s="26">
        <v>68</v>
      </c>
      <c r="CS26" s="26">
        <v>67</v>
      </c>
      <c r="CT26" s="27">
        <v>80</v>
      </c>
    </row>
    <row r="27" spans="2:98" ht="15.75" thickBot="1" x14ac:dyDescent="0.3">
      <c r="B27" s="117">
        <v>6</v>
      </c>
      <c r="C27" s="16">
        <v>26</v>
      </c>
      <c r="D27" s="16">
        <v>32</v>
      </c>
      <c r="E27" s="17">
        <v>36</v>
      </c>
      <c r="G27" s="125">
        <v>6</v>
      </c>
      <c r="H27" s="16">
        <v>35</v>
      </c>
      <c r="I27" s="16">
        <v>43</v>
      </c>
      <c r="J27" s="17">
        <v>45</v>
      </c>
      <c r="L27" s="117">
        <v>6</v>
      </c>
      <c r="M27" s="16">
        <v>24</v>
      </c>
      <c r="N27" s="16">
        <v>28</v>
      </c>
      <c r="O27" s="17">
        <v>32</v>
      </c>
      <c r="Q27" s="125">
        <v>6</v>
      </c>
      <c r="R27" s="16">
        <v>32</v>
      </c>
      <c r="S27" s="16">
        <v>38</v>
      </c>
      <c r="T27" s="17">
        <v>41</v>
      </c>
      <c r="V27" s="134">
        <v>185</v>
      </c>
      <c r="W27" s="16">
        <v>440</v>
      </c>
      <c r="X27" s="16">
        <v>371</v>
      </c>
      <c r="Y27" s="17">
        <v>392</v>
      </c>
      <c r="AA27" s="1374"/>
      <c r="AB27" s="1375"/>
      <c r="AC27" s="1375"/>
      <c r="AD27" s="1376"/>
      <c r="AF27" s="134">
        <v>150</v>
      </c>
      <c r="AG27" s="16">
        <v>416</v>
      </c>
      <c r="AH27" s="16">
        <v>352</v>
      </c>
      <c r="AI27" s="16">
        <v>377</v>
      </c>
      <c r="AJ27" s="16">
        <v>400</v>
      </c>
      <c r="AK27" s="17">
        <v>454</v>
      </c>
      <c r="AM27" s="134">
        <v>150</v>
      </c>
      <c r="AN27" s="16">
        <v>416</v>
      </c>
      <c r="AO27" s="16">
        <v>352</v>
      </c>
      <c r="AP27" s="16">
        <v>377</v>
      </c>
      <c r="AQ27" s="16">
        <v>400</v>
      </c>
      <c r="AR27" s="17">
        <v>454</v>
      </c>
      <c r="AT27" s="117">
        <v>500</v>
      </c>
      <c r="AU27" s="16" t="s">
        <v>297</v>
      </c>
      <c r="AV27" s="16" t="s">
        <v>297</v>
      </c>
      <c r="AW27" s="16">
        <v>868</v>
      </c>
      <c r="AX27" s="16">
        <v>749</v>
      </c>
      <c r="AY27" s="16">
        <v>789</v>
      </c>
      <c r="AZ27" s="16">
        <v>982</v>
      </c>
      <c r="BA27" s="17">
        <v>920</v>
      </c>
      <c r="BC27" s="120">
        <v>630</v>
      </c>
      <c r="BD27" s="21" t="s">
        <v>297</v>
      </c>
      <c r="BE27" s="21" t="s">
        <v>297</v>
      </c>
      <c r="BF27" s="21">
        <v>808</v>
      </c>
      <c r="BG27" s="21">
        <v>711</v>
      </c>
      <c r="BH27" s="21">
        <v>746</v>
      </c>
      <c r="BI27" s="21">
        <v>900</v>
      </c>
      <c r="BJ27" s="22">
        <v>852</v>
      </c>
      <c r="BL27" s="125">
        <v>500</v>
      </c>
      <c r="BM27" s="16" t="s">
        <v>297</v>
      </c>
      <c r="BN27" s="16" t="s">
        <v>297</v>
      </c>
      <c r="BO27" s="16">
        <v>1083</v>
      </c>
      <c r="BP27" s="16">
        <v>946</v>
      </c>
      <c r="BQ27" s="16">
        <v>998</v>
      </c>
      <c r="BR27" s="16">
        <v>1253</v>
      </c>
      <c r="BS27" s="17">
        <v>1169</v>
      </c>
      <c r="BU27" s="128">
        <v>630</v>
      </c>
      <c r="BV27" s="21" t="s">
        <v>297</v>
      </c>
      <c r="BW27" s="21" t="s">
        <v>297</v>
      </c>
      <c r="BX27" s="21">
        <v>996</v>
      </c>
      <c r="BY27" s="21">
        <v>899</v>
      </c>
      <c r="BZ27" s="21">
        <v>942</v>
      </c>
      <c r="CA27" s="21">
        <v>1154</v>
      </c>
      <c r="CB27" s="22">
        <v>1077</v>
      </c>
      <c r="CD27" s="117">
        <v>4</v>
      </c>
      <c r="CE27" s="16">
        <v>19.5</v>
      </c>
      <c r="CF27" s="16">
        <v>24</v>
      </c>
      <c r="CG27" s="16">
        <v>17.5</v>
      </c>
      <c r="CH27" s="17">
        <v>21</v>
      </c>
      <c r="CJ27" s="125">
        <v>4</v>
      </c>
      <c r="CK27" s="16">
        <v>26</v>
      </c>
      <c r="CL27" s="16">
        <v>31</v>
      </c>
      <c r="CM27" s="16">
        <v>24</v>
      </c>
      <c r="CN27" s="17">
        <v>28</v>
      </c>
      <c r="CP27" s="23">
        <v>16</v>
      </c>
      <c r="CQ27" s="16">
        <v>74</v>
      </c>
      <c r="CR27" s="16">
        <v>88</v>
      </c>
      <c r="CS27" s="16">
        <v>87</v>
      </c>
      <c r="CT27" s="17">
        <v>104</v>
      </c>
    </row>
    <row r="28" spans="2:98" ht="16.5" thickTop="1" thickBot="1" x14ac:dyDescent="0.3">
      <c r="B28" s="117">
        <v>10</v>
      </c>
      <c r="C28" s="16">
        <v>36</v>
      </c>
      <c r="D28" s="16">
        <v>44</v>
      </c>
      <c r="E28" s="17">
        <v>49</v>
      </c>
      <c r="G28" s="125">
        <v>10</v>
      </c>
      <c r="H28" s="16">
        <v>48</v>
      </c>
      <c r="I28" s="16">
        <v>59</v>
      </c>
      <c r="J28" s="17">
        <v>62</v>
      </c>
      <c r="L28" s="117">
        <v>10</v>
      </c>
      <c r="M28" s="16">
        <v>32</v>
      </c>
      <c r="N28" s="16">
        <v>39</v>
      </c>
      <c r="O28" s="17">
        <v>44</v>
      </c>
      <c r="Q28" s="125">
        <v>10</v>
      </c>
      <c r="R28" s="16">
        <v>44</v>
      </c>
      <c r="S28" s="16">
        <v>52</v>
      </c>
      <c r="T28" s="17">
        <v>57</v>
      </c>
      <c r="V28" s="135">
        <v>240</v>
      </c>
      <c r="W28" s="21">
        <v>514</v>
      </c>
      <c r="X28" s="21">
        <v>434</v>
      </c>
      <c r="Y28" s="22">
        <v>457</v>
      </c>
      <c r="AA28" s="1374"/>
      <c r="AB28" s="1375"/>
      <c r="AC28" s="1375"/>
      <c r="AD28" s="1376"/>
      <c r="AF28" s="134">
        <v>185</v>
      </c>
      <c r="AG28" s="16">
        <v>462</v>
      </c>
      <c r="AH28" s="16">
        <v>399</v>
      </c>
      <c r="AI28" s="16">
        <v>426</v>
      </c>
      <c r="AJ28" s="16">
        <v>448</v>
      </c>
      <c r="AK28" s="17">
        <v>507</v>
      </c>
      <c r="AM28" s="134">
        <v>185</v>
      </c>
      <c r="AN28" s="16">
        <v>462</v>
      </c>
      <c r="AO28" s="16">
        <v>399</v>
      </c>
      <c r="AP28" s="16">
        <v>426</v>
      </c>
      <c r="AQ28" s="16">
        <v>448</v>
      </c>
      <c r="AR28" s="17">
        <v>507</v>
      </c>
      <c r="AT28" s="120">
        <v>630</v>
      </c>
      <c r="AU28" s="21" t="s">
        <v>297</v>
      </c>
      <c r="AV28" s="21" t="s">
        <v>297</v>
      </c>
      <c r="AW28" s="21">
        <v>1005</v>
      </c>
      <c r="AX28" s="21">
        <v>855</v>
      </c>
      <c r="AY28" s="21">
        <v>905</v>
      </c>
      <c r="AZ28" s="21">
        <v>1138</v>
      </c>
      <c r="BA28" s="22">
        <v>1070</v>
      </c>
      <c r="BC28" s="1384" t="s">
        <v>310</v>
      </c>
      <c r="BD28" s="1385"/>
      <c r="BE28" s="1385"/>
      <c r="BF28" s="1385"/>
      <c r="BG28" s="1385"/>
      <c r="BH28" s="1385"/>
      <c r="BI28" s="1385"/>
      <c r="BJ28" s="1386"/>
      <c r="BL28" s="128">
        <v>630</v>
      </c>
      <c r="BM28" s="21" t="s">
        <v>297</v>
      </c>
      <c r="BN28" s="21" t="s">
        <v>297</v>
      </c>
      <c r="BO28" s="21">
        <v>1254</v>
      </c>
      <c r="BP28" s="21">
        <v>1088</v>
      </c>
      <c r="BQ28" s="21">
        <v>1151</v>
      </c>
      <c r="BR28" s="21">
        <v>1454</v>
      </c>
      <c r="BS28" s="22">
        <v>1362</v>
      </c>
      <c r="CD28" s="117">
        <v>6</v>
      </c>
      <c r="CE28" s="16">
        <v>25</v>
      </c>
      <c r="CF28" s="16">
        <v>30</v>
      </c>
      <c r="CG28" s="16">
        <v>23</v>
      </c>
      <c r="CH28" s="17">
        <v>27</v>
      </c>
      <c r="CJ28" s="125">
        <v>6</v>
      </c>
      <c r="CK28" s="16">
        <v>33</v>
      </c>
      <c r="CL28" s="16">
        <v>40</v>
      </c>
      <c r="CM28" s="16">
        <v>31</v>
      </c>
      <c r="CN28" s="17">
        <v>35</v>
      </c>
      <c r="CP28" s="23">
        <v>25</v>
      </c>
      <c r="CQ28" s="16">
        <v>94</v>
      </c>
      <c r="CR28" s="16">
        <v>114</v>
      </c>
      <c r="CS28" s="16">
        <v>111</v>
      </c>
      <c r="CT28" s="17">
        <v>133</v>
      </c>
    </row>
    <row r="29" spans="2:98" ht="15.75" customHeight="1" thickTop="1" thickBot="1" x14ac:dyDescent="0.3">
      <c r="B29" s="117">
        <v>16</v>
      </c>
      <c r="C29" s="16">
        <v>48</v>
      </c>
      <c r="D29" s="16">
        <v>60</v>
      </c>
      <c r="E29" s="17">
        <v>66</v>
      </c>
      <c r="G29" s="125">
        <v>16</v>
      </c>
      <c r="H29" s="16">
        <v>64</v>
      </c>
      <c r="I29" s="16">
        <v>79</v>
      </c>
      <c r="J29" s="17">
        <v>84</v>
      </c>
      <c r="L29" s="117">
        <v>16</v>
      </c>
      <c r="M29" s="16">
        <v>43</v>
      </c>
      <c r="N29" s="16">
        <v>53</v>
      </c>
      <c r="O29" s="17">
        <v>59</v>
      </c>
      <c r="Q29" s="125">
        <v>16</v>
      </c>
      <c r="R29" s="16">
        <v>58</v>
      </c>
      <c r="S29" s="16">
        <v>71</v>
      </c>
      <c r="T29" s="17">
        <v>76</v>
      </c>
      <c r="V29" s="1391" t="s">
        <v>281</v>
      </c>
      <c r="W29" s="1392"/>
      <c r="X29" s="1392"/>
      <c r="Y29" s="1393"/>
      <c r="AA29" s="1377"/>
      <c r="AB29" s="1378"/>
      <c r="AC29" s="1378"/>
      <c r="AD29" s="1379"/>
      <c r="AF29" s="137">
        <v>240</v>
      </c>
      <c r="AG29" s="33">
        <v>552</v>
      </c>
      <c r="AH29" s="33">
        <v>466</v>
      </c>
      <c r="AI29" s="33">
        <v>496</v>
      </c>
      <c r="AJ29" s="33">
        <v>497</v>
      </c>
      <c r="AK29" s="34">
        <v>565</v>
      </c>
      <c r="AM29" s="135">
        <v>240</v>
      </c>
      <c r="AN29" s="21">
        <v>552</v>
      </c>
      <c r="AO29" s="21">
        <v>466</v>
      </c>
      <c r="AP29" s="21">
        <v>496</v>
      </c>
      <c r="AQ29" s="21">
        <v>497</v>
      </c>
      <c r="AR29" s="22">
        <v>565</v>
      </c>
      <c r="AT29" s="1384" t="s">
        <v>310</v>
      </c>
      <c r="AU29" s="1385"/>
      <c r="AV29" s="1385"/>
      <c r="AW29" s="1385"/>
      <c r="AX29" s="1385"/>
      <c r="AY29" s="1385"/>
      <c r="AZ29" s="1385"/>
      <c r="BA29" s="1386"/>
      <c r="BC29" s="1387"/>
      <c r="BD29" s="1388"/>
      <c r="BE29" s="1388"/>
      <c r="BF29" s="1388"/>
      <c r="BG29" s="1388"/>
      <c r="BH29" s="1388"/>
      <c r="BI29" s="1388"/>
      <c r="BJ29" s="1389"/>
      <c r="BL29" s="1428" t="s">
        <v>310</v>
      </c>
      <c r="BM29" s="1429"/>
      <c r="BN29" s="1429"/>
      <c r="BO29" s="1429"/>
      <c r="BP29" s="1429"/>
      <c r="BQ29" s="1429"/>
      <c r="BR29" s="1429"/>
      <c r="BS29" s="1430"/>
      <c r="CD29" s="117">
        <v>10</v>
      </c>
      <c r="CE29" s="16">
        <v>33</v>
      </c>
      <c r="CF29" s="16">
        <v>41</v>
      </c>
      <c r="CG29" s="16">
        <v>31</v>
      </c>
      <c r="CH29" s="17">
        <v>36</v>
      </c>
      <c r="CJ29" s="125">
        <v>10</v>
      </c>
      <c r="CK29" s="16">
        <v>45</v>
      </c>
      <c r="CL29" s="16">
        <v>54</v>
      </c>
      <c r="CM29" s="16">
        <v>41</v>
      </c>
      <c r="CN29" s="17">
        <v>48</v>
      </c>
      <c r="CP29" s="23">
        <v>35</v>
      </c>
      <c r="CQ29" s="16">
        <v>114</v>
      </c>
      <c r="CR29" s="16">
        <v>137</v>
      </c>
      <c r="CS29" s="16">
        <v>134</v>
      </c>
      <c r="CT29" s="17">
        <v>160</v>
      </c>
    </row>
    <row r="30" spans="2:98" ht="15.75" customHeight="1" thickTop="1" thickBot="1" x14ac:dyDescent="0.3">
      <c r="B30" s="117">
        <v>25</v>
      </c>
      <c r="C30" s="16">
        <v>63</v>
      </c>
      <c r="D30" s="16">
        <v>79</v>
      </c>
      <c r="E30" s="17">
        <v>83</v>
      </c>
      <c r="G30" s="125">
        <v>25</v>
      </c>
      <c r="H30" s="16">
        <v>84</v>
      </c>
      <c r="I30" s="16">
        <v>105</v>
      </c>
      <c r="J30" s="17">
        <v>101</v>
      </c>
      <c r="L30" s="117">
        <v>25</v>
      </c>
      <c r="M30" s="16">
        <v>57</v>
      </c>
      <c r="N30" s="16">
        <v>70</v>
      </c>
      <c r="O30" s="17">
        <v>73</v>
      </c>
      <c r="Q30" s="125">
        <v>25</v>
      </c>
      <c r="R30" s="16">
        <v>76</v>
      </c>
      <c r="S30" s="16">
        <v>93</v>
      </c>
      <c r="T30" s="17">
        <v>90</v>
      </c>
      <c r="V30" s="1374"/>
      <c r="W30" s="1375"/>
      <c r="X30" s="1375"/>
      <c r="Y30" s="1376"/>
      <c r="AF30" s="1359" t="s">
        <v>293</v>
      </c>
      <c r="AG30" s="1372"/>
      <c r="AH30" s="1372"/>
      <c r="AI30" s="1372"/>
      <c r="AJ30" s="1372"/>
      <c r="AK30" s="1373"/>
      <c r="AM30" s="1359" t="s">
        <v>293</v>
      </c>
      <c r="AN30" s="1372"/>
      <c r="AO30" s="1372"/>
      <c r="AP30" s="1372"/>
      <c r="AQ30" s="1372"/>
      <c r="AR30" s="1373"/>
      <c r="AT30" s="1387"/>
      <c r="AU30" s="1388"/>
      <c r="AV30" s="1388"/>
      <c r="AW30" s="1388"/>
      <c r="AX30" s="1388"/>
      <c r="AY30" s="1388"/>
      <c r="AZ30" s="1388"/>
      <c r="BA30" s="1389"/>
      <c r="BL30" s="1431"/>
      <c r="BM30" s="1432"/>
      <c r="BN30" s="1432"/>
      <c r="BO30" s="1432"/>
      <c r="BP30" s="1432"/>
      <c r="BQ30" s="1432"/>
      <c r="BR30" s="1432"/>
      <c r="BS30" s="1433"/>
      <c r="CD30" s="117">
        <v>16</v>
      </c>
      <c r="CE30" s="16">
        <v>44</v>
      </c>
      <c r="CF30" s="16">
        <v>54</v>
      </c>
      <c r="CG30" s="16">
        <v>41</v>
      </c>
      <c r="CH30" s="17">
        <v>48</v>
      </c>
      <c r="CJ30" s="125">
        <v>16</v>
      </c>
      <c r="CK30" s="16">
        <v>60</v>
      </c>
      <c r="CL30" s="16">
        <v>72</v>
      </c>
      <c r="CM30" s="16">
        <v>55</v>
      </c>
      <c r="CN30" s="17">
        <v>64</v>
      </c>
      <c r="CP30" s="23">
        <v>50</v>
      </c>
      <c r="CQ30" s="16">
        <v>134</v>
      </c>
      <c r="CR30" s="16">
        <v>161</v>
      </c>
      <c r="CS30" s="16">
        <v>160</v>
      </c>
      <c r="CT30" s="17">
        <v>188</v>
      </c>
    </row>
    <row r="31" spans="2:98" ht="15.75" thickTop="1" x14ac:dyDescent="0.25">
      <c r="B31" s="117">
        <v>35</v>
      </c>
      <c r="C31" s="16">
        <v>77</v>
      </c>
      <c r="D31" s="16">
        <v>97</v>
      </c>
      <c r="E31" s="17">
        <v>103</v>
      </c>
      <c r="G31" s="125">
        <v>35</v>
      </c>
      <c r="H31" s="16">
        <v>103</v>
      </c>
      <c r="I31" s="16">
        <v>130</v>
      </c>
      <c r="J31" s="17">
        <v>126</v>
      </c>
      <c r="L31" s="117">
        <v>35</v>
      </c>
      <c r="M31" s="16">
        <v>70</v>
      </c>
      <c r="N31" s="16">
        <v>86</v>
      </c>
      <c r="O31" s="17">
        <v>90</v>
      </c>
      <c r="Q31" s="125">
        <v>35</v>
      </c>
      <c r="R31" s="16">
        <v>94</v>
      </c>
      <c r="S31" s="16">
        <v>116</v>
      </c>
      <c r="T31" s="17">
        <v>112</v>
      </c>
      <c r="V31" s="1374"/>
      <c r="W31" s="1375"/>
      <c r="X31" s="1375"/>
      <c r="Y31" s="1376"/>
      <c r="AF31" s="1374"/>
      <c r="AG31" s="1375"/>
      <c r="AH31" s="1375"/>
      <c r="AI31" s="1375"/>
      <c r="AJ31" s="1375"/>
      <c r="AK31" s="1376"/>
      <c r="AM31" s="1374"/>
      <c r="AN31" s="1375"/>
      <c r="AO31" s="1375"/>
      <c r="AP31" s="1375"/>
      <c r="AQ31" s="1375"/>
      <c r="AR31" s="1376"/>
      <c r="CD31" s="117">
        <v>25</v>
      </c>
      <c r="CE31" s="16">
        <v>58</v>
      </c>
      <c r="CF31" s="16">
        <v>71</v>
      </c>
      <c r="CG31" s="16">
        <v>53</v>
      </c>
      <c r="CH31" s="17">
        <v>62</v>
      </c>
      <c r="CJ31" s="125">
        <v>25</v>
      </c>
      <c r="CK31" s="16">
        <v>78</v>
      </c>
      <c r="CL31" s="16">
        <v>94</v>
      </c>
      <c r="CM31" s="16">
        <v>71</v>
      </c>
      <c r="CN31" s="17">
        <v>84</v>
      </c>
      <c r="CP31" s="23">
        <v>70</v>
      </c>
      <c r="CQ31" s="16">
        <v>167</v>
      </c>
      <c r="CR31" s="16">
        <v>200</v>
      </c>
      <c r="CS31" s="16">
        <v>197</v>
      </c>
      <c r="CT31" s="17">
        <v>233</v>
      </c>
    </row>
    <row r="32" spans="2:98" ht="15.75" thickBot="1" x14ac:dyDescent="0.3">
      <c r="B32" s="117">
        <v>50</v>
      </c>
      <c r="C32" s="16">
        <v>93</v>
      </c>
      <c r="D32" s="16">
        <v>118</v>
      </c>
      <c r="E32" s="17">
        <v>125</v>
      </c>
      <c r="G32" s="125">
        <v>50</v>
      </c>
      <c r="H32" s="16">
        <v>125</v>
      </c>
      <c r="I32" s="16">
        <v>157</v>
      </c>
      <c r="J32" s="17">
        <v>154</v>
      </c>
      <c r="L32" s="117">
        <v>50</v>
      </c>
      <c r="M32" s="16">
        <v>84</v>
      </c>
      <c r="N32" s="16">
        <v>104</v>
      </c>
      <c r="O32" s="17">
        <v>110</v>
      </c>
      <c r="Q32" s="125">
        <v>50</v>
      </c>
      <c r="R32" s="16">
        <v>113</v>
      </c>
      <c r="S32" s="16">
        <v>140</v>
      </c>
      <c r="T32" s="17">
        <v>136</v>
      </c>
      <c r="V32" s="1377"/>
      <c r="W32" s="1378"/>
      <c r="X32" s="1378"/>
      <c r="Y32" s="1379"/>
      <c r="AF32" s="1374"/>
      <c r="AG32" s="1375"/>
      <c r="AH32" s="1375"/>
      <c r="AI32" s="1375"/>
      <c r="AJ32" s="1375"/>
      <c r="AK32" s="1376"/>
      <c r="AM32" s="1374"/>
      <c r="AN32" s="1375"/>
      <c r="AO32" s="1375"/>
      <c r="AP32" s="1375"/>
      <c r="AQ32" s="1375"/>
      <c r="AR32" s="1376"/>
      <c r="CD32" s="117">
        <v>35</v>
      </c>
      <c r="CE32" s="16">
        <v>71</v>
      </c>
      <c r="CF32" s="16">
        <v>86</v>
      </c>
      <c r="CG32" s="16">
        <v>65</v>
      </c>
      <c r="CH32" s="17">
        <v>77</v>
      </c>
      <c r="CJ32" s="125">
        <v>35</v>
      </c>
      <c r="CK32" s="16">
        <v>96</v>
      </c>
      <c r="CL32" s="16">
        <v>115</v>
      </c>
      <c r="CM32" s="16">
        <v>87</v>
      </c>
      <c r="CN32" s="17">
        <v>103</v>
      </c>
      <c r="CP32" s="23">
        <v>95</v>
      </c>
      <c r="CQ32" s="16">
        <v>197</v>
      </c>
      <c r="CR32" s="16">
        <v>237</v>
      </c>
      <c r="CS32" s="16">
        <v>234</v>
      </c>
      <c r="CT32" s="17">
        <v>275</v>
      </c>
    </row>
    <row r="33" spans="2:98" ht="16.5" thickTop="1" thickBot="1" x14ac:dyDescent="0.3">
      <c r="B33" s="117">
        <v>70</v>
      </c>
      <c r="C33" s="16">
        <v>118</v>
      </c>
      <c r="D33" s="16">
        <v>150</v>
      </c>
      <c r="E33" s="17">
        <v>160</v>
      </c>
      <c r="G33" s="125">
        <v>70</v>
      </c>
      <c r="H33" s="16">
        <v>158</v>
      </c>
      <c r="I33" s="16">
        <v>200</v>
      </c>
      <c r="J33" s="17">
        <v>198</v>
      </c>
      <c r="L33" s="117">
        <v>70</v>
      </c>
      <c r="M33" s="16">
        <v>107</v>
      </c>
      <c r="N33" s="16">
        <v>133</v>
      </c>
      <c r="O33" s="17">
        <v>140</v>
      </c>
      <c r="Q33" s="125">
        <v>70</v>
      </c>
      <c r="R33" s="16">
        <v>142</v>
      </c>
      <c r="S33" s="16">
        <v>179</v>
      </c>
      <c r="T33" s="17">
        <v>174</v>
      </c>
      <c r="AF33" s="1377"/>
      <c r="AG33" s="1378"/>
      <c r="AH33" s="1378"/>
      <c r="AI33" s="1378"/>
      <c r="AJ33" s="1378"/>
      <c r="AK33" s="1379"/>
      <c r="AM33" s="1377"/>
      <c r="AN33" s="1378"/>
      <c r="AO33" s="1378"/>
      <c r="AP33" s="1378"/>
      <c r="AQ33" s="1378"/>
      <c r="AR33" s="1379"/>
      <c r="CD33" s="117">
        <v>50</v>
      </c>
      <c r="CE33" s="16">
        <v>86</v>
      </c>
      <c r="CF33" s="16">
        <v>104</v>
      </c>
      <c r="CG33" s="16">
        <v>78</v>
      </c>
      <c r="CH33" s="17">
        <v>92</v>
      </c>
      <c r="CJ33" s="125">
        <v>50</v>
      </c>
      <c r="CK33" s="16">
        <v>115</v>
      </c>
      <c r="CL33" s="16">
        <v>138</v>
      </c>
      <c r="CM33" s="16">
        <v>104</v>
      </c>
      <c r="CN33" s="17">
        <v>124</v>
      </c>
      <c r="CP33" s="23">
        <v>120</v>
      </c>
      <c r="CQ33" s="16">
        <v>224</v>
      </c>
      <c r="CR33" s="16">
        <v>270</v>
      </c>
      <c r="CS33" s="16">
        <v>266</v>
      </c>
      <c r="CT33" s="17">
        <v>314</v>
      </c>
    </row>
    <row r="34" spans="2:98" ht="15.75" thickTop="1" x14ac:dyDescent="0.25">
      <c r="B34" s="117">
        <v>95</v>
      </c>
      <c r="C34" s="16">
        <v>142</v>
      </c>
      <c r="D34" s="16">
        <v>181</v>
      </c>
      <c r="E34" s="17">
        <v>195</v>
      </c>
      <c r="G34" s="125">
        <v>95</v>
      </c>
      <c r="H34" s="16">
        <v>191</v>
      </c>
      <c r="I34" s="16">
        <v>242</v>
      </c>
      <c r="J34" s="17">
        <v>241</v>
      </c>
      <c r="L34" s="117">
        <v>95</v>
      </c>
      <c r="M34" s="16">
        <v>129</v>
      </c>
      <c r="N34" s="16">
        <v>161</v>
      </c>
      <c r="O34" s="17">
        <v>170</v>
      </c>
      <c r="Q34" s="125">
        <v>95</v>
      </c>
      <c r="R34" s="16">
        <v>171</v>
      </c>
      <c r="S34" s="16">
        <v>217</v>
      </c>
      <c r="T34" s="17">
        <v>211</v>
      </c>
      <c r="CD34" s="117">
        <v>70</v>
      </c>
      <c r="CE34" s="16">
        <v>108</v>
      </c>
      <c r="CF34" s="16">
        <v>131</v>
      </c>
      <c r="CG34" s="16">
        <v>98</v>
      </c>
      <c r="CH34" s="17">
        <v>116</v>
      </c>
      <c r="CJ34" s="125">
        <v>70</v>
      </c>
      <c r="CK34" s="16">
        <v>145</v>
      </c>
      <c r="CL34" s="16">
        <v>175</v>
      </c>
      <c r="CM34" s="16">
        <v>131</v>
      </c>
      <c r="CN34" s="17">
        <v>156</v>
      </c>
      <c r="CP34" s="23">
        <v>150</v>
      </c>
      <c r="CQ34" s="16">
        <v>254</v>
      </c>
      <c r="CR34" s="16">
        <v>304</v>
      </c>
      <c r="CS34" s="16">
        <v>300</v>
      </c>
      <c r="CT34" s="17">
        <v>359</v>
      </c>
    </row>
    <row r="35" spans="2:98" x14ac:dyDescent="0.25">
      <c r="B35" s="117">
        <v>120</v>
      </c>
      <c r="C35" s="16">
        <v>164</v>
      </c>
      <c r="D35" s="16">
        <v>210</v>
      </c>
      <c r="E35" s="17">
        <v>226</v>
      </c>
      <c r="G35" s="125">
        <v>120</v>
      </c>
      <c r="H35" s="16">
        <v>220</v>
      </c>
      <c r="I35" s="16">
        <v>281</v>
      </c>
      <c r="J35" s="17">
        <v>280</v>
      </c>
      <c r="L35" s="117">
        <v>120</v>
      </c>
      <c r="M35" s="16">
        <v>149</v>
      </c>
      <c r="N35" s="16">
        <v>186</v>
      </c>
      <c r="O35" s="17">
        <v>197</v>
      </c>
      <c r="Q35" s="125">
        <v>120</v>
      </c>
      <c r="R35" s="16">
        <v>197</v>
      </c>
      <c r="S35" s="16">
        <v>251</v>
      </c>
      <c r="T35" s="17">
        <v>245</v>
      </c>
      <c r="CD35" s="117">
        <v>95</v>
      </c>
      <c r="CE35" s="16">
        <v>130</v>
      </c>
      <c r="CF35" s="16">
        <v>157</v>
      </c>
      <c r="CG35" s="16">
        <v>118</v>
      </c>
      <c r="CH35" s="17">
        <v>139</v>
      </c>
      <c r="CJ35" s="125">
        <v>95</v>
      </c>
      <c r="CK35" s="16">
        <v>175</v>
      </c>
      <c r="CL35" s="16">
        <v>210</v>
      </c>
      <c r="CM35" s="16">
        <v>157</v>
      </c>
      <c r="CN35" s="17">
        <v>188</v>
      </c>
      <c r="CP35" s="23">
        <v>185</v>
      </c>
      <c r="CQ35" s="16">
        <v>285</v>
      </c>
      <c r="CR35" s="16">
        <v>343</v>
      </c>
      <c r="CS35" s="16">
        <v>337</v>
      </c>
      <c r="CT35" s="17">
        <v>398</v>
      </c>
    </row>
    <row r="36" spans="2:98" x14ac:dyDescent="0.25">
      <c r="B36" s="117">
        <v>150</v>
      </c>
      <c r="C36" s="16">
        <v>189</v>
      </c>
      <c r="D36" s="16" t="s">
        <v>252</v>
      </c>
      <c r="E36" s="17">
        <v>261</v>
      </c>
      <c r="G36" s="125">
        <v>150</v>
      </c>
      <c r="H36" s="16">
        <v>253</v>
      </c>
      <c r="I36" s="16" t="s">
        <v>252</v>
      </c>
      <c r="J36" s="17">
        <v>324</v>
      </c>
      <c r="L36" s="117">
        <v>150</v>
      </c>
      <c r="M36" s="16">
        <v>170</v>
      </c>
      <c r="N36" s="16" t="s">
        <v>252</v>
      </c>
      <c r="O36" s="17">
        <v>227</v>
      </c>
      <c r="Q36" s="125">
        <v>150</v>
      </c>
      <c r="R36" s="16">
        <v>226</v>
      </c>
      <c r="S36" s="16" t="s">
        <v>252</v>
      </c>
      <c r="T36" s="17">
        <v>283</v>
      </c>
      <c r="CD36" s="117">
        <v>120</v>
      </c>
      <c r="CE36" s="16">
        <v>150</v>
      </c>
      <c r="CF36" s="16">
        <v>181</v>
      </c>
      <c r="CG36" s="16">
        <v>135</v>
      </c>
      <c r="CH36" s="17">
        <v>160</v>
      </c>
      <c r="CJ36" s="125">
        <v>120</v>
      </c>
      <c r="CK36" s="16">
        <v>201</v>
      </c>
      <c r="CL36" s="16">
        <v>242</v>
      </c>
      <c r="CM36" s="16">
        <v>180</v>
      </c>
      <c r="CN36" s="17">
        <v>216</v>
      </c>
      <c r="CP36" s="23">
        <v>240</v>
      </c>
      <c r="CQ36" s="16">
        <v>328</v>
      </c>
      <c r="CR36" s="16">
        <v>396</v>
      </c>
      <c r="CS36" s="16">
        <v>388</v>
      </c>
      <c r="CT36" s="17">
        <v>458</v>
      </c>
    </row>
    <row r="37" spans="2:98" ht="15.75" thickBot="1" x14ac:dyDescent="0.3">
      <c r="B37" s="117">
        <v>185</v>
      </c>
      <c r="C37" s="16">
        <v>215</v>
      </c>
      <c r="D37" s="16" t="s">
        <v>252</v>
      </c>
      <c r="E37" s="17">
        <v>298</v>
      </c>
      <c r="G37" s="125">
        <v>185</v>
      </c>
      <c r="H37" s="16">
        <v>288</v>
      </c>
      <c r="I37" s="16" t="s">
        <v>252</v>
      </c>
      <c r="J37" s="17">
        <v>371</v>
      </c>
      <c r="L37" s="117">
        <v>185</v>
      </c>
      <c r="M37" s="16">
        <v>194</v>
      </c>
      <c r="N37" s="16" t="s">
        <v>252</v>
      </c>
      <c r="O37" s="17">
        <v>259</v>
      </c>
      <c r="Q37" s="125">
        <v>185</v>
      </c>
      <c r="R37" s="16">
        <v>256</v>
      </c>
      <c r="S37" s="16" t="s">
        <v>252</v>
      </c>
      <c r="T37" s="17">
        <v>323</v>
      </c>
      <c r="CD37" s="117">
        <v>150</v>
      </c>
      <c r="CE37" s="16">
        <v>172</v>
      </c>
      <c r="CF37" s="16" t="s">
        <v>297</v>
      </c>
      <c r="CG37" s="16">
        <v>155</v>
      </c>
      <c r="CH37" s="17" t="s">
        <v>297</v>
      </c>
      <c r="CJ37" s="125">
        <v>150</v>
      </c>
      <c r="CK37" s="16">
        <v>230</v>
      </c>
      <c r="CL37" s="16" t="s">
        <v>252</v>
      </c>
      <c r="CM37" s="16">
        <v>206</v>
      </c>
      <c r="CN37" s="17" t="s">
        <v>252</v>
      </c>
      <c r="CP37" s="28">
        <v>300</v>
      </c>
      <c r="CQ37" s="21">
        <v>371</v>
      </c>
      <c r="CR37" s="21">
        <v>447</v>
      </c>
      <c r="CS37" s="21">
        <v>400</v>
      </c>
      <c r="CT37" s="22">
        <v>520</v>
      </c>
    </row>
    <row r="38" spans="2:98" ht="15.75" customHeight="1" thickTop="1" x14ac:dyDescent="0.25">
      <c r="B38" s="117">
        <v>240</v>
      </c>
      <c r="C38" s="16">
        <v>252</v>
      </c>
      <c r="D38" s="16" t="s">
        <v>252</v>
      </c>
      <c r="E38" s="17">
        <v>352</v>
      </c>
      <c r="G38" s="125">
        <v>240</v>
      </c>
      <c r="H38" s="16">
        <v>338</v>
      </c>
      <c r="I38" s="16" t="s">
        <v>252</v>
      </c>
      <c r="J38" s="17">
        <v>439</v>
      </c>
      <c r="L38" s="117">
        <v>240</v>
      </c>
      <c r="M38" s="16">
        <v>227</v>
      </c>
      <c r="N38" s="16" t="s">
        <v>252</v>
      </c>
      <c r="O38" s="17">
        <v>305</v>
      </c>
      <c r="Q38" s="125">
        <v>240</v>
      </c>
      <c r="R38" s="16">
        <v>300</v>
      </c>
      <c r="S38" s="16" t="s">
        <v>252</v>
      </c>
      <c r="T38" s="17">
        <v>382</v>
      </c>
      <c r="CD38" s="117">
        <v>185</v>
      </c>
      <c r="CE38" s="16">
        <v>195</v>
      </c>
      <c r="CF38" s="16" t="s">
        <v>297</v>
      </c>
      <c r="CG38" s="16">
        <v>176</v>
      </c>
      <c r="CH38" s="17" t="s">
        <v>297</v>
      </c>
      <c r="CJ38" s="125">
        <v>185</v>
      </c>
      <c r="CK38" s="16">
        <v>262</v>
      </c>
      <c r="CL38" s="16" t="s">
        <v>252</v>
      </c>
      <c r="CM38" s="16">
        <v>233</v>
      </c>
      <c r="CN38" s="17" t="s">
        <v>252</v>
      </c>
      <c r="CP38" s="1441" t="s">
        <v>329</v>
      </c>
      <c r="CQ38" s="1442"/>
      <c r="CR38" s="1442"/>
      <c r="CS38" s="1442"/>
      <c r="CT38" s="1443"/>
    </row>
    <row r="39" spans="2:98" ht="15.75" thickBot="1" x14ac:dyDescent="0.3">
      <c r="B39" s="120">
        <v>300</v>
      </c>
      <c r="C39" s="21">
        <v>289</v>
      </c>
      <c r="D39" s="21" t="s">
        <v>252</v>
      </c>
      <c r="E39" s="22">
        <v>406</v>
      </c>
      <c r="G39" s="128">
        <v>300</v>
      </c>
      <c r="H39" s="21">
        <v>387</v>
      </c>
      <c r="I39" s="21" t="s">
        <v>252</v>
      </c>
      <c r="J39" s="22">
        <v>508</v>
      </c>
      <c r="L39" s="120">
        <v>300</v>
      </c>
      <c r="M39" s="21">
        <v>261</v>
      </c>
      <c r="N39" s="21" t="s">
        <v>252</v>
      </c>
      <c r="O39" s="22">
        <v>351</v>
      </c>
      <c r="Q39" s="128">
        <v>300</v>
      </c>
      <c r="R39" s="21">
        <v>344</v>
      </c>
      <c r="S39" s="21" t="s">
        <v>252</v>
      </c>
      <c r="T39" s="22">
        <v>440</v>
      </c>
      <c r="CD39" s="117">
        <v>240</v>
      </c>
      <c r="CE39" s="16">
        <v>229</v>
      </c>
      <c r="CF39" s="16" t="s">
        <v>297</v>
      </c>
      <c r="CG39" s="16">
        <v>207</v>
      </c>
      <c r="CH39" s="17" t="s">
        <v>297</v>
      </c>
      <c r="CJ39" s="125">
        <v>240</v>
      </c>
      <c r="CK39" s="16">
        <v>307</v>
      </c>
      <c r="CL39" s="16" t="s">
        <v>252</v>
      </c>
      <c r="CM39" s="16">
        <v>273</v>
      </c>
      <c r="CN39" s="17" t="s">
        <v>252</v>
      </c>
      <c r="CP39" s="1444"/>
      <c r="CQ39" s="1445"/>
      <c r="CR39" s="1445"/>
      <c r="CS39" s="1445"/>
      <c r="CT39" s="1446"/>
    </row>
    <row r="40" spans="2:98" ht="20.25" customHeight="1" thickTop="1" thickBot="1" x14ac:dyDescent="0.3">
      <c r="B40" s="1304" t="s">
        <v>264</v>
      </c>
      <c r="C40" s="1305"/>
      <c r="D40" s="1305"/>
      <c r="E40" s="1306"/>
      <c r="G40" s="1313" t="s">
        <v>264</v>
      </c>
      <c r="H40" s="1314"/>
      <c r="I40" s="1314"/>
      <c r="J40" s="1315"/>
      <c r="L40" s="1304" t="s">
        <v>264</v>
      </c>
      <c r="M40" s="1305"/>
      <c r="N40" s="1305"/>
      <c r="O40" s="1306"/>
      <c r="Q40" s="1313" t="s">
        <v>264</v>
      </c>
      <c r="R40" s="1314"/>
      <c r="S40" s="1314"/>
      <c r="T40" s="1315"/>
      <c r="CD40" s="120">
        <v>300</v>
      </c>
      <c r="CE40" s="21">
        <v>263</v>
      </c>
      <c r="CF40" s="21" t="s">
        <v>297</v>
      </c>
      <c r="CG40" s="21">
        <v>237</v>
      </c>
      <c r="CH40" s="22" t="s">
        <v>297</v>
      </c>
      <c r="CJ40" s="128">
        <v>300</v>
      </c>
      <c r="CK40" s="21">
        <v>352</v>
      </c>
      <c r="CL40" s="21" t="s">
        <v>252</v>
      </c>
      <c r="CM40" s="21">
        <v>313</v>
      </c>
      <c r="CN40" s="22" t="s">
        <v>252</v>
      </c>
      <c r="CP40" s="1444"/>
      <c r="CQ40" s="1445"/>
      <c r="CR40" s="1445"/>
      <c r="CS40" s="1445"/>
      <c r="CT40" s="1446"/>
    </row>
    <row r="41" spans="2:98" ht="15.75" thickTop="1" x14ac:dyDescent="0.25">
      <c r="B41" s="1307"/>
      <c r="C41" s="1308"/>
      <c r="D41" s="1308"/>
      <c r="E41" s="1309"/>
      <c r="G41" s="1316"/>
      <c r="H41" s="1317"/>
      <c r="I41" s="1317"/>
      <c r="J41" s="1318"/>
      <c r="L41" s="1307"/>
      <c r="M41" s="1308"/>
      <c r="N41" s="1308"/>
      <c r="O41" s="1309"/>
      <c r="Q41" s="1316"/>
      <c r="R41" s="1317"/>
      <c r="S41" s="1317"/>
      <c r="T41" s="1318"/>
      <c r="BS41">
        <f>250000/(SQRT(3)*400)</f>
        <v>360.8439182435161</v>
      </c>
      <c r="CP41" s="1444"/>
      <c r="CQ41" s="1445"/>
      <c r="CR41" s="1445"/>
      <c r="CS41" s="1445"/>
      <c r="CT41" s="1446"/>
    </row>
    <row r="42" spans="2:98" ht="23.25" customHeight="1" thickBot="1" x14ac:dyDescent="0.3">
      <c r="B42" s="1310"/>
      <c r="C42" s="1311"/>
      <c r="D42" s="1311"/>
      <c r="E42" s="1312"/>
      <c r="G42" s="1319"/>
      <c r="H42" s="1320"/>
      <c r="I42" s="1320"/>
      <c r="J42" s="1321"/>
      <c r="L42" s="1310"/>
      <c r="M42" s="1311"/>
      <c r="N42" s="1311"/>
      <c r="O42" s="1312"/>
      <c r="Q42" s="1319"/>
      <c r="R42" s="1320"/>
      <c r="S42" s="1320"/>
      <c r="T42" s="1321"/>
      <c r="CP42" s="1447"/>
      <c r="CQ42" s="1448"/>
      <c r="CR42" s="1448"/>
      <c r="CS42" s="1448"/>
      <c r="CT42" s="1449"/>
    </row>
    <row r="43" spans="2:98" ht="15.75" thickTop="1" x14ac:dyDescent="0.25">
      <c r="BS43">
        <f>432*1.45</f>
        <v>626.4</v>
      </c>
    </row>
  </sheetData>
  <mergeCells count="137">
    <mergeCell ref="CJ3:CN3"/>
    <mergeCell ref="CJ4:CN4"/>
    <mergeCell ref="BU2:CB2"/>
    <mergeCell ref="CD2:CH2"/>
    <mergeCell ref="CD3:CH3"/>
    <mergeCell ref="CD4:CH4"/>
    <mergeCell ref="CJ2:CN2"/>
    <mergeCell ref="BU5:BU7"/>
    <mergeCell ref="BV5:BW5"/>
    <mergeCell ref="CP38:CT42"/>
    <mergeCell ref="CJ25:CN25"/>
    <mergeCell ref="CP8:CT8"/>
    <mergeCell ref="CJ8:CN8"/>
    <mergeCell ref="CP25:CT25"/>
    <mergeCell ref="BY6:BY7"/>
    <mergeCell ref="CD25:CH25"/>
    <mergeCell ref="CD8:CH8"/>
    <mergeCell ref="BX5:CB5"/>
    <mergeCell ref="CT6:CT7"/>
    <mergeCell ref="CG5:CH5"/>
    <mergeCell ref="CE5:CF5"/>
    <mergeCell ref="CS6:CS7"/>
    <mergeCell ref="CP5:CP7"/>
    <mergeCell ref="CQ5:CT5"/>
    <mergeCell ref="CQ6:CQ7"/>
    <mergeCell ref="CK5:CL5"/>
    <mergeCell ref="CM5:CN5"/>
    <mergeCell ref="CP2:CT2"/>
    <mergeCell ref="CP3:CT3"/>
    <mergeCell ref="CP4:CT4"/>
    <mergeCell ref="BU3:CB3"/>
    <mergeCell ref="BU4:CB4"/>
    <mergeCell ref="CR6:CR7"/>
    <mergeCell ref="BX6:BX7"/>
    <mergeCell ref="BC28:BJ29"/>
    <mergeCell ref="BL4:BS4"/>
    <mergeCell ref="BP6:BP7"/>
    <mergeCell ref="BL29:BS30"/>
    <mergeCell ref="BO5:BS5"/>
    <mergeCell ref="BL5:BL7"/>
    <mergeCell ref="BH6:BJ6"/>
    <mergeCell ref="BF5:BJ5"/>
    <mergeCell ref="BC4:BJ4"/>
    <mergeCell ref="BQ6:BS6"/>
    <mergeCell ref="BN6:BN7"/>
    <mergeCell ref="BO6:BO7"/>
    <mergeCell ref="BG6:BG7"/>
    <mergeCell ref="BD5:BE5"/>
    <mergeCell ref="BZ6:CB6"/>
    <mergeCell ref="BW6:BW7"/>
    <mergeCell ref="BV6:BV7"/>
    <mergeCell ref="AT2:BA2"/>
    <mergeCell ref="BC2:BJ2"/>
    <mergeCell ref="BC3:BJ3"/>
    <mergeCell ref="AT3:BA3"/>
    <mergeCell ref="AT4:BA4"/>
    <mergeCell ref="BD6:BD7"/>
    <mergeCell ref="BE6:BE7"/>
    <mergeCell ref="BM6:BM7"/>
    <mergeCell ref="BC5:BC7"/>
    <mergeCell ref="BM5:BN5"/>
    <mergeCell ref="BF6:BF7"/>
    <mergeCell ref="AU6:AU7"/>
    <mergeCell ref="AT5:AT7"/>
    <mergeCell ref="AY6:BA6"/>
    <mergeCell ref="AX6:AX7"/>
    <mergeCell ref="AU5:AV5"/>
    <mergeCell ref="AV6:AV7"/>
    <mergeCell ref="AW6:AW7"/>
    <mergeCell ref="AW5:BA5"/>
    <mergeCell ref="BL2:BS2"/>
    <mergeCell ref="BL3:BS3"/>
    <mergeCell ref="Q40:T42"/>
    <mergeCell ref="Q24:T24"/>
    <mergeCell ref="V13:Y13"/>
    <mergeCell ref="AH6:AK6"/>
    <mergeCell ref="AG6:AG7"/>
    <mergeCell ref="X6:Y6"/>
    <mergeCell ref="V29:Y32"/>
    <mergeCell ref="V9:Y9"/>
    <mergeCell ref="AA26:AD29"/>
    <mergeCell ref="AA9:AD9"/>
    <mergeCell ref="AA22:AD22"/>
    <mergeCell ref="AT29:BA30"/>
    <mergeCell ref="AF30:AK33"/>
    <mergeCell ref="AF10:AK10"/>
    <mergeCell ref="AF14:AK14"/>
    <mergeCell ref="AM10:AR10"/>
    <mergeCell ref="AF3:AK3"/>
    <mergeCell ref="AG5:AK5"/>
    <mergeCell ref="AF4:AK4"/>
    <mergeCell ref="AN6:AN7"/>
    <mergeCell ref="AM5:AM7"/>
    <mergeCell ref="AM2:AR2"/>
    <mergeCell ref="AM3:AR3"/>
    <mergeCell ref="AM4:AR4"/>
    <mergeCell ref="AF5:AF7"/>
    <mergeCell ref="AM30:AR33"/>
    <mergeCell ref="AM14:AR14"/>
    <mergeCell ref="AF2:AK2"/>
    <mergeCell ref="AO6:AR6"/>
    <mergeCell ref="AN5:AR5"/>
    <mergeCell ref="AA2:AD2"/>
    <mergeCell ref="Q4:T5"/>
    <mergeCell ref="Q2:T2"/>
    <mergeCell ref="V2:Y2"/>
    <mergeCell ref="W5:Y5"/>
    <mergeCell ref="V5:V7"/>
    <mergeCell ref="AC6:AD6"/>
    <mergeCell ref="Q3:T3"/>
    <mergeCell ref="R6:T6"/>
    <mergeCell ref="W6:W7"/>
    <mergeCell ref="AB5:AD5"/>
    <mergeCell ref="AB6:AB7"/>
    <mergeCell ref="V3:Y3"/>
    <mergeCell ref="V4:Y4"/>
    <mergeCell ref="AA5:AA7"/>
    <mergeCell ref="AA3:AD3"/>
    <mergeCell ref="AA4:AD4"/>
    <mergeCell ref="B40:E42"/>
    <mergeCell ref="G40:J42"/>
    <mergeCell ref="L2:O2"/>
    <mergeCell ref="L3:O3"/>
    <mergeCell ref="B2:E2"/>
    <mergeCell ref="H6:J6"/>
    <mergeCell ref="M6:O6"/>
    <mergeCell ref="B4:E5"/>
    <mergeCell ref="G4:J5"/>
    <mergeCell ref="L40:O42"/>
    <mergeCell ref="B24:E24"/>
    <mergeCell ref="G24:J24"/>
    <mergeCell ref="L24:O24"/>
    <mergeCell ref="G3:J3"/>
    <mergeCell ref="L4:O5"/>
    <mergeCell ref="C6:E6"/>
    <mergeCell ref="B3:E3"/>
    <mergeCell ref="G2:J2"/>
  </mergeCells>
  <phoneticPr fontId="29" type="noConversion"/>
  <pageMargins left="0.7" right="0.7" top="0.75" bottom="0.75" header="0.3" footer="0.3"/>
  <pageSetup paperSize="9" orientation="portrait" horizont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C00"/>
  </sheetPr>
  <dimension ref="B2:BQ27"/>
  <sheetViews>
    <sheetView showGridLines="0" zoomScale="70" zoomScaleNormal="70" workbookViewId="0">
      <selection activeCell="BC6" sqref="BC6"/>
    </sheetView>
  </sheetViews>
  <sheetFormatPr defaultColWidth="9.140625" defaultRowHeight="14.25" x14ac:dyDescent="0.2"/>
  <cols>
    <col min="1" max="1" width="9.140625" style="66"/>
    <col min="2" max="2" width="14.28515625" style="66" customWidth="1"/>
    <col min="3" max="3" width="9.140625" style="66"/>
    <col min="4" max="4" width="11.28515625" style="66" customWidth="1"/>
    <col min="5" max="7" width="9.140625" style="66"/>
    <col min="8" max="8" width="21.5703125" style="66" customWidth="1"/>
    <col min="9" max="9" width="10.140625" style="66" customWidth="1"/>
    <col min="10" max="11" width="9.140625" style="66"/>
    <col min="12" max="12" width="9.140625" style="146"/>
    <col min="13" max="13" width="9.140625" style="42"/>
    <col min="14" max="14" width="78.42578125" style="42" customWidth="1"/>
    <col min="15" max="26" width="9.140625" style="42"/>
    <col min="27" max="27" width="22.28515625" style="42" customWidth="1"/>
    <col min="28" max="28" width="9.140625" style="42"/>
    <col min="29" max="29" width="45.5703125" style="42" customWidth="1"/>
    <col min="30" max="30" width="31.85546875" style="42" customWidth="1"/>
    <col min="31" max="31" width="9.140625" style="66"/>
    <col min="32" max="32" width="22.5703125" style="42" customWidth="1"/>
    <col min="33" max="39" width="9.140625" style="42"/>
    <col min="40" max="40" width="18.28515625" style="42" customWidth="1"/>
    <col min="41" max="41" width="16.140625" style="42" customWidth="1"/>
    <col min="42" max="42" width="30.42578125" style="42" customWidth="1"/>
    <col min="43" max="43" width="26.5703125" style="42" customWidth="1"/>
    <col min="44" max="50" width="9.140625" style="42"/>
    <col min="51" max="51" width="21" style="42" customWidth="1"/>
    <col min="52" max="52" width="15" style="42" customWidth="1"/>
    <col min="53" max="53" width="33.140625" style="42" customWidth="1"/>
    <col min="54" max="54" width="25.42578125" style="42" customWidth="1"/>
    <col min="55" max="58" width="9.140625" style="42"/>
    <col min="59" max="59" width="32.140625" style="4" customWidth="1"/>
    <col min="60" max="60" width="11.5703125" style="4" customWidth="1"/>
    <col min="61" max="61" width="23.28515625" style="4" customWidth="1"/>
    <col min="62" max="62" width="23.28515625" style="1" customWidth="1"/>
    <col min="63" max="63" width="9.140625" style="1"/>
    <col min="64" max="16384" width="9.140625" style="66"/>
  </cols>
  <sheetData>
    <row r="2" spans="2:69" ht="20.25" customHeight="1" thickBot="1" x14ac:dyDescent="0.25">
      <c r="B2" s="1270" t="s">
        <v>353</v>
      </c>
      <c r="C2" s="1270"/>
      <c r="D2" s="1270"/>
      <c r="E2" s="1270"/>
      <c r="F2" s="1270"/>
      <c r="H2" s="1270" t="s">
        <v>374</v>
      </c>
      <c r="I2" s="1270"/>
      <c r="J2" s="1270"/>
      <c r="K2" s="35"/>
      <c r="M2" s="1472" t="s">
        <v>391</v>
      </c>
      <c r="N2" s="1472"/>
      <c r="O2" s="1472"/>
      <c r="P2" s="1472"/>
      <c r="Q2" s="1472"/>
      <c r="R2" s="1472"/>
      <c r="S2" s="1472"/>
      <c r="T2" s="1472"/>
      <c r="U2" s="1472"/>
      <c r="V2" s="1472"/>
      <c r="W2" s="1472"/>
      <c r="X2" s="1472"/>
      <c r="Y2" s="1472"/>
      <c r="Z2" s="1472"/>
      <c r="AA2" s="1472"/>
      <c r="AC2" s="1270" t="s">
        <v>397</v>
      </c>
      <c r="AD2" s="1270"/>
      <c r="AF2" s="1270" t="s">
        <v>403</v>
      </c>
      <c r="AG2" s="1270"/>
      <c r="AH2" s="1270"/>
      <c r="AI2" s="1270"/>
      <c r="AJ2" s="1270"/>
      <c r="AK2" s="1270"/>
      <c r="AL2" s="1270"/>
      <c r="AM2" s="35"/>
      <c r="AN2" s="1270" t="s">
        <v>422</v>
      </c>
      <c r="AO2" s="1270"/>
      <c r="AP2" s="1270"/>
      <c r="AQ2" s="1270"/>
      <c r="AR2" s="1270"/>
      <c r="AS2" s="1270"/>
      <c r="AT2" s="1270"/>
      <c r="AU2" s="1270"/>
      <c r="AV2" s="1270"/>
      <c r="AW2" s="1270"/>
      <c r="AX2" s="35"/>
      <c r="AY2" s="1270" t="s">
        <v>419</v>
      </c>
      <c r="AZ2" s="1270"/>
      <c r="BA2" s="1270"/>
      <c r="BB2" s="1270"/>
      <c r="BC2" s="1270"/>
      <c r="BD2" s="1270"/>
      <c r="BE2" s="1270"/>
      <c r="BG2" s="1270" t="s">
        <v>446</v>
      </c>
      <c r="BH2" s="1270"/>
      <c r="BI2" s="1270"/>
      <c r="BJ2" s="1270"/>
      <c r="BK2" s="96"/>
      <c r="BL2" s="96"/>
      <c r="BM2" s="96"/>
    </row>
    <row r="3" spans="2:69" ht="108.75" customHeight="1" thickTop="1" thickBot="1" x14ac:dyDescent="0.25">
      <c r="B3" s="1441" t="s">
        <v>354</v>
      </c>
      <c r="C3" s="1442"/>
      <c r="D3" s="1442"/>
      <c r="E3" s="1442"/>
      <c r="F3" s="1443"/>
      <c r="H3" s="1466" t="s">
        <v>376</v>
      </c>
      <c r="I3" s="1467"/>
      <c r="J3" s="1468"/>
      <c r="K3" s="82"/>
      <c r="L3" s="147"/>
      <c r="M3" s="1469" t="s">
        <v>392</v>
      </c>
      <c r="N3" s="1470"/>
      <c r="O3" s="1470"/>
      <c r="P3" s="1470"/>
      <c r="Q3" s="1470"/>
      <c r="R3" s="1470"/>
      <c r="S3" s="1470"/>
      <c r="T3" s="1470"/>
      <c r="U3" s="1470"/>
      <c r="V3" s="1470"/>
      <c r="W3" s="1470"/>
      <c r="X3" s="1470"/>
      <c r="Y3" s="1470"/>
      <c r="Z3" s="1470"/>
      <c r="AA3" s="1471"/>
      <c r="AC3" s="1441" t="s">
        <v>398</v>
      </c>
      <c r="AD3" s="1443"/>
      <c r="AF3" s="1481" t="s">
        <v>420</v>
      </c>
      <c r="AG3" s="1482"/>
      <c r="AH3" s="1482"/>
      <c r="AI3" s="1482"/>
      <c r="AJ3" s="1482"/>
      <c r="AK3" s="1482"/>
      <c r="AL3" s="1483"/>
      <c r="AM3" s="82"/>
      <c r="AN3" s="1481" t="s">
        <v>427</v>
      </c>
      <c r="AO3" s="1482"/>
      <c r="AP3" s="1482"/>
      <c r="AQ3" s="1482"/>
      <c r="AR3" s="1482"/>
      <c r="AS3" s="1482"/>
      <c r="AT3" s="1482"/>
      <c r="AU3" s="1482"/>
      <c r="AV3" s="1482"/>
      <c r="AW3" s="1483"/>
      <c r="AX3" s="82"/>
      <c r="AY3" s="1469" t="s">
        <v>421</v>
      </c>
      <c r="AZ3" s="1470"/>
      <c r="BA3" s="1470"/>
      <c r="BB3" s="1470"/>
      <c r="BC3" s="1470"/>
      <c r="BD3" s="1470"/>
      <c r="BE3" s="1471"/>
      <c r="BG3" s="1469" t="s">
        <v>447</v>
      </c>
      <c r="BH3" s="1521"/>
      <c r="BI3" s="1521"/>
      <c r="BJ3" s="1522"/>
    </row>
    <row r="4" spans="2:69" ht="39.75" customHeight="1" thickTop="1" thickBot="1" x14ac:dyDescent="0.25">
      <c r="B4" s="1457" t="s">
        <v>375</v>
      </c>
      <c r="C4" s="1458" t="s">
        <v>371</v>
      </c>
      <c r="D4" s="1458"/>
      <c r="E4" s="1458"/>
      <c r="F4" s="1459"/>
      <c r="H4" s="1473" t="s">
        <v>370</v>
      </c>
      <c r="I4" s="1473" t="s">
        <v>371</v>
      </c>
      <c r="J4" s="1473"/>
      <c r="K4" s="406"/>
      <c r="M4" s="1504" t="s">
        <v>377</v>
      </c>
      <c r="N4" s="1473" t="s">
        <v>378</v>
      </c>
      <c r="O4" s="1473" t="s">
        <v>379</v>
      </c>
      <c r="P4" s="1473"/>
      <c r="Q4" s="1473"/>
      <c r="R4" s="1473"/>
      <c r="S4" s="1473"/>
      <c r="T4" s="1473"/>
      <c r="U4" s="1473"/>
      <c r="V4" s="1473"/>
      <c r="W4" s="1473"/>
      <c r="X4" s="1473"/>
      <c r="Y4" s="1473"/>
      <c r="Z4" s="1473"/>
      <c r="AA4" s="1474" t="s">
        <v>381</v>
      </c>
      <c r="AC4" s="1501"/>
      <c r="AD4" s="1502"/>
      <c r="AF4" s="1480" t="s">
        <v>402</v>
      </c>
      <c r="AG4" s="1488" t="s">
        <v>399</v>
      </c>
      <c r="AH4" s="1488"/>
      <c r="AI4" s="1488"/>
      <c r="AJ4" s="1488"/>
      <c r="AK4" s="1488"/>
      <c r="AL4" s="1489"/>
      <c r="AM4" s="3"/>
      <c r="AN4" s="1476" t="s">
        <v>406</v>
      </c>
      <c r="AO4" s="1477"/>
      <c r="AP4" s="1477"/>
      <c r="AQ4" s="1484" t="s">
        <v>408</v>
      </c>
      <c r="AR4" s="1270"/>
      <c r="AS4" s="1270"/>
      <c r="AT4" s="1270"/>
      <c r="AU4" s="1270"/>
      <c r="AV4" s="1270"/>
      <c r="AW4" s="1485"/>
      <c r="AX4" s="3"/>
      <c r="AY4" s="1515" t="s">
        <v>406</v>
      </c>
      <c r="AZ4" s="1516"/>
      <c r="BA4" s="1516"/>
      <c r="BB4" s="1514" t="s">
        <v>408</v>
      </c>
      <c r="BC4" s="1514"/>
      <c r="BD4" s="1514"/>
      <c r="BE4" s="1474"/>
      <c r="BF4" s="4"/>
      <c r="BG4" s="1504" t="s">
        <v>443</v>
      </c>
      <c r="BH4" s="1473" t="s">
        <v>444</v>
      </c>
      <c r="BI4" s="1516" t="s">
        <v>445</v>
      </c>
      <c r="BJ4" s="1524"/>
      <c r="BK4" s="98"/>
    </row>
    <row r="5" spans="2:69" ht="18" customHeight="1" thickBot="1" x14ac:dyDescent="0.3">
      <c r="B5" s="1457"/>
      <c r="C5" s="1458" t="s">
        <v>363</v>
      </c>
      <c r="D5" s="1458" t="s">
        <v>364</v>
      </c>
      <c r="E5" s="1503" t="s">
        <v>365</v>
      </c>
      <c r="F5" s="1475"/>
      <c r="H5" s="1458"/>
      <c r="I5" s="649" t="s">
        <v>372</v>
      </c>
      <c r="J5" s="649" t="s">
        <v>373</v>
      </c>
      <c r="K5" s="406"/>
      <c r="M5" s="1457"/>
      <c r="N5" s="1458"/>
      <c r="O5" s="1503" t="s">
        <v>380</v>
      </c>
      <c r="P5" s="1503"/>
      <c r="Q5" s="1503"/>
      <c r="R5" s="1503"/>
      <c r="S5" s="1503"/>
      <c r="T5" s="1503"/>
      <c r="U5" s="1503"/>
      <c r="V5" s="1503"/>
      <c r="W5" s="1503"/>
      <c r="X5" s="1503"/>
      <c r="Y5" s="1503"/>
      <c r="Z5" s="1503"/>
      <c r="AA5" s="1475"/>
      <c r="AC5" s="68" t="s">
        <v>394</v>
      </c>
      <c r="AD5" s="74" t="s">
        <v>395</v>
      </c>
      <c r="AF5" s="1480"/>
      <c r="AG5" s="1488" t="s">
        <v>400</v>
      </c>
      <c r="AH5" s="1488"/>
      <c r="AI5" s="1488"/>
      <c r="AJ5" s="1488"/>
      <c r="AK5" s="1488"/>
      <c r="AL5" s="1489"/>
      <c r="AM5" s="3"/>
      <c r="AN5" s="1478"/>
      <c r="AO5" s="1479"/>
      <c r="AP5" s="1479"/>
      <c r="AQ5" s="87" t="s">
        <v>407</v>
      </c>
      <c r="AR5" s="90">
        <v>1</v>
      </c>
      <c r="AS5" s="90">
        <v>2</v>
      </c>
      <c r="AT5" s="90">
        <v>3</v>
      </c>
      <c r="AU5" s="13">
        <v>4</v>
      </c>
      <c r="AV5" s="13">
        <v>6</v>
      </c>
      <c r="AW5" s="14">
        <v>9</v>
      </c>
      <c r="AX5" s="3"/>
      <c r="AY5" s="1478"/>
      <c r="AZ5" s="1479"/>
      <c r="BA5" s="1479"/>
      <c r="BB5" s="77" t="s">
        <v>407</v>
      </c>
      <c r="BC5" s="77">
        <v>1</v>
      </c>
      <c r="BD5" s="77">
        <v>2</v>
      </c>
      <c r="BE5" s="78">
        <v>3</v>
      </c>
      <c r="BF5" s="4"/>
      <c r="BG5" s="1457"/>
      <c r="BH5" s="1458"/>
      <c r="BI5" s="36" t="s">
        <v>428</v>
      </c>
      <c r="BJ5" s="37" t="s">
        <v>429</v>
      </c>
      <c r="BK5" s="97"/>
      <c r="BL5"/>
      <c r="BM5" s="2"/>
      <c r="BN5" s="2"/>
      <c r="BO5" s="2"/>
      <c r="BP5" s="2"/>
      <c r="BQ5" s="2"/>
    </row>
    <row r="6" spans="2:69" ht="19.5" customHeight="1" thickBot="1" x14ac:dyDescent="0.3">
      <c r="B6" s="1457"/>
      <c r="C6" s="1458"/>
      <c r="D6" s="1458"/>
      <c r="E6" s="38" t="s">
        <v>366</v>
      </c>
      <c r="F6" s="39" t="s">
        <v>367</v>
      </c>
      <c r="H6" s="67">
        <v>10</v>
      </c>
      <c r="I6" s="67">
        <v>1.1000000000000001</v>
      </c>
      <c r="J6" s="67">
        <v>1.07</v>
      </c>
      <c r="K6" s="5"/>
      <c r="M6" s="1457"/>
      <c r="N6" s="1458"/>
      <c r="O6" s="38">
        <v>1</v>
      </c>
      <c r="P6" s="38">
        <v>2</v>
      </c>
      <c r="Q6" s="38">
        <v>3</v>
      </c>
      <c r="R6" s="38">
        <v>4</v>
      </c>
      <c r="S6" s="38">
        <v>5</v>
      </c>
      <c r="T6" s="38">
        <v>6</v>
      </c>
      <c r="U6" s="38">
        <v>7</v>
      </c>
      <c r="V6" s="38">
        <v>8</v>
      </c>
      <c r="W6" s="38">
        <v>9</v>
      </c>
      <c r="X6" s="38">
        <v>12</v>
      </c>
      <c r="Y6" s="38">
        <v>16</v>
      </c>
      <c r="Z6" s="38">
        <v>20</v>
      </c>
      <c r="AA6" s="1475"/>
      <c r="AC6" s="55">
        <v>1</v>
      </c>
      <c r="AD6" s="75">
        <v>1</v>
      </c>
      <c r="AF6" s="7">
        <v>1</v>
      </c>
      <c r="AG6" s="8">
        <v>2</v>
      </c>
      <c r="AH6" s="8">
        <v>3</v>
      </c>
      <c r="AI6" s="8">
        <v>4</v>
      </c>
      <c r="AJ6" s="8">
        <v>5</v>
      </c>
      <c r="AK6" s="8">
        <v>6</v>
      </c>
      <c r="AL6" s="10"/>
      <c r="AM6" s="4"/>
      <c r="AN6" s="1480" t="s">
        <v>409</v>
      </c>
      <c r="AO6" s="1490">
        <v>13</v>
      </c>
      <c r="AP6" s="1486" t="s">
        <v>423</v>
      </c>
      <c r="AQ6" s="16">
        <v>1</v>
      </c>
      <c r="AR6" s="16">
        <v>1</v>
      </c>
      <c r="AS6" s="16">
        <v>0.88</v>
      </c>
      <c r="AT6" s="16">
        <v>0.82</v>
      </c>
      <c r="AU6" s="18">
        <v>0.79</v>
      </c>
      <c r="AV6" s="18">
        <v>0.76</v>
      </c>
      <c r="AW6" s="19">
        <v>0.73</v>
      </c>
      <c r="AX6" s="4"/>
      <c r="AY6" s="1480" t="s">
        <v>409</v>
      </c>
      <c r="AZ6" s="1488">
        <v>13</v>
      </c>
      <c r="BA6" s="1486" t="s">
        <v>413</v>
      </c>
      <c r="BB6" s="13">
        <v>1</v>
      </c>
      <c r="BC6" s="13">
        <v>0.98</v>
      </c>
      <c r="BD6" s="13">
        <v>0.91</v>
      </c>
      <c r="BE6" s="14">
        <v>0.87</v>
      </c>
      <c r="BF6" s="3"/>
      <c r="BG6" s="12" t="s">
        <v>362</v>
      </c>
      <c r="BH6" s="13" t="s">
        <v>430</v>
      </c>
      <c r="BI6" s="13" t="s">
        <v>431</v>
      </c>
      <c r="BJ6" s="14" t="s">
        <v>432</v>
      </c>
      <c r="BK6" s="76"/>
      <c r="BL6" s="2"/>
      <c r="BM6" s="2"/>
      <c r="BN6" s="2"/>
      <c r="BO6" s="2"/>
      <c r="BP6"/>
      <c r="BQ6"/>
    </row>
    <row r="7" spans="2:69" ht="15.75" thickBot="1" x14ac:dyDescent="0.3">
      <c r="B7" s="63">
        <v>10</v>
      </c>
      <c r="C7" s="58">
        <v>1.22</v>
      </c>
      <c r="D7" s="58">
        <v>1.1499999999999999</v>
      </c>
      <c r="E7" s="58">
        <v>1.26</v>
      </c>
      <c r="F7" s="59">
        <v>1.1399999999999999</v>
      </c>
      <c r="H7" s="49">
        <v>15</v>
      </c>
      <c r="I7" s="49">
        <v>1.05</v>
      </c>
      <c r="J7" s="49">
        <v>1.04</v>
      </c>
      <c r="K7" s="5"/>
      <c r="L7" s="146" t="s">
        <v>684</v>
      </c>
      <c r="M7" s="55">
        <v>1</v>
      </c>
      <c r="N7" s="69" t="s">
        <v>383</v>
      </c>
      <c r="O7" s="70">
        <v>1</v>
      </c>
      <c r="P7" s="70">
        <v>0.8</v>
      </c>
      <c r="Q7" s="70">
        <v>0.7</v>
      </c>
      <c r="R7" s="70">
        <v>0.65</v>
      </c>
      <c r="S7" s="70">
        <v>0.6</v>
      </c>
      <c r="T7" s="70">
        <v>0.56999999999999995</v>
      </c>
      <c r="U7" s="70">
        <v>0.54</v>
      </c>
      <c r="V7" s="70">
        <v>0.52</v>
      </c>
      <c r="W7" s="70">
        <v>0.5</v>
      </c>
      <c r="X7" s="73">
        <v>0.45</v>
      </c>
      <c r="Y7" s="73">
        <v>0.41</v>
      </c>
      <c r="Z7" s="73">
        <v>0.38</v>
      </c>
      <c r="AA7" s="14" t="s">
        <v>388</v>
      </c>
      <c r="AC7" s="43">
        <v>2</v>
      </c>
      <c r="AD7" s="45">
        <v>0.85</v>
      </c>
      <c r="AF7" s="1450" t="s">
        <v>405</v>
      </c>
      <c r="AG7" s="1451"/>
      <c r="AH7" s="1451"/>
      <c r="AI7" s="1451"/>
      <c r="AJ7" s="1451"/>
      <c r="AK7" s="1451"/>
      <c r="AL7" s="1452"/>
      <c r="AM7" s="6"/>
      <c r="AN7" s="1480"/>
      <c r="AO7" s="1490"/>
      <c r="AP7" s="1487"/>
      <c r="AQ7" s="16">
        <v>2</v>
      </c>
      <c r="AR7" s="16">
        <v>1</v>
      </c>
      <c r="AS7" s="16">
        <v>0.87</v>
      </c>
      <c r="AT7" s="16">
        <v>0.8</v>
      </c>
      <c r="AU7" s="16">
        <v>0.77</v>
      </c>
      <c r="AV7" s="16">
        <v>0.73</v>
      </c>
      <c r="AW7" s="17">
        <v>0.68</v>
      </c>
      <c r="AX7" s="6"/>
      <c r="AY7" s="1507"/>
      <c r="AZ7" s="1488"/>
      <c r="BA7" s="1487"/>
      <c r="BB7" s="16">
        <v>2</v>
      </c>
      <c r="BC7" s="16">
        <v>0.96</v>
      </c>
      <c r="BD7" s="16">
        <v>0.87</v>
      </c>
      <c r="BE7" s="17">
        <v>0.81</v>
      </c>
      <c r="BF7" s="3"/>
      <c r="BG7" s="15" t="s">
        <v>359</v>
      </c>
      <c r="BH7" s="16" t="s">
        <v>433</v>
      </c>
      <c r="BI7" s="16" t="s">
        <v>434</v>
      </c>
      <c r="BJ7" s="45" t="s">
        <v>435</v>
      </c>
      <c r="BK7" s="41"/>
      <c r="BL7" s="2"/>
      <c r="BM7" s="2"/>
      <c r="BN7" s="2"/>
      <c r="BO7" s="2"/>
      <c r="BP7"/>
      <c r="BQ7"/>
    </row>
    <row r="8" spans="2:69" ht="15.75" thickBot="1" x14ac:dyDescent="0.3">
      <c r="B8" s="64">
        <v>15</v>
      </c>
      <c r="C8" s="49">
        <v>1.17</v>
      </c>
      <c r="D8" s="49">
        <v>1.1200000000000001</v>
      </c>
      <c r="E8" s="49">
        <v>1.2</v>
      </c>
      <c r="F8" s="60">
        <v>1.1100000000000001</v>
      </c>
      <c r="H8" s="49">
        <v>20</v>
      </c>
      <c r="I8" s="49">
        <v>1</v>
      </c>
      <c r="J8" s="49">
        <v>1</v>
      </c>
      <c r="K8" s="5"/>
      <c r="M8" s="43">
        <v>2</v>
      </c>
      <c r="N8" s="71" t="s">
        <v>384</v>
      </c>
      <c r="O8" s="44">
        <v>1</v>
      </c>
      <c r="P8" s="44">
        <v>0.85</v>
      </c>
      <c r="Q8" s="44">
        <v>0.79</v>
      </c>
      <c r="R8" s="44">
        <v>0.75</v>
      </c>
      <c r="S8" s="44">
        <v>0.73</v>
      </c>
      <c r="T8" s="44">
        <v>0.72</v>
      </c>
      <c r="U8" s="44">
        <v>0.72</v>
      </c>
      <c r="V8" s="44">
        <v>0.71</v>
      </c>
      <c r="W8" s="44">
        <v>0.7</v>
      </c>
      <c r="X8" s="1491" t="s">
        <v>393</v>
      </c>
      <c r="Y8" s="1492"/>
      <c r="Z8" s="1493"/>
      <c r="AA8" s="1500" t="s">
        <v>389</v>
      </c>
      <c r="AC8" s="43">
        <v>3</v>
      </c>
      <c r="AD8" s="45">
        <v>0.78</v>
      </c>
      <c r="AF8" s="12">
        <v>1</v>
      </c>
      <c r="AG8" s="13">
        <v>1</v>
      </c>
      <c r="AH8" s="13">
        <v>0.94</v>
      </c>
      <c r="AI8" s="13">
        <v>0.91</v>
      </c>
      <c r="AJ8" s="13">
        <v>0.88</v>
      </c>
      <c r="AK8" s="13">
        <v>0.87</v>
      </c>
      <c r="AL8" s="14">
        <v>0.86</v>
      </c>
      <c r="AM8" s="3"/>
      <c r="AN8" s="1480"/>
      <c r="AO8" s="1490"/>
      <c r="AP8" s="1487"/>
      <c r="AQ8" s="24">
        <v>3</v>
      </c>
      <c r="AR8" s="24">
        <v>1</v>
      </c>
      <c r="AS8" s="24">
        <v>0.86</v>
      </c>
      <c r="AT8" s="24">
        <v>0.79</v>
      </c>
      <c r="AU8" s="24">
        <v>0.76</v>
      </c>
      <c r="AV8" s="24">
        <v>0.71</v>
      </c>
      <c r="AW8" s="25">
        <v>0.66</v>
      </c>
      <c r="AX8" s="3"/>
      <c r="AY8" s="1507"/>
      <c r="AZ8" s="1488"/>
      <c r="BA8" s="1487"/>
      <c r="BB8" s="33">
        <v>3</v>
      </c>
      <c r="BC8" s="33">
        <v>0.95</v>
      </c>
      <c r="BD8" s="33">
        <v>0.85</v>
      </c>
      <c r="BE8" s="34">
        <v>0.78</v>
      </c>
      <c r="BF8" s="3"/>
      <c r="BG8" s="15" t="s">
        <v>361</v>
      </c>
      <c r="BH8" s="16" t="s">
        <v>436</v>
      </c>
      <c r="BI8" s="16" t="s">
        <v>437</v>
      </c>
      <c r="BJ8" s="1500" t="s">
        <v>438</v>
      </c>
      <c r="BK8" s="76"/>
      <c r="BL8" s="2"/>
      <c r="BM8" s="2"/>
      <c r="BN8" s="2"/>
      <c r="BO8" s="2"/>
      <c r="BP8" s="2"/>
      <c r="BQ8" s="2"/>
    </row>
    <row r="9" spans="2:69" ht="15.75" thickBot="1" x14ac:dyDescent="0.3">
      <c r="B9" s="64">
        <v>20</v>
      </c>
      <c r="C9" s="49">
        <v>1.1200000000000001</v>
      </c>
      <c r="D9" s="49">
        <v>1.08</v>
      </c>
      <c r="E9" s="49">
        <v>1.1399999999999999</v>
      </c>
      <c r="F9" s="60">
        <v>1.07</v>
      </c>
      <c r="H9" s="49">
        <v>25</v>
      </c>
      <c r="I9" s="49">
        <v>0.95</v>
      </c>
      <c r="J9" s="49">
        <v>0.96</v>
      </c>
      <c r="K9" s="5"/>
      <c r="M9" s="43">
        <v>3</v>
      </c>
      <c r="N9" s="71" t="s">
        <v>385</v>
      </c>
      <c r="O9" s="44">
        <v>0.95</v>
      </c>
      <c r="P9" s="44">
        <v>0.81</v>
      </c>
      <c r="Q9" s="44">
        <v>0.72</v>
      </c>
      <c r="R9" s="44">
        <v>0.68</v>
      </c>
      <c r="S9" s="44">
        <v>0.66</v>
      </c>
      <c r="T9" s="44">
        <v>0.64</v>
      </c>
      <c r="U9" s="44">
        <v>0.63</v>
      </c>
      <c r="V9" s="44">
        <v>0.62</v>
      </c>
      <c r="W9" s="44">
        <v>0.61</v>
      </c>
      <c r="X9" s="1494"/>
      <c r="Y9" s="1495"/>
      <c r="Z9" s="1496"/>
      <c r="AA9" s="1500"/>
      <c r="AC9" s="43">
        <v>4</v>
      </c>
      <c r="AD9" s="45">
        <v>0.72</v>
      </c>
      <c r="AF9" s="15">
        <v>2</v>
      </c>
      <c r="AG9" s="16">
        <v>0.92</v>
      </c>
      <c r="AH9" s="16">
        <v>0.87</v>
      </c>
      <c r="AI9" s="16">
        <v>0.84</v>
      </c>
      <c r="AJ9" s="16">
        <v>0.81</v>
      </c>
      <c r="AK9" s="16">
        <v>0.8</v>
      </c>
      <c r="AL9" s="17">
        <v>0.79</v>
      </c>
      <c r="AM9" s="3"/>
      <c r="AN9" s="1480"/>
      <c r="AO9" s="1490"/>
      <c r="AP9" s="1486" t="s">
        <v>415</v>
      </c>
      <c r="AQ9" s="13">
        <v>1</v>
      </c>
      <c r="AR9" s="13">
        <v>1</v>
      </c>
      <c r="AS9" s="13">
        <v>1</v>
      </c>
      <c r="AT9" s="92">
        <v>0.98</v>
      </c>
      <c r="AU9" s="13">
        <v>0.95</v>
      </c>
      <c r="AV9" s="13">
        <v>0.91</v>
      </c>
      <c r="AW9" s="79" t="s">
        <v>417</v>
      </c>
      <c r="AX9" s="3"/>
      <c r="AY9" s="1480" t="s">
        <v>410</v>
      </c>
      <c r="AZ9" s="1488">
        <v>13</v>
      </c>
      <c r="BA9" s="1487" t="s">
        <v>414</v>
      </c>
      <c r="BB9" s="13">
        <v>1</v>
      </c>
      <c r="BC9" s="13">
        <v>0.96</v>
      </c>
      <c r="BD9" s="13">
        <v>0.86</v>
      </c>
      <c r="BE9" s="79" t="s">
        <v>417</v>
      </c>
      <c r="BF9" s="3"/>
      <c r="BG9" s="15" t="s">
        <v>357</v>
      </c>
      <c r="BH9" s="16" t="s">
        <v>369</v>
      </c>
      <c r="BI9" s="16" t="s">
        <v>439</v>
      </c>
      <c r="BJ9" s="1500"/>
      <c r="BK9" s="76"/>
      <c r="BL9" s="2"/>
      <c r="BM9" s="2"/>
      <c r="BN9" s="2"/>
      <c r="BO9" s="2"/>
      <c r="BP9"/>
      <c r="BQ9"/>
    </row>
    <row r="10" spans="2:69" ht="15.75" thickBot="1" x14ac:dyDescent="0.3">
      <c r="B10" s="64">
        <v>25</v>
      </c>
      <c r="C10" s="49">
        <v>1.06</v>
      </c>
      <c r="D10" s="49">
        <v>1.04</v>
      </c>
      <c r="E10" s="49">
        <v>1.07</v>
      </c>
      <c r="F10" s="60">
        <v>1.04</v>
      </c>
      <c r="H10" s="49">
        <v>30</v>
      </c>
      <c r="I10" s="49">
        <v>0.89</v>
      </c>
      <c r="J10" s="49">
        <v>0.93</v>
      </c>
      <c r="K10" s="5"/>
      <c r="L10" s="146" t="s">
        <v>683</v>
      </c>
      <c r="M10" s="43">
        <v>4</v>
      </c>
      <c r="N10" s="71" t="s">
        <v>386</v>
      </c>
      <c r="O10" s="44">
        <v>1</v>
      </c>
      <c r="P10" s="44">
        <v>0.88</v>
      </c>
      <c r="Q10" s="44">
        <v>0.82</v>
      </c>
      <c r="R10" s="44">
        <v>0.77</v>
      </c>
      <c r="S10" s="44">
        <v>0.75</v>
      </c>
      <c r="T10" s="44">
        <v>0.73</v>
      </c>
      <c r="U10" s="44">
        <v>0.73</v>
      </c>
      <c r="V10" s="44">
        <v>0.72</v>
      </c>
      <c r="W10" s="44">
        <v>0.72</v>
      </c>
      <c r="X10" s="1494"/>
      <c r="Y10" s="1495"/>
      <c r="Z10" s="1496"/>
      <c r="AA10" s="1508" t="s">
        <v>390</v>
      </c>
      <c r="AC10" s="43">
        <v>6</v>
      </c>
      <c r="AD10" s="45">
        <v>0.62</v>
      </c>
      <c r="AF10" s="15">
        <v>3</v>
      </c>
      <c r="AG10" s="16">
        <v>0.85</v>
      </c>
      <c r="AH10" s="16">
        <v>0.81</v>
      </c>
      <c r="AI10" s="16">
        <v>0.78</v>
      </c>
      <c r="AJ10" s="16">
        <v>0.76</v>
      </c>
      <c r="AK10" s="16">
        <v>0.75</v>
      </c>
      <c r="AL10" s="17">
        <v>0.74</v>
      </c>
      <c r="AM10" s="3"/>
      <c r="AN10" s="1480"/>
      <c r="AO10" s="1490"/>
      <c r="AP10" s="1487"/>
      <c r="AQ10" s="16">
        <v>2</v>
      </c>
      <c r="AR10" s="16">
        <v>1</v>
      </c>
      <c r="AS10" s="16">
        <v>0.99</v>
      </c>
      <c r="AT10" s="88">
        <v>0.96</v>
      </c>
      <c r="AU10" s="16">
        <v>0.92</v>
      </c>
      <c r="AV10" s="16">
        <v>0.87</v>
      </c>
      <c r="AW10" s="93" t="s">
        <v>417</v>
      </c>
      <c r="AX10" s="3"/>
      <c r="AY10" s="1507"/>
      <c r="AZ10" s="1488"/>
      <c r="BA10" s="1487"/>
      <c r="BB10" s="33">
        <v>2</v>
      </c>
      <c r="BC10" s="33">
        <v>0.95</v>
      </c>
      <c r="BD10" s="33">
        <v>0.84</v>
      </c>
      <c r="BE10" s="80" t="s">
        <v>417</v>
      </c>
      <c r="BF10" s="3"/>
      <c r="BG10" s="15" t="s">
        <v>273</v>
      </c>
      <c r="BH10" s="16" t="s">
        <v>273</v>
      </c>
      <c r="BI10" s="16" t="s">
        <v>440</v>
      </c>
      <c r="BJ10" s="1500"/>
      <c r="BK10" s="76"/>
      <c r="BL10" s="2"/>
      <c r="BM10" s="2"/>
      <c r="BN10" s="2"/>
      <c r="BO10" s="2"/>
      <c r="BP10" s="2"/>
      <c r="BQ10" s="2"/>
    </row>
    <row r="11" spans="2:69" ht="15.75" thickBot="1" x14ac:dyDescent="0.3">
      <c r="B11" s="64">
        <v>30</v>
      </c>
      <c r="C11" s="49">
        <v>1</v>
      </c>
      <c r="D11" s="49">
        <v>1</v>
      </c>
      <c r="E11" s="49">
        <v>1</v>
      </c>
      <c r="F11" s="60">
        <v>1</v>
      </c>
      <c r="H11" s="49">
        <v>35</v>
      </c>
      <c r="I11" s="49">
        <v>0.84</v>
      </c>
      <c r="J11" s="49">
        <v>0.89</v>
      </c>
      <c r="K11" s="5"/>
      <c r="M11" s="46">
        <v>5</v>
      </c>
      <c r="N11" s="72" t="s">
        <v>387</v>
      </c>
      <c r="O11" s="47">
        <v>1</v>
      </c>
      <c r="P11" s="47">
        <v>0.87</v>
      </c>
      <c r="Q11" s="47">
        <v>0.82</v>
      </c>
      <c r="R11" s="47">
        <v>0.8</v>
      </c>
      <c r="S11" s="47">
        <v>0.8</v>
      </c>
      <c r="T11" s="47">
        <v>0.79</v>
      </c>
      <c r="U11" s="47">
        <v>0.79</v>
      </c>
      <c r="V11" s="47">
        <v>0.78</v>
      </c>
      <c r="W11" s="47">
        <v>0.78</v>
      </c>
      <c r="X11" s="1497"/>
      <c r="Y11" s="1498"/>
      <c r="Z11" s="1499"/>
      <c r="AA11" s="1509"/>
      <c r="AC11" s="46" t="s">
        <v>396</v>
      </c>
      <c r="AD11" s="48">
        <v>0.55000000000000004</v>
      </c>
      <c r="AF11" s="15">
        <v>4</v>
      </c>
      <c r="AG11" s="16">
        <v>0.82</v>
      </c>
      <c r="AH11" s="16">
        <v>0.78</v>
      </c>
      <c r="AI11" s="16">
        <v>0.74</v>
      </c>
      <c r="AJ11" s="16">
        <v>0.73</v>
      </c>
      <c r="AK11" s="16">
        <v>0.72</v>
      </c>
      <c r="AL11" s="17">
        <v>0.72</v>
      </c>
      <c r="AM11" s="3"/>
      <c r="AN11" s="1480"/>
      <c r="AO11" s="1490"/>
      <c r="AP11" s="1487"/>
      <c r="AQ11" s="33">
        <v>3</v>
      </c>
      <c r="AR11" s="33">
        <v>1</v>
      </c>
      <c r="AS11" s="33">
        <v>0.98</v>
      </c>
      <c r="AT11" s="33">
        <v>0.95</v>
      </c>
      <c r="AU11" s="33">
        <v>0.91</v>
      </c>
      <c r="AV11" s="33">
        <v>0.85</v>
      </c>
      <c r="AW11" s="80" t="s">
        <v>417</v>
      </c>
      <c r="AX11" s="3"/>
      <c r="AY11" s="1505" t="s">
        <v>411</v>
      </c>
      <c r="AZ11" s="8">
        <v>14</v>
      </c>
      <c r="BA11" s="1486" t="s">
        <v>413</v>
      </c>
      <c r="BB11" s="13">
        <v>1</v>
      </c>
      <c r="BC11" s="13">
        <v>1</v>
      </c>
      <c r="BD11" s="13">
        <v>0.97</v>
      </c>
      <c r="BE11" s="14">
        <v>0.96</v>
      </c>
      <c r="BF11" s="3"/>
      <c r="BG11" s="15" t="s">
        <v>355</v>
      </c>
      <c r="BH11" s="16" t="s">
        <v>356</v>
      </c>
      <c r="BI11" s="1525" t="s">
        <v>441</v>
      </c>
      <c r="BJ11" s="1500"/>
      <c r="BK11" s="76"/>
      <c r="BL11" s="2"/>
      <c r="BM11" s="2"/>
      <c r="BN11" s="2"/>
      <c r="BO11" s="2"/>
      <c r="BP11"/>
      <c r="BQ11"/>
    </row>
    <row r="12" spans="2:69" ht="16.5" thickTop="1" thickBot="1" x14ac:dyDescent="0.3">
      <c r="B12" s="64">
        <v>35</v>
      </c>
      <c r="C12" s="49">
        <v>0.94</v>
      </c>
      <c r="D12" s="49">
        <v>0.96</v>
      </c>
      <c r="E12" s="49">
        <v>0.93</v>
      </c>
      <c r="F12" s="60">
        <v>0.96</v>
      </c>
      <c r="H12" s="49">
        <v>40</v>
      </c>
      <c r="I12" s="49">
        <v>0.77</v>
      </c>
      <c r="J12" s="49">
        <v>0.85</v>
      </c>
      <c r="K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AF12" s="15">
        <v>5</v>
      </c>
      <c r="AG12" s="16">
        <v>0.8</v>
      </c>
      <c r="AH12" s="16">
        <v>0.76</v>
      </c>
      <c r="AI12" s="16">
        <v>0.72</v>
      </c>
      <c r="AJ12" s="16">
        <v>0.71</v>
      </c>
      <c r="AK12" s="16">
        <v>0.7</v>
      </c>
      <c r="AL12" s="17">
        <v>0.7</v>
      </c>
      <c r="AM12" s="3"/>
      <c r="AN12" s="1480" t="s">
        <v>410</v>
      </c>
      <c r="AO12" s="1488">
        <v>13</v>
      </c>
      <c r="AP12" s="1487" t="s">
        <v>424</v>
      </c>
      <c r="AQ12" s="13">
        <v>1</v>
      </c>
      <c r="AR12" s="13">
        <v>1</v>
      </c>
      <c r="AS12" s="13">
        <v>0.88</v>
      </c>
      <c r="AT12" s="13">
        <v>0.82</v>
      </c>
      <c r="AU12" s="13">
        <v>0.78</v>
      </c>
      <c r="AV12" s="13">
        <v>0.73</v>
      </c>
      <c r="AW12" s="14">
        <v>0.72</v>
      </c>
      <c r="AX12" s="3"/>
      <c r="AY12" s="1513"/>
      <c r="AZ12" s="8">
        <v>15</v>
      </c>
      <c r="BA12" s="1487"/>
      <c r="BB12" s="16">
        <v>2</v>
      </c>
      <c r="BC12" s="16">
        <v>0.98</v>
      </c>
      <c r="BD12" s="16">
        <v>0.93</v>
      </c>
      <c r="BE12" s="17">
        <v>0.89</v>
      </c>
      <c r="BF12" s="3"/>
      <c r="BG12" s="15" t="s">
        <v>248</v>
      </c>
      <c r="BH12" s="16" t="s">
        <v>401</v>
      </c>
      <c r="BI12" s="1525"/>
      <c r="BJ12" s="1500"/>
      <c r="BK12" s="76"/>
      <c r="BL12" s="2"/>
      <c r="BM12" s="2"/>
      <c r="BN12" s="2"/>
      <c r="BO12" s="2"/>
      <c r="BP12"/>
      <c r="BQ12"/>
    </row>
    <row r="13" spans="2:69" ht="15.75" thickBot="1" x14ac:dyDescent="0.3">
      <c r="B13" s="64">
        <v>40</v>
      </c>
      <c r="C13" s="49">
        <v>0.87</v>
      </c>
      <c r="D13" s="49">
        <v>0.91</v>
      </c>
      <c r="E13" s="49">
        <v>0.85</v>
      </c>
      <c r="F13" s="60">
        <v>0.92</v>
      </c>
      <c r="H13" s="49">
        <v>45</v>
      </c>
      <c r="I13" s="49">
        <v>0.71</v>
      </c>
      <c r="J13" s="49">
        <v>0.8</v>
      </c>
      <c r="K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AF13" s="32">
        <v>6</v>
      </c>
      <c r="AG13" s="33">
        <v>0.8</v>
      </c>
      <c r="AH13" s="33">
        <v>0.75</v>
      </c>
      <c r="AI13" s="33">
        <v>0.71</v>
      </c>
      <c r="AJ13" s="33">
        <v>0.7</v>
      </c>
      <c r="AK13" s="33">
        <v>0.69</v>
      </c>
      <c r="AL13" s="34">
        <v>0.68</v>
      </c>
      <c r="AM13" s="3"/>
      <c r="AN13" s="1507"/>
      <c r="AO13" s="1488"/>
      <c r="AP13" s="1487"/>
      <c r="AQ13" s="33">
        <v>2</v>
      </c>
      <c r="AR13" s="33">
        <v>1</v>
      </c>
      <c r="AS13" s="33">
        <v>0.88</v>
      </c>
      <c r="AT13" s="33">
        <v>0.81</v>
      </c>
      <c r="AU13" s="33">
        <v>0.76</v>
      </c>
      <c r="AV13" s="33">
        <v>0.71</v>
      </c>
      <c r="AW13" s="34">
        <v>0.7</v>
      </c>
      <c r="AX13" s="3"/>
      <c r="AY13" s="1513"/>
      <c r="AZ13" s="9">
        <v>16</v>
      </c>
      <c r="BA13" s="1487"/>
      <c r="BB13" s="33">
        <v>3</v>
      </c>
      <c r="BC13" s="33">
        <v>0.97</v>
      </c>
      <c r="BD13" s="33">
        <v>0.9</v>
      </c>
      <c r="BE13" s="34">
        <v>0.86</v>
      </c>
      <c r="BF13" s="3"/>
      <c r="BG13" s="15" t="s">
        <v>274</v>
      </c>
      <c r="BH13" s="16" t="s">
        <v>358</v>
      </c>
      <c r="BI13" s="1525"/>
      <c r="BJ13" s="1500" t="s">
        <v>442</v>
      </c>
      <c r="BK13" s="76"/>
      <c r="BL13"/>
      <c r="BM13" s="2"/>
      <c r="BN13" s="2"/>
      <c r="BO13" s="2"/>
      <c r="BP13" s="2"/>
      <c r="BQ13" s="2"/>
    </row>
    <row r="14" spans="2:69" ht="15.75" thickBot="1" x14ac:dyDescent="0.3">
      <c r="B14" s="64">
        <v>45</v>
      </c>
      <c r="C14" s="49">
        <v>0.79</v>
      </c>
      <c r="D14" s="49">
        <v>0.87</v>
      </c>
      <c r="E14" s="49">
        <v>0.76</v>
      </c>
      <c r="F14" s="60">
        <v>0.88</v>
      </c>
      <c r="H14" s="49">
        <v>50</v>
      </c>
      <c r="I14" s="49">
        <v>0.63</v>
      </c>
      <c r="J14" s="49">
        <v>0.76</v>
      </c>
      <c r="K14" s="5"/>
      <c r="AF14" s="1450" t="s">
        <v>404</v>
      </c>
      <c r="AG14" s="1451"/>
      <c r="AH14" s="1451"/>
      <c r="AI14" s="1451"/>
      <c r="AJ14" s="1451"/>
      <c r="AK14" s="1451"/>
      <c r="AL14" s="1452"/>
      <c r="AM14" s="6"/>
      <c r="AN14" s="1507"/>
      <c r="AO14" s="1488"/>
      <c r="AP14" s="1486" t="s">
        <v>425</v>
      </c>
      <c r="AQ14" s="13">
        <v>1</v>
      </c>
      <c r="AR14" s="13">
        <v>1</v>
      </c>
      <c r="AS14" s="13">
        <v>0.91</v>
      </c>
      <c r="AT14" s="13">
        <v>0.89</v>
      </c>
      <c r="AU14" s="13">
        <v>0.88</v>
      </c>
      <c r="AV14" s="13">
        <v>0.87</v>
      </c>
      <c r="AW14" s="79" t="s">
        <v>417</v>
      </c>
      <c r="AX14" s="6"/>
      <c r="AY14" s="1505" t="s">
        <v>412</v>
      </c>
      <c r="AZ14" s="1488">
        <v>13</v>
      </c>
      <c r="BA14" s="1486" t="s">
        <v>415</v>
      </c>
      <c r="BB14" s="13">
        <v>1</v>
      </c>
      <c r="BC14" s="13">
        <v>1</v>
      </c>
      <c r="BD14" s="13">
        <v>0.98</v>
      </c>
      <c r="BE14" s="14">
        <v>0.96</v>
      </c>
      <c r="BF14" s="3"/>
      <c r="BG14" s="15" t="s">
        <v>249</v>
      </c>
      <c r="BH14" s="16" t="s">
        <v>361</v>
      </c>
      <c r="BI14" s="1525"/>
      <c r="BJ14" s="1500"/>
      <c r="BK14" s="76"/>
      <c r="BL14" s="2"/>
      <c r="BM14" s="2"/>
      <c r="BN14" s="2"/>
      <c r="BO14" s="2"/>
      <c r="BP14"/>
      <c r="BQ14"/>
    </row>
    <row r="15" spans="2:69" ht="15.75" thickBot="1" x14ac:dyDescent="0.3">
      <c r="B15" s="64">
        <v>50</v>
      </c>
      <c r="C15" s="49">
        <v>0.71</v>
      </c>
      <c r="D15" s="49">
        <v>0.82</v>
      </c>
      <c r="E15" s="49">
        <v>0.67</v>
      </c>
      <c r="F15" s="60">
        <v>0.84</v>
      </c>
      <c r="H15" s="49">
        <v>55</v>
      </c>
      <c r="I15" s="49">
        <v>0.65</v>
      </c>
      <c r="J15" s="49">
        <v>0.71</v>
      </c>
      <c r="K15" s="5"/>
      <c r="AF15" s="12">
        <v>1</v>
      </c>
      <c r="AG15" s="13">
        <v>1</v>
      </c>
      <c r="AH15" s="13">
        <v>0.87</v>
      </c>
      <c r="AI15" s="13">
        <v>0.77</v>
      </c>
      <c r="AJ15" s="13">
        <v>0.72</v>
      </c>
      <c r="AK15" s="13">
        <v>0.68</v>
      </c>
      <c r="AL15" s="14">
        <v>0.65</v>
      </c>
      <c r="AM15" s="3"/>
      <c r="AN15" s="1507"/>
      <c r="AO15" s="1488"/>
      <c r="AP15" s="1486"/>
      <c r="AQ15" s="33">
        <v>2</v>
      </c>
      <c r="AR15" s="33">
        <v>1</v>
      </c>
      <c r="AS15" s="33">
        <v>0.91</v>
      </c>
      <c r="AT15" s="33">
        <v>0.88</v>
      </c>
      <c r="AU15" s="33">
        <v>0.87</v>
      </c>
      <c r="AV15" s="33">
        <v>0.85</v>
      </c>
      <c r="AW15" s="80" t="s">
        <v>417</v>
      </c>
      <c r="AX15" s="3"/>
      <c r="AY15" s="1513"/>
      <c r="AZ15" s="1488"/>
      <c r="BA15" s="1487"/>
      <c r="BB15" s="16">
        <v>2</v>
      </c>
      <c r="BC15" s="16">
        <v>0.97</v>
      </c>
      <c r="BD15" s="16">
        <v>0.93</v>
      </c>
      <c r="BE15" s="17">
        <v>0.89</v>
      </c>
      <c r="BF15" s="3"/>
      <c r="BG15" s="20" t="s">
        <v>275</v>
      </c>
      <c r="BH15" s="21" t="s">
        <v>360</v>
      </c>
      <c r="BI15" s="1526"/>
      <c r="BJ15" s="1523"/>
      <c r="BK15" s="76"/>
      <c r="BL15" s="2"/>
      <c r="BM15" s="2"/>
      <c r="BN15" s="2"/>
      <c r="BO15" s="2"/>
      <c r="BP15"/>
      <c r="BQ15"/>
    </row>
    <row r="16" spans="2:69" ht="15.75" thickBot="1" x14ac:dyDescent="0.3">
      <c r="B16" s="64">
        <v>55</v>
      </c>
      <c r="C16" s="49">
        <v>0.61</v>
      </c>
      <c r="D16" s="49">
        <v>0.76</v>
      </c>
      <c r="E16" s="49">
        <v>0.56999999999999995</v>
      </c>
      <c r="F16" s="60">
        <v>0.8</v>
      </c>
      <c r="H16" s="49">
        <v>60</v>
      </c>
      <c r="I16" s="49">
        <v>0.45</v>
      </c>
      <c r="J16" s="49">
        <v>0.65</v>
      </c>
      <c r="K16" s="5"/>
      <c r="AF16" s="15">
        <v>2</v>
      </c>
      <c r="AG16" s="16">
        <v>0.87</v>
      </c>
      <c r="AH16" s="16">
        <v>0.71</v>
      </c>
      <c r="AI16" s="16">
        <v>0.62</v>
      </c>
      <c r="AJ16" s="16">
        <v>0.56999999999999995</v>
      </c>
      <c r="AK16" s="16">
        <v>0.53</v>
      </c>
      <c r="AL16" s="17">
        <v>0.5</v>
      </c>
      <c r="AM16" s="3"/>
      <c r="AN16" s="1505" t="s">
        <v>411</v>
      </c>
      <c r="AO16" s="84"/>
      <c r="AP16" s="1486" t="s">
        <v>426</v>
      </c>
      <c r="AQ16" s="13">
        <v>1</v>
      </c>
      <c r="AR16" s="13">
        <v>1</v>
      </c>
      <c r="AS16" s="13">
        <v>0.87</v>
      </c>
      <c r="AT16" s="13">
        <v>0.82</v>
      </c>
      <c r="AU16" s="13">
        <v>0.8</v>
      </c>
      <c r="AV16" s="13">
        <v>0.79</v>
      </c>
      <c r="AW16" s="14">
        <v>0.78</v>
      </c>
      <c r="AX16" s="3"/>
      <c r="AY16" s="1513"/>
      <c r="AZ16" s="1488"/>
      <c r="BA16" s="1487"/>
      <c r="BB16" s="33">
        <v>3</v>
      </c>
      <c r="BC16" s="33">
        <v>0.96</v>
      </c>
      <c r="BD16" s="33">
        <v>0.92</v>
      </c>
      <c r="BE16" s="34">
        <v>0.86</v>
      </c>
      <c r="BF16" s="3"/>
      <c r="BL16" s="2"/>
      <c r="BM16" s="2"/>
      <c r="BN16" s="2"/>
      <c r="BO16" s="2"/>
      <c r="BP16" s="2"/>
      <c r="BQ16" s="2"/>
    </row>
    <row r="17" spans="2:69" ht="15.75" thickBot="1" x14ac:dyDescent="0.3">
      <c r="B17" s="64">
        <v>60</v>
      </c>
      <c r="C17" s="49">
        <v>0.5</v>
      </c>
      <c r="D17" s="49">
        <v>0.71</v>
      </c>
      <c r="E17" s="49">
        <v>0.45</v>
      </c>
      <c r="F17" s="60">
        <v>0.75</v>
      </c>
      <c r="H17" s="49">
        <v>65</v>
      </c>
      <c r="I17" s="49" t="s">
        <v>252</v>
      </c>
      <c r="J17" s="49">
        <v>0.6</v>
      </c>
      <c r="K17" s="5"/>
      <c r="AF17" s="15">
        <v>3</v>
      </c>
      <c r="AG17" s="16">
        <v>0.77</v>
      </c>
      <c r="AH17" s="16">
        <v>0.62</v>
      </c>
      <c r="AI17" s="16">
        <v>0.53</v>
      </c>
      <c r="AJ17" s="16">
        <v>0.48</v>
      </c>
      <c r="AK17" s="16">
        <v>0.45</v>
      </c>
      <c r="AL17" s="17">
        <v>0.42</v>
      </c>
      <c r="AM17" s="3"/>
      <c r="AN17" s="1505"/>
      <c r="AO17" s="85">
        <v>14</v>
      </c>
      <c r="AP17" s="1487"/>
      <c r="AQ17" s="16">
        <v>2</v>
      </c>
      <c r="AR17" s="16">
        <v>1</v>
      </c>
      <c r="AS17" s="16">
        <v>0.86</v>
      </c>
      <c r="AT17" s="16">
        <v>0.8</v>
      </c>
      <c r="AU17" s="16">
        <v>0.78</v>
      </c>
      <c r="AV17" s="16">
        <v>0.76</v>
      </c>
      <c r="AW17" s="17">
        <v>0.73</v>
      </c>
      <c r="AX17" s="3"/>
      <c r="AY17" s="1480" t="s">
        <v>410</v>
      </c>
      <c r="AZ17" s="1490">
        <v>13</v>
      </c>
      <c r="BA17" s="1518" t="s">
        <v>416</v>
      </c>
      <c r="BB17" s="13">
        <v>1</v>
      </c>
      <c r="BC17" s="13">
        <v>1</v>
      </c>
      <c r="BD17" s="13">
        <v>0.91</v>
      </c>
      <c r="BE17" s="14">
        <v>0.89</v>
      </c>
      <c r="BF17" s="3"/>
      <c r="BK17" s="40"/>
      <c r="BL17" s="2"/>
      <c r="BM17" s="2"/>
      <c r="BN17" s="2"/>
      <c r="BO17" s="2"/>
      <c r="BP17"/>
      <c r="BQ17"/>
    </row>
    <row r="18" spans="2:69" ht="15.75" thickBot="1" x14ac:dyDescent="0.3">
      <c r="B18" s="64">
        <v>65</v>
      </c>
      <c r="C18" s="49" t="s">
        <v>252</v>
      </c>
      <c r="D18" s="49">
        <v>0.65</v>
      </c>
      <c r="E18" s="49" t="s">
        <v>252</v>
      </c>
      <c r="F18" s="60">
        <v>0.7</v>
      </c>
      <c r="H18" s="49">
        <v>70</v>
      </c>
      <c r="I18" s="49" t="s">
        <v>252</v>
      </c>
      <c r="J18" s="49">
        <v>0.53</v>
      </c>
      <c r="K18" s="5"/>
      <c r="AF18" s="15">
        <v>4</v>
      </c>
      <c r="AG18" s="16">
        <v>0.72</v>
      </c>
      <c r="AH18" s="16">
        <v>0.56999999999999995</v>
      </c>
      <c r="AI18" s="16">
        <v>0.48</v>
      </c>
      <c r="AJ18" s="16">
        <v>0.44</v>
      </c>
      <c r="AK18" s="16">
        <v>0.4</v>
      </c>
      <c r="AL18" s="17">
        <v>0.38</v>
      </c>
      <c r="AM18" s="3"/>
      <c r="AN18" s="1505"/>
      <c r="AO18" s="86">
        <v>15</v>
      </c>
      <c r="AP18" s="1487"/>
      <c r="AQ18" s="33">
        <v>3</v>
      </c>
      <c r="AR18" s="33">
        <v>1</v>
      </c>
      <c r="AS18" s="33">
        <v>0.85</v>
      </c>
      <c r="AT18" s="33">
        <v>0.79</v>
      </c>
      <c r="AU18" s="33">
        <v>0.86</v>
      </c>
      <c r="AV18" s="33">
        <v>0.73</v>
      </c>
      <c r="AW18" s="34">
        <v>0.7</v>
      </c>
      <c r="AX18" s="3"/>
      <c r="AY18" s="1507"/>
      <c r="AZ18" s="1490"/>
      <c r="BA18" s="1519"/>
      <c r="BB18" s="33">
        <v>2</v>
      </c>
      <c r="BC18" s="33">
        <v>1</v>
      </c>
      <c r="BD18" s="33">
        <v>0.9</v>
      </c>
      <c r="BE18" s="34">
        <v>0.86</v>
      </c>
      <c r="BF18" s="3"/>
      <c r="BG18" s="3"/>
      <c r="BK18" s="40"/>
      <c r="BL18" s="2"/>
      <c r="BM18" s="2"/>
      <c r="BN18" s="2"/>
      <c r="BO18" s="2"/>
      <c r="BP18" s="2"/>
      <c r="BQ18" s="2"/>
    </row>
    <row r="19" spans="2:69" ht="15.75" thickBot="1" x14ac:dyDescent="0.3">
      <c r="B19" s="64">
        <v>70</v>
      </c>
      <c r="C19" s="49" t="s">
        <v>252</v>
      </c>
      <c r="D19" s="49">
        <v>0.57999999999999996</v>
      </c>
      <c r="E19" s="49" t="s">
        <v>252</v>
      </c>
      <c r="F19" s="60">
        <v>0.65</v>
      </c>
      <c r="H19" s="49">
        <v>75</v>
      </c>
      <c r="I19" s="49" t="s">
        <v>252</v>
      </c>
      <c r="J19" s="49">
        <v>0.46</v>
      </c>
      <c r="K19" s="5"/>
      <c r="AF19" s="15">
        <v>5</v>
      </c>
      <c r="AG19" s="16">
        <v>0.68</v>
      </c>
      <c r="AH19" s="16">
        <v>0.53</v>
      </c>
      <c r="AI19" s="16">
        <v>0.45</v>
      </c>
      <c r="AJ19" s="16">
        <v>0.4</v>
      </c>
      <c r="AK19" s="16">
        <v>0.37</v>
      </c>
      <c r="AL19" s="17">
        <v>0.35</v>
      </c>
      <c r="AM19" s="3"/>
      <c r="AN19" s="1505"/>
      <c r="AO19" s="1510">
        <v>16</v>
      </c>
      <c r="AP19" s="1486" t="s">
        <v>415</v>
      </c>
      <c r="AQ19" s="26">
        <v>1</v>
      </c>
      <c r="AR19" s="26">
        <v>1</v>
      </c>
      <c r="AS19" s="26">
        <v>1</v>
      </c>
      <c r="AT19" s="26">
        <v>1</v>
      </c>
      <c r="AU19" s="26">
        <v>1</v>
      </c>
      <c r="AV19" s="26">
        <v>1</v>
      </c>
      <c r="AW19" s="94" t="s">
        <v>417</v>
      </c>
      <c r="AX19" s="3"/>
      <c r="AY19" s="1480" t="s">
        <v>411</v>
      </c>
      <c r="AZ19" s="8">
        <v>14</v>
      </c>
      <c r="BA19" s="1486" t="s">
        <v>415</v>
      </c>
      <c r="BB19" s="13">
        <v>1</v>
      </c>
      <c r="BC19" s="13">
        <v>1</v>
      </c>
      <c r="BD19" s="13">
        <v>1</v>
      </c>
      <c r="BE19" s="14">
        <v>1</v>
      </c>
      <c r="BF19" s="3"/>
      <c r="BK19" s="40"/>
      <c r="BL19" s="2"/>
      <c r="BM19" s="2"/>
      <c r="BN19" s="2"/>
      <c r="BO19" s="2"/>
      <c r="BP19"/>
      <c r="BQ19"/>
    </row>
    <row r="20" spans="2:69" ht="15.75" thickBot="1" x14ac:dyDescent="0.3">
      <c r="B20" s="64">
        <v>75</v>
      </c>
      <c r="C20" s="49" t="s">
        <v>252</v>
      </c>
      <c r="D20" s="49">
        <v>0.5</v>
      </c>
      <c r="E20" s="49" t="s">
        <v>252</v>
      </c>
      <c r="F20" s="60">
        <v>0.6</v>
      </c>
      <c r="H20" s="650">
        <v>80</v>
      </c>
      <c r="I20" s="650" t="s">
        <v>252</v>
      </c>
      <c r="J20" s="650">
        <v>0.38</v>
      </c>
      <c r="K20" s="5"/>
      <c r="AF20" s="20">
        <v>6</v>
      </c>
      <c r="AG20" s="21">
        <v>0.65</v>
      </c>
      <c r="AH20" s="21">
        <v>0.5</v>
      </c>
      <c r="AI20" s="21">
        <v>0.42</v>
      </c>
      <c r="AJ20" s="21">
        <v>0.38</v>
      </c>
      <c r="AK20" s="21">
        <v>0.35</v>
      </c>
      <c r="AL20" s="22">
        <v>0.32</v>
      </c>
      <c r="AM20" s="3"/>
      <c r="AN20" s="1505"/>
      <c r="AO20" s="1510"/>
      <c r="AP20" s="1487"/>
      <c r="AQ20" s="16">
        <v>2</v>
      </c>
      <c r="AR20" s="16">
        <v>1</v>
      </c>
      <c r="AS20" s="16">
        <v>0.99</v>
      </c>
      <c r="AT20" s="16">
        <v>0.98</v>
      </c>
      <c r="AU20" s="16">
        <v>0.97</v>
      </c>
      <c r="AV20" s="16">
        <v>0.96</v>
      </c>
      <c r="AW20" s="93" t="s">
        <v>417</v>
      </c>
      <c r="AX20" s="3"/>
      <c r="AY20" s="1507"/>
      <c r="AZ20" s="8">
        <v>15</v>
      </c>
      <c r="BA20" s="1486"/>
      <c r="BB20" s="16">
        <v>2</v>
      </c>
      <c r="BC20" s="16">
        <v>0.97</v>
      </c>
      <c r="BD20" s="16">
        <v>0.95</v>
      </c>
      <c r="BE20" s="17">
        <v>0.93</v>
      </c>
      <c r="BF20" s="3"/>
      <c r="BL20" s="2"/>
      <c r="BM20" s="2"/>
      <c r="BN20" s="2"/>
      <c r="BO20" s="2"/>
      <c r="BP20"/>
      <c r="BQ20"/>
    </row>
    <row r="21" spans="2:69" ht="15.75" thickBot="1" x14ac:dyDescent="0.25">
      <c r="B21" s="64">
        <v>80</v>
      </c>
      <c r="C21" s="49" t="s">
        <v>252</v>
      </c>
      <c r="D21" s="49">
        <v>0.41</v>
      </c>
      <c r="E21" s="49" t="s">
        <v>252</v>
      </c>
      <c r="F21" s="60">
        <v>0.54</v>
      </c>
      <c r="AN21" s="1506"/>
      <c r="AO21" s="1511"/>
      <c r="AP21" s="1512"/>
      <c r="AQ21" s="91">
        <v>3</v>
      </c>
      <c r="AR21" s="91">
        <v>1</v>
      </c>
      <c r="AS21" s="91">
        <v>0.98</v>
      </c>
      <c r="AT21" s="91">
        <v>0.97</v>
      </c>
      <c r="AU21" s="91">
        <v>0.96</v>
      </c>
      <c r="AV21" s="91">
        <v>0.93</v>
      </c>
      <c r="AW21" s="95" t="s">
        <v>417</v>
      </c>
      <c r="AY21" s="1517"/>
      <c r="AZ21" s="11">
        <v>16</v>
      </c>
      <c r="BA21" s="1520"/>
      <c r="BB21" s="21">
        <v>3</v>
      </c>
      <c r="BC21" s="21">
        <v>0.96</v>
      </c>
      <c r="BD21" s="21">
        <v>0.94</v>
      </c>
      <c r="BE21" s="22">
        <v>0.9</v>
      </c>
      <c r="BF21" s="3"/>
    </row>
    <row r="22" spans="2:69" ht="15.75" customHeight="1" thickTop="1" x14ac:dyDescent="0.2">
      <c r="B22" s="64">
        <v>85</v>
      </c>
      <c r="C22" s="49" t="s">
        <v>252</v>
      </c>
      <c r="D22" s="49" t="s">
        <v>252</v>
      </c>
      <c r="E22" s="49" t="s">
        <v>252</v>
      </c>
      <c r="F22" s="60">
        <v>0.47</v>
      </c>
      <c r="AY22" s="1441" t="s">
        <v>418</v>
      </c>
      <c r="AZ22" s="1442"/>
      <c r="BA22" s="1442"/>
      <c r="BB22" s="1442"/>
      <c r="BC22" s="1442"/>
      <c r="BD22" s="1442"/>
      <c r="BE22" s="1443"/>
    </row>
    <row r="23" spans="2:69" ht="15" x14ac:dyDescent="0.2">
      <c r="B23" s="64">
        <v>90</v>
      </c>
      <c r="C23" s="49" t="s">
        <v>252</v>
      </c>
      <c r="D23" s="49" t="s">
        <v>252</v>
      </c>
      <c r="E23" s="49" t="s">
        <v>252</v>
      </c>
      <c r="F23" s="60">
        <v>0.4</v>
      </c>
      <c r="AY23" s="1444"/>
      <c r="AZ23" s="1445"/>
      <c r="BA23" s="1445"/>
      <c r="BB23" s="1445"/>
      <c r="BC23" s="1445"/>
      <c r="BD23" s="1445"/>
      <c r="BE23" s="1446"/>
    </row>
    <row r="24" spans="2:69" ht="15.75" thickBot="1" x14ac:dyDescent="0.25">
      <c r="B24" s="65">
        <v>95</v>
      </c>
      <c r="C24" s="61" t="s">
        <v>252</v>
      </c>
      <c r="D24" s="61" t="s">
        <v>252</v>
      </c>
      <c r="E24" s="61" t="s">
        <v>252</v>
      </c>
      <c r="F24" s="62">
        <v>0.32</v>
      </c>
      <c r="AY24" s="1444"/>
      <c r="AZ24" s="1445"/>
      <c r="BA24" s="1445"/>
      <c r="BB24" s="1445"/>
      <c r="BC24" s="1445"/>
      <c r="BD24" s="1445"/>
      <c r="BE24" s="1446"/>
    </row>
    <row r="25" spans="2:69" ht="81" customHeight="1" thickTop="1" thickBot="1" x14ac:dyDescent="0.25">
      <c r="B25" s="1469" t="s">
        <v>368</v>
      </c>
      <c r="C25" s="1470"/>
      <c r="D25" s="1470"/>
      <c r="E25" s="1470"/>
      <c r="F25" s="1471"/>
      <c r="AY25" s="1447"/>
      <c r="AZ25" s="1448"/>
      <c r="BA25" s="1448"/>
      <c r="BB25" s="1448"/>
      <c r="BC25" s="1448"/>
      <c r="BD25" s="1448"/>
      <c r="BE25" s="1449"/>
    </row>
    <row r="26" spans="2:69" ht="15" thickTop="1" x14ac:dyDescent="0.2">
      <c r="AY26" s="81"/>
      <c r="AZ26" s="81"/>
      <c r="BA26" s="81"/>
      <c r="BB26" s="81"/>
      <c r="BC26" s="81"/>
      <c r="BD26" s="81"/>
      <c r="BE26" s="81"/>
    </row>
    <row r="27" spans="2:69" x14ac:dyDescent="0.2">
      <c r="AY27" s="83"/>
      <c r="AZ27" s="83"/>
      <c r="BA27" s="83"/>
      <c r="BB27" s="83"/>
      <c r="BC27" s="83"/>
      <c r="BD27" s="83"/>
      <c r="BE27" s="83"/>
    </row>
  </sheetData>
  <mergeCells count="78">
    <mergeCell ref="BG2:BJ2"/>
    <mergeCell ref="BG3:BJ3"/>
    <mergeCell ref="BJ13:BJ15"/>
    <mergeCell ref="BJ8:BJ12"/>
    <mergeCell ref="BG4:BG5"/>
    <mergeCell ref="BH4:BH5"/>
    <mergeCell ref="BI4:BJ4"/>
    <mergeCell ref="BI11:BI15"/>
    <mergeCell ref="AY22:BE25"/>
    <mergeCell ref="AZ17:AZ18"/>
    <mergeCell ref="AY17:AY18"/>
    <mergeCell ref="AY19:AY21"/>
    <mergeCell ref="BA17:BA18"/>
    <mergeCell ref="BA19:BA21"/>
    <mergeCell ref="AY2:BE2"/>
    <mergeCell ref="AY3:BE3"/>
    <mergeCell ref="AY6:AY8"/>
    <mergeCell ref="AY14:AY16"/>
    <mergeCell ref="BB4:BE4"/>
    <mergeCell ref="AY4:BA5"/>
    <mergeCell ref="AY11:AY13"/>
    <mergeCell ref="AZ6:AZ8"/>
    <mergeCell ref="BA9:BA10"/>
    <mergeCell ref="BA11:BA13"/>
    <mergeCell ref="AY9:AY10"/>
    <mergeCell ref="BA14:BA16"/>
    <mergeCell ref="AZ14:AZ16"/>
    <mergeCell ref="AZ9:AZ10"/>
    <mergeCell ref="BA6:BA8"/>
    <mergeCell ref="AN16:AN21"/>
    <mergeCell ref="AN12:AN15"/>
    <mergeCell ref="AP12:AP13"/>
    <mergeCell ref="AA10:AA11"/>
    <mergeCell ref="AF14:AL14"/>
    <mergeCell ref="AP9:AP11"/>
    <mergeCell ref="AO12:AO13"/>
    <mergeCell ref="AO9:AO11"/>
    <mergeCell ref="AO19:AO21"/>
    <mergeCell ref="AP19:AP21"/>
    <mergeCell ref="AP16:AP18"/>
    <mergeCell ref="AP14:AP15"/>
    <mergeCell ref="AO14:AO15"/>
    <mergeCell ref="X8:Z11"/>
    <mergeCell ref="AA8:AA9"/>
    <mergeCell ref="AF7:AL7"/>
    <mergeCell ref="B25:F25"/>
    <mergeCell ref="AG4:AL4"/>
    <mergeCell ref="AF4:AF5"/>
    <mergeCell ref="AC3:AD4"/>
    <mergeCell ref="B4:B6"/>
    <mergeCell ref="O5:Z5"/>
    <mergeCell ref="N4:N6"/>
    <mergeCell ref="H4:H5"/>
    <mergeCell ref="I4:J4"/>
    <mergeCell ref="M4:M6"/>
    <mergeCell ref="C4:F4"/>
    <mergeCell ref="E5:F5"/>
    <mergeCell ref="C5:C6"/>
    <mergeCell ref="AC2:AD2"/>
    <mergeCell ref="AF2:AL2"/>
    <mergeCell ref="AN4:AP5"/>
    <mergeCell ref="AN6:AN11"/>
    <mergeCell ref="AN2:AW2"/>
    <mergeCell ref="AN3:AW3"/>
    <mergeCell ref="AQ4:AW4"/>
    <mergeCell ref="AP6:AP8"/>
    <mergeCell ref="AG5:AL5"/>
    <mergeCell ref="AO6:AO8"/>
    <mergeCell ref="AF3:AL3"/>
    <mergeCell ref="D5:D6"/>
    <mergeCell ref="H3:J3"/>
    <mergeCell ref="B2:F2"/>
    <mergeCell ref="B3:F3"/>
    <mergeCell ref="M3:AA3"/>
    <mergeCell ref="M2:AA2"/>
    <mergeCell ref="O4:Z4"/>
    <mergeCell ref="AA4:AA6"/>
    <mergeCell ref="H2:J2"/>
  </mergeCells>
  <phoneticPr fontId="29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C00"/>
  </sheetPr>
  <dimension ref="B2:CL135"/>
  <sheetViews>
    <sheetView showGridLines="0" topLeftCell="BG1" zoomScale="85" zoomScaleNormal="85" zoomScaleSheetLayoutView="70" workbookViewId="0">
      <selection activeCell="P17" sqref="P17"/>
    </sheetView>
  </sheetViews>
  <sheetFormatPr defaultColWidth="9.140625" defaultRowHeight="14.25" x14ac:dyDescent="0.2"/>
  <cols>
    <col min="1" max="2" width="9.140625" style="1"/>
    <col min="3" max="3" width="12.140625" style="1" customWidth="1"/>
    <col min="4" max="4" width="8.5703125" style="1" customWidth="1"/>
    <col min="5" max="6" width="9.140625" style="1"/>
    <col min="7" max="7" width="14.5703125" style="1" customWidth="1"/>
    <col min="8" max="8" width="2.7109375" style="1" customWidth="1"/>
    <col min="9" max="9" width="19.7109375" style="1" customWidth="1"/>
    <col min="10" max="10" width="17.42578125" style="1" customWidth="1"/>
    <col min="11" max="11" width="3.28515625" style="1" customWidth="1"/>
    <col min="12" max="12" width="12.28515625" style="1" customWidth="1"/>
    <col min="13" max="14" width="9.140625" style="1"/>
    <col min="15" max="15" width="8" style="1" customWidth="1"/>
    <col min="16" max="18" width="9.140625" style="1"/>
    <col min="19" max="19" width="3.28515625" style="1" customWidth="1"/>
    <col min="20" max="21" width="12.85546875" style="1" customWidth="1"/>
    <col min="22" max="22" width="4.28515625" style="1" customWidth="1"/>
    <col min="23" max="23" width="13.42578125" style="1" customWidth="1"/>
    <col min="24" max="28" width="13.28515625" style="1" customWidth="1"/>
    <col min="29" max="29" width="3.42578125" style="1" customWidth="1"/>
    <col min="30" max="35" width="13.42578125" style="1" customWidth="1"/>
    <col min="36" max="36" width="2.7109375" style="1" customWidth="1"/>
    <col min="37" max="37" width="13.42578125" style="1" customWidth="1"/>
    <col min="38" max="42" width="12.7109375" style="1" customWidth="1"/>
    <col min="43" max="43" width="12.85546875" style="1" customWidth="1"/>
    <col min="44" max="44" width="13.5703125" style="1" customWidth="1"/>
    <col min="45" max="49" width="12.85546875" style="1" customWidth="1"/>
    <col min="50" max="50" width="9.140625" style="1"/>
    <col min="51" max="60" width="11.140625" style="1" customWidth="1"/>
    <col min="61" max="61" width="11" style="1" customWidth="1"/>
    <col min="62" max="62" width="9.140625" style="224"/>
    <col min="63" max="70" width="9.140625" style="1"/>
    <col min="71" max="80" width="9.140625" style="4"/>
    <col min="81" max="82" width="9.140625" style="1"/>
    <col min="83" max="83" width="34" style="1" customWidth="1"/>
    <col min="84" max="88" width="9.140625" style="1"/>
    <col min="89" max="89" width="11.7109375" style="1" customWidth="1"/>
    <col min="90" max="90" width="8.140625" style="1" customWidth="1"/>
    <col min="91" max="16384" width="9.140625" style="1"/>
  </cols>
  <sheetData>
    <row r="2" spans="2:90" ht="15" thickBot="1" x14ac:dyDescent="0.25">
      <c r="AV2" s="152"/>
    </row>
    <row r="3" spans="2:90" ht="54" customHeight="1" thickTop="1" thickBot="1" x14ac:dyDescent="0.25">
      <c r="B3" s="1605" t="s">
        <v>50</v>
      </c>
      <c r="C3" s="1606"/>
      <c r="D3" s="1603"/>
      <c r="E3" s="1603"/>
      <c r="F3" s="1603"/>
      <c r="G3" s="1604"/>
      <c r="I3" s="1609" t="s">
        <v>39</v>
      </c>
      <c r="J3" s="1474"/>
      <c r="L3" s="1602" t="s">
        <v>510</v>
      </c>
      <c r="M3" s="1603"/>
      <c r="N3" s="1604"/>
      <c r="P3" s="1602" t="s">
        <v>512</v>
      </c>
      <c r="Q3" s="1603"/>
      <c r="R3" s="1604"/>
      <c r="T3" s="1587" t="s">
        <v>518</v>
      </c>
      <c r="U3" s="1607" t="s">
        <v>519</v>
      </c>
      <c r="W3" s="1620" t="s">
        <v>10</v>
      </c>
      <c r="X3" s="1621"/>
      <c r="Y3" s="1621"/>
      <c r="Z3" s="1621"/>
      <c r="AA3" s="1621"/>
      <c r="AB3" s="1622"/>
      <c r="AD3" s="1617" t="s">
        <v>9</v>
      </c>
      <c r="AE3" s="1618"/>
      <c r="AF3" s="1618"/>
      <c r="AG3" s="1618"/>
      <c r="AH3" s="1618"/>
      <c r="AI3" s="1619"/>
      <c r="AJ3" s="35"/>
      <c r="AK3" s="1643" t="s">
        <v>11</v>
      </c>
      <c r="AL3" s="1644"/>
      <c r="AM3" s="1644"/>
      <c r="AN3" s="1644"/>
      <c r="AO3" s="1644"/>
      <c r="AP3" s="1645"/>
      <c r="AQ3" s="35"/>
      <c r="AR3" s="1640" t="s">
        <v>8</v>
      </c>
      <c r="AS3" s="1641"/>
      <c r="AT3" s="1641"/>
      <c r="AU3" s="1641"/>
      <c r="AV3" s="1641"/>
      <c r="AW3" s="1642"/>
      <c r="AY3" s="1609" t="s">
        <v>38</v>
      </c>
      <c r="AZ3" s="1474"/>
      <c r="BA3" s="35"/>
      <c r="BB3" s="1649" t="s">
        <v>169</v>
      </c>
      <c r="BC3" s="1650"/>
      <c r="BD3" s="1650"/>
      <c r="BE3" s="1650"/>
      <c r="BF3" s="1650"/>
      <c r="BG3" s="1650"/>
      <c r="BH3" s="1650"/>
      <c r="BI3" s="1651"/>
      <c r="BJ3" s="225"/>
      <c r="BL3" s="1605" t="s">
        <v>25</v>
      </c>
      <c r="BM3" s="1606"/>
      <c r="BN3" s="1606"/>
      <c r="BO3" s="1606"/>
      <c r="BP3" s="1606"/>
      <c r="BQ3" s="1636"/>
      <c r="BS3" s="1627" t="s">
        <v>624</v>
      </c>
      <c r="BT3" s="1628"/>
      <c r="BU3" s="1628"/>
      <c r="BV3" s="1628"/>
      <c r="BW3" s="1629"/>
      <c r="BY3" s="1627" t="s">
        <v>629</v>
      </c>
      <c r="BZ3" s="1628"/>
      <c r="CA3" s="1628"/>
      <c r="CB3" s="1628"/>
      <c r="CC3" s="1629"/>
      <c r="CE3" s="1627" t="s">
        <v>630</v>
      </c>
      <c r="CF3" s="1628"/>
      <c r="CG3" s="1628"/>
      <c r="CH3" s="1628"/>
      <c r="CI3" s="1629"/>
      <c r="CK3" s="1627" t="s">
        <v>643</v>
      </c>
      <c r="CL3" s="1629"/>
    </row>
    <row r="4" spans="2:90" ht="47.25" customHeight="1" thickTop="1" thickBot="1" x14ac:dyDescent="0.25">
      <c r="I4" s="186" t="s">
        <v>513</v>
      </c>
      <c r="J4" s="54" t="s">
        <v>514</v>
      </c>
      <c r="L4" s="187" t="s">
        <v>515</v>
      </c>
      <c r="M4" s="188" t="s">
        <v>516</v>
      </c>
      <c r="N4" s="191" t="s">
        <v>517</v>
      </c>
      <c r="P4" s="187" t="s">
        <v>515</v>
      </c>
      <c r="Q4" s="188" t="s">
        <v>516</v>
      </c>
      <c r="R4" s="191" t="s">
        <v>517</v>
      </c>
      <c r="T4" s="1588"/>
      <c r="U4" s="1608"/>
      <c r="W4" s="1623" t="s">
        <v>522</v>
      </c>
      <c r="X4" s="1514" t="s">
        <v>521</v>
      </c>
      <c r="Y4" s="1615"/>
      <c r="Z4" s="1615"/>
      <c r="AA4" s="1615"/>
      <c r="AB4" s="1616"/>
      <c r="AD4" s="1625" t="s">
        <v>522</v>
      </c>
      <c r="AE4" s="1514" t="s">
        <v>521</v>
      </c>
      <c r="AF4" s="1615"/>
      <c r="AG4" s="1615"/>
      <c r="AH4" s="1615"/>
      <c r="AI4" s="1616"/>
      <c r="AJ4" s="171"/>
      <c r="AK4" s="1646" t="s">
        <v>522</v>
      </c>
      <c r="AL4" s="1514" t="s">
        <v>521</v>
      </c>
      <c r="AM4" s="1615"/>
      <c r="AN4" s="1615"/>
      <c r="AO4" s="1615"/>
      <c r="AP4" s="1616"/>
      <c r="AQ4" s="171"/>
      <c r="AR4" s="1613" t="s">
        <v>522</v>
      </c>
      <c r="AS4" s="1514" t="s">
        <v>521</v>
      </c>
      <c r="AT4" s="1615"/>
      <c r="AU4" s="1615"/>
      <c r="AV4" s="1615"/>
      <c r="AW4" s="1616"/>
      <c r="AY4" s="168" t="s">
        <v>4</v>
      </c>
      <c r="AZ4" s="39" t="s">
        <v>5</v>
      </c>
      <c r="BA4" s="35"/>
      <c r="BB4" s="1648" t="s">
        <v>196</v>
      </c>
      <c r="BC4" s="1648"/>
      <c r="BD4" s="1648"/>
      <c r="BE4" s="1648"/>
      <c r="BF4" s="1648"/>
      <c r="BG4" s="1648"/>
      <c r="BH4" s="1648"/>
      <c r="BI4" s="1648"/>
      <c r="BJ4" s="225"/>
      <c r="BL4" s="192" t="s">
        <v>28</v>
      </c>
      <c r="BM4" s="190" t="s">
        <v>26</v>
      </c>
      <c r="BN4" s="190" t="s">
        <v>29</v>
      </c>
      <c r="BO4" s="190" t="s">
        <v>30</v>
      </c>
      <c r="BP4" s="190" t="s">
        <v>27</v>
      </c>
      <c r="BQ4" s="193" t="s">
        <v>31</v>
      </c>
      <c r="BS4" s="1632" t="s">
        <v>623</v>
      </c>
      <c r="BT4" s="1630" t="s">
        <v>627</v>
      </c>
      <c r="BU4" s="1244"/>
      <c r="BV4" s="1630" t="s">
        <v>628</v>
      </c>
      <c r="BW4" s="1631"/>
      <c r="BY4" s="1632" t="s">
        <v>623</v>
      </c>
      <c r="BZ4" s="1630" t="s">
        <v>627</v>
      </c>
      <c r="CA4" s="1244"/>
      <c r="CB4" s="1630" t="s">
        <v>628</v>
      </c>
      <c r="CC4" s="1631"/>
      <c r="CE4" s="1632" t="s">
        <v>631</v>
      </c>
      <c r="CF4" s="1630" t="s">
        <v>637</v>
      </c>
      <c r="CG4" s="1244"/>
      <c r="CH4" s="1630" t="s">
        <v>638</v>
      </c>
      <c r="CI4" s="1631"/>
      <c r="CK4" s="1652" t="s">
        <v>641</v>
      </c>
      <c r="CL4" s="1653" t="s">
        <v>642</v>
      </c>
    </row>
    <row r="5" spans="2:90" ht="20.25" thickTop="1" thickBot="1" x14ac:dyDescent="0.25">
      <c r="B5" s="1570" t="s">
        <v>51</v>
      </c>
      <c r="C5" s="1571"/>
      <c r="D5" s="1572"/>
      <c r="E5" s="1572"/>
      <c r="F5" s="1572"/>
      <c r="G5" s="1573"/>
      <c r="I5" s="12" t="s">
        <v>501</v>
      </c>
      <c r="J5" s="14">
        <v>1</v>
      </c>
      <c r="L5" s="12">
        <v>2</v>
      </c>
      <c r="M5" s="13">
        <v>3</v>
      </c>
      <c r="N5" s="14">
        <v>4</v>
      </c>
      <c r="O5" s="258"/>
      <c r="P5" s="12">
        <v>2</v>
      </c>
      <c r="Q5" s="13" t="s">
        <v>511</v>
      </c>
      <c r="R5" s="14" t="s">
        <v>511</v>
      </c>
      <c r="T5" s="148">
        <v>1.5</v>
      </c>
      <c r="U5" s="27">
        <v>1.5</v>
      </c>
      <c r="V5" s="151"/>
      <c r="W5" s="1624"/>
      <c r="X5" s="189">
        <v>1</v>
      </c>
      <c r="Y5" s="189">
        <v>2</v>
      </c>
      <c r="Z5" s="189">
        <v>3</v>
      </c>
      <c r="AA5" s="189">
        <v>4</v>
      </c>
      <c r="AB5" s="149">
        <v>5</v>
      </c>
      <c r="AD5" s="1626"/>
      <c r="AE5" s="189">
        <v>1</v>
      </c>
      <c r="AF5" s="189">
        <v>2</v>
      </c>
      <c r="AG5" s="189">
        <v>3</v>
      </c>
      <c r="AH5" s="189">
        <v>4</v>
      </c>
      <c r="AI5" s="149">
        <v>5</v>
      </c>
      <c r="AJ5" s="6"/>
      <c r="AK5" s="1647"/>
      <c r="AL5" s="189">
        <v>1</v>
      </c>
      <c r="AM5" s="189">
        <v>2</v>
      </c>
      <c r="AN5" s="189">
        <v>3</v>
      </c>
      <c r="AO5" s="189">
        <v>4</v>
      </c>
      <c r="AP5" s="149">
        <v>5</v>
      </c>
      <c r="AQ5" s="6"/>
      <c r="AR5" s="1614"/>
      <c r="AS5" s="189">
        <v>1</v>
      </c>
      <c r="AT5" s="189">
        <v>2</v>
      </c>
      <c r="AU5" s="189">
        <v>3</v>
      </c>
      <c r="AV5" s="189">
        <v>4</v>
      </c>
      <c r="AW5" s="149">
        <v>5</v>
      </c>
      <c r="AY5" s="163">
        <v>30</v>
      </c>
      <c r="AZ5" s="164">
        <v>50</v>
      </c>
      <c r="BA5" s="42"/>
      <c r="BB5" s="1527" t="s">
        <v>121</v>
      </c>
      <c r="BC5" s="1529" t="s">
        <v>165</v>
      </c>
      <c r="BD5" s="1529" t="s">
        <v>166</v>
      </c>
      <c r="BE5" s="1529" t="s">
        <v>167</v>
      </c>
      <c r="BF5" s="1529" t="s">
        <v>122</v>
      </c>
      <c r="BG5" s="1529" t="s">
        <v>168</v>
      </c>
      <c r="BH5" s="1529" t="s">
        <v>123</v>
      </c>
      <c r="BI5" s="1537"/>
      <c r="BJ5" s="226"/>
      <c r="BL5" s="142">
        <v>1.5</v>
      </c>
      <c r="BM5" s="143">
        <v>14.8</v>
      </c>
      <c r="BN5" s="161">
        <f>(PI()*BM5^2)/4</f>
        <v>172.0336137105771</v>
      </c>
      <c r="BO5" s="1637">
        <f>BN20/BQ14</f>
        <v>0.42842975206611567</v>
      </c>
      <c r="BP5" s="143">
        <v>16</v>
      </c>
      <c r="BQ5" s="198">
        <f>(PI()*BP5^2)/4</f>
        <v>201.06192982974676</v>
      </c>
      <c r="BS5" s="1633"/>
      <c r="BT5" s="339" t="s">
        <v>625</v>
      </c>
      <c r="BU5" s="340" t="s">
        <v>626</v>
      </c>
      <c r="BV5" s="339" t="s">
        <v>625</v>
      </c>
      <c r="BW5" s="345" t="s">
        <v>626</v>
      </c>
      <c r="BY5" s="1633"/>
      <c r="BZ5" s="339" t="s">
        <v>625</v>
      </c>
      <c r="CA5" s="340" t="s">
        <v>626</v>
      </c>
      <c r="CB5" s="339" t="s">
        <v>625</v>
      </c>
      <c r="CC5" s="345" t="s">
        <v>626</v>
      </c>
      <c r="CE5" s="1633"/>
      <c r="CF5" s="339" t="s">
        <v>639</v>
      </c>
      <c r="CG5" s="340" t="s">
        <v>640</v>
      </c>
      <c r="CH5" s="339" t="s">
        <v>639</v>
      </c>
      <c r="CI5" s="345" t="s">
        <v>640</v>
      </c>
      <c r="CK5" s="1632"/>
      <c r="CL5" s="1654"/>
    </row>
    <row r="6" spans="2:90" ht="15.75" customHeight="1" thickTop="1" thickBot="1" x14ac:dyDescent="0.25">
      <c r="B6" s="1574" t="s">
        <v>37</v>
      </c>
      <c r="C6" s="1575" t="s">
        <v>59</v>
      </c>
      <c r="D6" s="1576"/>
      <c r="E6" s="1550" t="s">
        <v>55</v>
      </c>
      <c r="F6" s="1550"/>
      <c r="G6" s="1551"/>
      <c r="I6" s="15" t="s">
        <v>502</v>
      </c>
      <c r="J6" s="17">
        <v>0.75</v>
      </c>
      <c r="L6" s="15">
        <v>4</v>
      </c>
      <c r="M6" s="16">
        <v>6</v>
      </c>
      <c r="N6" s="17">
        <v>8</v>
      </c>
      <c r="O6" s="258"/>
      <c r="P6" s="15">
        <v>4</v>
      </c>
      <c r="Q6" s="16" t="s">
        <v>511</v>
      </c>
      <c r="R6" s="17" t="s">
        <v>511</v>
      </c>
      <c r="T6" s="15">
        <v>2.5</v>
      </c>
      <c r="U6" s="17">
        <v>2.5</v>
      </c>
      <c r="V6" s="151"/>
      <c r="W6" s="119">
        <v>1.5</v>
      </c>
      <c r="X6" s="26">
        <v>16</v>
      </c>
      <c r="Y6" s="26">
        <v>16</v>
      </c>
      <c r="Z6" s="26">
        <v>16</v>
      </c>
      <c r="AA6" s="26">
        <v>16</v>
      </c>
      <c r="AB6" s="27">
        <v>20</v>
      </c>
      <c r="AD6" s="172">
        <v>10</v>
      </c>
      <c r="AE6" s="13">
        <v>32</v>
      </c>
      <c r="AF6" s="13">
        <v>32</v>
      </c>
      <c r="AG6" s="13">
        <v>32</v>
      </c>
      <c r="AH6" s="13">
        <v>40</v>
      </c>
      <c r="AI6" s="14">
        <v>40</v>
      </c>
      <c r="AJ6" s="3"/>
      <c r="AK6" s="178">
        <v>1.5</v>
      </c>
      <c r="AL6" s="181" t="s">
        <v>417</v>
      </c>
      <c r="AM6" s="26">
        <v>20</v>
      </c>
      <c r="AN6" s="26">
        <v>20</v>
      </c>
      <c r="AO6" s="26">
        <v>20</v>
      </c>
      <c r="AP6" s="27">
        <v>20</v>
      </c>
      <c r="AQ6" s="3"/>
      <c r="AR6" s="175">
        <v>10</v>
      </c>
      <c r="AS6" s="13">
        <v>32</v>
      </c>
      <c r="AT6" s="13">
        <v>50</v>
      </c>
      <c r="AU6" s="13">
        <v>50</v>
      </c>
      <c r="AV6" s="13">
        <v>50</v>
      </c>
      <c r="AW6" s="14">
        <v>50</v>
      </c>
      <c r="AY6" s="165">
        <v>60</v>
      </c>
      <c r="AZ6" s="166">
        <v>100</v>
      </c>
      <c r="BA6" s="42"/>
      <c r="BB6" s="1528"/>
      <c r="BC6" s="1530"/>
      <c r="BD6" s="1530"/>
      <c r="BE6" s="1530"/>
      <c r="BF6" s="1530"/>
      <c r="BG6" s="1530"/>
      <c r="BH6" s="239" t="s">
        <v>124</v>
      </c>
      <c r="BI6" s="240" t="s">
        <v>125</v>
      </c>
      <c r="BJ6" s="226"/>
      <c r="BL6" s="145">
        <v>2.5</v>
      </c>
      <c r="BM6" s="18">
        <v>15.8</v>
      </c>
      <c r="BN6" s="162">
        <f>(PI()*BM6^2)/4</f>
        <v>196.066797510539</v>
      </c>
      <c r="BO6" s="1638"/>
      <c r="BP6" s="18">
        <v>20</v>
      </c>
      <c r="BQ6" s="199">
        <f t="shared" ref="BQ6:BQ20" si="0">(PI()*BP6^2)/4</f>
        <v>314.15926535897933</v>
      </c>
      <c r="BS6" s="346">
        <v>100</v>
      </c>
      <c r="BT6" s="341">
        <v>0.46</v>
      </c>
      <c r="BU6" s="342">
        <v>2.35</v>
      </c>
      <c r="BV6" s="341">
        <v>0.5</v>
      </c>
      <c r="BW6" s="347">
        <v>2.5499999999999998</v>
      </c>
      <c r="BY6" s="346">
        <v>100</v>
      </c>
      <c r="BZ6" s="341">
        <v>0.88</v>
      </c>
      <c r="CA6" s="342">
        <v>3.8</v>
      </c>
      <c r="CB6" s="341">
        <v>1.25</v>
      </c>
      <c r="CC6" s="347">
        <v>3.2</v>
      </c>
      <c r="CE6" s="346" t="s">
        <v>632</v>
      </c>
      <c r="CF6" s="341">
        <v>0.9</v>
      </c>
      <c r="CG6" s="354">
        <v>30</v>
      </c>
      <c r="CH6" s="341">
        <v>0.75</v>
      </c>
      <c r="CI6" s="357">
        <v>14</v>
      </c>
      <c r="CK6" s="346" t="s">
        <v>644</v>
      </c>
      <c r="CL6" s="361">
        <v>3</v>
      </c>
    </row>
    <row r="7" spans="2:90" ht="16.5" customHeight="1" thickBot="1" x14ac:dyDescent="0.25">
      <c r="B7" s="1574"/>
      <c r="C7" s="1577"/>
      <c r="D7" s="1578"/>
      <c r="E7" s="217" t="s">
        <v>52</v>
      </c>
      <c r="F7" s="217" t="s">
        <v>53</v>
      </c>
      <c r="G7" s="218" t="s">
        <v>54</v>
      </c>
      <c r="I7" s="15" t="s">
        <v>0</v>
      </c>
      <c r="J7" s="17">
        <v>0.56000000000000005</v>
      </c>
      <c r="L7" s="15">
        <v>6</v>
      </c>
      <c r="M7" s="16">
        <v>9</v>
      </c>
      <c r="N7" s="17">
        <v>11</v>
      </c>
      <c r="O7" s="258"/>
      <c r="P7" s="15">
        <v>6</v>
      </c>
      <c r="Q7" s="16">
        <v>6.3</v>
      </c>
      <c r="R7" s="17">
        <v>8.1</v>
      </c>
      <c r="T7" s="15">
        <v>4</v>
      </c>
      <c r="U7" s="17">
        <v>4</v>
      </c>
      <c r="V7" s="151"/>
      <c r="W7" s="117">
        <v>2.5</v>
      </c>
      <c r="X7" s="16">
        <v>16</v>
      </c>
      <c r="Y7" s="16">
        <v>16</v>
      </c>
      <c r="Z7" s="16">
        <v>16</v>
      </c>
      <c r="AA7" s="16">
        <v>20</v>
      </c>
      <c r="AB7" s="17">
        <v>20</v>
      </c>
      <c r="AD7" s="173">
        <v>16</v>
      </c>
      <c r="AE7" s="16">
        <v>32</v>
      </c>
      <c r="AF7" s="16">
        <v>32</v>
      </c>
      <c r="AG7" s="16">
        <v>40</v>
      </c>
      <c r="AH7" s="16">
        <v>40</v>
      </c>
      <c r="AI7" s="17">
        <v>50</v>
      </c>
      <c r="AJ7" s="3"/>
      <c r="AK7" s="179">
        <v>2.5</v>
      </c>
      <c r="AL7" s="88" t="s">
        <v>417</v>
      </c>
      <c r="AM7" s="16">
        <v>20</v>
      </c>
      <c r="AN7" s="16">
        <v>20</v>
      </c>
      <c r="AO7" s="16">
        <v>20</v>
      </c>
      <c r="AP7" s="17">
        <v>25</v>
      </c>
      <c r="AQ7" s="3"/>
      <c r="AR7" s="176">
        <v>16</v>
      </c>
      <c r="AS7" s="16">
        <v>32</v>
      </c>
      <c r="AT7" s="16">
        <v>50</v>
      </c>
      <c r="AU7" s="16">
        <v>50</v>
      </c>
      <c r="AV7" s="16">
        <v>50</v>
      </c>
      <c r="AW7" s="17">
        <v>63</v>
      </c>
      <c r="AY7" s="165">
        <v>80</v>
      </c>
      <c r="AZ7" s="166">
        <v>150</v>
      </c>
      <c r="BA7" s="42"/>
      <c r="BB7" s="227" t="s">
        <v>126</v>
      </c>
      <c r="BC7" s="228">
        <v>24</v>
      </c>
      <c r="BD7" s="229">
        <v>4.8000000000000001E-2</v>
      </c>
      <c r="BE7" s="230">
        <v>2.8799999999999999E-2</v>
      </c>
      <c r="BF7" s="229">
        <v>0.20899999999999999</v>
      </c>
      <c r="BG7" s="228">
        <v>110</v>
      </c>
      <c r="BH7" s="228" t="s">
        <v>127</v>
      </c>
      <c r="BI7" s="231" t="s">
        <v>128</v>
      </c>
      <c r="BJ7" s="226"/>
      <c r="BL7" s="145">
        <v>4</v>
      </c>
      <c r="BM7" s="18">
        <v>17.100000000000001</v>
      </c>
      <c r="BN7" s="162">
        <f>(PI()*BM7^2)/4</f>
        <v>229.65827695904787</v>
      </c>
      <c r="BO7" s="1638"/>
      <c r="BP7" s="18">
        <v>25</v>
      </c>
      <c r="BQ7" s="199">
        <f t="shared" si="0"/>
        <v>490.87385212340519</v>
      </c>
      <c r="BS7" s="348">
        <v>125</v>
      </c>
      <c r="BT7" s="343">
        <v>0.46</v>
      </c>
      <c r="BU7" s="344">
        <v>2.35</v>
      </c>
      <c r="BV7" s="343">
        <v>0.5</v>
      </c>
      <c r="BW7" s="349">
        <v>2.5499999999999998</v>
      </c>
      <c r="BY7" s="348">
        <v>125</v>
      </c>
      <c r="BZ7" s="343">
        <v>0.88</v>
      </c>
      <c r="CA7" s="344">
        <v>3.8</v>
      </c>
      <c r="CB7" s="343">
        <v>1.25</v>
      </c>
      <c r="CC7" s="349">
        <v>3.2</v>
      </c>
      <c r="CE7" s="348" t="s">
        <v>633</v>
      </c>
      <c r="CF7" s="343">
        <v>0.9</v>
      </c>
      <c r="CG7" s="355">
        <v>30</v>
      </c>
      <c r="CH7" s="343">
        <v>0.8</v>
      </c>
      <c r="CI7" s="358">
        <v>12</v>
      </c>
      <c r="CK7" s="350" t="s">
        <v>645</v>
      </c>
      <c r="CL7" s="360">
        <v>8.5</v>
      </c>
    </row>
    <row r="8" spans="2:90" ht="15" x14ac:dyDescent="0.2">
      <c r="B8" s="142" t="s">
        <v>56</v>
      </c>
      <c r="C8" s="1598">
        <v>100</v>
      </c>
      <c r="D8" s="1599"/>
      <c r="E8" s="143">
        <v>700</v>
      </c>
      <c r="F8" s="143">
        <v>180</v>
      </c>
      <c r="G8" s="144">
        <v>170</v>
      </c>
      <c r="I8" s="15" t="s">
        <v>503</v>
      </c>
      <c r="J8" s="17">
        <v>0.48</v>
      </c>
      <c r="L8" s="15">
        <v>8</v>
      </c>
      <c r="M8" s="16">
        <v>12</v>
      </c>
      <c r="N8" s="17">
        <v>15</v>
      </c>
      <c r="O8" s="258"/>
      <c r="P8" s="15">
        <v>8</v>
      </c>
      <c r="Q8" s="16">
        <v>8.4</v>
      </c>
      <c r="R8" s="17">
        <v>10.8</v>
      </c>
      <c r="T8" s="15">
        <v>6</v>
      </c>
      <c r="U8" s="17">
        <v>6</v>
      </c>
      <c r="V8" s="151"/>
      <c r="W8" s="117">
        <v>4</v>
      </c>
      <c r="X8" s="16">
        <v>16</v>
      </c>
      <c r="Y8" s="16">
        <v>16</v>
      </c>
      <c r="Z8" s="16">
        <v>20</v>
      </c>
      <c r="AA8" s="16">
        <v>20</v>
      </c>
      <c r="AB8" s="17">
        <v>25</v>
      </c>
      <c r="AD8" s="173">
        <v>25</v>
      </c>
      <c r="AE8" s="16">
        <v>32</v>
      </c>
      <c r="AF8" s="16">
        <v>40</v>
      </c>
      <c r="AG8" s="16">
        <v>50</v>
      </c>
      <c r="AH8" s="16">
        <v>50</v>
      </c>
      <c r="AI8" s="17">
        <v>63</v>
      </c>
      <c r="AJ8" s="3"/>
      <c r="AK8" s="179">
        <v>4</v>
      </c>
      <c r="AL8" s="16" t="s">
        <v>417</v>
      </c>
      <c r="AM8" s="16">
        <v>25</v>
      </c>
      <c r="AN8" s="16">
        <v>25</v>
      </c>
      <c r="AO8" s="16">
        <v>25</v>
      </c>
      <c r="AP8" s="17">
        <v>25</v>
      </c>
      <c r="AQ8" s="3"/>
      <c r="AR8" s="176">
        <v>25</v>
      </c>
      <c r="AS8" s="16">
        <v>32</v>
      </c>
      <c r="AT8" s="16">
        <v>63</v>
      </c>
      <c r="AU8" s="16">
        <v>63</v>
      </c>
      <c r="AV8" s="16">
        <v>63</v>
      </c>
      <c r="AW8" s="17">
        <v>63</v>
      </c>
      <c r="AY8" s="165">
        <v>100</v>
      </c>
      <c r="AZ8" s="166">
        <v>200</v>
      </c>
      <c r="BA8" s="42"/>
      <c r="BB8" s="232" t="s">
        <v>129</v>
      </c>
      <c r="BC8" s="203">
        <v>30</v>
      </c>
      <c r="BD8" s="233">
        <v>7.4999999999999997E-2</v>
      </c>
      <c r="BE8" s="234">
        <v>5.6300000000000003E-2</v>
      </c>
      <c r="BF8" s="233">
        <v>0.26200000000000001</v>
      </c>
      <c r="BG8" s="203">
        <v>140</v>
      </c>
      <c r="BH8" s="203" t="s">
        <v>130</v>
      </c>
      <c r="BI8" s="219" t="s">
        <v>131</v>
      </c>
      <c r="BJ8" s="226"/>
      <c r="BL8" s="145">
        <v>6</v>
      </c>
      <c r="BM8" s="18">
        <v>19.100000000000001</v>
      </c>
      <c r="BN8" s="162">
        <f>(PI()*BM8^2)/4</f>
        <v>286.52110398902317</v>
      </c>
      <c r="BO8" s="1638"/>
      <c r="BP8" s="18">
        <v>32</v>
      </c>
      <c r="BQ8" s="199">
        <f t="shared" si="0"/>
        <v>804.24771931898704</v>
      </c>
      <c r="BS8" s="348">
        <v>160</v>
      </c>
      <c r="BT8" s="343">
        <v>0.46</v>
      </c>
      <c r="BU8" s="344">
        <v>2.35</v>
      </c>
      <c r="BV8" s="343">
        <v>0.5</v>
      </c>
      <c r="BW8" s="349">
        <v>2.5499999999999998</v>
      </c>
      <c r="BY8" s="348">
        <v>160</v>
      </c>
      <c r="BZ8" s="343">
        <v>0.88</v>
      </c>
      <c r="CA8" s="344">
        <v>3.8</v>
      </c>
      <c r="CB8" s="343">
        <v>1.25</v>
      </c>
      <c r="CC8" s="349">
        <v>3.2</v>
      </c>
      <c r="CE8" s="348" t="s">
        <v>634</v>
      </c>
      <c r="CF8" s="343">
        <v>0.9</v>
      </c>
      <c r="CG8" s="355">
        <v>30</v>
      </c>
      <c r="CH8" s="343">
        <v>0.75</v>
      </c>
      <c r="CI8" s="358">
        <v>13</v>
      </c>
    </row>
    <row r="9" spans="2:90" ht="15.75" thickBot="1" x14ac:dyDescent="0.25">
      <c r="B9" s="206" t="s">
        <v>41</v>
      </c>
      <c r="C9" s="1600"/>
      <c r="D9" s="1601"/>
      <c r="E9" s="160">
        <v>1050</v>
      </c>
      <c r="F9" s="160">
        <v>180</v>
      </c>
      <c r="G9" s="207">
        <v>170</v>
      </c>
      <c r="I9" s="15" t="s">
        <v>504</v>
      </c>
      <c r="J9" s="17">
        <v>0.43</v>
      </c>
      <c r="L9" s="15">
        <v>10</v>
      </c>
      <c r="M9" s="16">
        <v>15</v>
      </c>
      <c r="N9" s="17">
        <v>19</v>
      </c>
      <c r="O9" s="258"/>
      <c r="P9" s="15">
        <v>10</v>
      </c>
      <c r="Q9" s="16">
        <v>10.5</v>
      </c>
      <c r="R9" s="17">
        <v>13.5</v>
      </c>
      <c r="T9" s="15">
        <v>10</v>
      </c>
      <c r="U9" s="17">
        <v>10</v>
      </c>
      <c r="V9" s="151"/>
      <c r="W9" s="117">
        <v>6</v>
      </c>
      <c r="X9" s="16">
        <v>16</v>
      </c>
      <c r="Y9" s="16">
        <v>16</v>
      </c>
      <c r="Z9" s="16">
        <v>20</v>
      </c>
      <c r="AA9" s="16">
        <v>25</v>
      </c>
      <c r="AB9" s="17">
        <v>25</v>
      </c>
      <c r="AD9" s="173">
        <v>35</v>
      </c>
      <c r="AE9" s="16">
        <v>32</v>
      </c>
      <c r="AF9" s="16">
        <v>50</v>
      </c>
      <c r="AG9" s="16">
        <v>63</v>
      </c>
      <c r="AH9" s="16">
        <v>63</v>
      </c>
      <c r="AI9" s="17">
        <v>63</v>
      </c>
      <c r="AJ9" s="3"/>
      <c r="AK9" s="179">
        <v>6</v>
      </c>
      <c r="AL9" s="16" t="s">
        <v>417</v>
      </c>
      <c r="AM9" s="16">
        <v>25</v>
      </c>
      <c r="AN9" s="16">
        <v>25</v>
      </c>
      <c r="AO9" s="16">
        <v>25</v>
      </c>
      <c r="AP9" s="17">
        <v>32</v>
      </c>
      <c r="AQ9" s="3"/>
      <c r="AR9" s="176">
        <v>35</v>
      </c>
      <c r="AS9" s="16">
        <v>32</v>
      </c>
      <c r="AT9" s="88" t="s">
        <v>417</v>
      </c>
      <c r="AU9" s="16">
        <v>75</v>
      </c>
      <c r="AV9" s="16">
        <v>75</v>
      </c>
      <c r="AW9" s="17">
        <v>75</v>
      </c>
      <c r="AY9" s="169">
        <v>150</v>
      </c>
      <c r="AZ9" s="166">
        <v>300</v>
      </c>
      <c r="BA9" s="42"/>
      <c r="BB9" s="232" t="s">
        <v>132</v>
      </c>
      <c r="BC9" s="203">
        <v>45</v>
      </c>
      <c r="BD9" s="233">
        <v>0.113</v>
      </c>
      <c r="BE9" s="234">
        <v>8.4400000000000003E-2</v>
      </c>
      <c r="BF9" s="233">
        <v>0.39600000000000002</v>
      </c>
      <c r="BG9" s="203">
        <v>170</v>
      </c>
      <c r="BH9" s="203" t="s">
        <v>130</v>
      </c>
      <c r="BI9" s="219" t="s">
        <v>131</v>
      </c>
      <c r="BJ9" s="226"/>
      <c r="BL9" s="145">
        <f>AR6</f>
        <v>10</v>
      </c>
      <c r="BM9" s="18">
        <v>21.3</v>
      </c>
      <c r="BN9" s="162">
        <f>(PI()*BM9^2)/4</f>
        <v>356.32729275178838</v>
      </c>
      <c r="BO9" s="1638"/>
      <c r="BP9" s="18">
        <v>40</v>
      </c>
      <c r="BQ9" s="199">
        <f t="shared" si="0"/>
        <v>1256.6370614359173</v>
      </c>
      <c r="BS9" s="348">
        <v>200</v>
      </c>
      <c r="BT9" s="343">
        <v>0.65</v>
      </c>
      <c r="BU9" s="344">
        <v>3.25</v>
      </c>
      <c r="BV9" s="343">
        <v>0.7</v>
      </c>
      <c r="BW9" s="349">
        <v>3.6</v>
      </c>
      <c r="BY9" s="348">
        <v>200</v>
      </c>
      <c r="BZ9" s="343">
        <v>0.88</v>
      </c>
      <c r="CA9" s="344">
        <v>3.8</v>
      </c>
      <c r="CB9" s="343">
        <v>1.25</v>
      </c>
      <c r="CC9" s="349">
        <v>3.2</v>
      </c>
      <c r="CE9" s="348" t="s">
        <v>635</v>
      </c>
      <c r="CF9" s="343">
        <v>0.9</v>
      </c>
      <c r="CG9" s="355">
        <v>30</v>
      </c>
      <c r="CH9" s="343">
        <v>0.8</v>
      </c>
      <c r="CI9" s="358">
        <v>12</v>
      </c>
    </row>
    <row r="10" spans="2:90" ht="15.75" thickBot="1" x14ac:dyDescent="0.25">
      <c r="B10" s="142" t="s">
        <v>57</v>
      </c>
      <c r="C10" s="1598">
        <v>630</v>
      </c>
      <c r="D10" s="1599"/>
      <c r="E10" s="143">
        <v>700</v>
      </c>
      <c r="F10" s="143">
        <v>250</v>
      </c>
      <c r="G10" s="144">
        <v>170</v>
      </c>
      <c r="I10" s="15" t="s">
        <v>505</v>
      </c>
      <c r="J10" s="17">
        <v>0.4</v>
      </c>
      <c r="L10" s="15">
        <v>12</v>
      </c>
      <c r="M10" s="16">
        <v>17</v>
      </c>
      <c r="N10" s="17">
        <v>21</v>
      </c>
      <c r="O10" s="258"/>
      <c r="P10" s="15">
        <v>12</v>
      </c>
      <c r="Q10" s="16">
        <v>12.6</v>
      </c>
      <c r="R10" s="17">
        <v>16.2</v>
      </c>
      <c r="T10" s="15">
        <v>16</v>
      </c>
      <c r="U10" s="17">
        <v>10</v>
      </c>
      <c r="V10" s="151"/>
      <c r="W10" s="117">
        <v>10</v>
      </c>
      <c r="X10" s="16">
        <v>16</v>
      </c>
      <c r="Y10" s="16">
        <v>25</v>
      </c>
      <c r="Z10" s="16">
        <v>25</v>
      </c>
      <c r="AA10" s="16">
        <v>32</v>
      </c>
      <c r="AB10" s="17">
        <v>32</v>
      </c>
      <c r="AD10" s="173">
        <v>50</v>
      </c>
      <c r="AE10" s="16">
        <v>40</v>
      </c>
      <c r="AF10" s="16">
        <v>50</v>
      </c>
      <c r="AG10" s="16">
        <v>63</v>
      </c>
      <c r="AH10" s="16">
        <v>75</v>
      </c>
      <c r="AI10" s="17">
        <v>75</v>
      </c>
      <c r="AJ10" s="3"/>
      <c r="AK10" s="179">
        <v>10</v>
      </c>
      <c r="AL10" s="16" t="s">
        <v>417</v>
      </c>
      <c r="AM10" s="16">
        <v>32</v>
      </c>
      <c r="AN10" s="16">
        <v>32</v>
      </c>
      <c r="AO10" s="16">
        <v>32</v>
      </c>
      <c r="AP10" s="17">
        <v>32</v>
      </c>
      <c r="AQ10" s="3"/>
      <c r="AR10" s="176">
        <v>50</v>
      </c>
      <c r="AS10" s="16">
        <v>40</v>
      </c>
      <c r="AT10" s="88" t="s">
        <v>417</v>
      </c>
      <c r="AU10" s="16">
        <v>75</v>
      </c>
      <c r="AV10" s="16">
        <v>75</v>
      </c>
      <c r="AW10" s="17">
        <v>90</v>
      </c>
      <c r="AY10" s="1610"/>
      <c r="AZ10" s="166">
        <v>400</v>
      </c>
      <c r="BA10" s="42"/>
      <c r="BB10" s="232" t="s">
        <v>133</v>
      </c>
      <c r="BC10" s="203">
        <v>40</v>
      </c>
      <c r="BD10" s="233">
        <v>0.13300000000000001</v>
      </c>
      <c r="BE10" s="234">
        <v>0.13300000000000001</v>
      </c>
      <c r="BF10" s="233">
        <v>0.35099999999999998</v>
      </c>
      <c r="BG10" s="203">
        <v>185</v>
      </c>
      <c r="BH10" s="203" t="s">
        <v>134</v>
      </c>
      <c r="BI10" s="219" t="s">
        <v>135</v>
      </c>
      <c r="BJ10" s="226"/>
      <c r="BL10" s="145">
        <f t="shared" ref="BL10:BL22" si="1">AR7</f>
        <v>16</v>
      </c>
      <c r="BM10" s="18">
        <v>27</v>
      </c>
      <c r="BN10" s="162">
        <f t="shared" ref="BN10:BN20" si="2">(PI()*BM10^2)/4</f>
        <v>572.55526111673976</v>
      </c>
      <c r="BO10" s="1638"/>
      <c r="BP10" s="18">
        <v>50</v>
      </c>
      <c r="BQ10" s="199">
        <f t="shared" si="0"/>
        <v>1963.4954084936207</v>
      </c>
      <c r="BS10" s="348">
        <v>250</v>
      </c>
      <c r="BT10" s="343">
        <v>0.65</v>
      </c>
      <c r="BU10" s="344">
        <v>3.25</v>
      </c>
      <c r="BV10" s="343">
        <v>0.7</v>
      </c>
      <c r="BW10" s="349">
        <v>3.6</v>
      </c>
      <c r="BY10" s="348">
        <v>250</v>
      </c>
      <c r="BZ10" s="343">
        <v>0.88</v>
      </c>
      <c r="CA10" s="344">
        <v>3.8</v>
      </c>
      <c r="CB10" s="343">
        <v>1.25</v>
      </c>
      <c r="CC10" s="349">
        <v>3.2</v>
      </c>
      <c r="CE10" s="350" t="s">
        <v>636</v>
      </c>
      <c r="CF10" s="351">
        <v>0.9</v>
      </c>
      <c r="CG10" s="356">
        <v>30</v>
      </c>
      <c r="CH10" s="351">
        <v>0.9</v>
      </c>
      <c r="CI10" s="359">
        <v>12</v>
      </c>
    </row>
    <row r="11" spans="2:90" ht="15.75" thickBot="1" x14ac:dyDescent="0.25">
      <c r="B11" s="206" t="s">
        <v>42</v>
      </c>
      <c r="C11" s="1600"/>
      <c r="D11" s="1601"/>
      <c r="E11" s="160">
        <v>1050</v>
      </c>
      <c r="F11" s="160">
        <v>250</v>
      </c>
      <c r="G11" s="207">
        <v>170</v>
      </c>
      <c r="I11" s="15" t="s">
        <v>506</v>
      </c>
      <c r="J11" s="17">
        <v>0.38</v>
      </c>
      <c r="L11" s="15">
        <v>16</v>
      </c>
      <c r="M11" s="16">
        <v>22</v>
      </c>
      <c r="N11" s="17">
        <v>28</v>
      </c>
      <c r="O11" s="258"/>
      <c r="P11" s="15">
        <v>16</v>
      </c>
      <c r="Q11" s="16">
        <v>16.8</v>
      </c>
      <c r="R11" s="17">
        <v>21.6</v>
      </c>
      <c r="T11" s="15">
        <v>25</v>
      </c>
      <c r="U11" s="17">
        <v>16</v>
      </c>
      <c r="V11" s="151"/>
      <c r="W11" s="117">
        <v>16</v>
      </c>
      <c r="X11" s="16">
        <v>20</v>
      </c>
      <c r="Y11" s="16">
        <v>25</v>
      </c>
      <c r="Z11" s="16">
        <v>32</v>
      </c>
      <c r="AA11" s="16">
        <v>32</v>
      </c>
      <c r="AB11" s="17">
        <v>40</v>
      </c>
      <c r="AD11" s="173">
        <v>70</v>
      </c>
      <c r="AE11" s="16">
        <v>40</v>
      </c>
      <c r="AF11" s="16">
        <v>63</v>
      </c>
      <c r="AG11" s="16">
        <v>75</v>
      </c>
      <c r="AH11" s="16">
        <v>75</v>
      </c>
      <c r="AI11" s="17">
        <v>90</v>
      </c>
      <c r="AJ11" s="3"/>
      <c r="AK11" s="179">
        <v>16</v>
      </c>
      <c r="AL11" s="16" t="s">
        <v>417</v>
      </c>
      <c r="AM11" s="16">
        <v>32</v>
      </c>
      <c r="AN11" s="16">
        <v>32</v>
      </c>
      <c r="AO11" s="16">
        <v>40</v>
      </c>
      <c r="AP11" s="17">
        <v>40</v>
      </c>
      <c r="AQ11" s="3"/>
      <c r="AR11" s="176">
        <v>70</v>
      </c>
      <c r="AS11" s="16">
        <v>50</v>
      </c>
      <c r="AT11" s="88" t="s">
        <v>417</v>
      </c>
      <c r="AU11" s="16">
        <v>90</v>
      </c>
      <c r="AV11" s="16">
        <v>90</v>
      </c>
      <c r="AW11" s="17">
        <v>90</v>
      </c>
      <c r="AY11" s="1611"/>
      <c r="AZ11" s="166">
        <v>450</v>
      </c>
      <c r="BA11" s="42"/>
      <c r="BB11" s="241" t="s">
        <v>136</v>
      </c>
      <c r="BC11" s="203">
        <v>60</v>
      </c>
      <c r="BD11" s="233">
        <v>0.2</v>
      </c>
      <c r="BE11" s="234">
        <v>0.2</v>
      </c>
      <c r="BF11" s="233">
        <v>0.52900000000000003</v>
      </c>
      <c r="BG11" s="203">
        <v>220</v>
      </c>
      <c r="BH11" s="203" t="s">
        <v>134</v>
      </c>
      <c r="BI11" s="219" t="s">
        <v>135</v>
      </c>
      <c r="BJ11" s="226"/>
      <c r="BL11" s="145">
        <f t="shared" si="1"/>
        <v>25</v>
      </c>
      <c r="BM11" s="18">
        <v>29</v>
      </c>
      <c r="BN11" s="162">
        <f t="shared" si="2"/>
        <v>660.51985541725401</v>
      </c>
      <c r="BO11" s="1638"/>
      <c r="BP11" s="18">
        <v>63</v>
      </c>
      <c r="BQ11" s="199">
        <f t="shared" si="0"/>
        <v>3117.2453105244722</v>
      </c>
      <c r="BS11" s="348">
        <v>315</v>
      </c>
      <c r="BT11" s="343">
        <v>0.77</v>
      </c>
      <c r="BU11" s="344">
        <v>3.9</v>
      </c>
      <c r="BV11" s="343">
        <v>0.82</v>
      </c>
      <c r="BW11" s="349">
        <v>4.1500000000000004</v>
      </c>
      <c r="BY11" s="348">
        <v>315</v>
      </c>
      <c r="BZ11" s="343">
        <v>1</v>
      </c>
      <c r="CA11" s="344">
        <v>4.5999999999999996</v>
      </c>
      <c r="CB11" s="343">
        <v>1.45</v>
      </c>
      <c r="CC11" s="349">
        <v>4.6500000000000004</v>
      </c>
    </row>
    <row r="12" spans="2:90" ht="15.75" thickBot="1" x14ac:dyDescent="0.25">
      <c r="B12" s="155" t="s">
        <v>58</v>
      </c>
      <c r="C12" s="1598">
        <v>1250</v>
      </c>
      <c r="D12" s="1599"/>
      <c r="E12" s="156">
        <v>700</v>
      </c>
      <c r="F12" s="156">
        <v>350</v>
      </c>
      <c r="G12" s="157">
        <v>170</v>
      </c>
      <c r="I12" s="15" t="s">
        <v>507</v>
      </c>
      <c r="J12" s="17">
        <v>0.37</v>
      </c>
      <c r="L12" s="15">
        <v>20</v>
      </c>
      <c r="M12" s="16">
        <v>28</v>
      </c>
      <c r="N12" s="17">
        <v>35</v>
      </c>
      <c r="O12" s="258"/>
      <c r="P12" s="15">
        <v>20</v>
      </c>
      <c r="Q12" s="16">
        <v>21</v>
      </c>
      <c r="R12" s="17">
        <v>27</v>
      </c>
      <c r="T12" s="15">
        <v>35</v>
      </c>
      <c r="U12" s="17">
        <v>16</v>
      </c>
      <c r="V12" s="151"/>
      <c r="W12" s="117">
        <v>25</v>
      </c>
      <c r="X12" s="16">
        <v>25</v>
      </c>
      <c r="Y12" s="16">
        <v>32</v>
      </c>
      <c r="Z12" s="16">
        <v>40</v>
      </c>
      <c r="AA12" s="16">
        <v>40</v>
      </c>
      <c r="AB12" s="17">
        <v>50</v>
      </c>
      <c r="AD12" s="173">
        <v>95</v>
      </c>
      <c r="AE12" s="16">
        <v>50</v>
      </c>
      <c r="AF12" s="16">
        <v>63</v>
      </c>
      <c r="AG12" s="16">
        <v>90</v>
      </c>
      <c r="AH12" s="16">
        <v>90</v>
      </c>
      <c r="AI12" s="17">
        <v>90</v>
      </c>
      <c r="AJ12" s="3"/>
      <c r="AK12" s="179">
        <v>25</v>
      </c>
      <c r="AL12" s="16" t="s">
        <v>417</v>
      </c>
      <c r="AM12" s="16">
        <v>40</v>
      </c>
      <c r="AN12" s="16">
        <v>40</v>
      </c>
      <c r="AO12" s="16">
        <v>40</v>
      </c>
      <c r="AP12" s="17">
        <v>40</v>
      </c>
      <c r="AQ12" s="3"/>
      <c r="AR12" s="176">
        <v>95</v>
      </c>
      <c r="AS12" s="16">
        <v>50</v>
      </c>
      <c r="AT12" s="88" t="s">
        <v>417</v>
      </c>
      <c r="AU12" s="16">
        <v>110</v>
      </c>
      <c r="AV12" s="16">
        <v>110</v>
      </c>
      <c r="AW12" s="17">
        <v>110</v>
      </c>
      <c r="AY12" s="1611"/>
      <c r="AZ12" s="166">
        <v>500</v>
      </c>
      <c r="BA12" s="42"/>
      <c r="BB12" s="232" t="s">
        <v>137</v>
      </c>
      <c r="BC12" s="203">
        <v>100</v>
      </c>
      <c r="BD12" s="233">
        <v>0.33300000000000002</v>
      </c>
      <c r="BE12" s="234">
        <v>0.33300000000000002</v>
      </c>
      <c r="BF12" s="233">
        <v>0.88200000000000001</v>
      </c>
      <c r="BG12" s="203">
        <v>295</v>
      </c>
      <c r="BH12" s="203" t="s">
        <v>134</v>
      </c>
      <c r="BI12" s="219" t="s">
        <v>135</v>
      </c>
      <c r="BJ12" s="226"/>
      <c r="BL12" s="145">
        <f t="shared" si="1"/>
        <v>35</v>
      </c>
      <c r="BM12" s="18">
        <v>32</v>
      </c>
      <c r="BN12" s="162">
        <f t="shared" si="2"/>
        <v>804.24771931898704</v>
      </c>
      <c r="BO12" s="1638"/>
      <c r="BP12" s="18">
        <v>75</v>
      </c>
      <c r="BQ12" s="199">
        <f t="shared" si="0"/>
        <v>4417.8646691106469</v>
      </c>
      <c r="BS12" s="348">
        <v>400</v>
      </c>
      <c r="BT12" s="343">
        <v>0.93</v>
      </c>
      <c r="BU12" s="344">
        <v>4.5999999999999996</v>
      </c>
      <c r="BV12" s="343">
        <v>1</v>
      </c>
      <c r="BW12" s="349">
        <v>5.05</v>
      </c>
      <c r="BY12" s="348">
        <v>400</v>
      </c>
      <c r="BZ12" s="343">
        <v>1.2</v>
      </c>
      <c r="CA12" s="344">
        <v>5.5</v>
      </c>
      <c r="CB12" s="343">
        <v>1.7</v>
      </c>
      <c r="CC12" s="349">
        <v>5.9</v>
      </c>
      <c r="CE12" s="1627" t="s">
        <v>643</v>
      </c>
      <c r="CF12" s="1628"/>
      <c r="CG12" s="1628"/>
      <c r="CH12" s="1628"/>
      <c r="CI12" s="1629"/>
    </row>
    <row r="13" spans="2:90" ht="15.75" thickBot="1" x14ac:dyDescent="0.25">
      <c r="B13" s="153" t="s">
        <v>40</v>
      </c>
      <c r="C13" s="1634"/>
      <c r="D13" s="1635"/>
      <c r="E13" s="196">
        <v>1050</v>
      </c>
      <c r="F13" s="196">
        <v>350</v>
      </c>
      <c r="G13" s="154">
        <v>170</v>
      </c>
      <c r="I13" s="15" t="s">
        <v>508</v>
      </c>
      <c r="J13" s="17">
        <v>0.36</v>
      </c>
      <c r="L13" s="15">
        <v>25</v>
      </c>
      <c r="M13" s="16">
        <v>35</v>
      </c>
      <c r="N13" s="17">
        <v>44</v>
      </c>
      <c r="O13" s="258"/>
      <c r="P13" s="15">
        <v>25</v>
      </c>
      <c r="Q13" s="16">
        <v>26.3</v>
      </c>
      <c r="R13" s="17">
        <v>33.799999999999997</v>
      </c>
      <c r="T13" s="15">
        <v>50</v>
      </c>
      <c r="U13" s="17">
        <v>25</v>
      </c>
      <c r="V13" s="151"/>
      <c r="W13" s="117">
        <v>35</v>
      </c>
      <c r="X13" s="16">
        <v>25</v>
      </c>
      <c r="Y13" s="16">
        <v>40</v>
      </c>
      <c r="Z13" s="16">
        <v>40</v>
      </c>
      <c r="AA13" s="16">
        <v>50</v>
      </c>
      <c r="AB13" s="17">
        <v>50</v>
      </c>
      <c r="AD13" s="173">
        <v>120</v>
      </c>
      <c r="AE13" s="16">
        <v>50</v>
      </c>
      <c r="AF13" s="16">
        <v>75</v>
      </c>
      <c r="AG13" s="16">
        <v>90</v>
      </c>
      <c r="AH13" s="16">
        <v>110</v>
      </c>
      <c r="AI13" s="17">
        <v>110</v>
      </c>
      <c r="AJ13" s="3"/>
      <c r="AK13" s="179">
        <v>35</v>
      </c>
      <c r="AL13" s="16" t="s">
        <v>417</v>
      </c>
      <c r="AM13" s="16">
        <v>40</v>
      </c>
      <c r="AN13" s="16">
        <v>40</v>
      </c>
      <c r="AO13" s="16">
        <v>50</v>
      </c>
      <c r="AP13" s="17">
        <v>50</v>
      </c>
      <c r="AQ13" s="3"/>
      <c r="AR13" s="176">
        <v>120</v>
      </c>
      <c r="AS13" s="16">
        <v>50</v>
      </c>
      <c r="AT13" s="88" t="s">
        <v>417</v>
      </c>
      <c r="AU13" s="16">
        <v>110</v>
      </c>
      <c r="AV13" s="16">
        <v>110</v>
      </c>
      <c r="AW13" s="17">
        <v>110</v>
      </c>
      <c r="AY13" s="1612"/>
      <c r="AZ13" s="167">
        <v>600</v>
      </c>
      <c r="BA13" s="42"/>
      <c r="BB13" s="232" t="s">
        <v>138</v>
      </c>
      <c r="BC13" s="203">
        <v>75</v>
      </c>
      <c r="BD13" s="233">
        <v>0.313</v>
      </c>
      <c r="BE13" s="234">
        <v>0.39100000000000001</v>
      </c>
      <c r="BF13" s="233">
        <v>0.66300000000000003</v>
      </c>
      <c r="BG13" s="203">
        <v>270</v>
      </c>
      <c r="BH13" s="203" t="s">
        <v>139</v>
      </c>
      <c r="BI13" s="219" t="s">
        <v>140</v>
      </c>
      <c r="BJ13" s="226"/>
      <c r="BL13" s="145">
        <f t="shared" si="1"/>
        <v>50</v>
      </c>
      <c r="BM13" s="18">
        <v>36</v>
      </c>
      <c r="BN13" s="162">
        <f t="shared" si="2"/>
        <v>1017.8760197630929</v>
      </c>
      <c r="BO13" s="1638"/>
      <c r="BP13" s="18">
        <v>90</v>
      </c>
      <c r="BQ13" s="199">
        <f t="shared" si="0"/>
        <v>6361.7251235193307</v>
      </c>
      <c r="BS13" s="348">
        <v>500</v>
      </c>
      <c r="BT13" s="343">
        <v>1.1000000000000001</v>
      </c>
      <c r="BU13" s="344">
        <v>5.5</v>
      </c>
      <c r="BV13" s="343">
        <v>1.17</v>
      </c>
      <c r="BW13" s="349">
        <v>5.65</v>
      </c>
      <c r="BY13" s="348">
        <v>500</v>
      </c>
      <c r="BZ13" s="343">
        <v>1.4</v>
      </c>
      <c r="CA13" s="344">
        <v>6.4</v>
      </c>
      <c r="CB13" s="343">
        <v>1.85</v>
      </c>
      <c r="CC13" s="349">
        <v>6.6</v>
      </c>
      <c r="CE13" s="1655" t="s">
        <v>641</v>
      </c>
      <c r="CF13" s="1656" t="s">
        <v>642</v>
      </c>
      <c r="CG13" s="1657"/>
      <c r="CH13" s="1657"/>
      <c r="CI13" s="1658"/>
    </row>
    <row r="14" spans="2:90" ht="16.5" thickTop="1" thickBot="1" x14ac:dyDescent="0.25">
      <c r="I14" s="20" t="s">
        <v>509</v>
      </c>
      <c r="J14" s="22">
        <v>0.34</v>
      </c>
      <c r="L14" s="15">
        <v>32</v>
      </c>
      <c r="M14" s="16">
        <v>42</v>
      </c>
      <c r="N14" s="17">
        <v>51</v>
      </c>
      <c r="O14" s="258"/>
      <c r="P14" s="15">
        <v>32</v>
      </c>
      <c r="Q14" s="16">
        <v>33</v>
      </c>
      <c r="R14" s="17">
        <v>39</v>
      </c>
      <c r="T14" s="15">
        <v>70</v>
      </c>
      <c r="U14" s="17">
        <v>35</v>
      </c>
      <c r="V14" s="151"/>
      <c r="W14" s="117">
        <v>50</v>
      </c>
      <c r="X14" s="16">
        <v>32</v>
      </c>
      <c r="Y14" s="16">
        <v>40</v>
      </c>
      <c r="Z14" s="16">
        <v>50</v>
      </c>
      <c r="AA14" s="16">
        <v>50</v>
      </c>
      <c r="AB14" s="17">
        <v>63</v>
      </c>
      <c r="AD14" s="173">
        <v>150</v>
      </c>
      <c r="AE14" s="16">
        <v>63</v>
      </c>
      <c r="AF14" s="16">
        <v>90</v>
      </c>
      <c r="AG14" s="16">
        <v>110</v>
      </c>
      <c r="AH14" s="16">
        <v>110</v>
      </c>
      <c r="AI14" s="17">
        <v>110</v>
      </c>
      <c r="AJ14" s="3"/>
      <c r="AK14" s="179">
        <v>50</v>
      </c>
      <c r="AL14" s="16" t="s">
        <v>417</v>
      </c>
      <c r="AM14" s="16">
        <v>50</v>
      </c>
      <c r="AN14" s="16">
        <v>50</v>
      </c>
      <c r="AO14" s="16">
        <v>50</v>
      </c>
      <c r="AP14" s="17">
        <v>50</v>
      </c>
      <c r="AQ14" s="3"/>
      <c r="AR14" s="176">
        <v>150</v>
      </c>
      <c r="AS14" s="16">
        <v>63</v>
      </c>
      <c r="AT14" s="88" t="s">
        <v>417</v>
      </c>
      <c r="AU14" s="16">
        <v>110</v>
      </c>
      <c r="AV14" s="16">
        <v>110</v>
      </c>
      <c r="AW14" s="17">
        <v>110</v>
      </c>
      <c r="BB14" s="232" t="s">
        <v>141</v>
      </c>
      <c r="BC14" s="203">
        <v>125</v>
      </c>
      <c r="BD14" s="233">
        <v>0.52100000000000002</v>
      </c>
      <c r="BE14" s="234">
        <v>0.65100000000000002</v>
      </c>
      <c r="BF14" s="233">
        <v>1.1100000000000001</v>
      </c>
      <c r="BG14" s="203">
        <v>350</v>
      </c>
      <c r="BH14" s="203" t="s">
        <v>139</v>
      </c>
      <c r="BI14" s="219" t="s">
        <v>140</v>
      </c>
      <c r="BL14" s="145">
        <f t="shared" si="1"/>
        <v>70</v>
      </c>
      <c r="BM14" s="18">
        <v>37.5</v>
      </c>
      <c r="BN14" s="162">
        <f t="shared" si="2"/>
        <v>1104.4661672776617</v>
      </c>
      <c r="BO14" s="1638"/>
      <c r="BP14" s="18">
        <v>110</v>
      </c>
      <c r="BQ14" s="199">
        <f t="shared" si="0"/>
        <v>9503.317777109125</v>
      </c>
      <c r="BS14" s="348">
        <v>630</v>
      </c>
      <c r="BT14" s="343">
        <v>1.3</v>
      </c>
      <c r="BU14" s="344">
        <v>6.5</v>
      </c>
      <c r="BV14" s="343">
        <v>1.4</v>
      </c>
      <c r="BW14" s="349">
        <v>6.65</v>
      </c>
      <c r="BY14" s="348">
        <v>630</v>
      </c>
      <c r="BZ14" s="343">
        <v>1.65</v>
      </c>
      <c r="CA14" s="344">
        <v>7.8</v>
      </c>
      <c r="CB14" s="343">
        <v>2.2000000000000002</v>
      </c>
      <c r="CC14" s="349">
        <v>8.1999999999999993</v>
      </c>
      <c r="CE14" s="1241"/>
      <c r="CF14" s="1659"/>
      <c r="CG14" s="1660"/>
      <c r="CH14" s="1660"/>
      <c r="CI14" s="1661"/>
    </row>
    <row r="15" spans="2:90" ht="16.5" thickTop="1" thickBot="1" x14ac:dyDescent="0.25">
      <c r="B15" s="1570" t="s">
        <v>60</v>
      </c>
      <c r="C15" s="1571"/>
      <c r="D15" s="1572"/>
      <c r="E15" s="1572"/>
      <c r="F15" s="1572"/>
      <c r="G15" s="1573"/>
      <c r="L15" s="15">
        <v>40</v>
      </c>
      <c r="M15" s="16">
        <v>52</v>
      </c>
      <c r="N15" s="17">
        <v>64</v>
      </c>
      <c r="O15" s="258"/>
      <c r="P15" s="15">
        <v>40</v>
      </c>
      <c r="Q15" s="16">
        <v>42</v>
      </c>
      <c r="R15" s="17">
        <v>54</v>
      </c>
      <c r="T15" s="15">
        <v>95</v>
      </c>
      <c r="U15" s="17">
        <v>50</v>
      </c>
      <c r="V15" s="4"/>
      <c r="W15" s="117">
        <v>70</v>
      </c>
      <c r="X15" s="16">
        <v>32</v>
      </c>
      <c r="Y15" s="16">
        <v>50</v>
      </c>
      <c r="Z15" s="16">
        <v>63</v>
      </c>
      <c r="AA15" s="16">
        <v>63</v>
      </c>
      <c r="AB15" s="17">
        <v>63</v>
      </c>
      <c r="AD15" s="173">
        <v>185</v>
      </c>
      <c r="AE15" s="16">
        <v>63</v>
      </c>
      <c r="AF15" s="16">
        <v>90</v>
      </c>
      <c r="AG15" s="16">
        <v>110</v>
      </c>
      <c r="AH15" s="16">
        <v>110</v>
      </c>
      <c r="AI15" s="17" t="s">
        <v>520</v>
      </c>
      <c r="AJ15" s="3"/>
      <c r="AK15" s="179">
        <v>70</v>
      </c>
      <c r="AL15" s="16" t="s">
        <v>417</v>
      </c>
      <c r="AM15" s="16">
        <v>63</v>
      </c>
      <c r="AN15" s="16">
        <v>63</v>
      </c>
      <c r="AO15" s="16">
        <v>63</v>
      </c>
      <c r="AP15" s="17">
        <v>63</v>
      </c>
      <c r="AQ15" s="3"/>
      <c r="AR15" s="176">
        <v>185</v>
      </c>
      <c r="AS15" s="16">
        <v>63</v>
      </c>
      <c r="AT15" s="88" t="s">
        <v>417</v>
      </c>
      <c r="AU15" s="88" t="s">
        <v>417</v>
      </c>
      <c r="AV15" s="16">
        <v>125</v>
      </c>
      <c r="AW15" s="17">
        <v>125</v>
      </c>
      <c r="BB15" s="232" t="s">
        <v>142</v>
      </c>
      <c r="BC15" s="203">
        <v>90</v>
      </c>
      <c r="BD15" s="233">
        <v>0.45</v>
      </c>
      <c r="BE15" s="234">
        <v>0.67500000000000004</v>
      </c>
      <c r="BF15" s="233">
        <v>0.79600000000000004</v>
      </c>
      <c r="BG15" s="203">
        <v>315</v>
      </c>
      <c r="BH15" s="203" t="s">
        <v>143</v>
      </c>
      <c r="BI15" s="219" t="s">
        <v>144</v>
      </c>
      <c r="BL15" s="145">
        <f t="shared" si="1"/>
        <v>95</v>
      </c>
      <c r="BM15" s="18">
        <v>43</v>
      </c>
      <c r="BN15" s="162">
        <f t="shared" si="2"/>
        <v>1452.2012041218818</v>
      </c>
      <c r="BO15" s="1638"/>
      <c r="BP15" s="18">
        <v>125</v>
      </c>
      <c r="BQ15" s="199">
        <f t="shared" si="0"/>
        <v>12271.846303085129</v>
      </c>
      <c r="BS15" s="348">
        <v>800</v>
      </c>
      <c r="BT15" s="343">
        <v>1.55</v>
      </c>
      <c r="BU15" s="344">
        <v>8.1999999999999993</v>
      </c>
      <c r="BV15" s="343">
        <v>1.65</v>
      </c>
      <c r="BW15" s="349">
        <v>8.3000000000000007</v>
      </c>
      <c r="BY15" s="348">
        <v>800</v>
      </c>
      <c r="BZ15" s="343">
        <v>1.95</v>
      </c>
      <c r="CA15" s="344">
        <v>8.5</v>
      </c>
      <c r="CB15" s="343">
        <v>2.4500000000000002</v>
      </c>
      <c r="CC15" s="349">
        <v>9</v>
      </c>
      <c r="CE15" s="346" t="s">
        <v>649</v>
      </c>
      <c r="CF15" s="1280">
        <v>3</v>
      </c>
      <c r="CG15" s="1293"/>
      <c r="CH15" s="1293"/>
      <c r="CI15" s="1662"/>
    </row>
    <row r="16" spans="2:90" ht="15.75" customHeight="1" thickBot="1" x14ac:dyDescent="0.25">
      <c r="B16" s="1574" t="s">
        <v>37</v>
      </c>
      <c r="C16" s="1575" t="s">
        <v>59</v>
      </c>
      <c r="D16" s="1576"/>
      <c r="E16" s="1550" t="s">
        <v>55</v>
      </c>
      <c r="F16" s="1550"/>
      <c r="G16" s="1551"/>
      <c r="L16" s="15">
        <v>50</v>
      </c>
      <c r="M16" s="16">
        <v>65</v>
      </c>
      <c r="N16" s="17">
        <v>80</v>
      </c>
      <c r="O16" s="258"/>
      <c r="P16" s="15">
        <v>50</v>
      </c>
      <c r="Q16" s="16">
        <v>53</v>
      </c>
      <c r="R16" s="17">
        <v>68</v>
      </c>
      <c r="T16" s="15">
        <v>120</v>
      </c>
      <c r="U16" s="17">
        <v>70</v>
      </c>
      <c r="W16" s="117">
        <v>95</v>
      </c>
      <c r="X16" s="16">
        <v>40</v>
      </c>
      <c r="Y16" s="16">
        <v>50</v>
      </c>
      <c r="Z16" s="16">
        <v>63</v>
      </c>
      <c r="AA16" s="16">
        <v>75</v>
      </c>
      <c r="AB16" s="17">
        <v>75</v>
      </c>
      <c r="AD16" s="173">
        <v>240</v>
      </c>
      <c r="AE16" s="16">
        <v>75</v>
      </c>
      <c r="AF16" s="16">
        <v>110</v>
      </c>
      <c r="AG16" s="16" t="s">
        <v>520</v>
      </c>
      <c r="AH16" s="16" t="s">
        <v>520</v>
      </c>
      <c r="AI16" s="17" t="s">
        <v>520</v>
      </c>
      <c r="AJ16" s="3"/>
      <c r="AK16" s="179">
        <v>95</v>
      </c>
      <c r="AL16" s="16" t="s">
        <v>417</v>
      </c>
      <c r="AM16" s="16">
        <v>63</v>
      </c>
      <c r="AN16" s="16">
        <v>63</v>
      </c>
      <c r="AO16" s="16">
        <v>63</v>
      </c>
      <c r="AP16" s="17">
        <v>63</v>
      </c>
      <c r="AQ16" s="3"/>
      <c r="AR16" s="176">
        <v>240</v>
      </c>
      <c r="AS16" s="16">
        <v>75</v>
      </c>
      <c r="AT16" s="88" t="s">
        <v>417</v>
      </c>
      <c r="AU16" s="88" t="s">
        <v>417</v>
      </c>
      <c r="AV16" s="16">
        <v>150</v>
      </c>
      <c r="AW16" s="17">
        <v>150</v>
      </c>
      <c r="BB16" s="232" t="s">
        <v>145</v>
      </c>
      <c r="BC16" s="203">
        <v>150</v>
      </c>
      <c r="BD16" s="233">
        <v>0.75</v>
      </c>
      <c r="BE16" s="234">
        <v>1.1299999999999999</v>
      </c>
      <c r="BF16" s="233">
        <v>1.33</v>
      </c>
      <c r="BG16" s="203">
        <v>400</v>
      </c>
      <c r="BH16" s="203" t="s">
        <v>143</v>
      </c>
      <c r="BI16" s="219" t="s">
        <v>144</v>
      </c>
      <c r="BL16" s="145">
        <f t="shared" si="1"/>
        <v>120</v>
      </c>
      <c r="BM16" s="18">
        <v>47.5</v>
      </c>
      <c r="BN16" s="162">
        <f t="shared" si="2"/>
        <v>1772.0546061654927</v>
      </c>
      <c r="BO16" s="1638"/>
      <c r="BP16" s="18">
        <v>150</v>
      </c>
      <c r="BQ16" s="199">
        <f t="shared" si="0"/>
        <v>17671.458676442588</v>
      </c>
      <c r="BS16" s="348">
        <v>1000</v>
      </c>
      <c r="BT16" s="343">
        <v>1.8</v>
      </c>
      <c r="BU16" s="344">
        <v>10.199999999999999</v>
      </c>
      <c r="BV16" s="343">
        <v>1.9</v>
      </c>
      <c r="BW16" s="349">
        <v>10.4</v>
      </c>
      <c r="BY16" s="348">
        <v>1000</v>
      </c>
      <c r="BZ16" s="343">
        <v>2.2999999999999998</v>
      </c>
      <c r="CA16" s="344">
        <v>11</v>
      </c>
      <c r="CB16" s="343">
        <v>2.9</v>
      </c>
      <c r="CC16" s="349">
        <v>11</v>
      </c>
      <c r="CE16" s="350" t="s">
        <v>657</v>
      </c>
      <c r="CF16" s="1274">
        <v>8.5</v>
      </c>
      <c r="CG16" s="1283"/>
      <c r="CH16" s="1283"/>
      <c r="CI16" s="1663"/>
    </row>
    <row r="17" spans="2:81" ht="15.75" thickBot="1" x14ac:dyDescent="0.25">
      <c r="B17" s="1574"/>
      <c r="C17" s="1577"/>
      <c r="D17" s="1578"/>
      <c r="E17" s="217" t="s">
        <v>52</v>
      </c>
      <c r="F17" s="217" t="s">
        <v>53</v>
      </c>
      <c r="G17" s="218" t="s">
        <v>54</v>
      </c>
      <c r="L17" s="15">
        <v>63</v>
      </c>
      <c r="M17" s="16">
        <v>82</v>
      </c>
      <c r="N17" s="17">
        <v>101</v>
      </c>
      <c r="O17" s="258"/>
      <c r="P17" s="15">
        <v>63</v>
      </c>
      <c r="Q17" s="16">
        <v>66</v>
      </c>
      <c r="R17" s="17">
        <v>85</v>
      </c>
      <c r="T17" s="15">
        <v>150</v>
      </c>
      <c r="U17" s="17">
        <v>70</v>
      </c>
      <c r="W17" s="117">
        <v>120</v>
      </c>
      <c r="X17" s="16">
        <v>40</v>
      </c>
      <c r="Y17" s="16">
        <v>63</v>
      </c>
      <c r="Z17" s="16">
        <v>75</v>
      </c>
      <c r="AA17" s="16">
        <v>75</v>
      </c>
      <c r="AB17" s="17">
        <v>90</v>
      </c>
      <c r="AD17" s="173">
        <v>300</v>
      </c>
      <c r="AE17" s="16">
        <v>75</v>
      </c>
      <c r="AF17" s="16">
        <v>110</v>
      </c>
      <c r="AG17" s="16" t="s">
        <v>520</v>
      </c>
      <c r="AH17" s="16" t="s">
        <v>520</v>
      </c>
      <c r="AI17" s="17" t="s">
        <v>520</v>
      </c>
      <c r="AJ17" s="3"/>
      <c r="AK17" s="179">
        <v>120</v>
      </c>
      <c r="AL17" s="16" t="s">
        <v>417</v>
      </c>
      <c r="AM17" s="88" t="s">
        <v>417</v>
      </c>
      <c r="AN17" s="16">
        <v>75</v>
      </c>
      <c r="AO17" s="16">
        <v>75</v>
      </c>
      <c r="AP17" s="17">
        <v>75</v>
      </c>
      <c r="AQ17" s="3"/>
      <c r="AR17" s="176">
        <v>300</v>
      </c>
      <c r="AS17" s="16">
        <v>75</v>
      </c>
      <c r="AT17" s="88" t="s">
        <v>417</v>
      </c>
      <c r="AU17" s="88" t="s">
        <v>417</v>
      </c>
      <c r="AV17" s="88" t="s">
        <v>417</v>
      </c>
      <c r="AW17" s="93" t="s">
        <v>417</v>
      </c>
      <c r="BB17" s="232" t="s">
        <v>146</v>
      </c>
      <c r="BC17" s="203">
        <v>120</v>
      </c>
      <c r="BD17" s="233">
        <v>0.8</v>
      </c>
      <c r="BE17" s="234">
        <v>1.6</v>
      </c>
      <c r="BF17" s="233">
        <v>1.06</v>
      </c>
      <c r="BG17" s="203">
        <v>420</v>
      </c>
      <c r="BH17" s="203" t="s">
        <v>147</v>
      </c>
      <c r="BI17" s="219" t="s">
        <v>134</v>
      </c>
      <c r="BL17" s="145">
        <f t="shared" si="1"/>
        <v>150</v>
      </c>
      <c r="BM17" s="18">
        <v>53</v>
      </c>
      <c r="BN17" s="162">
        <f t="shared" si="2"/>
        <v>2206.1834409834323</v>
      </c>
      <c r="BO17" s="1638"/>
      <c r="BP17" s="18">
        <v>160</v>
      </c>
      <c r="BQ17" s="199">
        <f t="shared" si="0"/>
        <v>20106.192982974677</v>
      </c>
      <c r="BS17" s="348">
        <v>1250</v>
      </c>
      <c r="BT17" s="343">
        <v>2.15</v>
      </c>
      <c r="BU17" s="344">
        <v>12.1</v>
      </c>
      <c r="BV17" s="343">
        <v>2.25</v>
      </c>
      <c r="BW17" s="349">
        <v>12.4</v>
      </c>
      <c r="BY17" s="348">
        <v>1250</v>
      </c>
      <c r="BZ17" s="343">
        <v>2.7</v>
      </c>
      <c r="CA17" s="344">
        <v>11.5</v>
      </c>
      <c r="CB17" s="343">
        <v>3.4</v>
      </c>
      <c r="CC17" s="349">
        <v>11.5</v>
      </c>
    </row>
    <row r="18" spans="2:81" ht="15" x14ac:dyDescent="0.2">
      <c r="B18" s="142" t="s">
        <v>61</v>
      </c>
      <c r="C18" s="1579" t="s">
        <v>67</v>
      </c>
      <c r="D18" s="1580"/>
      <c r="E18" s="143">
        <v>150</v>
      </c>
      <c r="F18" s="143">
        <v>200</v>
      </c>
      <c r="G18" s="144">
        <v>170</v>
      </c>
      <c r="L18" s="15">
        <v>80</v>
      </c>
      <c r="M18" s="16">
        <v>104</v>
      </c>
      <c r="N18" s="17">
        <v>128</v>
      </c>
      <c r="O18" s="258"/>
      <c r="P18" s="15">
        <v>80</v>
      </c>
      <c r="Q18" s="16">
        <v>84</v>
      </c>
      <c r="R18" s="17">
        <v>108</v>
      </c>
      <c r="T18" s="15">
        <v>185</v>
      </c>
      <c r="U18" s="17">
        <v>95</v>
      </c>
      <c r="W18" s="117">
        <v>150</v>
      </c>
      <c r="X18" s="16">
        <v>50</v>
      </c>
      <c r="Y18" s="16">
        <v>63</v>
      </c>
      <c r="Z18" s="16">
        <v>75</v>
      </c>
      <c r="AA18" s="16">
        <v>90</v>
      </c>
      <c r="AB18" s="17">
        <v>90</v>
      </c>
      <c r="AD18" s="173">
        <v>400</v>
      </c>
      <c r="AE18" s="16">
        <v>90</v>
      </c>
      <c r="AF18" s="16" t="s">
        <v>520</v>
      </c>
      <c r="AG18" s="16" t="s">
        <v>520</v>
      </c>
      <c r="AH18" s="16" t="s">
        <v>520</v>
      </c>
      <c r="AI18" s="17" t="s">
        <v>520</v>
      </c>
      <c r="AJ18" s="3"/>
      <c r="AK18" s="179">
        <v>150</v>
      </c>
      <c r="AL18" s="16" t="s">
        <v>417</v>
      </c>
      <c r="AM18" s="88" t="s">
        <v>417</v>
      </c>
      <c r="AN18" s="16">
        <v>75</v>
      </c>
      <c r="AO18" s="16">
        <v>75</v>
      </c>
      <c r="AP18" s="17">
        <v>75</v>
      </c>
      <c r="AQ18" s="3"/>
      <c r="AR18" s="176">
        <v>400</v>
      </c>
      <c r="AS18" s="16">
        <v>75</v>
      </c>
      <c r="AT18" s="88" t="s">
        <v>417</v>
      </c>
      <c r="AU18" s="88" t="s">
        <v>417</v>
      </c>
      <c r="AV18" s="88" t="s">
        <v>417</v>
      </c>
      <c r="AW18" s="93" t="s">
        <v>417</v>
      </c>
      <c r="BB18" s="232" t="s">
        <v>148</v>
      </c>
      <c r="BC18" s="203">
        <v>200</v>
      </c>
      <c r="BD18" s="233">
        <v>1.33</v>
      </c>
      <c r="BE18" s="234">
        <v>2.67</v>
      </c>
      <c r="BF18" s="233">
        <v>1.77</v>
      </c>
      <c r="BG18" s="203">
        <v>520</v>
      </c>
      <c r="BH18" s="203" t="s">
        <v>147</v>
      </c>
      <c r="BI18" s="219" t="s">
        <v>134</v>
      </c>
      <c r="BL18" s="145">
        <f t="shared" si="1"/>
        <v>185</v>
      </c>
      <c r="BM18" s="18">
        <v>58</v>
      </c>
      <c r="BN18" s="162">
        <f t="shared" si="2"/>
        <v>2642.079421669016</v>
      </c>
      <c r="BO18" s="1638"/>
      <c r="BP18" s="18">
        <v>200</v>
      </c>
      <c r="BQ18" s="199">
        <f t="shared" si="0"/>
        <v>31415.926535897932</v>
      </c>
      <c r="BS18" s="348">
        <v>1600</v>
      </c>
      <c r="BT18" s="343">
        <v>2.5499999999999998</v>
      </c>
      <c r="BU18" s="344">
        <v>14.5</v>
      </c>
      <c r="BV18" s="343">
        <v>2.65</v>
      </c>
      <c r="BW18" s="349">
        <v>15.8</v>
      </c>
      <c r="BY18" s="348">
        <v>1600</v>
      </c>
      <c r="BZ18" s="343">
        <v>3.1</v>
      </c>
      <c r="CA18" s="344">
        <v>13</v>
      </c>
      <c r="CB18" s="343">
        <v>4.4000000000000004</v>
      </c>
      <c r="CC18" s="349">
        <v>12.7</v>
      </c>
    </row>
    <row r="19" spans="2:81" ht="17.25" customHeight="1" thickBot="1" x14ac:dyDescent="0.25">
      <c r="B19" s="208" t="s">
        <v>62</v>
      </c>
      <c r="C19" s="1581" t="s">
        <v>68</v>
      </c>
      <c r="D19" s="1582"/>
      <c r="E19" s="170">
        <v>220</v>
      </c>
      <c r="F19" s="170">
        <v>500</v>
      </c>
      <c r="G19" s="209">
        <v>170</v>
      </c>
      <c r="L19" s="15">
        <v>100</v>
      </c>
      <c r="M19" s="16">
        <v>130</v>
      </c>
      <c r="N19" s="17">
        <v>160</v>
      </c>
      <c r="O19" s="258"/>
      <c r="P19" s="15">
        <v>100</v>
      </c>
      <c r="Q19" s="16">
        <v>105</v>
      </c>
      <c r="R19" s="17">
        <v>135</v>
      </c>
      <c r="T19" s="15">
        <v>240</v>
      </c>
      <c r="U19" s="17">
        <v>120</v>
      </c>
      <c r="W19" s="117">
        <v>185</v>
      </c>
      <c r="X19" s="16">
        <v>50</v>
      </c>
      <c r="Y19" s="16">
        <v>75</v>
      </c>
      <c r="Z19" s="16">
        <v>90</v>
      </c>
      <c r="AA19" s="16">
        <v>90</v>
      </c>
      <c r="AB19" s="17">
        <v>110</v>
      </c>
      <c r="AD19" s="174">
        <v>500</v>
      </c>
      <c r="AE19" s="21">
        <v>110</v>
      </c>
      <c r="AF19" s="21" t="s">
        <v>520</v>
      </c>
      <c r="AG19" s="21" t="s">
        <v>520</v>
      </c>
      <c r="AH19" s="21" t="s">
        <v>520</v>
      </c>
      <c r="AI19" s="22" t="s">
        <v>520</v>
      </c>
      <c r="AJ19" s="3"/>
      <c r="AK19" s="179">
        <v>185</v>
      </c>
      <c r="AL19" s="16" t="s">
        <v>417</v>
      </c>
      <c r="AM19" s="88" t="s">
        <v>417</v>
      </c>
      <c r="AN19" s="16">
        <v>75</v>
      </c>
      <c r="AO19" s="16">
        <v>90</v>
      </c>
      <c r="AP19" s="17">
        <v>90</v>
      </c>
      <c r="AQ19" s="3"/>
      <c r="AR19" s="177">
        <v>500</v>
      </c>
      <c r="AS19" s="21">
        <v>90</v>
      </c>
      <c r="AT19" s="158" t="s">
        <v>417</v>
      </c>
      <c r="AU19" s="158" t="s">
        <v>417</v>
      </c>
      <c r="AV19" s="158" t="s">
        <v>417</v>
      </c>
      <c r="AW19" s="159" t="s">
        <v>417</v>
      </c>
      <c r="BB19" s="232" t="s">
        <v>149</v>
      </c>
      <c r="BC19" s="203">
        <v>400</v>
      </c>
      <c r="BD19" s="233">
        <v>2.67</v>
      </c>
      <c r="BE19" s="234">
        <v>5.33</v>
      </c>
      <c r="BF19" s="233">
        <v>3.55</v>
      </c>
      <c r="BG19" s="203">
        <v>760</v>
      </c>
      <c r="BH19" s="203" t="s">
        <v>147</v>
      </c>
      <c r="BI19" s="219" t="s">
        <v>134</v>
      </c>
      <c r="BL19" s="145">
        <f t="shared" si="1"/>
        <v>240</v>
      </c>
      <c r="BM19" s="18">
        <v>67</v>
      </c>
      <c r="BN19" s="162">
        <f t="shared" si="2"/>
        <v>3525.6523554911455</v>
      </c>
      <c r="BO19" s="1638"/>
      <c r="BP19" s="18">
        <v>250</v>
      </c>
      <c r="BQ19" s="199">
        <f t="shared" si="0"/>
        <v>49087.385212340516</v>
      </c>
      <c r="BS19" s="348">
        <v>2000</v>
      </c>
      <c r="BT19" s="343">
        <v>2.9</v>
      </c>
      <c r="BU19" s="344">
        <v>17.5</v>
      </c>
      <c r="BV19" s="343">
        <v>3.05</v>
      </c>
      <c r="BW19" s="349">
        <v>18</v>
      </c>
      <c r="BY19" s="348">
        <v>2000</v>
      </c>
      <c r="BZ19" s="343">
        <v>3.65</v>
      </c>
      <c r="CA19" s="344">
        <v>17</v>
      </c>
      <c r="CB19" s="343">
        <v>4.9000000000000004</v>
      </c>
      <c r="CC19" s="349">
        <v>16</v>
      </c>
    </row>
    <row r="20" spans="2:81" ht="15.75" customHeight="1" thickTop="1" thickBot="1" x14ac:dyDescent="0.25">
      <c r="B20" s="145" t="s">
        <v>63</v>
      </c>
      <c r="C20" s="1581" t="s">
        <v>69</v>
      </c>
      <c r="D20" s="1582"/>
      <c r="E20" s="18">
        <v>220</v>
      </c>
      <c r="F20" s="18">
        <v>500</v>
      </c>
      <c r="G20" s="19">
        <v>170</v>
      </c>
      <c r="L20" s="15">
        <v>125</v>
      </c>
      <c r="M20" s="16">
        <v>150</v>
      </c>
      <c r="N20" s="17">
        <v>200</v>
      </c>
      <c r="O20" s="258"/>
      <c r="P20" s="15">
        <v>125</v>
      </c>
      <c r="Q20" s="16">
        <v>131</v>
      </c>
      <c r="R20" s="17">
        <v>169</v>
      </c>
      <c r="T20" s="15">
        <v>300</v>
      </c>
      <c r="U20" s="17">
        <v>150</v>
      </c>
      <c r="W20" s="117">
        <v>240</v>
      </c>
      <c r="X20" s="16">
        <v>63</v>
      </c>
      <c r="Y20" s="16">
        <v>75</v>
      </c>
      <c r="Z20" s="16">
        <v>90</v>
      </c>
      <c r="AA20" s="16">
        <v>110</v>
      </c>
      <c r="AB20" s="17">
        <v>110</v>
      </c>
      <c r="AD20" s="1589" t="s">
        <v>1</v>
      </c>
      <c r="AE20" s="1590"/>
      <c r="AF20" s="1590"/>
      <c r="AG20" s="1590"/>
      <c r="AH20" s="1590"/>
      <c r="AI20" s="1591"/>
      <c r="AJ20" s="82"/>
      <c r="AK20" s="179">
        <v>240</v>
      </c>
      <c r="AL20" s="16" t="s">
        <v>417</v>
      </c>
      <c r="AM20" s="88" t="s">
        <v>417</v>
      </c>
      <c r="AN20" s="16">
        <v>90</v>
      </c>
      <c r="AO20" s="16">
        <v>110</v>
      </c>
      <c r="AP20" s="17">
        <v>110</v>
      </c>
      <c r="AQ20" s="82"/>
      <c r="AR20" s="1552" t="s">
        <v>1</v>
      </c>
      <c r="AS20" s="1553"/>
      <c r="AT20" s="1553"/>
      <c r="AU20" s="1553"/>
      <c r="AV20" s="1553"/>
      <c r="AW20" s="1554"/>
      <c r="BB20" s="232" t="s">
        <v>150</v>
      </c>
      <c r="BC20" s="203">
        <v>250</v>
      </c>
      <c r="BD20" s="233">
        <v>2.08</v>
      </c>
      <c r="BE20" s="234">
        <v>5.21</v>
      </c>
      <c r="BF20" s="233">
        <v>2.2200000000000002</v>
      </c>
      <c r="BG20" s="203">
        <v>630</v>
      </c>
      <c r="BH20" s="203" t="s">
        <v>151</v>
      </c>
      <c r="BI20" s="219" t="s">
        <v>139</v>
      </c>
      <c r="BL20" s="145">
        <f t="shared" si="1"/>
        <v>300</v>
      </c>
      <c r="BM20" s="18">
        <v>72</v>
      </c>
      <c r="BN20" s="162">
        <f t="shared" si="2"/>
        <v>4071.5040790523717</v>
      </c>
      <c r="BO20" s="1638"/>
      <c r="BP20" s="18">
        <v>300</v>
      </c>
      <c r="BQ20" s="199">
        <f t="shared" si="0"/>
        <v>70685.83470577035</v>
      </c>
      <c r="BS20" s="350">
        <v>2500</v>
      </c>
      <c r="BT20" s="351">
        <v>3.55</v>
      </c>
      <c r="BU20" s="352">
        <v>21</v>
      </c>
      <c r="BV20" s="351">
        <v>3.65</v>
      </c>
      <c r="BW20" s="353">
        <v>22.5</v>
      </c>
      <c r="BY20" s="350">
        <v>2500</v>
      </c>
      <c r="BZ20" s="351">
        <v>5</v>
      </c>
      <c r="CA20" s="352">
        <v>19</v>
      </c>
      <c r="CB20" s="351">
        <v>6.8</v>
      </c>
      <c r="CC20" s="353">
        <v>18.5</v>
      </c>
    </row>
    <row r="21" spans="2:81" ht="15" x14ac:dyDescent="0.2">
      <c r="B21" s="145" t="s">
        <v>64</v>
      </c>
      <c r="C21" s="1581" t="s">
        <v>70</v>
      </c>
      <c r="D21" s="1582"/>
      <c r="E21" s="18">
        <v>350</v>
      </c>
      <c r="F21" s="18">
        <v>500</v>
      </c>
      <c r="G21" s="19">
        <v>170</v>
      </c>
      <c r="L21" s="15">
        <v>160</v>
      </c>
      <c r="M21" s="16">
        <v>192</v>
      </c>
      <c r="N21" s="17">
        <v>256</v>
      </c>
      <c r="O21" s="258"/>
      <c r="P21" s="15">
        <v>160</v>
      </c>
      <c r="Q21" s="16">
        <v>168</v>
      </c>
      <c r="R21" s="17">
        <v>216</v>
      </c>
      <c r="T21" s="15">
        <v>400</v>
      </c>
      <c r="U21" s="17">
        <v>185</v>
      </c>
      <c r="W21" s="117">
        <v>300</v>
      </c>
      <c r="X21" s="16">
        <v>63</v>
      </c>
      <c r="Y21" s="16">
        <v>90</v>
      </c>
      <c r="Z21" s="16">
        <v>110</v>
      </c>
      <c r="AA21" s="16">
        <v>110</v>
      </c>
      <c r="AB21" s="17" t="s">
        <v>520</v>
      </c>
      <c r="AD21" s="1592"/>
      <c r="AE21" s="1593"/>
      <c r="AF21" s="1593"/>
      <c r="AG21" s="1593"/>
      <c r="AH21" s="1593"/>
      <c r="AI21" s="1594"/>
      <c r="AJ21" s="82"/>
      <c r="AK21" s="179">
        <v>300</v>
      </c>
      <c r="AL21" s="16" t="s">
        <v>417</v>
      </c>
      <c r="AM21" s="88" t="s">
        <v>417</v>
      </c>
      <c r="AN21" s="16">
        <v>110</v>
      </c>
      <c r="AO21" s="16">
        <v>110</v>
      </c>
      <c r="AP21" s="17">
        <v>110</v>
      </c>
      <c r="AQ21" s="82"/>
      <c r="AR21" s="1555"/>
      <c r="AS21" s="1556"/>
      <c r="AT21" s="1556"/>
      <c r="AU21" s="1556"/>
      <c r="AV21" s="1556"/>
      <c r="AW21" s="1557"/>
      <c r="BB21" s="232" t="s">
        <v>152</v>
      </c>
      <c r="BC21" s="203">
        <v>500</v>
      </c>
      <c r="BD21" s="233">
        <v>4.17</v>
      </c>
      <c r="BE21" s="234">
        <v>10.4</v>
      </c>
      <c r="BF21" s="233">
        <v>4.4400000000000004</v>
      </c>
      <c r="BG21" s="203">
        <v>920</v>
      </c>
      <c r="BH21" s="203" t="s">
        <v>151</v>
      </c>
      <c r="BI21" s="219" t="s">
        <v>139</v>
      </c>
      <c r="BL21" s="145">
        <f t="shared" si="1"/>
        <v>400</v>
      </c>
      <c r="BM21" s="194" t="s">
        <v>417</v>
      </c>
      <c r="BN21" s="201" t="s">
        <v>417</v>
      </c>
      <c r="BO21" s="1638"/>
      <c r="BP21" s="18"/>
      <c r="BQ21" s="199"/>
    </row>
    <row r="22" spans="2:81" ht="15.75" thickBot="1" x14ac:dyDescent="0.25">
      <c r="B22" s="145" t="s">
        <v>65</v>
      </c>
      <c r="C22" s="1581" t="s">
        <v>71</v>
      </c>
      <c r="D22" s="1582"/>
      <c r="E22" s="18">
        <v>500</v>
      </c>
      <c r="F22" s="18">
        <v>500</v>
      </c>
      <c r="G22" s="19">
        <v>170</v>
      </c>
      <c r="L22" s="15">
        <v>200</v>
      </c>
      <c r="M22" s="16">
        <v>240</v>
      </c>
      <c r="N22" s="17">
        <v>320</v>
      </c>
      <c r="O22" s="258"/>
      <c r="P22" s="15">
        <v>200</v>
      </c>
      <c r="Q22" s="16">
        <v>210</v>
      </c>
      <c r="R22" s="17">
        <v>270</v>
      </c>
      <c r="T22" s="15">
        <v>500</v>
      </c>
      <c r="U22" s="17">
        <v>240</v>
      </c>
      <c r="W22" s="117">
        <v>400</v>
      </c>
      <c r="X22" s="16">
        <v>75</v>
      </c>
      <c r="Y22" s="16">
        <v>110</v>
      </c>
      <c r="Z22" s="16" t="s">
        <v>520</v>
      </c>
      <c r="AA22" s="16" t="s">
        <v>520</v>
      </c>
      <c r="AB22" s="17" t="s">
        <v>520</v>
      </c>
      <c r="AD22" s="1595"/>
      <c r="AE22" s="1596"/>
      <c r="AF22" s="1596"/>
      <c r="AG22" s="1596"/>
      <c r="AH22" s="1596"/>
      <c r="AI22" s="1597"/>
      <c r="AJ22" s="82"/>
      <c r="AK22" s="179">
        <v>400</v>
      </c>
      <c r="AL22" s="16" t="s">
        <v>417</v>
      </c>
      <c r="AM22" s="88" t="s">
        <v>417</v>
      </c>
      <c r="AN22" s="16">
        <v>110</v>
      </c>
      <c r="AO22" s="88" t="s">
        <v>417</v>
      </c>
      <c r="AP22" s="93" t="s">
        <v>417</v>
      </c>
      <c r="AQ22" s="82"/>
      <c r="AR22" s="1558"/>
      <c r="AS22" s="1559"/>
      <c r="AT22" s="1559"/>
      <c r="AU22" s="1559"/>
      <c r="AV22" s="1559"/>
      <c r="AW22" s="1560"/>
      <c r="BB22" s="232" t="s">
        <v>153</v>
      </c>
      <c r="BC22" s="203">
        <v>300</v>
      </c>
      <c r="BD22" s="233">
        <v>3</v>
      </c>
      <c r="BE22" s="234">
        <v>9</v>
      </c>
      <c r="BF22" s="233">
        <v>2.66</v>
      </c>
      <c r="BG22" s="203">
        <v>760</v>
      </c>
      <c r="BH22" s="203" t="s">
        <v>154</v>
      </c>
      <c r="BI22" s="219" t="s">
        <v>155</v>
      </c>
      <c r="BL22" s="153">
        <f t="shared" si="1"/>
        <v>500</v>
      </c>
      <c r="BM22" s="195" t="s">
        <v>417</v>
      </c>
      <c r="BN22" s="202" t="s">
        <v>417</v>
      </c>
      <c r="BO22" s="1639"/>
      <c r="BP22" s="197"/>
      <c r="BQ22" s="200"/>
    </row>
    <row r="23" spans="2:81" ht="16.5" thickTop="1" thickBot="1" x14ac:dyDescent="0.25">
      <c r="B23" s="153" t="s">
        <v>66</v>
      </c>
      <c r="C23" s="1585" t="s">
        <v>72</v>
      </c>
      <c r="D23" s="1586"/>
      <c r="E23" s="196">
        <v>350</v>
      </c>
      <c r="F23" s="196">
        <v>500</v>
      </c>
      <c r="G23" s="154">
        <v>170</v>
      </c>
      <c r="L23" s="15">
        <v>250</v>
      </c>
      <c r="M23" s="16">
        <v>300</v>
      </c>
      <c r="N23" s="17">
        <v>400</v>
      </c>
      <c r="O23" s="258"/>
      <c r="P23" s="15">
        <v>250</v>
      </c>
      <c r="Q23" s="16">
        <v>263</v>
      </c>
      <c r="R23" s="17">
        <v>338</v>
      </c>
      <c r="T23" s="15">
        <v>630</v>
      </c>
      <c r="U23" s="17">
        <v>300</v>
      </c>
      <c r="W23" s="120">
        <v>500</v>
      </c>
      <c r="X23" s="21">
        <v>75</v>
      </c>
      <c r="Y23" s="21">
        <v>110</v>
      </c>
      <c r="Z23" s="21" t="s">
        <v>520</v>
      </c>
      <c r="AA23" s="21" t="s">
        <v>520</v>
      </c>
      <c r="AB23" s="22" t="s">
        <v>520</v>
      </c>
      <c r="AK23" s="180">
        <v>500</v>
      </c>
      <c r="AL23" s="21" t="s">
        <v>417</v>
      </c>
      <c r="AM23" s="158" t="s">
        <v>417</v>
      </c>
      <c r="AN23" s="158" t="s">
        <v>417</v>
      </c>
      <c r="AO23" s="158" t="s">
        <v>417</v>
      </c>
      <c r="AP23" s="159" t="s">
        <v>417</v>
      </c>
      <c r="AV23" s="150"/>
      <c r="BB23" s="241" t="s">
        <v>156</v>
      </c>
      <c r="BC23" s="203">
        <v>600</v>
      </c>
      <c r="BD23" s="233">
        <v>6</v>
      </c>
      <c r="BE23" s="234">
        <v>18</v>
      </c>
      <c r="BF23" s="233">
        <v>5.33</v>
      </c>
      <c r="BG23" s="203">
        <v>1060</v>
      </c>
      <c r="BH23" s="203" t="s">
        <v>154</v>
      </c>
      <c r="BI23" s="219" t="s">
        <v>155</v>
      </c>
      <c r="BL23" s="4"/>
      <c r="BM23" s="4"/>
      <c r="BN23" s="4"/>
      <c r="BO23" s="4"/>
    </row>
    <row r="24" spans="2:81" ht="16.5" customHeight="1" thickTop="1" x14ac:dyDescent="0.2">
      <c r="B24" s="1" t="s">
        <v>73</v>
      </c>
      <c r="L24" s="15">
        <v>315</v>
      </c>
      <c r="M24" s="16">
        <v>378</v>
      </c>
      <c r="N24" s="17">
        <v>504</v>
      </c>
      <c r="O24" s="258"/>
      <c r="P24" s="15">
        <v>315</v>
      </c>
      <c r="Q24" s="16">
        <v>331</v>
      </c>
      <c r="R24" s="17">
        <v>425</v>
      </c>
      <c r="T24" s="15">
        <v>800</v>
      </c>
      <c r="U24" s="17">
        <v>400</v>
      </c>
      <c r="W24" s="1561" t="s">
        <v>1</v>
      </c>
      <c r="X24" s="1562"/>
      <c r="Y24" s="1562"/>
      <c r="Z24" s="1562"/>
      <c r="AA24" s="1562"/>
      <c r="AB24" s="1563"/>
      <c r="AK24" s="1538" t="s">
        <v>1</v>
      </c>
      <c r="AL24" s="1539"/>
      <c r="AM24" s="1539"/>
      <c r="AN24" s="1539"/>
      <c r="AO24" s="1539"/>
      <c r="AP24" s="1540"/>
      <c r="BB24" s="232" t="s">
        <v>157</v>
      </c>
      <c r="BC24" s="203">
        <v>400</v>
      </c>
      <c r="BD24" s="233">
        <v>5.33</v>
      </c>
      <c r="BE24" s="234">
        <v>21.3</v>
      </c>
      <c r="BF24" s="233">
        <v>3.55</v>
      </c>
      <c r="BG24" s="203">
        <v>970</v>
      </c>
      <c r="BH24" s="203" t="s">
        <v>158</v>
      </c>
      <c r="BI24" s="219" t="s">
        <v>147</v>
      </c>
      <c r="BL24" s="4"/>
      <c r="BM24" s="4"/>
      <c r="BN24" s="4"/>
      <c r="BO24" s="4"/>
    </row>
    <row r="25" spans="2:81" ht="15" thickBot="1" x14ac:dyDescent="0.25">
      <c r="B25" s="1" t="s">
        <v>74</v>
      </c>
      <c r="L25" s="15">
        <v>355</v>
      </c>
      <c r="M25" s="16">
        <f>L25*1.2</f>
        <v>426</v>
      </c>
      <c r="N25" s="17">
        <f>L25*1.6</f>
        <v>568</v>
      </c>
      <c r="O25" s="258"/>
      <c r="P25" s="15">
        <v>400</v>
      </c>
      <c r="Q25" s="16">
        <v>420</v>
      </c>
      <c r="R25" s="17">
        <v>540</v>
      </c>
      <c r="T25" s="20">
        <v>1000</v>
      </c>
      <c r="U25" s="22">
        <v>500</v>
      </c>
      <c r="W25" s="1564"/>
      <c r="X25" s="1565"/>
      <c r="Y25" s="1565"/>
      <c r="Z25" s="1565"/>
      <c r="AA25" s="1565"/>
      <c r="AB25" s="1566"/>
      <c r="AK25" s="1541"/>
      <c r="AL25" s="1542"/>
      <c r="AM25" s="1542"/>
      <c r="AN25" s="1542"/>
      <c r="AO25" s="1542"/>
      <c r="AP25" s="1543"/>
      <c r="BB25" s="232" t="s">
        <v>159</v>
      </c>
      <c r="BC25" s="203">
        <v>800</v>
      </c>
      <c r="BD25" s="233">
        <v>10.7</v>
      </c>
      <c r="BE25" s="234">
        <v>42.7</v>
      </c>
      <c r="BF25" s="233">
        <v>7.11</v>
      </c>
      <c r="BG25" s="203">
        <v>1380</v>
      </c>
      <c r="BH25" s="203" t="s">
        <v>160</v>
      </c>
      <c r="BI25" s="219" t="s">
        <v>147</v>
      </c>
      <c r="BL25" s="4"/>
      <c r="BM25" s="4"/>
      <c r="BN25" s="4"/>
      <c r="BO25" s="4"/>
    </row>
    <row r="26" spans="2:81" ht="15.75" thickTop="1" thickBot="1" x14ac:dyDescent="0.25">
      <c r="B26" s="1" t="s">
        <v>75</v>
      </c>
      <c r="L26" s="15">
        <v>400</v>
      </c>
      <c r="M26" s="16">
        <v>480</v>
      </c>
      <c r="N26" s="17">
        <v>640</v>
      </c>
      <c r="O26" s="258"/>
      <c r="P26" s="15">
        <v>500</v>
      </c>
      <c r="Q26" s="16">
        <v>525</v>
      </c>
      <c r="R26" s="17">
        <v>675</v>
      </c>
      <c r="W26" s="1567"/>
      <c r="X26" s="1568"/>
      <c r="Y26" s="1568"/>
      <c r="Z26" s="1568"/>
      <c r="AA26" s="1568"/>
      <c r="AB26" s="1569"/>
      <c r="AK26" s="1544"/>
      <c r="AL26" s="1545"/>
      <c r="AM26" s="1545"/>
      <c r="AN26" s="1545"/>
      <c r="AO26" s="1545"/>
      <c r="AP26" s="1546"/>
      <c r="BB26" s="232" t="s">
        <v>161</v>
      </c>
      <c r="BC26" s="203">
        <v>500</v>
      </c>
      <c r="BD26" s="233">
        <v>8.33</v>
      </c>
      <c r="BE26" s="234">
        <v>41.7</v>
      </c>
      <c r="BF26" s="233">
        <v>4.4400000000000004</v>
      </c>
      <c r="BG26" s="203">
        <v>1200</v>
      </c>
      <c r="BH26" s="203" t="s">
        <v>162</v>
      </c>
      <c r="BI26" s="219" t="s">
        <v>163</v>
      </c>
    </row>
    <row r="27" spans="2:81" ht="15.75" thickTop="1" thickBot="1" x14ac:dyDescent="0.25">
      <c r="L27" s="15">
        <v>500</v>
      </c>
      <c r="M27" s="16">
        <v>650</v>
      </c>
      <c r="N27" s="17">
        <v>800</v>
      </c>
      <c r="O27" s="258"/>
      <c r="P27" s="15">
        <v>630</v>
      </c>
      <c r="Q27" s="16">
        <v>662</v>
      </c>
      <c r="R27" s="17">
        <v>851</v>
      </c>
      <c r="BB27" s="235" t="s">
        <v>164</v>
      </c>
      <c r="BC27" s="220">
        <v>1000</v>
      </c>
      <c r="BD27" s="236">
        <v>16.7</v>
      </c>
      <c r="BE27" s="237">
        <v>83.3</v>
      </c>
      <c r="BF27" s="236">
        <v>8.8800000000000008</v>
      </c>
      <c r="BG27" s="220">
        <v>1700</v>
      </c>
      <c r="BH27" s="220" t="s">
        <v>162</v>
      </c>
      <c r="BI27" s="238" t="s">
        <v>163</v>
      </c>
    </row>
    <row r="28" spans="2:81" ht="16.5" thickTop="1" thickBot="1" x14ac:dyDescent="0.25">
      <c r="B28" s="1570" t="s">
        <v>91</v>
      </c>
      <c r="C28" s="1571"/>
      <c r="D28" s="1572"/>
      <c r="E28" s="1572"/>
      <c r="F28" s="1572"/>
      <c r="G28" s="1573"/>
      <c r="L28" s="15">
        <v>630</v>
      </c>
      <c r="M28" s="16">
        <v>756</v>
      </c>
      <c r="N28" s="17">
        <v>1008</v>
      </c>
      <c r="O28" s="258"/>
      <c r="P28" s="15">
        <v>800</v>
      </c>
      <c r="Q28" s="16">
        <v>840</v>
      </c>
      <c r="R28" s="17">
        <v>1080</v>
      </c>
      <c r="BB28" s="1547"/>
      <c r="BC28" s="1547"/>
      <c r="BD28" s="1547"/>
      <c r="BE28" s="1547"/>
      <c r="BF28" s="1547"/>
      <c r="BG28" s="1547"/>
      <c r="BH28" s="1547"/>
      <c r="BI28" s="1547"/>
    </row>
    <row r="29" spans="2:81" ht="15" customHeight="1" thickBot="1" x14ac:dyDescent="0.25">
      <c r="B29" s="1574" t="s">
        <v>37</v>
      </c>
      <c r="C29" s="1575" t="s">
        <v>59</v>
      </c>
      <c r="D29" s="1576"/>
      <c r="E29" s="1550" t="s">
        <v>55</v>
      </c>
      <c r="F29" s="1550"/>
      <c r="G29" s="1551"/>
      <c r="L29" s="15">
        <v>800</v>
      </c>
      <c r="M29" s="16">
        <v>960</v>
      </c>
      <c r="N29" s="17">
        <v>1280</v>
      </c>
      <c r="O29" s="258"/>
      <c r="P29" s="15">
        <v>1000</v>
      </c>
      <c r="Q29" s="16">
        <v>1050</v>
      </c>
      <c r="R29" s="17">
        <v>1350</v>
      </c>
      <c r="BB29" s="1533" t="s">
        <v>197</v>
      </c>
      <c r="BC29" s="1533"/>
      <c r="BD29" s="1533"/>
      <c r="BE29" s="1533"/>
      <c r="BF29" s="1533"/>
      <c r="BG29" s="1533"/>
      <c r="BH29" s="1533"/>
      <c r="BI29" s="1533"/>
    </row>
    <row r="30" spans="2:81" ht="15.75" customHeight="1" thickBot="1" x14ac:dyDescent="0.25">
      <c r="B30" s="1574"/>
      <c r="C30" s="1577"/>
      <c r="D30" s="1578"/>
      <c r="E30" s="217" t="s">
        <v>52</v>
      </c>
      <c r="F30" s="217" t="s">
        <v>53</v>
      </c>
      <c r="G30" s="218" t="s">
        <v>54</v>
      </c>
      <c r="L30" s="15">
        <v>1000</v>
      </c>
      <c r="M30" s="16">
        <v>1200</v>
      </c>
      <c r="N30" s="17">
        <v>1600</v>
      </c>
      <c r="O30" s="258"/>
      <c r="P30" s="519">
        <v>1250</v>
      </c>
      <c r="Q30" s="24">
        <v>1313</v>
      </c>
      <c r="R30" s="25">
        <v>1688</v>
      </c>
      <c r="BB30" s="1533"/>
      <c r="BC30" s="1533"/>
      <c r="BD30" s="1533"/>
      <c r="BE30" s="1533"/>
      <c r="BF30" s="1533"/>
      <c r="BG30" s="1533"/>
      <c r="BH30" s="1533"/>
      <c r="BI30" s="1533"/>
    </row>
    <row r="31" spans="2:81" ht="15" customHeight="1" thickBot="1" x14ac:dyDescent="0.25">
      <c r="B31" s="142" t="s">
        <v>76</v>
      </c>
      <c r="C31" s="1579">
        <v>32</v>
      </c>
      <c r="D31" s="1580"/>
      <c r="E31" s="143">
        <v>200</v>
      </c>
      <c r="F31" s="143">
        <v>250</v>
      </c>
      <c r="G31" s="144">
        <v>90</v>
      </c>
      <c r="L31" s="20">
        <v>1250</v>
      </c>
      <c r="M31" s="21">
        <v>1500</v>
      </c>
      <c r="N31" s="22">
        <v>2000</v>
      </c>
      <c r="P31" s="145">
        <v>1600</v>
      </c>
      <c r="Q31" s="18">
        <f>P31*1.05</f>
        <v>1680</v>
      </c>
      <c r="R31" s="19">
        <f>P31*1.35</f>
        <v>2160</v>
      </c>
      <c r="BB31" s="1533"/>
      <c r="BC31" s="1533"/>
      <c r="BD31" s="1533"/>
      <c r="BE31" s="1533"/>
      <c r="BF31" s="1533"/>
      <c r="BG31" s="1533"/>
      <c r="BH31" s="1533"/>
      <c r="BI31" s="1533"/>
    </row>
    <row r="32" spans="2:81" ht="15.75" customHeight="1" thickTop="1" x14ac:dyDescent="0.2">
      <c r="B32" s="208" t="s">
        <v>77</v>
      </c>
      <c r="C32" s="1581">
        <v>100</v>
      </c>
      <c r="D32" s="1582"/>
      <c r="E32" s="170">
        <v>220</v>
      </c>
      <c r="F32" s="170">
        <v>320</v>
      </c>
      <c r="G32" s="209">
        <v>115</v>
      </c>
      <c r="P32" s="145">
        <v>2000</v>
      </c>
      <c r="Q32" s="18">
        <f>P32*1.05</f>
        <v>2100</v>
      </c>
      <c r="R32" s="19">
        <f>P32*1.35</f>
        <v>2700</v>
      </c>
      <c r="BB32" s="1527" t="s">
        <v>121</v>
      </c>
      <c r="BC32" s="1529" t="s">
        <v>165</v>
      </c>
      <c r="BD32" s="1529" t="s">
        <v>166</v>
      </c>
      <c r="BE32" s="1529" t="s">
        <v>167</v>
      </c>
      <c r="BF32" s="1529" t="s">
        <v>122</v>
      </c>
      <c r="BG32" s="1529" t="s">
        <v>168</v>
      </c>
      <c r="BH32" s="1529" t="s">
        <v>123</v>
      </c>
      <c r="BI32" s="1537"/>
    </row>
    <row r="33" spans="2:61" ht="15" customHeight="1" thickBot="1" x14ac:dyDescent="0.25">
      <c r="B33" s="145" t="s">
        <v>78</v>
      </c>
      <c r="C33" s="1581">
        <v>250</v>
      </c>
      <c r="D33" s="1582"/>
      <c r="E33" s="18">
        <v>350</v>
      </c>
      <c r="F33" s="18">
        <v>500</v>
      </c>
      <c r="G33" s="19">
        <v>150</v>
      </c>
      <c r="P33" s="145">
        <v>2500</v>
      </c>
      <c r="Q33" s="18">
        <f>P33*1.05</f>
        <v>2625</v>
      </c>
      <c r="R33" s="19">
        <f>P33*1.35</f>
        <v>3375</v>
      </c>
      <c r="BB33" s="1528"/>
      <c r="BC33" s="1530"/>
      <c r="BD33" s="1530"/>
      <c r="BE33" s="1530"/>
      <c r="BF33" s="1530"/>
      <c r="BG33" s="1530"/>
      <c r="BH33" s="239" t="s">
        <v>124</v>
      </c>
      <c r="BI33" s="240" t="s">
        <v>125</v>
      </c>
    </row>
    <row r="34" spans="2:61" ht="15" customHeight="1" thickTop="1" thickBot="1" x14ac:dyDescent="0.25">
      <c r="B34" s="145" t="s">
        <v>79</v>
      </c>
      <c r="C34" s="1581">
        <v>400</v>
      </c>
      <c r="D34" s="1582"/>
      <c r="E34" s="18">
        <v>350</v>
      </c>
      <c r="F34" s="18">
        <v>500</v>
      </c>
      <c r="G34" s="19">
        <v>150</v>
      </c>
      <c r="L34" s="205" t="s">
        <v>43</v>
      </c>
      <c r="M34" s="256" t="s">
        <v>44</v>
      </c>
      <c r="N34" s="257"/>
      <c r="P34" s="153">
        <v>3000</v>
      </c>
      <c r="Q34" s="196">
        <f>P34*1.05</f>
        <v>3150</v>
      </c>
      <c r="R34" s="154">
        <f>P34*1.35</f>
        <v>4050.0000000000005</v>
      </c>
      <c r="BB34" s="227" t="s">
        <v>126</v>
      </c>
      <c r="BC34" s="228">
        <v>24</v>
      </c>
      <c r="BD34" s="229">
        <v>8.0000000000000002E-3</v>
      </c>
      <c r="BE34" s="230">
        <v>8.0000000000000004E-4</v>
      </c>
      <c r="BF34" s="229">
        <v>0.20899999999999999</v>
      </c>
      <c r="BG34" s="228">
        <v>110</v>
      </c>
      <c r="BH34" s="228" t="s">
        <v>170</v>
      </c>
      <c r="BI34" s="231" t="s">
        <v>171</v>
      </c>
    </row>
    <row r="35" spans="2:61" ht="15" customHeight="1" x14ac:dyDescent="0.2">
      <c r="B35" s="145" t="s">
        <v>80</v>
      </c>
      <c r="C35" s="1581">
        <v>630</v>
      </c>
      <c r="D35" s="1582"/>
      <c r="E35" s="18">
        <v>550</v>
      </c>
      <c r="F35" s="18">
        <v>850</v>
      </c>
      <c r="G35" s="19">
        <v>195</v>
      </c>
      <c r="L35" s="155" t="s">
        <v>45</v>
      </c>
      <c r="M35" s="255" t="s">
        <v>49</v>
      </c>
      <c r="N35" s="157"/>
      <c r="BB35" s="232" t="s">
        <v>129</v>
      </c>
      <c r="BC35" s="203">
        <v>30</v>
      </c>
      <c r="BD35" s="233">
        <v>0.01</v>
      </c>
      <c r="BE35" s="234">
        <v>1E-3</v>
      </c>
      <c r="BF35" s="233">
        <v>0.26200000000000001</v>
      </c>
      <c r="BG35" s="203">
        <v>140</v>
      </c>
      <c r="BH35" s="203" t="s">
        <v>170</v>
      </c>
      <c r="BI35" s="219" t="s">
        <v>171</v>
      </c>
    </row>
    <row r="36" spans="2:61" ht="15" customHeight="1" x14ac:dyDescent="0.2">
      <c r="B36" s="208" t="s">
        <v>81</v>
      </c>
      <c r="C36" s="1581">
        <v>800</v>
      </c>
      <c r="D36" s="1582"/>
      <c r="E36" s="170">
        <v>550</v>
      </c>
      <c r="F36" s="170">
        <v>850</v>
      </c>
      <c r="G36" s="209">
        <v>195</v>
      </c>
      <c r="L36" s="145" t="s">
        <v>46</v>
      </c>
      <c r="M36" s="18">
        <v>2</v>
      </c>
      <c r="N36" s="19"/>
      <c r="BB36" s="232" t="s">
        <v>132</v>
      </c>
      <c r="BC36" s="203">
        <v>45</v>
      </c>
      <c r="BD36" s="233">
        <v>2.3E-2</v>
      </c>
      <c r="BE36" s="234">
        <v>3.3999999999999998E-3</v>
      </c>
      <c r="BF36" s="233">
        <v>0.39600000000000002</v>
      </c>
      <c r="BG36" s="203">
        <v>170</v>
      </c>
      <c r="BH36" s="203" t="s">
        <v>172</v>
      </c>
      <c r="BI36" s="219" t="s">
        <v>173</v>
      </c>
    </row>
    <row r="37" spans="2:61" ht="15" customHeight="1" thickBot="1" x14ac:dyDescent="0.25">
      <c r="B37" s="153" t="s">
        <v>82</v>
      </c>
      <c r="C37" s="1585">
        <v>1250</v>
      </c>
      <c r="D37" s="1586"/>
      <c r="E37" s="196">
        <v>600</v>
      </c>
      <c r="F37" s="196">
        <v>850</v>
      </c>
      <c r="G37" s="154">
        <v>195</v>
      </c>
      <c r="L37" s="145" t="s">
        <v>47</v>
      </c>
      <c r="M37" s="18">
        <v>3</v>
      </c>
      <c r="N37" s="19"/>
      <c r="BB37" s="232" t="s">
        <v>133</v>
      </c>
      <c r="BC37" s="203">
        <v>40</v>
      </c>
      <c r="BD37" s="233">
        <v>1.2999999999999999E-2</v>
      </c>
      <c r="BE37" s="242">
        <v>1.33E-3</v>
      </c>
      <c r="BF37" s="233">
        <v>0.35099999999999998</v>
      </c>
      <c r="BG37" s="203">
        <v>185</v>
      </c>
      <c r="BH37" s="203" t="s">
        <v>170</v>
      </c>
      <c r="BI37" s="219" t="s">
        <v>171</v>
      </c>
    </row>
    <row r="38" spans="2:61" ht="15" customHeight="1" thickTop="1" thickBot="1" x14ac:dyDescent="0.25">
      <c r="L38" s="153" t="s">
        <v>48</v>
      </c>
      <c r="M38" s="196">
        <v>4</v>
      </c>
      <c r="N38" s="154"/>
      <c r="BB38" s="232" t="s">
        <v>136</v>
      </c>
      <c r="BC38" s="203">
        <v>60</v>
      </c>
      <c r="BD38" s="233">
        <v>0.03</v>
      </c>
      <c r="BE38" s="234">
        <v>4.4999999999999997E-3</v>
      </c>
      <c r="BF38" s="233">
        <v>0.52900000000000003</v>
      </c>
      <c r="BG38" s="203">
        <v>220</v>
      </c>
      <c r="BH38" s="203" t="s">
        <v>172</v>
      </c>
      <c r="BI38" s="219" t="s">
        <v>173</v>
      </c>
    </row>
    <row r="39" spans="2:61" ht="15" customHeight="1" thickTop="1" thickBot="1" x14ac:dyDescent="0.25">
      <c r="B39" s="1570" t="s">
        <v>83</v>
      </c>
      <c r="C39" s="1571"/>
      <c r="D39" s="1572"/>
      <c r="E39" s="1572"/>
      <c r="F39" s="1572"/>
      <c r="G39" s="1573"/>
      <c r="BB39" s="232" t="s">
        <v>137</v>
      </c>
      <c r="BC39" s="203">
        <v>100</v>
      </c>
      <c r="BD39" s="233">
        <v>8.3000000000000004E-2</v>
      </c>
      <c r="BE39" s="234">
        <v>2.0799999999999999E-2</v>
      </c>
      <c r="BF39" s="233">
        <v>0.88200000000000001</v>
      </c>
      <c r="BG39" s="203">
        <v>295</v>
      </c>
      <c r="BH39" s="203" t="s">
        <v>174</v>
      </c>
      <c r="BI39" s="219" t="s">
        <v>175</v>
      </c>
    </row>
    <row r="40" spans="2:61" ht="15" customHeight="1" thickBot="1" x14ac:dyDescent="0.25">
      <c r="B40" s="1548" t="s">
        <v>84</v>
      </c>
      <c r="C40" s="1575" t="s">
        <v>85</v>
      </c>
      <c r="D40" s="1583" t="s">
        <v>86</v>
      </c>
      <c r="E40" s="1550" t="s">
        <v>55</v>
      </c>
      <c r="F40" s="1550"/>
      <c r="G40" s="1551"/>
      <c r="BB40" s="232" t="s">
        <v>138</v>
      </c>
      <c r="BC40" s="203">
        <v>75</v>
      </c>
      <c r="BD40" s="233">
        <v>3.7999999999999999E-2</v>
      </c>
      <c r="BE40" s="234">
        <v>5.5999999999999999E-3</v>
      </c>
      <c r="BF40" s="233">
        <v>0.66300000000000003</v>
      </c>
      <c r="BG40" s="203">
        <v>270</v>
      </c>
      <c r="BH40" s="203" t="s">
        <v>172</v>
      </c>
      <c r="BI40" s="219" t="s">
        <v>173</v>
      </c>
    </row>
    <row r="41" spans="2:61" ht="15" customHeight="1" thickBot="1" x14ac:dyDescent="0.25">
      <c r="B41" s="1549"/>
      <c r="C41" s="1577"/>
      <c r="D41" s="1584"/>
      <c r="E41" s="217" t="s">
        <v>52</v>
      </c>
      <c r="F41" s="217" t="s">
        <v>53</v>
      </c>
      <c r="G41" s="218" t="s">
        <v>54</v>
      </c>
      <c r="BB41" s="232" t="s">
        <v>141</v>
      </c>
      <c r="BC41" s="203">
        <v>125</v>
      </c>
      <c r="BD41" s="233">
        <v>0.104</v>
      </c>
      <c r="BE41" s="234">
        <v>2.5999999999999999E-2</v>
      </c>
      <c r="BF41" s="233">
        <v>1.1100000000000001</v>
      </c>
      <c r="BG41" s="203">
        <v>350</v>
      </c>
      <c r="BH41" s="203" t="s">
        <v>174</v>
      </c>
      <c r="BI41" s="219" t="s">
        <v>175</v>
      </c>
    </row>
    <row r="42" spans="2:61" ht="15" customHeight="1" x14ac:dyDescent="0.2">
      <c r="B42" s="1531">
        <v>32</v>
      </c>
      <c r="C42" s="213" t="s">
        <v>87</v>
      </c>
      <c r="D42" s="143">
        <v>2</v>
      </c>
      <c r="E42" s="143">
        <v>100</v>
      </c>
      <c r="F42" s="143">
        <v>280</v>
      </c>
      <c r="G42" s="144">
        <v>250</v>
      </c>
      <c r="BB42" s="232" t="s">
        <v>142</v>
      </c>
      <c r="BC42" s="203">
        <v>90</v>
      </c>
      <c r="BD42" s="233">
        <v>4.4999999999999998E-2</v>
      </c>
      <c r="BE42" s="234">
        <v>6.7999999999999996E-3</v>
      </c>
      <c r="BF42" s="233">
        <v>0.79600000000000004</v>
      </c>
      <c r="BG42" s="203">
        <v>315</v>
      </c>
      <c r="BH42" s="203" t="s">
        <v>172</v>
      </c>
      <c r="BI42" s="219" t="s">
        <v>173</v>
      </c>
    </row>
    <row r="43" spans="2:61" ht="15" customHeight="1" thickBot="1" x14ac:dyDescent="0.25">
      <c r="B43" s="1532"/>
      <c r="C43" s="216" t="s">
        <v>88</v>
      </c>
      <c r="D43" s="160">
        <v>4</v>
      </c>
      <c r="E43" s="160">
        <v>100</v>
      </c>
      <c r="F43" s="160">
        <v>470</v>
      </c>
      <c r="G43" s="207">
        <v>250</v>
      </c>
      <c r="BB43" s="241" t="s">
        <v>145</v>
      </c>
      <c r="BC43" s="203">
        <v>150</v>
      </c>
      <c r="BD43" s="233">
        <v>0.125</v>
      </c>
      <c r="BE43" s="234">
        <v>3.1300000000000001E-2</v>
      </c>
      <c r="BF43" s="233">
        <v>1.33</v>
      </c>
      <c r="BG43" s="203">
        <v>400</v>
      </c>
      <c r="BH43" s="203" t="s">
        <v>174</v>
      </c>
      <c r="BI43" s="219" t="s">
        <v>175</v>
      </c>
    </row>
    <row r="44" spans="2:61" ht="15" customHeight="1" x14ac:dyDescent="0.2">
      <c r="B44" s="1534">
        <v>63</v>
      </c>
      <c r="C44" s="215" t="s">
        <v>89</v>
      </c>
      <c r="D44" s="156">
        <v>2</v>
      </c>
      <c r="E44" s="156">
        <v>100</v>
      </c>
      <c r="F44" s="156">
        <v>320</v>
      </c>
      <c r="G44" s="157">
        <v>300</v>
      </c>
      <c r="BB44" s="232" t="s">
        <v>146</v>
      </c>
      <c r="BC44" s="203">
        <v>120</v>
      </c>
      <c r="BD44" s="233">
        <v>0.06</v>
      </c>
      <c r="BE44" s="234">
        <v>8.9999999999999993E-3</v>
      </c>
      <c r="BF44" s="233">
        <v>1.06</v>
      </c>
      <c r="BG44" s="203">
        <v>420</v>
      </c>
      <c r="BH44" s="203" t="s">
        <v>172</v>
      </c>
      <c r="BI44" s="219" t="s">
        <v>173</v>
      </c>
    </row>
    <row r="45" spans="2:61" ht="15" customHeight="1" thickBot="1" x14ac:dyDescent="0.25">
      <c r="B45" s="1535"/>
      <c r="C45" s="214" t="s">
        <v>90</v>
      </c>
      <c r="D45" s="196">
        <v>4</v>
      </c>
      <c r="E45" s="170">
        <v>100</v>
      </c>
      <c r="F45" s="170">
        <v>550</v>
      </c>
      <c r="G45" s="209">
        <v>300</v>
      </c>
      <c r="BB45" s="232" t="s">
        <v>148</v>
      </c>
      <c r="BC45" s="203">
        <v>200</v>
      </c>
      <c r="BD45" s="233">
        <v>0.16700000000000001</v>
      </c>
      <c r="BE45" s="234">
        <v>4.1700000000000001E-2</v>
      </c>
      <c r="BF45" s="233">
        <v>1.77</v>
      </c>
      <c r="BG45" s="203">
        <v>520</v>
      </c>
      <c r="BH45" s="203" t="s">
        <v>174</v>
      </c>
      <c r="BI45" s="219" t="s">
        <v>175</v>
      </c>
    </row>
    <row r="46" spans="2:61" ht="15" customHeight="1" thickTop="1" x14ac:dyDescent="0.2">
      <c r="B46" s="210"/>
      <c r="C46" s="211"/>
      <c r="D46" s="211"/>
      <c r="E46" s="210"/>
      <c r="F46" s="210"/>
      <c r="G46" s="210"/>
      <c r="BB46" s="232" t="s">
        <v>149</v>
      </c>
      <c r="BC46" s="203">
        <v>400</v>
      </c>
      <c r="BD46" s="233">
        <v>0.66700000000000004</v>
      </c>
      <c r="BE46" s="234">
        <v>0.33300000000000002</v>
      </c>
      <c r="BF46" s="233">
        <v>3.55</v>
      </c>
      <c r="BG46" s="203">
        <v>760</v>
      </c>
      <c r="BH46" s="203" t="s">
        <v>176</v>
      </c>
      <c r="BI46" s="219" t="s">
        <v>177</v>
      </c>
    </row>
    <row r="47" spans="2:61" ht="15" customHeight="1" x14ac:dyDescent="0.2">
      <c r="B47" s="4"/>
      <c r="C47" s="212"/>
      <c r="D47" s="212"/>
      <c r="E47" s="4"/>
      <c r="F47" s="4"/>
      <c r="G47" s="4"/>
      <c r="BB47" s="232" t="s">
        <v>150</v>
      </c>
      <c r="BC47" s="203">
        <v>250</v>
      </c>
      <c r="BD47" s="233">
        <v>0.20799999999999999</v>
      </c>
      <c r="BE47" s="234">
        <v>5.21E-2</v>
      </c>
      <c r="BF47" s="233">
        <v>2.2200000000000002</v>
      </c>
      <c r="BG47" s="203">
        <v>630</v>
      </c>
      <c r="BH47" s="203" t="s">
        <v>174</v>
      </c>
      <c r="BI47" s="219" t="s">
        <v>175</v>
      </c>
    </row>
    <row r="48" spans="2:61" ht="15" customHeight="1" x14ac:dyDescent="0.2">
      <c r="B48" s="4"/>
      <c r="C48" s="212"/>
      <c r="D48" s="212"/>
      <c r="E48" s="4"/>
      <c r="F48" s="4"/>
      <c r="G48" s="4"/>
      <c r="BB48" s="241" t="s">
        <v>152</v>
      </c>
      <c r="BC48" s="203">
        <v>500</v>
      </c>
      <c r="BD48" s="233">
        <v>0.83299999999999996</v>
      </c>
      <c r="BE48" s="234">
        <v>0.41699999999999998</v>
      </c>
      <c r="BF48" s="233">
        <v>4.4400000000000004</v>
      </c>
      <c r="BG48" s="203">
        <v>920</v>
      </c>
      <c r="BH48" s="203" t="s">
        <v>176</v>
      </c>
      <c r="BI48" s="219" t="s">
        <v>177</v>
      </c>
    </row>
    <row r="49" spans="54:61" ht="15" customHeight="1" x14ac:dyDescent="0.2">
      <c r="BB49" s="232" t="s">
        <v>153</v>
      </c>
      <c r="BC49" s="203">
        <v>300</v>
      </c>
      <c r="BD49" s="233">
        <v>0.25</v>
      </c>
      <c r="BE49" s="234">
        <v>6.25E-2</v>
      </c>
      <c r="BF49" s="233">
        <v>2.66</v>
      </c>
      <c r="BG49" s="203">
        <v>760</v>
      </c>
      <c r="BH49" s="203" t="s">
        <v>174</v>
      </c>
      <c r="BI49" s="219" t="s">
        <v>175</v>
      </c>
    </row>
    <row r="50" spans="54:61" ht="15" customHeight="1" x14ac:dyDescent="0.2">
      <c r="BB50" s="232" t="s">
        <v>156</v>
      </c>
      <c r="BC50" s="203">
        <v>600</v>
      </c>
      <c r="BD50" s="233">
        <v>1</v>
      </c>
      <c r="BE50" s="234">
        <v>0.5</v>
      </c>
      <c r="BF50" s="233">
        <v>5.33</v>
      </c>
      <c r="BG50" s="203">
        <v>1060</v>
      </c>
      <c r="BH50" s="203" t="s">
        <v>178</v>
      </c>
      <c r="BI50" s="219" t="s">
        <v>177</v>
      </c>
    </row>
    <row r="51" spans="54:61" ht="15" customHeight="1" x14ac:dyDescent="0.2">
      <c r="BB51" s="232" t="s">
        <v>157</v>
      </c>
      <c r="BC51" s="203">
        <v>400</v>
      </c>
      <c r="BD51" s="233">
        <v>0.33300000000000002</v>
      </c>
      <c r="BE51" s="234">
        <v>8.3299999999999999E-2</v>
      </c>
      <c r="BF51" s="233">
        <v>3.55</v>
      </c>
      <c r="BG51" s="203">
        <v>970</v>
      </c>
      <c r="BH51" s="203" t="s">
        <v>174</v>
      </c>
      <c r="BI51" s="219" t="s">
        <v>175</v>
      </c>
    </row>
    <row r="52" spans="54:61" ht="15" customHeight="1" x14ac:dyDescent="0.2">
      <c r="BB52" s="232" t="s">
        <v>159</v>
      </c>
      <c r="BC52" s="203">
        <v>800</v>
      </c>
      <c r="BD52" s="233">
        <v>1.33</v>
      </c>
      <c r="BE52" s="234">
        <v>0.66700000000000004</v>
      </c>
      <c r="BF52" s="233">
        <v>7.11</v>
      </c>
      <c r="BG52" s="203">
        <v>1380</v>
      </c>
      <c r="BH52" s="203" t="s">
        <v>176</v>
      </c>
      <c r="BI52" s="219" t="s">
        <v>177</v>
      </c>
    </row>
    <row r="53" spans="54:61" ht="15" customHeight="1" x14ac:dyDescent="0.2">
      <c r="BB53" s="232" t="s">
        <v>161</v>
      </c>
      <c r="BC53" s="203">
        <v>500</v>
      </c>
      <c r="BD53" s="233">
        <v>0.41699999999999998</v>
      </c>
      <c r="BE53" s="234">
        <v>0.104</v>
      </c>
      <c r="BF53" s="233">
        <v>4.4400000000000004</v>
      </c>
      <c r="BG53" s="203">
        <v>1200</v>
      </c>
      <c r="BH53" s="203" t="s">
        <v>174</v>
      </c>
      <c r="BI53" s="219" t="s">
        <v>175</v>
      </c>
    </row>
    <row r="54" spans="54:61" ht="15" customHeight="1" thickBot="1" x14ac:dyDescent="0.25">
      <c r="BB54" s="235" t="s">
        <v>164</v>
      </c>
      <c r="BC54" s="220">
        <v>1000</v>
      </c>
      <c r="BD54" s="236">
        <v>1.67</v>
      </c>
      <c r="BE54" s="237">
        <v>0.83299999999999996</v>
      </c>
      <c r="BF54" s="236">
        <v>8.8800000000000008</v>
      </c>
      <c r="BG54" s="220">
        <v>1700</v>
      </c>
      <c r="BH54" s="220" t="s">
        <v>176</v>
      </c>
      <c r="BI54" s="238" t="s">
        <v>177</v>
      </c>
    </row>
    <row r="55" spans="54:61" ht="15" customHeight="1" thickTop="1" x14ac:dyDescent="0.2"/>
    <row r="56" spans="54:61" ht="15" customHeight="1" x14ac:dyDescent="0.2">
      <c r="BB56" s="1533" t="s">
        <v>198</v>
      </c>
      <c r="BC56" s="1536"/>
      <c r="BD56" s="1536"/>
      <c r="BE56" s="1536"/>
      <c r="BF56" s="1536"/>
      <c r="BG56" s="1536"/>
      <c r="BH56" s="1536"/>
      <c r="BI56" s="1536"/>
    </row>
    <row r="57" spans="54:61" ht="15" customHeight="1" x14ac:dyDescent="0.2">
      <c r="BB57" s="1536"/>
      <c r="BC57" s="1536"/>
      <c r="BD57" s="1536"/>
      <c r="BE57" s="1536"/>
      <c r="BF57" s="1536"/>
      <c r="BG57" s="1536"/>
      <c r="BH57" s="1536"/>
      <c r="BI57" s="1536"/>
    </row>
    <row r="58" spans="54:61" ht="15" customHeight="1" thickBot="1" x14ac:dyDescent="0.25">
      <c r="BB58" s="1536"/>
      <c r="BC58" s="1536"/>
      <c r="BD58" s="1536"/>
      <c r="BE58" s="1536"/>
      <c r="BF58" s="1536"/>
      <c r="BG58" s="1536"/>
      <c r="BH58" s="1536"/>
      <c r="BI58" s="1536"/>
    </row>
    <row r="59" spans="54:61" ht="15" customHeight="1" thickTop="1" x14ac:dyDescent="0.2">
      <c r="BB59" s="1527" t="s">
        <v>121</v>
      </c>
      <c r="BC59" s="1529" t="s">
        <v>165</v>
      </c>
      <c r="BD59" s="1529" t="s">
        <v>166</v>
      </c>
      <c r="BE59" s="1529" t="s">
        <v>167</v>
      </c>
      <c r="BF59" s="1529" t="s">
        <v>122</v>
      </c>
      <c r="BG59" s="1529" t="s">
        <v>168</v>
      </c>
      <c r="BH59" s="1529" t="s">
        <v>123</v>
      </c>
      <c r="BI59" s="1537"/>
    </row>
    <row r="60" spans="54:61" ht="15" customHeight="1" thickBot="1" x14ac:dyDescent="0.25">
      <c r="BB60" s="1528"/>
      <c r="BC60" s="1530"/>
      <c r="BD60" s="1530"/>
      <c r="BE60" s="1530"/>
      <c r="BF60" s="1530"/>
      <c r="BG60" s="1530"/>
      <c r="BH60" s="239" t="s">
        <v>124</v>
      </c>
      <c r="BI60" s="240" t="s">
        <v>125</v>
      </c>
    </row>
    <row r="61" spans="54:61" ht="15" customHeight="1" x14ac:dyDescent="0.2">
      <c r="BB61" s="227" t="s">
        <v>126</v>
      </c>
      <c r="BC61" s="228">
        <v>24</v>
      </c>
      <c r="BD61" s="229">
        <v>4.8000000000000001E-2</v>
      </c>
      <c r="BE61" s="230">
        <v>2.8799999999999999E-2</v>
      </c>
      <c r="BF61" s="229">
        <v>6.3E-2</v>
      </c>
      <c r="BG61" s="228">
        <v>80</v>
      </c>
      <c r="BH61" s="228" t="s">
        <v>179</v>
      </c>
      <c r="BI61" s="231" t="s">
        <v>180</v>
      </c>
    </row>
    <row r="62" spans="54:61" ht="15" customHeight="1" x14ac:dyDescent="0.2">
      <c r="BB62" s="232" t="s">
        <v>129</v>
      </c>
      <c r="BC62" s="203">
        <v>30</v>
      </c>
      <c r="BD62" s="233">
        <v>7.4999999999999997E-2</v>
      </c>
      <c r="BE62" s="234">
        <v>5.6300000000000003E-2</v>
      </c>
      <c r="BF62" s="233">
        <v>0.08</v>
      </c>
      <c r="BG62" s="203">
        <v>95</v>
      </c>
      <c r="BH62" s="203" t="s">
        <v>181</v>
      </c>
      <c r="BI62" s="219" t="s">
        <v>182</v>
      </c>
    </row>
    <row r="63" spans="54:61" ht="15" customHeight="1" x14ac:dyDescent="0.2">
      <c r="BB63" s="232" t="s">
        <v>132</v>
      </c>
      <c r="BC63" s="203">
        <v>45</v>
      </c>
      <c r="BD63" s="233">
        <v>0.113</v>
      </c>
      <c r="BE63" s="234">
        <v>8.4400000000000003E-2</v>
      </c>
      <c r="BF63" s="233">
        <v>0.12</v>
      </c>
      <c r="BG63" s="203">
        <v>115</v>
      </c>
      <c r="BH63" s="203" t="s">
        <v>181</v>
      </c>
      <c r="BI63" s="219" t="s">
        <v>182</v>
      </c>
    </row>
    <row r="64" spans="54:61" ht="15" customHeight="1" x14ac:dyDescent="0.2">
      <c r="BB64" s="232" t="s">
        <v>133</v>
      </c>
      <c r="BC64" s="203">
        <v>40</v>
      </c>
      <c r="BD64" s="233">
        <v>0.13300000000000001</v>
      </c>
      <c r="BE64" s="234">
        <v>0.13300000000000001</v>
      </c>
      <c r="BF64" s="233">
        <v>0.107</v>
      </c>
      <c r="BG64" s="203">
        <v>120</v>
      </c>
      <c r="BH64" s="203" t="s">
        <v>183</v>
      </c>
      <c r="BI64" s="219" t="s">
        <v>184</v>
      </c>
    </row>
    <row r="65" spans="54:61" ht="15" customHeight="1" x14ac:dyDescent="0.2">
      <c r="BB65" s="232" t="s">
        <v>136</v>
      </c>
      <c r="BC65" s="203">
        <v>60</v>
      </c>
      <c r="BD65" s="233">
        <v>0.2</v>
      </c>
      <c r="BE65" s="234">
        <v>0.2</v>
      </c>
      <c r="BF65" s="233">
        <v>0.161</v>
      </c>
      <c r="BG65" s="203">
        <v>145</v>
      </c>
      <c r="BH65" s="203" t="s">
        <v>183</v>
      </c>
      <c r="BI65" s="219" t="s">
        <v>184</v>
      </c>
    </row>
    <row r="66" spans="54:61" ht="15" customHeight="1" x14ac:dyDescent="0.2">
      <c r="BB66" s="232" t="s">
        <v>137</v>
      </c>
      <c r="BC66" s="203">
        <v>100</v>
      </c>
      <c r="BD66" s="233">
        <v>0.33300000000000002</v>
      </c>
      <c r="BE66" s="234">
        <v>0.33300000000000002</v>
      </c>
      <c r="BF66" s="233">
        <v>0.26800000000000002</v>
      </c>
      <c r="BG66" s="203">
        <v>195</v>
      </c>
      <c r="BH66" s="203" t="s">
        <v>183</v>
      </c>
      <c r="BI66" s="219" t="s">
        <v>184</v>
      </c>
    </row>
    <row r="67" spans="54:61" ht="15" customHeight="1" x14ac:dyDescent="0.2">
      <c r="BB67" s="232" t="s">
        <v>138</v>
      </c>
      <c r="BC67" s="203">
        <v>75</v>
      </c>
      <c r="BD67" s="233">
        <v>0.313</v>
      </c>
      <c r="BE67" s="234">
        <v>0.39100000000000001</v>
      </c>
      <c r="BF67" s="233">
        <v>0.20100000000000001</v>
      </c>
      <c r="BG67" s="203">
        <v>180</v>
      </c>
      <c r="BH67" s="203" t="s">
        <v>185</v>
      </c>
      <c r="BI67" s="219" t="s">
        <v>186</v>
      </c>
    </row>
    <row r="68" spans="54:61" ht="15" customHeight="1" x14ac:dyDescent="0.2">
      <c r="BB68" s="232" t="s">
        <v>141</v>
      </c>
      <c r="BC68" s="203">
        <v>125</v>
      </c>
      <c r="BD68" s="233">
        <v>0.52100000000000002</v>
      </c>
      <c r="BE68" s="234">
        <v>0.65100000000000002</v>
      </c>
      <c r="BF68" s="233">
        <v>0.33500000000000002</v>
      </c>
      <c r="BG68" s="203">
        <v>230</v>
      </c>
      <c r="BH68" s="203" t="s">
        <v>185</v>
      </c>
      <c r="BI68" s="219" t="s">
        <v>186</v>
      </c>
    </row>
    <row r="69" spans="54:61" ht="15" customHeight="1" x14ac:dyDescent="0.2">
      <c r="BB69" s="232" t="s">
        <v>142</v>
      </c>
      <c r="BC69" s="203">
        <v>90</v>
      </c>
      <c r="BD69" s="233">
        <v>0.45</v>
      </c>
      <c r="BE69" s="234">
        <v>0.67500000000000004</v>
      </c>
      <c r="BF69" s="233">
        <v>0.24199999999999999</v>
      </c>
      <c r="BG69" s="203">
        <v>205</v>
      </c>
      <c r="BH69" s="203" t="s">
        <v>187</v>
      </c>
      <c r="BI69" s="219" t="s">
        <v>188</v>
      </c>
    </row>
    <row r="70" spans="54:61" ht="15" customHeight="1" x14ac:dyDescent="0.2">
      <c r="BB70" s="232" t="s">
        <v>145</v>
      </c>
      <c r="BC70" s="203">
        <v>150</v>
      </c>
      <c r="BD70" s="233">
        <v>0.75</v>
      </c>
      <c r="BE70" s="234">
        <v>1.1299999999999999</v>
      </c>
      <c r="BF70" s="233">
        <v>0.40300000000000002</v>
      </c>
      <c r="BG70" s="203">
        <v>270</v>
      </c>
      <c r="BH70" s="203" t="s">
        <v>187</v>
      </c>
      <c r="BI70" s="219" t="s">
        <v>188</v>
      </c>
    </row>
    <row r="71" spans="54:61" ht="15" customHeight="1" x14ac:dyDescent="0.2">
      <c r="BB71" s="232" t="s">
        <v>146</v>
      </c>
      <c r="BC71" s="203">
        <v>120</v>
      </c>
      <c r="BD71" s="233">
        <v>0.8</v>
      </c>
      <c r="BE71" s="234">
        <v>1.6</v>
      </c>
      <c r="BF71" s="233">
        <v>0.32300000000000001</v>
      </c>
      <c r="BG71" s="203">
        <v>280</v>
      </c>
      <c r="BH71" s="203" t="s">
        <v>189</v>
      </c>
      <c r="BI71" s="219" t="s">
        <v>183</v>
      </c>
    </row>
    <row r="72" spans="54:61" ht="15" customHeight="1" x14ac:dyDescent="0.2">
      <c r="BB72" s="232" t="s">
        <v>148</v>
      </c>
      <c r="BC72" s="203">
        <v>200</v>
      </c>
      <c r="BD72" s="233">
        <v>1.33</v>
      </c>
      <c r="BE72" s="234">
        <v>2.67</v>
      </c>
      <c r="BF72" s="233">
        <v>0.53800000000000003</v>
      </c>
      <c r="BG72" s="203">
        <v>350</v>
      </c>
      <c r="BH72" s="203" t="s">
        <v>189</v>
      </c>
      <c r="BI72" s="219" t="s">
        <v>183</v>
      </c>
    </row>
    <row r="73" spans="54:61" ht="15" customHeight="1" x14ac:dyDescent="0.2">
      <c r="BB73" s="232" t="s">
        <v>149</v>
      </c>
      <c r="BC73" s="203">
        <v>400</v>
      </c>
      <c r="BD73" s="233">
        <v>2.67</v>
      </c>
      <c r="BE73" s="234">
        <v>5.33</v>
      </c>
      <c r="BF73" s="233">
        <v>1.08</v>
      </c>
      <c r="BG73" s="203">
        <v>515</v>
      </c>
      <c r="BH73" s="203" t="s">
        <v>189</v>
      </c>
      <c r="BI73" s="219" t="s">
        <v>183</v>
      </c>
    </row>
    <row r="74" spans="54:61" ht="15" customHeight="1" x14ac:dyDescent="0.2">
      <c r="BB74" s="232" t="s">
        <v>150</v>
      </c>
      <c r="BC74" s="203">
        <v>250</v>
      </c>
      <c r="BD74" s="233">
        <v>2.08</v>
      </c>
      <c r="BE74" s="234">
        <v>5.21</v>
      </c>
      <c r="BF74" s="233">
        <v>0.67300000000000004</v>
      </c>
      <c r="BG74" s="203">
        <v>425</v>
      </c>
      <c r="BH74" s="203" t="s">
        <v>190</v>
      </c>
      <c r="BI74" s="219" t="s">
        <v>185</v>
      </c>
    </row>
    <row r="75" spans="54:61" ht="15" customHeight="1" x14ac:dyDescent="0.2">
      <c r="BB75" s="232" t="s">
        <v>152</v>
      </c>
      <c r="BC75" s="203">
        <v>500</v>
      </c>
      <c r="BD75" s="233">
        <v>4.17</v>
      </c>
      <c r="BE75" s="234">
        <v>10.4</v>
      </c>
      <c r="BF75" s="233">
        <v>1.35</v>
      </c>
      <c r="BG75" s="203">
        <v>625</v>
      </c>
      <c r="BH75" s="203" t="s">
        <v>190</v>
      </c>
      <c r="BI75" s="219" t="s">
        <v>185</v>
      </c>
    </row>
    <row r="76" spans="54:61" ht="15" customHeight="1" x14ac:dyDescent="0.2">
      <c r="BB76" s="232" t="s">
        <v>153</v>
      </c>
      <c r="BC76" s="203">
        <v>300</v>
      </c>
      <c r="BD76" s="233">
        <v>3</v>
      </c>
      <c r="BE76" s="234">
        <v>9</v>
      </c>
      <c r="BF76" s="233">
        <v>0.80800000000000005</v>
      </c>
      <c r="BG76" s="203">
        <v>500</v>
      </c>
      <c r="BH76" s="203" t="s">
        <v>191</v>
      </c>
      <c r="BI76" s="219" t="s">
        <v>192</v>
      </c>
    </row>
    <row r="77" spans="54:61" ht="15" customHeight="1" x14ac:dyDescent="0.2">
      <c r="BB77" s="232" t="s">
        <v>156</v>
      </c>
      <c r="BC77" s="203">
        <v>600</v>
      </c>
      <c r="BD77" s="233">
        <v>6</v>
      </c>
      <c r="BE77" s="234">
        <v>18</v>
      </c>
      <c r="BF77" s="233">
        <v>1.62</v>
      </c>
      <c r="BG77" s="203">
        <v>730</v>
      </c>
      <c r="BH77" s="203" t="s">
        <v>191</v>
      </c>
      <c r="BI77" s="219" t="s">
        <v>192</v>
      </c>
    </row>
    <row r="78" spans="54:61" ht="15" customHeight="1" x14ac:dyDescent="0.2">
      <c r="BB78" s="232" t="s">
        <v>157</v>
      </c>
      <c r="BC78" s="203">
        <v>400</v>
      </c>
      <c r="BD78" s="233">
        <v>5.33</v>
      </c>
      <c r="BE78" s="234">
        <v>21.3</v>
      </c>
      <c r="BF78" s="233">
        <v>1.08</v>
      </c>
      <c r="BG78" s="203">
        <v>680</v>
      </c>
      <c r="BH78" s="203" t="s">
        <v>193</v>
      </c>
      <c r="BI78" s="219" t="s">
        <v>189</v>
      </c>
    </row>
    <row r="79" spans="54:61" ht="15" customHeight="1" x14ac:dyDescent="0.2">
      <c r="BB79" s="232" t="s">
        <v>159</v>
      </c>
      <c r="BC79" s="203">
        <v>800</v>
      </c>
      <c r="BD79" s="233">
        <v>10.7</v>
      </c>
      <c r="BE79" s="234">
        <v>42.7</v>
      </c>
      <c r="BF79" s="233">
        <v>2.16</v>
      </c>
      <c r="BG79" s="203">
        <v>940</v>
      </c>
      <c r="BH79" s="203" t="s">
        <v>193</v>
      </c>
      <c r="BI79" s="219" t="s">
        <v>189</v>
      </c>
    </row>
    <row r="80" spans="54:61" ht="15" customHeight="1" x14ac:dyDescent="0.2">
      <c r="BB80" s="232" t="s">
        <v>161</v>
      </c>
      <c r="BC80" s="203">
        <v>500</v>
      </c>
      <c r="BD80" s="233">
        <v>8.33</v>
      </c>
      <c r="BE80" s="234">
        <v>41.7</v>
      </c>
      <c r="BF80" s="233">
        <v>1.35</v>
      </c>
      <c r="BG80" s="203">
        <v>820</v>
      </c>
      <c r="BH80" s="203" t="s">
        <v>194</v>
      </c>
      <c r="BI80" s="219" t="s">
        <v>195</v>
      </c>
    </row>
    <row r="81" spans="54:61" ht="15" customHeight="1" thickBot="1" x14ac:dyDescent="0.25">
      <c r="BB81" s="235" t="s">
        <v>164</v>
      </c>
      <c r="BC81" s="220">
        <v>1000</v>
      </c>
      <c r="BD81" s="236">
        <v>16.7</v>
      </c>
      <c r="BE81" s="237">
        <v>83.3</v>
      </c>
      <c r="BF81" s="236">
        <v>2.7</v>
      </c>
      <c r="BG81" s="220">
        <v>1150</v>
      </c>
      <c r="BH81" s="220" t="s">
        <v>194</v>
      </c>
      <c r="BI81" s="238" t="s">
        <v>195</v>
      </c>
    </row>
    <row r="82" spans="54:61" ht="15" customHeight="1" thickTop="1" x14ac:dyDescent="0.2">
      <c r="BB82" s="243"/>
      <c r="BC82" s="244"/>
      <c r="BD82" s="245"/>
      <c r="BE82" s="246"/>
      <c r="BF82" s="245"/>
      <c r="BG82" s="244"/>
      <c r="BH82" s="244"/>
      <c r="BI82" s="244"/>
    </row>
    <row r="83" spans="54:61" ht="15" customHeight="1" x14ac:dyDescent="0.2">
      <c r="BB83" s="1533" t="s">
        <v>208</v>
      </c>
      <c r="BC83" s="1533"/>
      <c r="BD83" s="1533"/>
      <c r="BE83" s="1533"/>
      <c r="BF83" s="1533"/>
      <c r="BG83" s="1533"/>
      <c r="BH83" s="1533"/>
      <c r="BI83" s="1533"/>
    </row>
    <row r="84" spans="54:61" ht="15" customHeight="1" x14ac:dyDescent="0.2">
      <c r="BB84" s="1533"/>
      <c r="BC84" s="1533"/>
      <c r="BD84" s="1533"/>
      <c r="BE84" s="1533"/>
      <c r="BF84" s="1533"/>
      <c r="BG84" s="1533"/>
      <c r="BH84" s="1533"/>
      <c r="BI84" s="1533"/>
    </row>
    <row r="85" spans="54:61" ht="15" customHeight="1" thickBot="1" x14ac:dyDescent="0.25">
      <c r="BB85" s="1533"/>
      <c r="BC85" s="1533"/>
      <c r="BD85" s="1533"/>
      <c r="BE85" s="1533"/>
      <c r="BF85" s="1533"/>
      <c r="BG85" s="1533"/>
      <c r="BH85" s="1533"/>
      <c r="BI85" s="1533"/>
    </row>
    <row r="86" spans="54:61" ht="15" customHeight="1" thickTop="1" x14ac:dyDescent="0.2">
      <c r="BB86" s="1527" t="s">
        <v>121</v>
      </c>
      <c r="BC86" s="1529" t="s">
        <v>165</v>
      </c>
      <c r="BD86" s="1529" t="s">
        <v>166</v>
      </c>
      <c r="BE86" s="1529" t="s">
        <v>167</v>
      </c>
      <c r="BF86" s="1529" t="s">
        <v>122</v>
      </c>
      <c r="BG86" s="1529" t="s">
        <v>168</v>
      </c>
      <c r="BH86" s="1529" t="s">
        <v>123</v>
      </c>
      <c r="BI86" s="1537"/>
    </row>
    <row r="87" spans="54:61" ht="15" customHeight="1" thickBot="1" x14ac:dyDescent="0.25">
      <c r="BB87" s="1528"/>
      <c r="BC87" s="1530"/>
      <c r="BD87" s="1530"/>
      <c r="BE87" s="1530"/>
      <c r="BF87" s="1530"/>
      <c r="BG87" s="1530"/>
      <c r="BH87" s="239" t="s">
        <v>124</v>
      </c>
      <c r="BI87" s="240" t="s">
        <v>125</v>
      </c>
    </row>
    <row r="88" spans="54:61" ht="15" customHeight="1" x14ac:dyDescent="0.2">
      <c r="BB88" s="227" t="s">
        <v>126</v>
      </c>
      <c r="BC88" s="228">
        <v>24</v>
      </c>
      <c r="BD88" s="229">
        <v>8.0000000000000002E-3</v>
      </c>
      <c r="BE88" s="230">
        <v>8.0000000000000004E-4</v>
      </c>
      <c r="BF88" s="229">
        <v>6.3E-2</v>
      </c>
      <c r="BG88" s="228">
        <v>80</v>
      </c>
      <c r="BH88" s="228" t="s">
        <v>199</v>
      </c>
      <c r="BI88" s="231" t="s">
        <v>200</v>
      </c>
    </row>
    <row r="89" spans="54:61" ht="15" customHeight="1" x14ac:dyDescent="0.2">
      <c r="BB89" s="232" t="s">
        <v>129</v>
      </c>
      <c r="BC89" s="203">
        <v>30</v>
      </c>
      <c r="BD89" s="233">
        <v>0.01</v>
      </c>
      <c r="BE89" s="234">
        <v>1E-3</v>
      </c>
      <c r="BF89" s="233">
        <v>0.08</v>
      </c>
      <c r="BG89" s="203">
        <v>95</v>
      </c>
      <c r="BH89" s="203" t="s">
        <v>199</v>
      </c>
      <c r="BI89" s="219" t="s">
        <v>200</v>
      </c>
    </row>
    <row r="90" spans="54:61" ht="15" customHeight="1" x14ac:dyDescent="0.2">
      <c r="BB90" s="232" t="s">
        <v>132</v>
      </c>
      <c r="BC90" s="203">
        <v>45</v>
      </c>
      <c r="BD90" s="233">
        <v>2.3E-2</v>
      </c>
      <c r="BE90" s="234">
        <v>3.3999999999999998E-3</v>
      </c>
      <c r="BF90" s="233">
        <v>0.12</v>
      </c>
      <c r="BG90" s="203">
        <v>115</v>
      </c>
      <c r="BH90" s="203" t="s">
        <v>201</v>
      </c>
      <c r="BI90" s="219" t="s">
        <v>202</v>
      </c>
    </row>
    <row r="91" spans="54:61" ht="15" customHeight="1" x14ac:dyDescent="0.2">
      <c r="BB91" s="232" t="s">
        <v>133</v>
      </c>
      <c r="BC91" s="203">
        <v>40</v>
      </c>
      <c r="BD91" s="233">
        <v>1.2999999999999999E-2</v>
      </c>
      <c r="BE91" s="242">
        <v>1.33E-3</v>
      </c>
      <c r="BF91" s="233">
        <v>0.107</v>
      </c>
      <c r="BG91" s="203">
        <v>120</v>
      </c>
      <c r="BH91" s="203" t="s">
        <v>199</v>
      </c>
      <c r="BI91" s="219" t="s">
        <v>200</v>
      </c>
    </row>
    <row r="92" spans="54:61" ht="15" customHeight="1" x14ac:dyDescent="0.2">
      <c r="BB92" s="232" t="s">
        <v>136</v>
      </c>
      <c r="BC92" s="203">
        <v>60</v>
      </c>
      <c r="BD92" s="233">
        <v>0.03</v>
      </c>
      <c r="BE92" s="234">
        <v>4.4999999999999997E-3</v>
      </c>
      <c r="BF92" s="233">
        <v>0.161</v>
      </c>
      <c r="BG92" s="203">
        <v>145</v>
      </c>
      <c r="BH92" s="203" t="s">
        <v>201</v>
      </c>
      <c r="BI92" s="219" t="s">
        <v>202</v>
      </c>
    </row>
    <row r="93" spans="54:61" ht="15" customHeight="1" x14ac:dyDescent="0.2">
      <c r="BB93" s="232" t="s">
        <v>137</v>
      </c>
      <c r="BC93" s="203">
        <v>100</v>
      </c>
      <c r="BD93" s="233">
        <v>8.3000000000000004E-2</v>
      </c>
      <c r="BE93" s="234">
        <v>2.0799999999999999E-2</v>
      </c>
      <c r="BF93" s="233">
        <v>0.26800000000000002</v>
      </c>
      <c r="BG93" s="203">
        <v>195</v>
      </c>
      <c r="BH93" s="203" t="s">
        <v>203</v>
      </c>
      <c r="BI93" s="219" t="s">
        <v>204</v>
      </c>
    </row>
    <row r="94" spans="54:61" ht="15" customHeight="1" x14ac:dyDescent="0.2">
      <c r="BB94" s="232" t="s">
        <v>138</v>
      </c>
      <c r="BC94" s="203">
        <v>75</v>
      </c>
      <c r="BD94" s="233">
        <v>3.7999999999999999E-2</v>
      </c>
      <c r="BE94" s="234">
        <v>5.5999999999999999E-3</v>
      </c>
      <c r="BF94" s="233">
        <v>0.20100000000000001</v>
      </c>
      <c r="BG94" s="203">
        <v>180</v>
      </c>
      <c r="BH94" s="203" t="s">
        <v>201</v>
      </c>
      <c r="BI94" s="219" t="s">
        <v>202</v>
      </c>
    </row>
    <row r="95" spans="54:61" ht="15" customHeight="1" x14ac:dyDescent="0.2">
      <c r="BB95" s="232" t="s">
        <v>141</v>
      </c>
      <c r="BC95" s="203">
        <v>125</v>
      </c>
      <c r="BD95" s="233">
        <v>0.104</v>
      </c>
      <c r="BE95" s="234">
        <v>2.5999999999999999E-2</v>
      </c>
      <c r="BF95" s="233">
        <v>0.33500000000000002</v>
      </c>
      <c r="BG95" s="203">
        <v>230</v>
      </c>
      <c r="BH95" s="203" t="s">
        <v>203</v>
      </c>
      <c r="BI95" s="219" t="s">
        <v>204</v>
      </c>
    </row>
    <row r="96" spans="54:61" ht="15" customHeight="1" x14ac:dyDescent="0.2">
      <c r="BB96" s="232" t="s">
        <v>142</v>
      </c>
      <c r="BC96" s="203">
        <v>90</v>
      </c>
      <c r="BD96" s="233">
        <v>4.4999999999999998E-2</v>
      </c>
      <c r="BE96" s="234">
        <v>6.7999999999999996E-3</v>
      </c>
      <c r="BF96" s="233">
        <v>0.24199999999999999</v>
      </c>
      <c r="BG96" s="203">
        <v>205</v>
      </c>
      <c r="BH96" s="203" t="s">
        <v>201</v>
      </c>
      <c r="BI96" s="219" t="s">
        <v>202</v>
      </c>
    </row>
    <row r="97" spans="54:71" ht="15" customHeight="1" x14ac:dyDescent="0.2">
      <c r="BB97" s="232" t="s">
        <v>145</v>
      </c>
      <c r="BC97" s="203">
        <v>150</v>
      </c>
      <c r="BD97" s="233">
        <v>0.125</v>
      </c>
      <c r="BE97" s="234">
        <v>3.1300000000000001E-2</v>
      </c>
      <c r="BF97" s="233">
        <v>0.40300000000000002</v>
      </c>
      <c r="BG97" s="203">
        <v>270</v>
      </c>
      <c r="BH97" s="203" t="s">
        <v>203</v>
      </c>
      <c r="BI97" s="219" t="s">
        <v>204</v>
      </c>
    </row>
    <row r="98" spans="54:71" ht="15" customHeight="1" x14ac:dyDescent="0.2">
      <c r="BB98" s="232" t="s">
        <v>146</v>
      </c>
      <c r="BC98" s="203">
        <v>120</v>
      </c>
      <c r="BD98" s="233">
        <v>0.06</v>
      </c>
      <c r="BE98" s="234">
        <v>8.9999999999999993E-3</v>
      </c>
      <c r="BF98" s="233">
        <v>0.32300000000000001</v>
      </c>
      <c r="BG98" s="203">
        <v>280</v>
      </c>
      <c r="BH98" s="203" t="s">
        <v>201</v>
      </c>
      <c r="BI98" s="219" t="s">
        <v>202</v>
      </c>
    </row>
    <row r="99" spans="54:71" ht="15" customHeight="1" x14ac:dyDescent="0.2">
      <c r="BB99" s="232" t="s">
        <v>148</v>
      </c>
      <c r="BC99" s="203">
        <v>200</v>
      </c>
      <c r="BD99" s="233">
        <v>0.16700000000000001</v>
      </c>
      <c r="BE99" s="234">
        <v>4.1700000000000001E-2</v>
      </c>
      <c r="BF99" s="233">
        <v>0.53800000000000003</v>
      </c>
      <c r="BG99" s="203">
        <v>350</v>
      </c>
      <c r="BH99" s="203" t="s">
        <v>203</v>
      </c>
      <c r="BI99" s="219" t="s">
        <v>204</v>
      </c>
    </row>
    <row r="100" spans="54:71" ht="15" customHeight="1" x14ac:dyDescent="0.2">
      <c r="BB100" s="232" t="s">
        <v>149</v>
      </c>
      <c r="BC100" s="203">
        <v>400</v>
      </c>
      <c r="BD100" s="233">
        <v>0.66700000000000004</v>
      </c>
      <c r="BE100" s="234">
        <v>0.33300000000000002</v>
      </c>
      <c r="BF100" s="233">
        <v>1.08</v>
      </c>
      <c r="BG100" s="203">
        <v>515</v>
      </c>
      <c r="BH100" s="203" t="s">
        <v>205</v>
      </c>
      <c r="BI100" s="219" t="s">
        <v>206</v>
      </c>
    </row>
    <row r="101" spans="54:71" ht="15" customHeight="1" x14ac:dyDescent="0.2">
      <c r="BB101" s="232" t="s">
        <v>150</v>
      </c>
      <c r="BC101" s="203">
        <v>250</v>
      </c>
      <c r="BD101" s="233">
        <v>0.20799999999999999</v>
      </c>
      <c r="BE101" s="234">
        <v>5.21E-2</v>
      </c>
      <c r="BF101" s="233">
        <v>0.67300000000000004</v>
      </c>
      <c r="BG101" s="203">
        <v>425</v>
      </c>
      <c r="BH101" s="203" t="s">
        <v>203</v>
      </c>
      <c r="BI101" s="219" t="s">
        <v>204</v>
      </c>
    </row>
    <row r="102" spans="54:71" ht="15" customHeight="1" x14ac:dyDescent="0.2">
      <c r="BB102" s="232" t="s">
        <v>152</v>
      </c>
      <c r="BC102" s="203">
        <v>500</v>
      </c>
      <c r="BD102" s="233">
        <v>0.83299999999999996</v>
      </c>
      <c r="BE102" s="234">
        <v>0.41699999999999998</v>
      </c>
      <c r="BF102" s="233">
        <v>1.35</v>
      </c>
      <c r="BG102" s="203">
        <v>625</v>
      </c>
      <c r="BH102" s="203" t="s">
        <v>205</v>
      </c>
      <c r="BI102" s="219" t="s">
        <v>206</v>
      </c>
    </row>
    <row r="103" spans="54:71" ht="15" customHeight="1" x14ac:dyDescent="0.2">
      <c r="BB103" s="232" t="s">
        <v>153</v>
      </c>
      <c r="BC103" s="203">
        <v>300</v>
      </c>
      <c r="BD103" s="233">
        <v>0.25</v>
      </c>
      <c r="BE103" s="234">
        <v>6.25E-2</v>
      </c>
      <c r="BF103" s="233">
        <v>0.80800000000000005</v>
      </c>
      <c r="BG103" s="203">
        <v>500</v>
      </c>
      <c r="BH103" s="203" t="s">
        <v>203</v>
      </c>
      <c r="BI103" s="219" t="s">
        <v>204</v>
      </c>
    </row>
    <row r="104" spans="54:71" ht="15" customHeight="1" x14ac:dyDescent="0.2">
      <c r="BB104" s="232" t="s">
        <v>156</v>
      </c>
      <c r="BC104" s="203">
        <v>600</v>
      </c>
      <c r="BD104" s="233">
        <v>1</v>
      </c>
      <c r="BE104" s="234">
        <v>0.5</v>
      </c>
      <c r="BF104" s="233">
        <v>1.62</v>
      </c>
      <c r="BG104" s="203">
        <v>730</v>
      </c>
      <c r="BH104" s="203" t="s">
        <v>205</v>
      </c>
      <c r="BI104" s="219" t="s">
        <v>207</v>
      </c>
    </row>
    <row r="105" spans="54:71" ht="15" customHeight="1" x14ac:dyDescent="0.2">
      <c r="BB105" s="232" t="s">
        <v>157</v>
      </c>
      <c r="BC105" s="203">
        <v>400</v>
      </c>
      <c r="BD105" s="233">
        <v>0.33300000000000002</v>
      </c>
      <c r="BE105" s="234">
        <v>8.3299999999999999E-2</v>
      </c>
      <c r="BF105" s="233">
        <v>1.08</v>
      </c>
      <c r="BG105" s="203">
        <v>680</v>
      </c>
      <c r="BH105" s="203" t="s">
        <v>203</v>
      </c>
      <c r="BI105" s="219" t="s">
        <v>204</v>
      </c>
    </row>
    <row r="106" spans="54:71" ht="15" customHeight="1" x14ac:dyDescent="0.2">
      <c r="BB106" s="232" t="s">
        <v>159</v>
      </c>
      <c r="BC106" s="203">
        <v>800</v>
      </c>
      <c r="BD106" s="233">
        <v>1.33</v>
      </c>
      <c r="BE106" s="234">
        <v>0.66700000000000004</v>
      </c>
      <c r="BF106" s="233">
        <v>2.16</v>
      </c>
      <c r="BG106" s="203">
        <v>940</v>
      </c>
      <c r="BH106" s="203" t="s">
        <v>205</v>
      </c>
      <c r="BI106" s="219" t="s">
        <v>206</v>
      </c>
    </row>
    <row r="107" spans="54:71" ht="15" customHeight="1" x14ac:dyDescent="0.2">
      <c r="BB107" s="232" t="s">
        <v>161</v>
      </c>
      <c r="BC107" s="203">
        <v>500</v>
      </c>
      <c r="BD107" s="233">
        <v>0.41699999999999998</v>
      </c>
      <c r="BE107" s="234">
        <v>0.104</v>
      </c>
      <c r="BF107" s="233">
        <v>1.35</v>
      </c>
      <c r="BG107" s="203">
        <v>820</v>
      </c>
      <c r="BH107" s="203" t="s">
        <v>203</v>
      </c>
      <c r="BI107" s="219" t="s">
        <v>204</v>
      </c>
    </row>
    <row r="108" spans="54:71" ht="15" customHeight="1" thickBot="1" x14ac:dyDescent="0.25">
      <c r="BB108" s="235" t="s">
        <v>164</v>
      </c>
      <c r="BC108" s="220">
        <v>1000</v>
      </c>
      <c r="BD108" s="236">
        <v>1.67</v>
      </c>
      <c r="BE108" s="237">
        <v>0.83299999999999996</v>
      </c>
      <c r="BF108" s="236">
        <v>2.7</v>
      </c>
      <c r="BG108" s="220">
        <v>1150</v>
      </c>
      <c r="BH108" s="220" t="s">
        <v>205</v>
      </c>
      <c r="BI108" s="238" t="s">
        <v>206</v>
      </c>
    </row>
    <row r="109" spans="54:71" ht="15" customHeight="1" thickTop="1" x14ac:dyDescent="0.2"/>
    <row r="110" spans="54:71" ht="15" customHeight="1" x14ac:dyDescent="0.2">
      <c r="BB110" s="1533" t="s">
        <v>241</v>
      </c>
      <c r="BC110" s="1533"/>
      <c r="BD110" s="1533"/>
      <c r="BE110" s="1533"/>
      <c r="BF110" s="1533"/>
      <c r="BG110" s="1533"/>
      <c r="BH110" s="1533"/>
      <c r="BI110" s="1533"/>
      <c r="BS110" s="308"/>
    </row>
    <row r="111" spans="54:71" ht="15" customHeight="1" x14ac:dyDescent="0.2">
      <c r="BB111" s="1533"/>
      <c r="BC111" s="1533"/>
      <c r="BD111" s="1533"/>
      <c r="BE111" s="1533"/>
      <c r="BF111" s="1533"/>
      <c r="BG111" s="1533"/>
      <c r="BH111" s="1533"/>
      <c r="BI111" s="1533"/>
      <c r="BS111" s="307"/>
    </row>
    <row r="112" spans="54:71" ht="15" customHeight="1" thickBot="1" x14ac:dyDescent="0.25">
      <c r="BB112" s="1533"/>
      <c r="BC112" s="1533"/>
      <c r="BD112" s="1533"/>
      <c r="BE112" s="1533"/>
      <c r="BF112" s="1533"/>
      <c r="BG112" s="1533"/>
      <c r="BH112" s="1533"/>
      <c r="BI112" s="1533"/>
      <c r="BL112" s="308"/>
      <c r="BM112" s="308"/>
      <c r="BN112" s="308"/>
      <c r="BO112" s="308"/>
      <c r="BP112" s="308"/>
      <c r="BQ112" s="308"/>
      <c r="BR112" s="308"/>
      <c r="BS112" s="307"/>
    </row>
    <row r="113" spans="54:70" ht="15" customHeight="1" thickTop="1" x14ac:dyDescent="0.2">
      <c r="BB113" s="1527" t="s">
        <v>226</v>
      </c>
      <c r="BC113" s="1529" t="s">
        <v>165</v>
      </c>
      <c r="BD113" s="1529" t="s">
        <v>166</v>
      </c>
      <c r="BE113" s="1529" t="s">
        <v>167</v>
      </c>
      <c r="BF113" s="1529" t="s">
        <v>122</v>
      </c>
      <c r="BG113" s="1529" t="s">
        <v>168</v>
      </c>
      <c r="BH113" s="1529" t="s">
        <v>123</v>
      </c>
      <c r="BI113" s="1537"/>
      <c r="BL113" s="307"/>
      <c r="BM113" s="307"/>
      <c r="BN113" s="307"/>
      <c r="BO113" s="307"/>
      <c r="BP113" s="307"/>
      <c r="BQ113" s="307"/>
      <c r="BR113" s="307"/>
    </row>
    <row r="114" spans="54:70" ht="15" customHeight="1" thickBot="1" x14ac:dyDescent="0.25">
      <c r="BB114" s="1528"/>
      <c r="BC114" s="1530"/>
      <c r="BD114" s="1530"/>
      <c r="BE114" s="1530"/>
      <c r="BF114" s="1530"/>
      <c r="BG114" s="1530"/>
      <c r="BH114" s="239" t="s">
        <v>124</v>
      </c>
      <c r="BI114" s="240" t="s">
        <v>125</v>
      </c>
      <c r="BL114" s="307"/>
      <c r="BM114" s="307"/>
      <c r="BN114" s="307"/>
      <c r="BO114" s="307"/>
      <c r="BP114" s="307"/>
      <c r="BQ114" s="307"/>
      <c r="BR114" s="307"/>
    </row>
    <row r="115" spans="54:70" ht="15" customHeight="1" x14ac:dyDescent="0.2">
      <c r="BB115" s="249">
        <v>8</v>
      </c>
      <c r="BC115" s="228">
        <v>50.26</v>
      </c>
      <c r="BD115" s="230">
        <v>5.0299999999999997E-2</v>
      </c>
      <c r="BE115" s="230">
        <v>2.01E-2</v>
      </c>
      <c r="BF115" s="229">
        <v>0.44700000000000001</v>
      </c>
      <c r="BG115" s="228">
        <v>150</v>
      </c>
      <c r="BH115" s="228" t="s">
        <v>210</v>
      </c>
      <c r="BI115" s="231" t="s">
        <v>204</v>
      </c>
    </row>
    <row r="116" spans="54:70" ht="15" customHeight="1" x14ac:dyDescent="0.2">
      <c r="BB116" s="247">
        <v>10</v>
      </c>
      <c r="BC116" s="203">
        <v>78.540000000000006</v>
      </c>
      <c r="BD116" s="234">
        <v>9.8199999999999996E-2</v>
      </c>
      <c r="BE116" s="234">
        <v>4.9099999999999998E-2</v>
      </c>
      <c r="BF116" s="233">
        <v>0.69899999999999995</v>
      </c>
      <c r="BG116" s="203">
        <v>210</v>
      </c>
      <c r="BH116" s="203" t="s">
        <v>212</v>
      </c>
      <c r="BI116" s="219" t="s">
        <v>213</v>
      </c>
    </row>
    <row r="117" spans="54:70" ht="15" customHeight="1" x14ac:dyDescent="0.2">
      <c r="BB117" s="247">
        <v>13</v>
      </c>
      <c r="BC117" s="203">
        <v>132.72999999999999</v>
      </c>
      <c r="BD117" s="234">
        <v>0.2157</v>
      </c>
      <c r="BE117" s="234">
        <v>0.14019999999999999</v>
      </c>
      <c r="BF117" s="233">
        <v>1.18</v>
      </c>
      <c r="BG117" s="203">
        <v>310</v>
      </c>
      <c r="BH117" s="203" t="s">
        <v>215</v>
      </c>
      <c r="BI117" s="219" t="s">
        <v>216</v>
      </c>
    </row>
    <row r="118" spans="54:70" ht="15" customHeight="1" x14ac:dyDescent="0.2">
      <c r="BB118" s="247">
        <v>16</v>
      </c>
      <c r="BC118" s="203">
        <v>201.06</v>
      </c>
      <c r="BD118" s="234">
        <v>0.40210000000000001</v>
      </c>
      <c r="BE118" s="242">
        <v>0.32169999999999999</v>
      </c>
      <c r="BF118" s="233">
        <v>1.7889999999999999</v>
      </c>
      <c r="BG118" s="203">
        <v>410</v>
      </c>
      <c r="BH118" s="203" t="s">
        <v>205</v>
      </c>
      <c r="BI118" s="219" t="s">
        <v>218</v>
      </c>
    </row>
    <row r="119" spans="54:70" ht="15" customHeight="1" x14ac:dyDescent="0.2">
      <c r="BB119" s="247">
        <v>20</v>
      </c>
      <c r="BC119" s="203">
        <v>314.16000000000003</v>
      </c>
      <c r="BD119" s="234">
        <v>0.78539999999999999</v>
      </c>
      <c r="BE119" s="234">
        <v>0.78539999999999999</v>
      </c>
      <c r="BF119" s="233">
        <v>2.7959999999999998</v>
      </c>
      <c r="BG119" s="203">
        <v>540</v>
      </c>
      <c r="BH119" s="203" t="s">
        <v>220</v>
      </c>
      <c r="BI119" s="219" t="s">
        <v>212</v>
      </c>
    </row>
    <row r="120" spans="54:70" ht="15" customHeight="1" x14ac:dyDescent="0.2">
      <c r="BB120" s="247">
        <v>25</v>
      </c>
      <c r="BC120" s="203">
        <v>490.87</v>
      </c>
      <c r="BD120" s="234">
        <v>1.534</v>
      </c>
      <c r="BE120" s="234">
        <v>1.9175</v>
      </c>
      <c r="BF120" s="233">
        <v>4.3499999999999996</v>
      </c>
      <c r="BG120" s="203">
        <v>730</v>
      </c>
      <c r="BH120" s="203" t="s">
        <v>222</v>
      </c>
      <c r="BI120" s="219" t="s">
        <v>182</v>
      </c>
    </row>
    <row r="121" spans="54:70" ht="15" customHeight="1" thickBot="1" x14ac:dyDescent="0.25">
      <c r="BB121" s="248">
        <v>30</v>
      </c>
      <c r="BC121" s="220">
        <v>706.86</v>
      </c>
      <c r="BD121" s="237">
        <v>2.6507000000000001</v>
      </c>
      <c r="BE121" s="237">
        <v>3.9761000000000002</v>
      </c>
      <c r="BF121" s="236">
        <v>6.2910000000000004</v>
      </c>
      <c r="BG121" s="220">
        <v>900</v>
      </c>
      <c r="BH121" s="220" t="s">
        <v>224</v>
      </c>
      <c r="BI121" s="238" t="s">
        <v>225</v>
      </c>
    </row>
    <row r="122" spans="54:70" ht="15" customHeight="1" thickTop="1" x14ac:dyDescent="0.2"/>
    <row r="123" spans="54:70" ht="15" customHeight="1" x14ac:dyDescent="0.2">
      <c r="BB123" s="1533" t="s">
        <v>240</v>
      </c>
      <c r="BC123" s="1533"/>
      <c r="BD123" s="1533"/>
      <c r="BE123" s="1533"/>
      <c r="BF123" s="1533"/>
      <c r="BG123" s="1533"/>
      <c r="BH123" s="1533"/>
      <c r="BI123" s="1533"/>
    </row>
    <row r="124" spans="54:70" ht="15" customHeight="1" x14ac:dyDescent="0.2">
      <c r="BB124" s="1533"/>
      <c r="BC124" s="1533"/>
      <c r="BD124" s="1533"/>
      <c r="BE124" s="1533"/>
      <c r="BF124" s="1533"/>
      <c r="BG124" s="1533"/>
      <c r="BH124" s="1533"/>
      <c r="BI124" s="1533"/>
    </row>
    <row r="125" spans="54:70" ht="15" customHeight="1" thickBot="1" x14ac:dyDescent="0.25">
      <c r="BB125" s="1533"/>
      <c r="BC125" s="1533"/>
      <c r="BD125" s="1533"/>
      <c r="BE125" s="1533"/>
      <c r="BF125" s="1533"/>
      <c r="BG125" s="1533"/>
      <c r="BH125" s="1533"/>
      <c r="BI125" s="1533"/>
    </row>
    <row r="126" spans="54:70" ht="15" customHeight="1" thickTop="1" x14ac:dyDescent="0.2">
      <c r="BB126" s="1527" t="s">
        <v>226</v>
      </c>
      <c r="BC126" s="1529" t="s">
        <v>165</v>
      </c>
      <c r="BD126" s="1529" t="s">
        <v>166</v>
      </c>
      <c r="BE126" s="1529" t="s">
        <v>167</v>
      </c>
      <c r="BF126" s="1529" t="s">
        <v>122</v>
      </c>
      <c r="BG126" s="1529" t="s">
        <v>168</v>
      </c>
      <c r="BH126" s="1529" t="s">
        <v>123</v>
      </c>
      <c r="BI126" s="1537"/>
    </row>
    <row r="127" spans="54:70" ht="15" customHeight="1" thickBot="1" x14ac:dyDescent="0.25">
      <c r="BB127" s="1528"/>
      <c r="BC127" s="1530"/>
      <c r="BD127" s="1530"/>
      <c r="BE127" s="1530"/>
      <c r="BF127" s="1530"/>
      <c r="BG127" s="1530"/>
      <c r="BH127" s="239" t="s">
        <v>124</v>
      </c>
      <c r="BI127" s="240" t="s">
        <v>125</v>
      </c>
    </row>
    <row r="128" spans="54:70" ht="15" customHeight="1" x14ac:dyDescent="0.2">
      <c r="BB128" s="227" t="s">
        <v>209</v>
      </c>
      <c r="BC128" s="228">
        <v>50.26</v>
      </c>
      <c r="BD128" s="230">
        <v>5.0299999999999997E-2</v>
      </c>
      <c r="BE128" s="230">
        <v>2.01E-2</v>
      </c>
      <c r="BF128" s="229">
        <v>0.13600000000000001</v>
      </c>
      <c r="BG128" s="228">
        <v>124</v>
      </c>
      <c r="BH128" s="228" t="s">
        <v>227</v>
      </c>
      <c r="BI128" s="231" t="s">
        <v>228</v>
      </c>
    </row>
    <row r="129" spans="54:61" ht="15" customHeight="1" x14ac:dyDescent="0.2">
      <c r="BB129" s="232" t="s">
        <v>211</v>
      </c>
      <c r="BC129" s="203">
        <v>78.540000000000006</v>
      </c>
      <c r="BD129" s="234">
        <v>9.8199999999999996E-2</v>
      </c>
      <c r="BE129" s="234">
        <v>4.9099999999999998E-2</v>
      </c>
      <c r="BF129" s="233">
        <v>0.21199999999999999</v>
      </c>
      <c r="BG129" s="203">
        <v>167</v>
      </c>
      <c r="BH129" s="203" t="s">
        <v>229</v>
      </c>
      <c r="BI129" s="219" t="s">
        <v>230</v>
      </c>
    </row>
    <row r="130" spans="54:61" ht="15" customHeight="1" x14ac:dyDescent="0.2">
      <c r="BB130" s="232" t="s">
        <v>214</v>
      </c>
      <c r="BC130" s="203">
        <v>132.72999999999999</v>
      </c>
      <c r="BD130" s="234">
        <v>0.2157</v>
      </c>
      <c r="BE130" s="234">
        <v>0.14019999999999999</v>
      </c>
      <c r="BF130" s="233">
        <v>0.35799999999999998</v>
      </c>
      <c r="BG130" s="203">
        <v>242</v>
      </c>
      <c r="BH130" s="203" t="s">
        <v>231</v>
      </c>
      <c r="BI130" s="219" t="s">
        <v>232</v>
      </c>
    </row>
    <row r="131" spans="54:61" x14ac:dyDescent="0.2">
      <c r="BB131" s="232" t="s">
        <v>217</v>
      </c>
      <c r="BC131" s="203">
        <v>201.06</v>
      </c>
      <c r="BD131" s="234">
        <v>0.40210000000000001</v>
      </c>
      <c r="BE131" s="242">
        <v>0.32169999999999999</v>
      </c>
      <c r="BF131" s="233">
        <v>0.54300000000000004</v>
      </c>
      <c r="BG131" s="203">
        <v>314</v>
      </c>
      <c r="BH131" s="203" t="s">
        <v>233</v>
      </c>
      <c r="BI131" s="219" t="s">
        <v>234</v>
      </c>
    </row>
    <row r="132" spans="54:61" x14ac:dyDescent="0.2">
      <c r="BB132" s="232" t="s">
        <v>219</v>
      </c>
      <c r="BC132" s="203">
        <v>314.16000000000003</v>
      </c>
      <c r="BD132" s="234">
        <v>0.78539999999999999</v>
      </c>
      <c r="BE132" s="234">
        <v>0.78539999999999999</v>
      </c>
      <c r="BF132" s="233">
        <v>0.84799999999999998</v>
      </c>
      <c r="BG132" s="203">
        <v>424</v>
      </c>
      <c r="BH132" s="203" t="s">
        <v>235</v>
      </c>
      <c r="BI132" s="219" t="s">
        <v>229</v>
      </c>
    </row>
    <row r="133" spans="54:61" x14ac:dyDescent="0.2">
      <c r="BB133" s="232" t="s">
        <v>221</v>
      </c>
      <c r="BC133" s="203">
        <v>490.87</v>
      </c>
      <c r="BD133" s="234">
        <v>1.534</v>
      </c>
      <c r="BE133" s="234">
        <v>1.9175</v>
      </c>
      <c r="BF133" s="233">
        <v>1.32</v>
      </c>
      <c r="BG133" s="203">
        <v>569</v>
      </c>
      <c r="BH133" s="203" t="s">
        <v>236</v>
      </c>
      <c r="BI133" s="219" t="s">
        <v>237</v>
      </c>
    </row>
    <row r="134" spans="54:61" ht="15" thickBot="1" x14ac:dyDescent="0.25">
      <c r="BB134" s="235" t="s">
        <v>223</v>
      </c>
      <c r="BC134" s="220">
        <v>706.86</v>
      </c>
      <c r="BD134" s="237">
        <v>2.6507000000000001</v>
      </c>
      <c r="BE134" s="237">
        <v>3.9761000000000002</v>
      </c>
      <c r="BF134" s="236">
        <v>1.909</v>
      </c>
      <c r="BG134" s="220">
        <v>693</v>
      </c>
      <c r="BH134" s="220" t="s">
        <v>238</v>
      </c>
      <c r="BI134" s="238" t="s">
        <v>239</v>
      </c>
    </row>
    <row r="135" spans="54:61" ht="15" thickTop="1" x14ac:dyDescent="0.2"/>
  </sheetData>
  <mergeCells count="131">
    <mergeCell ref="CK3:CL3"/>
    <mergeCell ref="CK4:CK5"/>
    <mergeCell ref="CL4:CL5"/>
    <mergeCell ref="CE12:CI12"/>
    <mergeCell ref="CE13:CE14"/>
    <mergeCell ref="CF13:CI14"/>
    <mergeCell ref="CF15:CI15"/>
    <mergeCell ref="CF16:CI16"/>
    <mergeCell ref="BY3:CC3"/>
    <mergeCell ref="BY4:BY5"/>
    <mergeCell ref="CB4:CC4"/>
    <mergeCell ref="BZ4:CA4"/>
    <mergeCell ref="CE3:CI3"/>
    <mergeCell ref="CE4:CE5"/>
    <mergeCell ref="CF4:CG4"/>
    <mergeCell ref="CH4:CI4"/>
    <mergeCell ref="BS3:BW3"/>
    <mergeCell ref="BV4:BW4"/>
    <mergeCell ref="BT4:BU4"/>
    <mergeCell ref="BS4:BS5"/>
    <mergeCell ref="L3:N3"/>
    <mergeCell ref="C12:D13"/>
    <mergeCell ref="B5:G5"/>
    <mergeCell ref="B6:B7"/>
    <mergeCell ref="C6:D7"/>
    <mergeCell ref="BL3:BQ3"/>
    <mergeCell ref="BO5:BO22"/>
    <mergeCell ref="AR3:AW3"/>
    <mergeCell ref="AK3:AP3"/>
    <mergeCell ref="AY3:AZ3"/>
    <mergeCell ref="BC5:BC6"/>
    <mergeCell ref="AK4:AK5"/>
    <mergeCell ref="BH5:BI5"/>
    <mergeCell ref="BB4:BI4"/>
    <mergeCell ref="BB5:BB6"/>
    <mergeCell ref="BF5:BF6"/>
    <mergeCell ref="BB3:BI3"/>
    <mergeCell ref="BE5:BE6"/>
    <mergeCell ref="BD5:BD6"/>
    <mergeCell ref="AL4:AP4"/>
    <mergeCell ref="BG5:BG6"/>
    <mergeCell ref="AY10:AY13"/>
    <mergeCell ref="AR4:AR5"/>
    <mergeCell ref="AS4:AW4"/>
    <mergeCell ref="X4:AB4"/>
    <mergeCell ref="AE4:AI4"/>
    <mergeCell ref="AD3:AI3"/>
    <mergeCell ref="W3:AB3"/>
    <mergeCell ref="W4:W5"/>
    <mergeCell ref="AD4:AD5"/>
    <mergeCell ref="T3:T4"/>
    <mergeCell ref="C20:D20"/>
    <mergeCell ref="C19:D19"/>
    <mergeCell ref="C18:D18"/>
    <mergeCell ref="AD20:AI22"/>
    <mergeCell ref="E6:G6"/>
    <mergeCell ref="E16:G16"/>
    <mergeCell ref="C8:D9"/>
    <mergeCell ref="B15:G15"/>
    <mergeCell ref="C16:D17"/>
    <mergeCell ref="C22:D22"/>
    <mergeCell ref="C21:D21"/>
    <mergeCell ref="B16:B17"/>
    <mergeCell ref="P3:R3"/>
    <mergeCell ref="B3:G3"/>
    <mergeCell ref="C10:D11"/>
    <mergeCell ref="U3:U4"/>
    <mergeCell ref="I3:J3"/>
    <mergeCell ref="B40:B41"/>
    <mergeCell ref="E40:G40"/>
    <mergeCell ref="AR20:AW22"/>
    <mergeCell ref="W24:AB26"/>
    <mergeCell ref="E29:G29"/>
    <mergeCell ref="B28:G28"/>
    <mergeCell ref="B29:B30"/>
    <mergeCell ref="C29:D30"/>
    <mergeCell ref="C31:D31"/>
    <mergeCell ref="C35:D35"/>
    <mergeCell ref="C32:D32"/>
    <mergeCell ref="C34:D34"/>
    <mergeCell ref="C33:D33"/>
    <mergeCell ref="D40:D41"/>
    <mergeCell ref="C40:C41"/>
    <mergeCell ref="C37:D37"/>
    <mergeCell ref="C36:D36"/>
    <mergeCell ref="B39:G39"/>
    <mergeCell ref="C23:D23"/>
    <mergeCell ref="BD32:BD33"/>
    <mergeCell ref="BE32:BE33"/>
    <mergeCell ref="BB29:BI31"/>
    <mergeCell ref="AK24:AP26"/>
    <mergeCell ref="BG32:BG33"/>
    <mergeCell ref="BH32:BI32"/>
    <mergeCell ref="BF59:BF60"/>
    <mergeCell ref="BG59:BG60"/>
    <mergeCell ref="BH113:BI113"/>
    <mergeCell ref="BD59:BD60"/>
    <mergeCell ref="BH86:BI86"/>
    <mergeCell ref="BE59:BE60"/>
    <mergeCell ref="BG86:BG87"/>
    <mergeCell ref="BB28:BI28"/>
    <mergeCell ref="BB32:BB33"/>
    <mergeCell ref="BC32:BC33"/>
    <mergeCell ref="BF32:BF33"/>
    <mergeCell ref="BH59:BI59"/>
    <mergeCell ref="BC113:BC114"/>
    <mergeCell ref="BD113:BD114"/>
    <mergeCell ref="BB126:BB127"/>
    <mergeCell ref="BD86:BD87"/>
    <mergeCell ref="B42:B43"/>
    <mergeCell ref="BC86:BC87"/>
    <mergeCell ref="BB86:BB87"/>
    <mergeCell ref="BE86:BE87"/>
    <mergeCell ref="BB83:BI85"/>
    <mergeCell ref="B44:B45"/>
    <mergeCell ref="BF86:BF87"/>
    <mergeCell ref="BB56:BI58"/>
    <mergeCell ref="BB59:BB60"/>
    <mergeCell ref="BC59:BC60"/>
    <mergeCell ref="BC126:BC127"/>
    <mergeCell ref="BF126:BF127"/>
    <mergeCell ref="BG126:BG127"/>
    <mergeCell ref="BE126:BE127"/>
    <mergeCell ref="BD126:BD127"/>
    <mergeCell ref="BH126:BI126"/>
    <mergeCell ref="BB123:BI125"/>
    <mergeCell ref="BB110:BI112"/>
    <mergeCell ref="BE113:BE114"/>
    <mergeCell ref="BF113:BF114"/>
    <mergeCell ref="BG113:BG114"/>
    <mergeCell ref="BB113:BB114"/>
  </mergeCells>
  <phoneticPr fontId="29" type="noConversion"/>
  <printOptions horizontalCentered="1"/>
  <pageMargins left="0" right="0" top="0" bottom="0" header="0" footer="0"/>
  <pageSetup paperSize="8" scale="43" fitToWidth="2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CC00"/>
  </sheetPr>
  <dimension ref="B1:J21"/>
  <sheetViews>
    <sheetView showGridLines="0" workbookViewId="0">
      <selection activeCell="D27" sqref="D27"/>
    </sheetView>
  </sheetViews>
  <sheetFormatPr defaultColWidth="9.140625" defaultRowHeight="14.25" x14ac:dyDescent="0.25"/>
  <cols>
    <col min="1" max="1" width="9.140625" style="42"/>
    <col min="2" max="2" width="21.5703125" style="42" bestFit="1" customWidth="1"/>
    <col min="3" max="3" width="21.5703125" style="42" customWidth="1"/>
    <col min="4" max="4" width="23.28515625" style="42" customWidth="1"/>
    <col min="5" max="5" width="13.85546875" style="42" customWidth="1"/>
    <col min="6" max="6" width="11.5703125" style="42" bestFit="1" customWidth="1"/>
    <col min="7" max="7" width="18.5703125" style="42" customWidth="1"/>
    <col min="8" max="8" width="14.28515625" style="42" customWidth="1"/>
    <col min="9" max="9" width="21.85546875" style="42" customWidth="1"/>
    <col min="10" max="10" width="25.42578125" style="42" customWidth="1"/>
    <col min="11" max="16384" width="9.140625" style="42"/>
  </cols>
  <sheetData>
    <row r="1" spans="2:10" ht="15" thickBot="1" x14ac:dyDescent="0.3"/>
    <row r="2" spans="2:10" ht="60.75" thickBot="1" x14ac:dyDescent="0.3">
      <c r="B2" s="38" t="s">
        <v>448</v>
      </c>
      <c r="C2" s="38" t="s">
        <v>120</v>
      </c>
      <c r="D2" s="38" t="s">
        <v>449</v>
      </c>
      <c r="E2" s="38" t="s">
        <v>458</v>
      </c>
      <c r="F2" s="38" t="s">
        <v>459</v>
      </c>
      <c r="G2" s="38" t="s">
        <v>460</v>
      </c>
      <c r="H2" s="38" t="s">
        <v>498</v>
      </c>
      <c r="I2" s="38" t="s">
        <v>6</v>
      </c>
      <c r="J2" s="38" t="s">
        <v>7</v>
      </c>
    </row>
    <row r="3" spans="2:10" ht="15" customHeight="1" x14ac:dyDescent="0.25">
      <c r="B3" s="99">
        <v>1.5</v>
      </c>
      <c r="C3" s="99">
        <v>3</v>
      </c>
      <c r="D3" s="99" t="s">
        <v>450</v>
      </c>
      <c r="E3" s="99" t="s">
        <v>242</v>
      </c>
      <c r="F3" s="99" t="s">
        <v>244</v>
      </c>
      <c r="G3" s="141" t="s">
        <v>363</v>
      </c>
      <c r="H3" s="99" t="s">
        <v>499</v>
      </c>
      <c r="I3" s="141" t="s">
        <v>32</v>
      </c>
      <c r="J3" s="182" t="s">
        <v>12</v>
      </c>
    </row>
    <row r="4" spans="2:10" ht="15" customHeight="1" thickBot="1" x14ac:dyDescent="0.3">
      <c r="B4" s="89">
        <v>2.5</v>
      </c>
      <c r="C4" s="89">
        <v>6</v>
      </c>
      <c r="D4" s="89" t="s">
        <v>451</v>
      </c>
      <c r="E4" s="89" t="s">
        <v>245</v>
      </c>
      <c r="F4" s="89" t="s">
        <v>246</v>
      </c>
      <c r="G4" s="89" t="s">
        <v>461</v>
      </c>
      <c r="H4" s="101" t="s">
        <v>500</v>
      </c>
      <c r="I4" s="203" t="s">
        <v>33</v>
      </c>
      <c r="J4" s="183" t="s">
        <v>13</v>
      </c>
    </row>
    <row r="5" spans="2:10" ht="15" customHeight="1" x14ac:dyDescent="0.25">
      <c r="B5" s="89">
        <v>4</v>
      </c>
      <c r="C5" s="89">
        <v>10</v>
      </c>
      <c r="D5" s="89" t="s">
        <v>452</v>
      </c>
      <c r="E5" s="1667"/>
      <c r="F5" s="1667"/>
      <c r="G5" s="89" t="s">
        <v>462</v>
      </c>
      <c r="H5" s="1664"/>
      <c r="I5" s="204" t="s">
        <v>34</v>
      </c>
      <c r="J5" s="184" t="s">
        <v>21</v>
      </c>
    </row>
    <row r="6" spans="2:10" ht="15" customHeight="1" thickBot="1" x14ac:dyDescent="0.3">
      <c r="B6" s="89">
        <v>6</v>
      </c>
      <c r="C6" s="89">
        <v>15</v>
      </c>
      <c r="D6" s="89" t="s">
        <v>453</v>
      </c>
      <c r="E6" s="1665"/>
      <c r="F6" s="1665"/>
      <c r="G6" s="89" t="s">
        <v>463</v>
      </c>
      <c r="H6" s="1668"/>
      <c r="I6" s="203" t="s">
        <v>35</v>
      </c>
      <c r="J6" s="185" t="s">
        <v>22</v>
      </c>
    </row>
    <row r="7" spans="2:10" ht="15" customHeight="1" thickBot="1" x14ac:dyDescent="0.3">
      <c r="B7" s="89">
        <v>10</v>
      </c>
      <c r="C7" s="89">
        <v>20</v>
      </c>
      <c r="D7" s="89" t="s">
        <v>382</v>
      </c>
      <c r="E7" s="1665"/>
      <c r="F7" s="1665"/>
      <c r="G7" s="1667"/>
      <c r="H7" s="1668"/>
      <c r="I7" s="204" t="s">
        <v>36</v>
      </c>
      <c r="J7" s="1664"/>
    </row>
    <row r="8" spans="2:10" ht="15" customHeight="1" x14ac:dyDescent="0.25">
      <c r="B8" s="89">
        <v>16</v>
      </c>
      <c r="C8" s="101">
        <v>25</v>
      </c>
      <c r="D8" s="89" t="s">
        <v>454</v>
      </c>
      <c r="E8" s="1665"/>
      <c r="F8" s="1665"/>
      <c r="G8" s="1665"/>
      <c r="H8" s="1668"/>
      <c r="I8" s="1664"/>
      <c r="J8" s="1665"/>
    </row>
    <row r="9" spans="2:10" ht="15" customHeight="1" x14ac:dyDescent="0.25">
      <c r="B9" s="89">
        <v>25</v>
      </c>
      <c r="C9" s="89">
        <v>36</v>
      </c>
      <c r="D9" s="89" t="s">
        <v>455</v>
      </c>
      <c r="E9" s="1665"/>
      <c r="F9" s="1665"/>
      <c r="G9" s="1665"/>
      <c r="H9" s="1668"/>
      <c r="I9" s="1665"/>
      <c r="J9" s="1665"/>
    </row>
    <row r="10" spans="2:10" ht="15" customHeight="1" x14ac:dyDescent="0.25">
      <c r="B10" s="89">
        <v>35</v>
      </c>
      <c r="C10" s="89">
        <v>50</v>
      </c>
      <c r="D10" s="89" t="s">
        <v>456</v>
      </c>
      <c r="E10" s="1665"/>
      <c r="F10" s="1665"/>
      <c r="G10" s="1665"/>
      <c r="H10" s="1668"/>
      <c r="I10" s="1665"/>
      <c r="J10" s="1665"/>
    </row>
    <row r="11" spans="2:10" ht="15" customHeight="1" thickBot="1" x14ac:dyDescent="0.3">
      <c r="B11" s="89">
        <v>50</v>
      </c>
      <c r="C11" s="100">
        <v>70</v>
      </c>
      <c r="D11" s="101" t="s">
        <v>457</v>
      </c>
      <c r="E11" s="1665"/>
      <c r="F11" s="1665"/>
      <c r="G11" s="1665"/>
      <c r="H11" s="1668"/>
      <c r="I11" s="1665"/>
      <c r="J11" s="1665"/>
    </row>
    <row r="12" spans="2:10" ht="15" customHeight="1" x14ac:dyDescent="0.25">
      <c r="B12" s="89">
        <v>70</v>
      </c>
      <c r="C12" s="250"/>
      <c r="D12" s="1664"/>
      <c r="E12" s="1665"/>
      <c r="F12" s="1665"/>
      <c r="G12" s="1665"/>
      <c r="H12" s="1668"/>
      <c r="I12" s="1665"/>
      <c r="J12" s="1665"/>
    </row>
    <row r="13" spans="2:10" ht="15" customHeight="1" x14ac:dyDescent="0.25">
      <c r="B13" s="89">
        <v>95</v>
      </c>
      <c r="C13" s="250"/>
      <c r="D13" s="1665"/>
      <c r="E13" s="1665"/>
      <c r="F13" s="1665"/>
      <c r="G13" s="1665"/>
      <c r="H13" s="1668"/>
      <c r="I13" s="1665"/>
      <c r="J13" s="1665"/>
    </row>
    <row r="14" spans="2:10" ht="15" customHeight="1" x14ac:dyDescent="0.25">
      <c r="B14" s="89">
        <v>120</v>
      </c>
      <c r="C14" s="250"/>
      <c r="D14" s="1665"/>
      <c r="E14" s="1665"/>
      <c r="F14" s="1665"/>
      <c r="G14" s="1665"/>
      <c r="H14" s="1668"/>
      <c r="I14" s="1665"/>
      <c r="J14" s="1665"/>
    </row>
    <row r="15" spans="2:10" ht="15" customHeight="1" x14ac:dyDescent="0.25">
      <c r="B15" s="89">
        <v>150</v>
      </c>
      <c r="C15" s="250"/>
      <c r="D15" s="1665"/>
      <c r="E15" s="1665"/>
      <c r="F15" s="1665"/>
      <c r="G15" s="1665"/>
      <c r="H15" s="1668"/>
      <c r="I15" s="1665"/>
      <c r="J15" s="1665"/>
    </row>
    <row r="16" spans="2:10" ht="15" customHeight="1" x14ac:dyDescent="0.25">
      <c r="B16" s="89">
        <v>185</v>
      </c>
      <c r="C16" s="250"/>
      <c r="D16" s="1665"/>
      <c r="E16" s="1665"/>
      <c r="F16" s="1665"/>
      <c r="G16" s="1665"/>
      <c r="H16" s="1668"/>
      <c r="I16" s="1665"/>
      <c r="J16" s="1665"/>
    </row>
    <row r="17" spans="2:10" ht="15" customHeight="1" x14ac:dyDescent="0.25">
      <c r="B17" s="89">
        <v>240</v>
      </c>
      <c r="C17" s="250"/>
      <c r="D17" s="1665"/>
      <c r="E17" s="1665"/>
      <c r="F17" s="1665"/>
      <c r="G17" s="1665"/>
      <c r="H17" s="1668"/>
      <c r="I17" s="1665"/>
      <c r="J17" s="1665"/>
    </row>
    <row r="18" spans="2:10" ht="15" customHeight="1" x14ac:dyDescent="0.25">
      <c r="B18" s="89">
        <v>300</v>
      </c>
      <c r="C18" s="250"/>
      <c r="D18" s="1665"/>
      <c r="E18" s="1665"/>
      <c r="F18" s="1665"/>
      <c r="G18" s="1665"/>
      <c r="H18" s="1668"/>
      <c r="I18" s="1665"/>
      <c r="J18" s="1665"/>
    </row>
    <row r="19" spans="2:10" ht="15" customHeight="1" x14ac:dyDescent="0.25">
      <c r="B19" s="89">
        <v>400</v>
      </c>
      <c r="C19" s="250"/>
      <c r="D19" s="1665"/>
      <c r="E19" s="1665"/>
      <c r="F19" s="1665"/>
      <c r="G19" s="1665"/>
      <c r="H19" s="1668"/>
      <c r="I19" s="1665"/>
      <c r="J19" s="1665"/>
    </row>
    <row r="20" spans="2:10" ht="15" customHeight="1" x14ac:dyDescent="0.25">
      <c r="B20" s="89">
        <v>500</v>
      </c>
      <c r="C20" s="250"/>
      <c r="D20" s="1665"/>
      <c r="E20" s="1665"/>
      <c r="F20" s="1665"/>
      <c r="G20" s="1665"/>
      <c r="H20" s="1668"/>
      <c r="I20" s="1665"/>
      <c r="J20" s="1665"/>
    </row>
    <row r="21" spans="2:10" ht="15.75" customHeight="1" thickBot="1" x14ac:dyDescent="0.3">
      <c r="B21" s="100">
        <v>630</v>
      </c>
      <c r="C21" s="251"/>
      <c r="D21" s="1666"/>
      <c r="E21" s="1666"/>
      <c r="F21" s="1666"/>
      <c r="G21" s="1666"/>
      <c r="H21" s="1669"/>
      <c r="I21" s="1666"/>
      <c r="J21" s="1666"/>
    </row>
  </sheetData>
  <mergeCells count="7">
    <mergeCell ref="J7:J21"/>
    <mergeCell ref="D12:D21"/>
    <mergeCell ref="E5:E21"/>
    <mergeCell ref="F5:F21"/>
    <mergeCell ref="H5:H21"/>
    <mergeCell ref="G7:G21"/>
    <mergeCell ref="I8:I21"/>
  </mergeCells>
  <phoneticPr fontId="29" type="noConversion"/>
  <pageMargins left="0.7" right="0.7" top="0.75" bottom="0.75" header="0.3" footer="0.3"/>
  <pageSetup paperSize="9" orientation="portrait" horizont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16</vt:i4>
      </vt:variant>
      <vt:variant>
        <vt:lpstr>Intervalos com Nome</vt:lpstr>
      </vt:variant>
      <vt:variant>
        <vt:i4>12</vt:i4>
      </vt:variant>
    </vt:vector>
  </HeadingPairs>
  <TitlesOfParts>
    <vt:vector size="28" baseType="lpstr">
      <vt:lpstr>ICC PT</vt:lpstr>
      <vt:lpstr>ICC GS</vt:lpstr>
      <vt:lpstr>Fusíveis MT</vt:lpstr>
      <vt:lpstr>Bacia Rentenção</vt:lpstr>
      <vt:lpstr>Ventilação PT</vt:lpstr>
      <vt:lpstr>Terras</vt:lpstr>
      <vt:lpstr>Canalizações e Proteções</vt:lpstr>
      <vt:lpstr>Barramentos</vt:lpstr>
      <vt:lpstr>Caminhos Cabos</vt:lpstr>
      <vt:lpstr>Ilum Seg. Ambiente</vt:lpstr>
      <vt:lpstr>M.REF (Q52GH)</vt:lpstr>
      <vt:lpstr>Iz's</vt:lpstr>
      <vt:lpstr>F.Correcção</vt:lpstr>
      <vt:lpstr>Consulta</vt:lpstr>
      <vt:lpstr>Outros</vt:lpstr>
      <vt:lpstr>Folha2</vt:lpstr>
      <vt:lpstr>'Bacia Rentenção'!Área_de_Impressão</vt:lpstr>
      <vt:lpstr>Barramentos!Área_de_Impressão</vt:lpstr>
      <vt:lpstr>'Caminhos Cabos'!Área_de_Impressão</vt:lpstr>
      <vt:lpstr>'Canalizações e Proteções'!Área_de_Impressão</vt:lpstr>
      <vt:lpstr>Consulta!Área_de_Impressão</vt:lpstr>
      <vt:lpstr>'Fusíveis MT'!Área_de_Impressão</vt:lpstr>
      <vt:lpstr>'ICC GS'!Área_de_Impressão</vt:lpstr>
      <vt:lpstr>'ICC PT'!Área_de_Impressão</vt:lpstr>
      <vt:lpstr>'Ilum Seg. Ambiente'!Área_de_Impressão</vt:lpstr>
      <vt:lpstr>'M.REF (Q52GH)'!Área_de_Impressão</vt:lpstr>
      <vt:lpstr>Terras!Área_de_Impressão</vt:lpstr>
      <vt:lpstr>'Ventilação PT'!Área_de_Impressão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</dc:creator>
  <cp:lastModifiedBy>Luis Macedo</cp:lastModifiedBy>
  <cp:lastPrinted>2020-01-20T18:34:34Z</cp:lastPrinted>
  <dcterms:created xsi:type="dcterms:W3CDTF">2010-02-04T09:30:10Z</dcterms:created>
  <dcterms:modified xsi:type="dcterms:W3CDTF">2022-12-28T15:16:36Z</dcterms:modified>
</cp:coreProperties>
</file>