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mjcarlson_nps_gov/Documents/Desktop/GRA Work/CCRP_RSS_Travel_Emissions/"/>
    </mc:Choice>
  </mc:AlternateContent>
  <xr:revisionPtr revIDLastSave="874" documentId="8_{35B991AA-5E11-43E9-9E9E-F81819C9AFE4}" xr6:coauthVersionLast="47" xr6:coauthVersionMax="47" xr10:uidLastSave="{EE31125B-9020-49AC-BA82-87B22F077F40}"/>
  <bookViews>
    <workbookView xWindow="-96" yWindow="-96" windowWidth="23232" windowHeight="12552" xr2:uid="{3EE1B079-BE92-49FC-97F8-9D5D02056C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I31" i="1"/>
  <c r="K31" i="1"/>
  <c r="L31" i="1"/>
  <c r="K33" i="1"/>
  <c r="I33" i="1"/>
  <c r="J33" i="1"/>
  <c r="L33" i="1"/>
  <c r="K58" i="1"/>
  <c r="I58" i="1"/>
  <c r="K57" i="1"/>
  <c r="I57" i="1"/>
  <c r="K54" i="1"/>
  <c r="I54" i="1"/>
  <c r="I51" i="1"/>
  <c r="K51" i="1"/>
  <c r="K50" i="1"/>
  <c r="I50" i="1"/>
  <c r="K46" i="1"/>
  <c r="K45" i="1"/>
  <c r="I45" i="1"/>
  <c r="K44" i="1"/>
  <c r="I44" i="1"/>
  <c r="K43" i="1"/>
  <c r="I43" i="1"/>
  <c r="K34" i="1"/>
  <c r="I34" i="1"/>
  <c r="K32" i="1"/>
  <c r="I32" i="1"/>
  <c r="K30" i="1"/>
  <c r="I30" i="1"/>
  <c r="K29" i="1"/>
  <c r="I29" i="1"/>
  <c r="K28" i="1"/>
  <c r="I28" i="1"/>
  <c r="K42" i="1" l="1"/>
  <c r="K41" i="1"/>
  <c r="K38" i="1"/>
  <c r="K35" i="1"/>
  <c r="K27" i="1"/>
  <c r="K20" i="1"/>
  <c r="K19" i="1"/>
  <c r="J59" i="1"/>
  <c r="J56" i="1"/>
  <c r="J55" i="1"/>
  <c r="J54" i="1"/>
  <c r="J51" i="1"/>
  <c r="J50" i="1"/>
  <c r="J49" i="1"/>
  <c r="J48" i="1"/>
  <c r="J47" i="1"/>
  <c r="J46" i="1"/>
  <c r="J45" i="1"/>
  <c r="J44" i="1"/>
  <c r="J43" i="1"/>
  <c r="J41" i="1"/>
  <c r="J53" i="1"/>
  <c r="J58" i="1"/>
  <c r="J40" i="1"/>
  <c r="J39" i="1"/>
  <c r="J38" i="1"/>
  <c r="J37" i="1"/>
  <c r="J36" i="1"/>
  <c r="J35" i="1"/>
  <c r="J34" i="1"/>
  <c r="J32" i="1"/>
  <c r="J31" i="1"/>
  <c r="J30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29" i="1"/>
  <c r="J28" i="1"/>
  <c r="J7" i="1"/>
  <c r="J6" i="1"/>
  <c r="J5" i="1"/>
  <c r="J4" i="1"/>
  <c r="J3" i="1"/>
  <c r="J2" i="1"/>
  <c r="J27" i="1"/>
  <c r="J23" i="1"/>
  <c r="J42" i="1"/>
  <c r="J57" i="1"/>
  <c r="J52" i="1"/>
  <c r="L3" i="1"/>
  <c r="L59" i="1"/>
  <c r="L58" i="1"/>
  <c r="L57" i="1"/>
  <c r="L56" i="1"/>
  <c r="L55" i="1"/>
  <c r="L54" i="1"/>
  <c r="L53" i="1"/>
  <c r="L52" i="1"/>
  <c r="L51" i="1"/>
  <c r="L49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2" i="1"/>
</calcChain>
</file>

<file path=xl/sharedStrings.xml><?xml version="1.0" encoding="utf-8"?>
<sst xmlns="http://schemas.openxmlformats.org/spreadsheetml/2006/main" count="363" uniqueCount="166">
  <si>
    <t>FY</t>
  </si>
  <si>
    <t>RSS_Workshop_Park_Name</t>
  </si>
  <si>
    <t>NPS_Region</t>
  </si>
  <si>
    <t>NRSS_PTAG_WSD_Contact</t>
  </si>
  <si>
    <t>Key_SinglePoint_of_Contact_for_PM_use</t>
  </si>
  <si>
    <t>Closest_Airport</t>
  </si>
  <si>
    <t>Direct</t>
  </si>
  <si>
    <t>Airport_Used</t>
  </si>
  <si>
    <t>Air_Miles_Used</t>
  </si>
  <si>
    <t>Air_Miles_CA</t>
  </si>
  <si>
    <t>Car_Miles_Used</t>
  </si>
  <si>
    <t>Car_Miles_CA</t>
  </si>
  <si>
    <t>Notes</t>
  </si>
  <si>
    <t>AKR</t>
  </si>
  <si>
    <t>Wylie Carr</t>
  </si>
  <si>
    <t>Amber Runyon</t>
  </si>
  <si>
    <t>IMR</t>
  </si>
  <si>
    <t>MWR</t>
  </si>
  <si>
    <t>NCR</t>
  </si>
  <si>
    <t>NER</t>
  </si>
  <si>
    <t>PWR</t>
  </si>
  <si>
    <t>SER</t>
  </si>
  <si>
    <t>21-22</t>
  </si>
  <si>
    <t>Wrangell - St. Elias NP &amp; PRES, AK with climate change scenario planning (CCSP)</t>
  </si>
  <si>
    <t>Gregor Schuurman</t>
  </si>
  <si>
    <t>Anchorage Intl Airport</t>
  </si>
  <si>
    <t>Capitol Reef NP, UT</t>
  </si>
  <si>
    <t>John Gross</t>
  </si>
  <si>
    <t>Canyonlands Field</t>
  </si>
  <si>
    <t>Timpanogos Cave NM, UT</t>
  </si>
  <si>
    <t>Dave Lawrence</t>
  </si>
  <si>
    <t>Salt Lake City Intl Airport</t>
  </si>
  <si>
    <t>Hopewell Culture NHP, OH</t>
  </si>
  <si>
    <t>Amanda Babson</t>
  </si>
  <si>
    <t>John Glenn Columbus Intl Airport</t>
  </si>
  <si>
    <t>Arkansas Post Nmem, AR</t>
  </si>
  <si>
    <t>Little Rock</t>
  </si>
  <si>
    <t>Antietam NB, MD</t>
  </si>
  <si>
    <t>Dulles</t>
  </si>
  <si>
    <t>Acadia NP, ME</t>
  </si>
  <si>
    <t>Hancock County Airport</t>
  </si>
  <si>
    <t>No</t>
  </si>
  <si>
    <t>Kaloko-Honokohau NHP, HI</t>
  </si>
  <si>
    <t>Kona Intl Airport</t>
  </si>
  <si>
    <t>City of Rocks NR, ID</t>
  </si>
  <si>
    <t>Joel Reynolds</t>
  </si>
  <si>
    <t>Twin Falls</t>
  </si>
  <si>
    <t>No (Salt Lake City)</t>
  </si>
  <si>
    <t>Oregon Caves NM &amp; Pres, OR</t>
  </si>
  <si>
    <t>Medford</t>
  </si>
  <si>
    <t>Russel Cave NM, AL</t>
  </si>
  <si>
    <t>Chattanooga</t>
  </si>
  <si>
    <t>No (Atlanta)</t>
  </si>
  <si>
    <t>Ocmulgee Mounds NHP, GA</t>
  </si>
  <si>
    <t>Atlanta</t>
  </si>
  <si>
    <t>Patrick Gonzalez</t>
  </si>
  <si>
    <t>david_james_lawrence@nps.gov</t>
  </si>
  <si>
    <t>Tumacácori NHP, AZ</t>
  </si>
  <si>
    <t>Tom Olliff (lead), Pam Benjamin</t>
  </si>
  <si>
    <t>Tuscan</t>
  </si>
  <si>
    <t>Washita Battlefield NHS, OK</t>
  </si>
  <si>
    <t>Rick Husband Intl airport</t>
  </si>
  <si>
    <t>Yellowstone NP, ID,MT, WY, Northern Range only including climate change scenarios</t>
  </si>
  <si>
    <t>John Gross (lead), Gregor Schuurman, Tom Olliff</t>
  </si>
  <si>
    <t>Jackson Hole</t>
  </si>
  <si>
    <r>
      <t xml:space="preserve">Apostle Islands NP, WI </t>
    </r>
    <r>
      <rPr>
        <b/>
        <sz val="11"/>
        <color theme="1"/>
        <rFont val="Calibri"/>
        <family val="2"/>
        <scheme val="minor"/>
      </rPr>
      <t>including climate change scenarios</t>
    </r>
  </si>
  <si>
    <t>Gregor Schuurman (lead), Amber Runyon</t>
  </si>
  <si>
    <t>Duluth</t>
  </si>
  <si>
    <t>No (Minneapolis)</t>
  </si>
  <si>
    <t>National Capital Parks-East, DC</t>
  </si>
  <si>
    <t>Patrick Gonzalez (lead), Janet Cakir</t>
  </si>
  <si>
    <t>Reagan</t>
  </si>
  <si>
    <t>Cape Cod NS, MA</t>
  </si>
  <si>
    <t>Amanda Babson (lead), Rebecca Beavers</t>
  </si>
  <si>
    <t>Boston</t>
  </si>
  <si>
    <t>Amanda drove from Narragansett, RI to the park</t>
  </si>
  <si>
    <t>Fire Island NS, NY</t>
  </si>
  <si>
    <t>JFK</t>
  </si>
  <si>
    <t>Congaree NP, SC</t>
  </si>
  <si>
    <t>david_james_lawrence@nps.gov (lead); Janet Cakir</t>
  </si>
  <si>
    <t xml:space="preserve">Columbia Metropolitan </t>
  </si>
  <si>
    <t>Mammoth Cave NP, KY</t>
  </si>
  <si>
    <t>Amber Runyon (lead), Janet Cakir</t>
  </si>
  <si>
    <t>Louisville</t>
  </si>
  <si>
    <t>Bandelier NM, NM</t>
  </si>
  <si>
    <t>Santa Fe</t>
  </si>
  <si>
    <t>Chaco Culture NHP/Aztec Ruins NM, NM</t>
  </si>
  <si>
    <t>Pam Benjamin (lead), John Gross</t>
  </si>
  <si>
    <t>Durango</t>
  </si>
  <si>
    <t>Tom Olliff</t>
  </si>
  <si>
    <t>Hot Springs NP, AR</t>
  </si>
  <si>
    <t>Hot Springs Memorial Field</t>
  </si>
  <si>
    <t>No (Memphis)</t>
  </si>
  <si>
    <t>Dave from DEN</t>
  </si>
  <si>
    <t>Wind Cave NP, SD</t>
  </si>
  <si>
    <t>Rapid City</t>
  </si>
  <si>
    <t>Gregor and Amber drove from Fort Collins to park</t>
  </si>
  <si>
    <t>Manassas NB, VA</t>
  </si>
  <si>
    <t>Patrick flew from SFO</t>
  </si>
  <si>
    <t>Fredercksburg &amp; Spotsylvania NMP, VA</t>
  </si>
  <si>
    <t>Amanda flew from Providence</t>
  </si>
  <si>
    <t>Petersburg National Battlefield, VA</t>
  </si>
  <si>
    <t>Richmond</t>
  </si>
  <si>
    <t>Channel Islands NP, CA</t>
  </si>
  <si>
    <r>
      <t xml:space="preserve">Joshua Tree NP </t>
    </r>
    <r>
      <rPr>
        <b/>
        <sz val="11"/>
        <color theme="1"/>
        <rFont val="Calibri"/>
        <family val="2"/>
        <scheme val="minor"/>
      </rPr>
      <t>RSS Update</t>
    </r>
    <r>
      <rPr>
        <sz val="11"/>
        <color theme="1"/>
        <rFont val="Calibri"/>
        <family val="2"/>
        <scheme val="minor"/>
      </rPr>
      <t>, CA</t>
    </r>
  </si>
  <si>
    <t>Palm Springs</t>
  </si>
  <si>
    <t>Cape Lookout NS, NC</t>
  </si>
  <si>
    <t>Janet Cakir, Rebecca Beavers</t>
  </si>
  <si>
    <t>Dave from DEN; Janet from Raleigh</t>
  </si>
  <si>
    <t>Cowpens National Battlefield/Ninety Six National Historic Site, SC</t>
  </si>
  <si>
    <t>Janet Cakir</t>
  </si>
  <si>
    <t>Greenville</t>
  </si>
  <si>
    <t>Devils Tower NM, WY</t>
  </si>
  <si>
    <t>Gillette</t>
  </si>
  <si>
    <t>Saguaro NP, AR</t>
  </si>
  <si>
    <t>John flew from DEN</t>
  </si>
  <si>
    <t>Indian Dunes NP, IN</t>
  </si>
  <si>
    <t>Midway</t>
  </si>
  <si>
    <t>Dave flew from DEN</t>
  </si>
  <si>
    <t>Jewel Cave NM, SD</t>
  </si>
  <si>
    <t>John drove from FC</t>
  </si>
  <si>
    <t>Fort Union Trading Post NHS, MT/ND (RSS Update)</t>
  </si>
  <si>
    <t>Williston</t>
  </si>
  <si>
    <t>Gregor from DEN</t>
  </si>
  <si>
    <t>Prince William Forest Park, VA</t>
  </si>
  <si>
    <t>John from DEN</t>
  </si>
  <si>
    <t>Eisenhower NHS, PA</t>
  </si>
  <si>
    <t>Harrisburg</t>
  </si>
  <si>
    <t>Minute Man NHP, MA</t>
  </si>
  <si>
    <t>Amanda Babson, Patrick Gonzalez</t>
  </si>
  <si>
    <r>
      <t xml:space="preserve">Lava Beds NM </t>
    </r>
    <r>
      <rPr>
        <b/>
        <sz val="11"/>
        <color theme="1"/>
        <rFont val="Calibri"/>
        <family val="2"/>
        <scheme val="minor"/>
      </rPr>
      <t>RSS Update</t>
    </r>
    <r>
      <rPr>
        <sz val="11"/>
        <color theme="1"/>
        <rFont val="Calibri"/>
        <family val="2"/>
        <scheme val="minor"/>
      </rPr>
      <t>, CA</t>
    </r>
  </si>
  <si>
    <r>
      <t xml:space="preserve">Pinnacles NP </t>
    </r>
    <r>
      <rPr>
        <b/>
        <sz val="11"/>
        <color theme="1"/>
        <rFont val="Calibri"/>
        <family val="2"/>
        <scheme val="minor"/>
      </rPr>
      <t>RSS Update</t>
    </r>
    <r>
      <rPr>
        <sz val="11"/>
        <color theme="1"/>
        <rFont val="Calibri"/>
        <family val="2"/>
        <scheme val="minor"/>
      </rPr>
      <t>, CA</t>
    </r>
  </si>
  <si>
    <t>Monterey</t>
  </si>
  <si>
    <t>Cabrillo NM, CA</t>
  </si>
  <si>
    <t>San Diego</t>
  </si>
  <si>
    <t>Guilford Courthouse NMP, NC</t>
  </si>
  <si>
    <t>Greensboro</t>
  </si>
  <si>
    <t>Jean Lafitte NHP &amp; PRES, LA</t>
  </si>
  <si>
    <t>New Orleans</t>
  </si>
  <si>
    <t>Big Bend NP,  TX</t>
  </si>
  <si>
    <t>Gregor Schuurman &amp; Dave Lawrence</t>
  </si>
  <si>
    <t>Midland</t>
  </si>
  <si>
    <t>Dave and Gregor from DEN</t>
  </si>
  <si>
    <t>Carl Sandburg Home NHS, NC</t>
  </si>
  <si>
    <t>Ashville</t>
  </si>
  <si>
    <t>Charles Young Buffalo Soldiers NM, OH</t>
  </si>
  <si>
    <t>Dayton</t>
  </si>
  <si>
    <t>No (Chicago)</t>
  </si>
  <si>
    <t>Craters of the Moon NM&amp; PRES, ID</t>
  </si>
  <si>
    <t>Sun Valley Friedman Memorial</t>
  </si>
  <si>
    <t>George Washington Birthplace NM, VA</t>
  </si>
  <si>
    <t>Reagan/Richmond</t>
  </si>
  <si>
    <t>Harpers Ferry NHP, WV/VA/MD</t>
  </si>
  <si>
    <t>Lassen Volcanic NP, CA</t>
  </si>
  <si>
    <t>Redding</t>
  </si>
  <si>
    <t>No (Las Vegas)</t>
  </si>
  <si>
    <t>Little River Canyon N PRES, AL</t>
  </si>
  <si>
    <t>Pea Ridge NMP, AR</t>
  </si>
  <si>
    <t>Northwest Arkansas</t>
  </si>
  <si>
    <t>Richmond NBP, VA</t>
  </si>
  <si>
    <t>Rock Creek Park, DC</t>
  </si>
  <si>
    <t>San Antonio Missions NHP, TX</t>
  </si>
  <si>
    <t>San Antonio</t>
  </si>
  <si>
    <t>Coastal Carolina Regional Airport</t>
  </si>
  <si>
    <t>No (Charlotte)</t>
  </si>
  <si>
    <t>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</si>
</sst>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9D24-39E6-4EFA-B9F3-ADB377CBB8BF}">
  <dimension ref="A1:M59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M28" sqref="M28"/>
    </sheetView>
  </sheetViews>
  <sheetFormatPr defaultRowHeight="14.4" x14ac:dyDescent="0.55000000000000004"/>
  <cols>
    <col min="1" max="1" width="14.15625" customWidth="1"/>
    <col min="2" max="2" width="22.578125" customWidth="1"/>
    <col min="3" max="3" width="12.41796875" customWidth="1"/>
    <col min="4" max="4" width="14.15625" customWidth="1"/>
    <col min="5" max="5" width="17.41796875" customWidth="1"/>
    <col min="6" max="6" width="19.578125" customWidth="1"/>
    <col min="7" max="7" width="12" customWidth="1"/>
    <col min="8" max="8" width="12.41796875" customWidth="1"/>
    <col min="9" max="9" width="12.83984375" customWidth="1"/>
    <col min="10" max="10" width="15" customWidth="1"/>
    <col min="11" max="11" width="11.83984375" customWidth="1"/>
    <col min="13" max="13" width="43.261718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2" customFormat="1" x14ac:dyDescent="0.55000000000000004">
      <c r="A2" s="2" t="s">
        <v>22</v>
      </c>
      <c r="B2" s="2" t="s">
        <v>23</v>
      </c>
      <c r="C2" s="2" t="s">
        <v>13</v>
      </c>
      <c r="D2" s="2" t="s">
        <v>14</v>
      </c>
      <c r="E2" s="2" t="s">
        <v>24</v>
      </c>
      <c r="F2" s="2" t="s">
        <v>25</v>
      </c>
      <c r="I2" s="2">
        <v>0</v>
      </c>
      <c r="J2" s="2">
        <f>2399*2</f>
        <v>4798</v>
      </c>
      <c r="K2" s="2">
        <v>0</v>
      </c>
      <c r="L2" s="2">
        <f t="shared" ref="L2:L33" si="0">2*(70)</f>
        <v>140</v>
      </c>
    </row>
    <row r="3" spans="1:13" s="3" customFormat="1" x14ac:dyDescent="0.55000000000000004">
      <c r="A3" s="3" t="s">
        <v>22</v>
      </c>
      <c r="B3" s="3" t="s">
        <v>26</v>
      </c>
      <c r="C3" s="3" t="s">
        <v>16</v>
      </c>
      <c r="D3" s="3" t="s">
        <v>14</v>
      </c>
      <c r="E3" s="3" t="s">
        <v>27</v>
      </c>
      <c r="F3" s="3" t="s">
        <v>28</v>
      </c>
      <c r="I3" s="3">
        <v>0</v>
      </c>
      <c r="J3" s="3">
        <f>281*2</f>
        <v>562</v>
      </c>
      <c r="K3" s="3">
        <v>0</v>
      </c>
      <c r="L3" s="3">
        <f>2*(70+127)</f>
        <v>394</v>
      </c>
    </row>
    <row r="4" spans="1:13" x14ac:dyDescent="0.55000000000000004">
      <c r="A4" t="s">
        <v>22</v>
      </c>
      <c r="B4" t="s">
        <v>29</v>
      </c>
      <c r="C4" t="s">
        <v>16</v>
      </c>
      <c r="D4" t="s">
        <v>14</v>
      </c>
      <c r="E4" t="s">
        <v>30</v>
      </c>
      <c r="F4" t="s">
        <v>31</v>
      </c>
      <c r="I4">
        <v>778</v>
      </c>
      <c r="J4">
        <f>389*2</f>
        <v>778</v>
      </c>
      <c r="K4">
        <v>218.2</v>
      </c>
      <c r="L4">
        <f>2*(70+39.1)</f>
        <v>218.2</v>
      </c>
    </row>
    <row r="5" spans="1:13" s="3" customFormat="1" x14ac:dyDescent="0.55000000000000004">
      <c r="A5" s="3" t="s">
        <v>22</v>
      </c>
      <c r="B5" s="3" t="s">
        <v>32</v>
      </c>
      <c r="C5" s="3" t="s">
        <v>17</v>
      </c>
      <c r="D5" s="3" t="s">
        <v>14</v>
      </c>
      <c r="E5" s="3" t="s">
        <v>33</v>
      </c>
      <c r="F5" s="3" t="s">
        <v>34</v>
      </c>
      <c r="I5" s="3">
        <v>0</v>
      </c>
      <c r="J5" s="3">
        <f>2*1150</f>
        <v>2300</v>
      </c>
      <c r="K5" s="3">
        <v>0</v>
      </c>
      <c r="L5" s="3">
        <f>2*(70+54.2)</f>
        <v>248.4</v>
      </c>
    </row>
    <row r="6" spans="1:13" s="3" customFormat="1" x14ac:dyDescent="0.55000000000000004">
      <c r="A6" s="3" t="s">
        <v>22</v>
      </c>
      <c r="B6" s="3" t="s">
        <v>35</v>
      </c>
      <c r="C6" s="3" t="s">
        <v>17</v>
      </c>
      <c r="D6" s="3" t="s">
        <v>14</v>
      </c>
      <c r="E6" s="3" t="s">
        <v>30</v>
      </c>
      <c r="F6" s="3" t="s">
        <v>36</v>
      </c>
      <c r="I6" s="3">
        <v>0</v>
      </c>
      <c r="J6" s="3">
        <f>2*769</f>
        <v>1538</v>
      </c>
      <c r="K6" s="3">
        <v>0</v>
      </c>
      <c r="L6" s="3">
        <f>2*(70+46.9)</f>
        <v>233.8</v>
      </c>
    </row>
    <row r="7" spans="1:13" s="3" customFormat="1" x14ac:dyDescent="0.55000000000000004">
      <c r="A7" s="3" t="s">
        <v>22</v>
      </c>
      <c r="B7" s="3" t="s">
        <v>37</v>
      </c>
      <c r="C7" s="3" t="s">
        <v>18</v>
      </c>
      <c r="D7" s="3" t="s">
        <v>14</v>
      </c>
      <c r="E7" s="3" t="s">
        <v>27</v>
      </c>
      <c r="F7" s="3" t="s">
        <v>38</v>
      </c>
      <c r="I7" s="3">
        <v>0</v>
      </c>
      <c r="J7" s="3">
        <f>1448*2</f>
        <v>2896</v>
      </c>
      <c r="K7" s="3">
        <v>0</v>
      </c>
      <c r="L7" s="3">
        <f>2*(70+51.1)</f>
        <v>242.2</v>
      </c>
    </row>
    <row r="8" spans="1:13" s="3" customFormat="1" x14ac:dyDescent="0.55000000000000004">
      <c r="A8" s="3" t="s">
        <v>22</v>
      </c>
      <c r="B8" s="3" t="s">
        <v>39</v>
      </c>
      <c r="C8" s="3" t="s">
        <v>19</v>
      </c>
      <c r="D8" s="3" t="s">
        <v>14</v>
      </c>
      <c r="E8" s="3" t="s">
        <v>24</v>
      </c>
      <c r="F8" s="3" t="s">
        <v>40</v>
      </c>
      <c r="G8" s="3" t="s">
        <v>41</v>
      </c>
      <c r="I8" s="3">
        <v>0</v>
      </c>
      <c r="J8" s="3">
        <f>2*(1748+195)</f>
        <v>3886</v>
      </c>
      <c r="K8" s="3">
        <v>0</v>
      </c>
      <c r="L8" s="3">
        <f>2*(70+10.8)</f>
        <v>161.6</v>
      </c>
    </row>
    <row r="9" spans="1:13" s="3" customFormat="1" x14ac:dyDescent="0.55000000000000004">
      <c r="A9" s="3" t="s">
        <v>22</v>
      </c>
      <c r="B9" s="3" t="s">
        <v>42</v>
      </c>
      <c r="C9" s="3" t="s">
        <v>20</v>
      </c>
      <c r="D9" s="3" t="s">
        <v>14</v>
      </c>
      <c r="E9" s="3" t="s">
        <v>24</v>
      </c>
      <c r="F9" s="3" t="s">
        <v>43</v>
      </c>
      <c r="I9" s="3">
        <v>0</v>
      </c>
      <c r="J9" s="3">
        <f>2*3323</f>
        <v>6646</v>
      </c>
      <c r="K9" s="3">
        <v>0</v>
      </c>
      <c r="L9" s="3">
        <f>2*(70+4.9)</f>
        <v>149.80000000000001</v>
      </c>
    </row>
    <row r="10" spans="1:13" s="3" customFormat="1" x14ac:dyDescent="0.55000000000000004">
      <c r="A10" s="3" t="s">
        <v>22</v>
      </c>
      <c r="B10" s="3" t="s">
        <v>44</v>
      </c>
      <c r="C10" s="3" t="s">
        <v>20</v>
      </c>
      <c r="D10" s="3" t="s">
        <v>14</v>
      </c>
      <c r="E10" s="3" t="s">
        <v>45</v>
      </c>
      <c r="F10" s="3" t="s">
        <v>46</v>
      </c>
      <c r="G10" s="3" t="s">
        <v>47</v>
      </c>
      <c r="I10" s="3">
        <v>0</v>
      </c>
      <c r="J10" s="3">
        <f>2*(389+174)</f>
        <v>1126</v>
      </c>
      <c r="K10" s="3">
        <v>0</v>
      </c>
      <c r="L10" s="3">
        <f>2*(70+64)</f>
        <v>268</v>
      </c>
    </row>
    <row r="11" spans="1:13" s="3" customFormat="1" x14ac:dyDescent="0.55000000000000004">
      <c r="A11" s="3" t="s">
        <v>22</v>
      </c>
      <c r="B11" s="3" t="s">
        <v>48</v>
      </c>
      <c r="C11" s="3" t="s">
        <v>20</v>
      </c>
      <c r="D11" s="3" t="s">
        <v>14</v>
      </c>
      <c r="E11" s="3" t="s">
        <v>45</v>
      </c>
      <c r="F11" s="3" t="s">
        <v>49</v>
      </c>
      <c r="I11" s="3">
        <v>0</v>
      </c>
      <c r="J11" s="3">
        <f>2*960</f>
        <v>1920</v>
      </c>
      <c r="K11" s="3">
        <v>0</v>
      </c>
      <c r="L11" s="3">
        <f>2*(70+70.9)</f>
        <v>281.8</v>
      </c>
    </row>
    <row r="12" spans="1:13" s="3" customFormat="1" x14ac:dyDescent="0.55000000000000004">
      <c r="A12" s="3" t="s">
        <v>22</v>
      </c>
      <c r="B12" s="3" t="s">
        <v>50</v>
      </c>
      <c r="C12" s="3" t="s">
        <v>21</v>
      </c>
      <c r="D12" s="3" t="s">
        <v>14</v>
      </c>
      <c r="E12" s="3" t="s">
        <v>15</v>
      </c>
      <c r="F12" s="3" t="s">
        <v>51</v>
      </c>
      <c r="G12" s="3" t="s">
        <v>52</v>
      </c>
      <c r="I12" s="3">
        <v>0</v>
      </c>
      <c r="J12" s="3">
        <f>2*(1196+106)</f>
        <v>2604</v>
      </c>
      <c r="K12" s="3">
        <v>0</v>
      </c>
      <c r="L12" s="3">
        <f>2*(70+52.4)</f>
        <v>244.8</v>
      </c>
    </row>
    <row r="13" spans="1:13" s="3" customFormat="1" x14ac:dyDescent="0.55000000000000004">
      <c r="A13" s="3" t="s">
        <v>22</v>
      </c>
      <c r="B13" s="3" t="s">
        <v>53</v>
      </c>
      <c r="C13" s="3" t="s">
        <v>21</v>
      </c>
      <c r="D13" s="3" t="s">
        <v>14</v>
      </c>
      <c r="E13" s="3" t="s">
        <v>14</v>
      </c>
      <c r="F13" s="3" t="s">
        <v>54</v>
      </c>
      <c r="I13" s="3">
        <v>0</v>
      </c>
      <c r="J13" s="3">
        <f>2*1196</f>
        <v>2392</v>
      </c>
      <c r="K13" s="3">
        <v>0</v>
      </c>
      <c r="L13" s="3">
        <f>2*(70+84.3)</f>
        <v>308.60000000000002</v>
      </c>
    </row>
    <row r="14" spans="1:13" s="3" customFormat="1" x14ac:dyDescent="0.55000000000000004">
      <c r="A14" s="3">
        <v>20</v>
      </c>
      <c r="B14" s="3" t="s">
        <v>57</v>
      </c>
      <c r="C14" s="3" t="s">
        <v>16</v>
      </c>
      <c r="D14" s="3" t="s">
        <v>27</v>
      </c>
      <c r="E14" s="3" t="s">
        <v>58</v>
      </c>
      <c r="F14" s="3" t="s">
        <v>59</v>
      </c>
      <c r="I14" s="3">
        <v>0</v>
      </c>
      <c r="J14" s="3">
        <f>2*638</f>
        <v>1276</v>
      </c>
      <c r="K14" s="3">
        <v>0</v>
      </c>
      <c r="L14" s="3">
        <f>2*(70+43.6)</f>
        <v>227.2</v>
      </c>
    </row>
    <row r="15" spans="1:13" s="3" customFormat="1" x14ac:dyDescent="0.55000000000000004">
      <c r="A15" s="3">
        <v>20</v>
      </c>
      <c r="B15" s="3" t="s">
        <v>60</v>
      </c>
      <c r="C15" s="3" t="s">
        <v>16</v>
      </c>
      <c r="D15" s="3" t="s">
        <v>30</v>
      </c>
      <c r="E15" s="3" t="s">
        <v>58</v>
      </c>
      <c r="F15" s="3" t="s">
        <v>61</v>
      </c>
      <c r="I15" s="3">
        <v>0</v>
      </c>
      <c r="J15" s="3">
        <f>2*359</f>
        <v>718</v>
      </c>
      <c r="K15" s="3">
        <v>0</v>
      </c>
      <c r="L15" s="3">
        <f>2*(70+133)</f>
        <v>406</v>
      </c>
    </row>
    <row r="16" spans="1:13" x14ac:dyDescent="0.55000000000000004">
      <c r="A16">
        <v>20</v>
      </c>
      <c r="B16" t="s">
        <v>62</v>
      </c>
      <c r="C16" t="s">
        <v>16</v>
      </c>
      <c r="D16" t="s">
        <v>30</v>
      </c>
      <c r="E16" t="s">
        <v>63</v>
      </c>
      <c r="F16" t="s">
        <v>64</v>
      </c>
      <c r="I16" s="1">
        <v>0</v>
      </c>
      <c r="J16">
        <f>2*405</f>
        <v>810</v>
      </c>
      <c r="K16" s="1">
        <f>2*533</f>
        <v>1066</v>
      </c>
      <c r="L16" s="1">
        <f>2*(70+138)</f>
        <v>416</v>
      </c>
      <c r="M16" t="s">
        <v>120</v>
      </c>
    </row>
    <row r="17" spans="1:13" s="3" customFormat="1" x14ac:dyDescent="0.55000000000000004">
      <c r="A17" s="3">
        <v>20</v>
      </c>
      <c r="B17" s="3" t="s">
        <v>65</v>
      </c>
      <c r="C17" s="3" t="s">
        <v>17</v>
      </c>
      <c r="D17" s="3" t="s">
        <v>30</v>
      </c>
      <c r="E17" s="3" t="s">
        <v>66</v>
      </c>
      <c r="F17" s="3" t="s">
        <v>67</v>
      </c>
      <c r="G17" s="3" t="s">
        <v>68</v>
      </c>
      <c r="I17" s="3">
        <v>0</v>
      </c>
      <c r="J17" s="3">
        <f>2*(678+144)</f>
        <v>1644</v>
      </c>
      <c r="K17" s="3">
        <v>0</v>
      </c>
      <c r="L17" s="3">
        <f>2*(70+87.5)</f>
        <v>315</v>
      </c>
    </row>
    <row r="18" spans="1:13" s="3" customFormat="1" x14ac:dyDescent="0.55000000000000004">
      <c r="A18" s="3">
        <v>20</v>
      </c>
      <c r="B18" s="3" t="s">
        <v>69</v>
      </c>
      <c r="C18" s="3" t="s">
        <v>18</v>
      </c>
      <c r="D18" s="3" t="s">
        <v>30</v>
      </c>
      <c r="E18" s="3" t="s">
        <v>70</v>
      </c>
      <c r="F18" s="3" t="s">
        <v>71</v>
      </c>
      <c r="I18" s="3">
        <v>0</v>
      </c>
      <c r="J18" s="3">
        <f>2*1471</f>
        <v>2942</v>
      </c>
      <c r="K18" s="3">
        <v>0</v>
      </c>
      <c r="L18" s="3">
        <f>2*(70+6.2)</f>
        <v>152.4</v>
      </c>
    </row>
    <row r="19" spans="1:13" s="4" customFormat="1" x14ac:dyDescent="0.55000000000000004">
      <c r="A19" s="4">
        <v>20</v>
      </c>
      <c r="B19" s="4" t="s">
        <v>72</v>
      </c>
      <c r="C19" s="4" t="s">
        <v>19</v>
      </c>
      <c r="D19" s="4" t="s">
        <v>30</v>
      </c>
      <c r="E19" s="4" t="s">
        <v>73</v>
      </c>
      <c r="F19" s="4" t="s">
        <v>74</v>
      </c>
      <c r="I19" s="4">
        <v>0</v>
      </c>
      <c r="J19" s="4">
        <f>2*1748</f>
        <v>3496</v>
      </c>
      <c r="K19" s="4">
        <f>2*112</f>
        <v>224</v>
      </c>
      <c r="L19" s="4">
        <f>2*(70+109)</f>
        <v>358</v>
      </c>
      <c r="M19" s="4" t="s">
        <v>75</v>
      </c>
    </row>
    <row r="20" spans="1:13" s="4" customFormat="1" x14ac:dyDescent="0.55000000000000004">
      <c r="A20" s="4">
        <v>20</v>
      </c>
      <c r="B20" s="4" t="s">
        <v>76</v>
      </c>
      <c r="C20" s="4" t="s">
        <v>19</v>
      </c>
      <c r="D20" s="4" t="s">
        <v>30</v>
      </c>
      <c r="E20" s="4" t="s">
        <v>33</v>
      </c>
      <c r="F20" s="4" t="s">
        <v>77</v>
      </c>
      <c r="I20" s="4">
        <v>0</v>
      </c>
      <c r="J20" s="4">
        <f>2*1620</f>
        <v>3240</v>
      </c>
      <c r="K20" s="4">
        <f>2*143</f>
        <v>286</v>
      </c>
      <c r="L20" s="4">
        <f>2*(70+42.9)</f>
        <v>225.8</v>
      </c>
      <c r="M20" s="4" t="s">
        <v>75</v>
      </c>
    </row>
    <row r="21" spans="1:13" s="3" customFormat="1" x14ac:dyDescent="0.55000000000000004">
      <c r="A21" s="3">
        <v>20</v>
      </c>
      <c r="B21" s="3" t="s">
        <v>78</v>
      </c>
      <c r="C21" s="3" t="s">
        <v>21</v>
      </c>
      <c r="D21" s="3" t="s">
        <v>30</v>
      </c>
      <c r="E21" s="3" t="s">
        <v>79</v>
      </c>
      <c r="F21" s="3" t="s">
        <v>80</v>
      </c>
      <c r="G21" s="3" t="s">
        <v>52</v>
      </c>
      <c r="I21" s="3">
        <v>0</v>
      </c>
      <c r="J21" s="3">
        <f>2*(1196+191)</f>
        <v>2774</v>
      </c>
      <c r="K21" s="3">
        <v>0</v>
      </c>
      <c r="L21" s="3">
        <f>2*(70+24.3)</f>
        <v>188.6</v>
      </c>
    </row>
    <row r="22" spans="1:13" s="3" customFormat="1" x14ac:dyDescent="0.55000000000000004">
      <c r="A22" s="3">
        <v>20</v>
      </c>
      <c r="B22" s="3" t="s">
        <v>81</v>
      </c>
      <c r="C22" s="3" t="s">
        <v>21</v>
      </c>
      <c r="D22" s="3" t="s">
        <v>30</v>
      </c>
      <c r="E22" s="3" t="s">
        <v>82</v>
      </c>
      <c r="F22" s="3" t="s">
        <v>83</v>
      </c>
      <c r="I22" s="3">
        <v>0</v>
      </c>
      <c r="J22" s="3">
        <f>2*1020</f>
        <v>2040</v>
      </c>
      <c r="K22" s="3">
        <v>0</v>
      </c>
      <c r="L22" s="3">
        <f>2*(70+88.7)</f>
        <v>317.39999999999998</v>
      </c>
    </row>
    <row r="23" spans="1:13" s="3" customFormat="1" x14ac:dyDescent="0.55000000000000004">
      <c r="A23" s="3">
        <v>19</v>
      </c>
      <c r="B23" s="3" t="s">
        <v>84</v>
      </c>
      <c r="C23" s="3" t="s">
        <v>16</v>
      </c>
      <c r="D23" s="3" t="s">
        <v>30</v>
      </c>
      <c r="E23" s="3" t="s">
        <v>27</v>
      </c>
      <c r="F23" s="3" t="s">
        <v>85</v>
      </c>
      <c r="I23" s="3">
        <v>0</v>
      </c>
      <c r="J23" s="3">
        <f>2*303</f>
        <v>606</v>
      </c>
      <c r="K23" s="3">
        <v>0</v>
      </c>
      <c r="L23" s="3">
        <f>2*(70+51.7)</f>
        <v>243.4</v>
      </c>
    </row>
    <row r="24" spans="1:13" s="3" customFormat="1" x14ac:dyDescent="0.55000000000000004">
      <c r="A24" s="3">
        <v>19</v>
      </c>
      <c r="B24" s="3" t="s">
        <v>86</v>
      </c>
      <c r="C24" s="3" t="s">
        <v>16</v>
      </c>
      <c r="D24" s="3" t="s">
        <v>30</v>
      </c>
      <c r="E24" s="3" t="s">
        <v>87</v>
      </c>
      <c r="F24" s="3" t="s">
        <v>88</v>
      </c>
      <c r="I24" s="3">
        <v>0</v>
      </c>
      <c r="J24" s="3">
        <f>2*250</f>
        <v>500</v>
      </c>
      <c r="K24" s="3">
        <v>0</v>
      </c>
      <c r="L24" s="3">
        <f>2*(70+102)</f>
        <v>344</v>
      </c>
    </row>
    <row r="25" spans="1:13" s="3" customFormat="1" x14ac:dyDescent="0.55000000000000004">
      <c r="A25" s="3">
        <v>19</v>
      </c>
      <c r="B25" s="3" t="s">
        <v>60</v>
      </c>
      <c r="C25" s="3" t="s">
        <v>16</v>
      </c>
      <c r="D25" s="3" t="s">
        <v>30</v>
      </c>
      <c r="E25" s="3" t="s">
        <v>89</v>
      </c>
      <c r="F25" s="3" t="s">
        <v>61</v>
      </c>
      <c r="I25" s="3">
        <v>0</v>
      </c>
      <c r="J25" s="3">
        <f>2*359</f>
        <v>718</v>
      </c>
      <c r="K25" s="3">
        <v>0</v>
      </c>
      <c r="L25" s="3">
        <f>2*(70+133)</f>
        <v>406</v>
      </c>
    </row>
    <row r="26" spans="1:13" x14ac:dyDescent="0.55000000000000004">
      <c r="A26">
        <v>19</v>
      </c>
      <c r="B26" t="s">
        <v>90</v>
      </c>
      <c r="C26" t="s">
        <v>17</v>
      </c>
      <c r="D26" t="s">
        <v>30</v>
      </c>
      <c r="E26" t="s">
        <v>56</v>
      </c>
      <c r="F26" t="s">
        <v>91</v>
      </c>
      <c r="G26" t="s">
        <v>92</v>
      </c>
      <c r="I26" s="1">
        <v>2102</v>
      </c>
      <c r="J26" s="1">
        <f>2*(870 +181)</f>
        <v>2102</v>
      </c>
      <c r="K26" s="1">
        <v>150.4</v>
      </c>
      <c r="L26">
        <f>2*(70+5.2)</f>
        <v>150.4</v>
      </c>
      <c r="M26" t="s">
        <v>93</v>
      </c>
    </row>
    <row r="27" spans="1:13" x14ac:dyDescent="0.55000000000000004">
      <c r="A27">
        <v>19</v>
      </c>
      <c r="B27" t="s">
        <v>94</v>
      </c>
      <c r="C27" t="s">
        <v>17</v>
      </c>
      <c r="D27" t="s">
        <v>30</v>
      </c>
      <c r="E27" t="s">
        <v>24</v>
      </c>
      <c r="F27" t="s">
        <v>95</v>
      </c>
      <c r="I27" s="1">
        <v>0</v>
      </c>
      <c r="J27">
        <f>2*300</f>
        <v>600</v>
      </c>
      <c r="K27">
        <f>2*288</f>
        <v>576</v>
      </c>
      <c r="L27">
        <f>2*(70+63.1)</f>
        <v>266.2</v>
      </c>
      <c r="M27" t="s">
        <v>96</v>
      </c>
    </row>
    <row r="28" spans="1:13" x14ac:dyDescent="0.55000000000000004">
      <c r="A28">
        <v>19</v>
      </c>
      <c r="B28" t="s">
        <v>97</v>
      </c>
      <c r="C28" t="s">
        <v>18</v>
      </c>
      <c r="D28" t="s">
        <v>30</v>
      </c>
      <c r="E28" t="s">
        <v>55</v>
      </c>
      <c r="F28" t="s">
        <v>38</v>
      </c>
      <c r="I28">
        <f>2*2412</f>
        <v>4824</v>
      </c>
      <c r="J28">
        <f>1448*2</f>
        <v>2896</v>
      </c>
      <c r="K28">
        <f>2*13</f>
        <v>26</v>
      </c>
      <c r="L28">
        <f>2*(70+13)</f>
        <v>166</v>
      </c>
      <c r="M28" t="s">
        <v>98</v>
      </c>
    </row>
    <row r="29" spans="1:13" x14ac:dyDescent="0.55000000000000004">
      <c r="A29">
        <v>19</v>
      </c>
      <c r="B29" t="s">
        <v>99</v>
      </c>
      <c r="C29" t="s">
        <v>19</v>
      </c>
      <c r="D29" t="s">
        <v>30</v>
      </c>
      <c r="E29" t="s">
        <v>33</v>
      </c>
      <c r="F29" t="s">
        <v>38</v>
      </c>
      <c r="I29">
        <f>2*370</f>
        <v>740</v>
      </c>
      <c r="J29">
        <f>1448*2</f>
        <v>2896</v>
      </c>
      <c r="K29">
        <f>2*76.1</f>
        <v>152.19999999999999</v>
      </c>
      <c r="L29">
        <f>2*(70+76.1)</f>
        <v>292.2</v>
      </c>
      <c r="M29" t="s">
        <v>100</v>
      </c>
    </row>
    <row r="30" spans="1:13" x14ac:dyDescent="0.55000000000000004">
      <c r="A30">
        <v>19</v>
      </c>
      <c r="B30" t="s">
        <v>101</v>
      </c>
      <c r="C30" t="s">
        <v>19</v>
      </c>
      <c r="D30" t="s">
        <v>30</v>
      </c>
      <c r="E30" t="s">
        <v>33</v>
      </c>
      <c r="F30" t="s">
        <v>102</v>
      </c>
      <c r="I30">
        <f>2*427</f>
        <v>854</v>
      </c>
      <c r="J30">
        <f>2*1477</f>
        <v>2954</v>
      </c>
      <c r="K30">
        <f>2*26.5</f>
        <v>53</v>
      </c>
      <c r="L30">
        <f>2*(70+26.5)</f>
        <v>193</v>
      </c>
      <c r="M30" t="s">
        <v>100</v>
      </c>
    </row>
    <row r="31" spans="1:13" x14ac:dyDescent="0.55000000000000004">
      <c r="A31">
        <v>19</v>
      </c>
      <c r="B31" t="s">
        <v>103</v>
      </c>
      <c r="C31" t="s">
        <v>20</v>
      </c>
      <c r="D31" t="s">
        <v>30</v>
      </c>
      <c r="E31" t="s">
        <v>55</v>
      </c>
      <c r="F31" s="1" t="s">
        <v>165</v>
      </c>
      <c r="I31">
        <f>2*262</f>
        <v>524</v>
      </c>
      <c r="J31">
        <f>2*860</f>
        <v>1720</v>
      </c>
      <c r="K31" s="1">
        <f>2*(70+41.5)</f>
        <v>223</v>
      </c>
      <c r="L31" s="1">
        <f>2*(70+41.5)</f>
        <v>223</v>
      </c>
      <c r="M31" t="s">
        <v>98</v>
      </c>
    </row>
    <row r="32" spans="1:13" x14ac:dyDescent="0.55000000000000004">
      <c r="A32">
        <v>19</v>
      </c>
      <c r="B32" t="s">
        <v>104</v>
      </c>
      <c r="C32" t="s">
        <v>20</v>
      </c>
      <c r="D32" t="s">
        <v>30</v>
      </c>
      <c r="E32" t="s">
        <v>55</v>
      </c>
      <c r="F32" t="s">
        <v>105</v>
      </c>
      <c r="I32">
        <f>2*420</f>
        <v>840</v>
      </c>
      <c r="J32">
        <f>2*774</f>
        <v>1548</v>
      </c>
      <c r="K32">
        <f>2*36.2</f>
        <v>72.400000000000006</v>
      </c>
      <c r="L32">
        <f>2*(70+36.2)</f>
        <v>212.4</v>
      </c>
      <c r="M32" t="s">
        <v>98</v>
      </c>
    </row>
    <row r="33" spans="1:13" x14ac:dyDescent="0.55000000000000004">
      <c r="A33">
        <v>19</v>
      </c>
      <c r="B33" t="s">
        <v>106</v>
      </c>
      <c r="C33" t="s">
        <v>21</v>
      </c>
      <c r="D33" t="s">
        <v>30</v>
      </c>
      <c r="E33" t="s">
        <v>107</v>
      </c>
      <c r="F33" s="1" t="s">
        <v>163</v>
      </c>
      <c r="G33" s="1" t="s">
        <v>164</v>
      </c>
      <c r="I33">
        <f>2*(1224+220)</f>
        <v>2888</v>
      </c>
      <c r="J33">
        <f>2*(1334+220)</f>
        <v>3108</v>
      </c>
      <c r="K33">
        <f>2*(70+50.3+167)</f>
        <v>574.6</v>
      </c>
      <c r="L33">
        <f>2*(70+50.3)</f>
        <v>240.6</v>
      </c>
      <c r="M33" t="s">
        <v>108</v>
      </c>
    </row>
    <row r="34" spans="1:13" x14ac:dyDescent="0.55000000000000004">
      <c r="A34">
        <v>19</v>
      </c>
      <c r="B34" t="s">
        <v>109</v>
      </c>
      <c r="C34" t="s">
        <v>21</v>
      </c>
      <c r="D34" t="s">
        <v>30</v>
      </c>
      <c r="E34" t="s">
        <v>110</v>
      </c>
      <c r="F34" t="s">
        <v>111</v>
      </c>
      <c r="I34">
        <f>2*(1275+129+75)</f>
        <v>2958</v>
      </c>
      <c r="J34">
        <f>2*1275</f>
        <v>2550</v>
      </c>
      <c r="K34">
        <f>2*(70+33.6)</f>
        <v>207.2</v>
      </c>
      <c r="L34">
        <f>2*(70+33.6)</f>
        <v>207.2</v>
      </c>
      <c r="M34" t="s">
        <v>108</v>
      </c>
    </row>
    <row r="35" spans="1:13" x14ac:dyDescent="0.55000000000000004">
      <c r="A35">
        <v>18</v>
      </c>
      <c r="B35" t="s">
        <v>112</v>
      </c>
      <c r="C35" t="s">
        <v>16</v>
      </c>
      <c r="D35" t="s">
        <v>30</v>
      </c>
      <c r="E35" t="s">
        <v>24</v>
      </c>
      <c r="F35" t="s">
        <v>113</v>
      </c>
      <c r="I35">
        <v>0</v>
      </c>
      <c r="J35">
        <f>2*312</f>
        <v>624</v>
      </c>
      <c r="K35">
        <f>2*336</f>
        <v>672</v>
      </c>
      <c r="L35">
        <f>2*(70+66.7)</f>
        <v>273.39999999999998</v>
      </c>
      <c r="M35" t="s">
        <v>96</v>
      </c>
    </row>
    <row r="36" spans="1:13" x14ac:dyDescent="0.55000000000000004">
      <c r="A36">
        <v>18</v>
      </c>
      <c r="B36" t="s">
        <v>114</v>
      </c>
      <c r="C36" t="s">
        <v>16</v>
      </c>
      <c r="D36" t="s">
        <v>30</v>
      </c>
      <c r="E36" t="s">
        <v>27</v>
      </c>
      <c r="F36" t="s">
        <v>59</v>
      </c>
      <c r="I36">
        <v>1276</v>
      </c>
      <c r="J36">
        <f>2*638</f>
        <v>1276</v>
      </c>
      <c r="K36">
        <v>171</v>
      </c>
      <c r="L36">
        <f>2*(70+15.5)</f>
        <v>171</v>
      </c>
      <c r="M36" t="s">
        <v>115</v>
      </c>
    </row>
    <row r="37" spans="1:13" x14ac:dyDescent="0.55000000000000004">
      <c r="A37">
        <v>18</v>
      </c>
      <c r="B37" t="s">
        <v>116</v>
      </c>
      <c r="C37" t="s">
        <v>17</v>
      </c>
      <c r="D37" t="s">
        <v>30</v>
      </c>
      <c r="E37" t="s">
        <v>30</v>
      </c>
      <c r="F37" t="s">
        <v>117</v>
      </c>
      <c r="I37">
        <v>1784</v>
      </c>
      <c r="J37">
        <f>2*892</f>
        <v>1784</v>
      </c>
      <c r="K37">
        <v>245.6</v>
      </c>
      <c r="L37">
        <f>2*(70+52.8)</f>
        <v>245.6</v>
      </c>
      <c r="M37" t="s">
        <v>118</v>
      </c>
    </row>
    <row r="38" spans="1:13" x14ac:dyDescent="0.55000000000000004">
      <c r="A38">
        <v>18</v>
      </c>
      <c r="B38" t="s">
        <v>119</v>
      </c>
      <c r="C38" t="s">
        <v>17</v>
      </c>
      <c r="D38" t="s">
        <v>30</v>
      </c>
      <c r="E38" t="s">
        <v>27</v>
      </c>
      <c r="F38" t="s">
        <v>95</v>
      </c>
      <c r="I38">
        <v>0</v>
      </c>
      <c r="J38">
        <f>2*300</f>
        <v>600</v>
      </c>
      <c r="K38">
        <f>2*285</f>
        <v>570</v>
      </c>
      <c r="L38">
        <f>2*(70+62.3)</f>
        <v>264.60000000000002</v>
      </c>
      <c r="M38" t="s">
        <v>120</v>
      </c>
    </row>
    <row r="39" spans="1:13" x14ac:dyDescent="0.55000000000000004">
      <c r="A39">
        <v>18</v>
      </c>
      <c r="B39" t="s">
        <v>121</v>
      </c>
      <c r="C39" t="s">
        <v>17</v>
      </c>
      <c r="D39" t="s">
        <v>30</v>
      </c>
      <c r="E39" t="s">
        <v>24</v>
      </c>
      <c r="F39" t="s">
        <v>122</v>
      </c>
      <c r="I39">
        <v>1162</v>
      </c>
      <c r="J39">
        <f>2*581</f>
        <v>1162</v>
      </c>
      <c r="K39">
        <v>204.2</v>
      </c>
      <c r="L39">
        <f>2*(70+32.1)</f>
        <v>204.2</v>
      </c>
      <c r="M39" t="s">
        <v>123</v>
      </c>
    </row>
    <row r="40" spans="1:13" x14ac:dyDescent="0.55000000000000004">
      <c r="A40">
        <v>18</v>
      </c>
      <c r="B40" t="s">
        <v>124</v>
      </c>
      <c r="C40" t="s">
        <v>18</v>
      </c>
      <c r="D40" t="s">
        <v>30</v>
      </c>
      <c r="E40" t="s">
        <v>27</v>
      </c>
      <c r="F40" t="s">
        <v>71</v>
      </c>
      <c r="I40">
        <v>2942</v>
      </c>
      <c r="J40">
        <f>2*1471</f>
        <v>2942</v>
      </c>
      <c r="K40">
        <v>203</v>
      </c>
      <c r="L40">
        <f>2*(70+31.5)</f>
        <v>203</v>
      </c>
      <c r="M40" t="s">
        <v>125</v>
      </c>
    </row>
    <row r="41" spans="1:13" x14ac:dyDescent="0.55000000000000004">
      <c r="A41">
        <v>18</v>
      </c>
      <c r="B41" t="s">
        <v>126</v>
      </c>
      <c r="C41" t="s">
        <v>19</v>
      </c>
      <c r="D41" t="s">
        <v>30</v>
      </c>
      <c r="E41" t="s">
        <v>33</v>
      </c>
      <c r="F41" t="s">
        <v>127</v>
      </c>
      <c r="I41">
        <v>0</v>
      </c>
      <c r="J41">
        <f>2*1469</f>
        <v>2938</v>
      </c>
      <c r="K41">
        <f>2*392</f>
        <v>784</v>
      </c>
      <c r="L41">
        <f>2*(70+52.7)</f>
        <v>245.4</v>
      </c>
      <c r="M41" t="s">
        <v>75</v>
      </c>
    </row>
    <row r="42" spans="1:13" x14ac:dyDescent="0.55000000000000004">
      <c r="A42">
        <v>18</v>
      </c>
      <c r="B42" t="s">
        <v>128</v>
      </c>
      <c r="C42" t="s">
        <v>19</v>
      </c>
      <c r="D42" t="s">
        <v>30</v>
      </c>
      <c r="E42" t="s">
        <v>129</v>
      </c>
      <c r="F42" t="s">
        <v>74</v>
      </c>
      <c r="I42">
        <v>0</v>
      </c>
      <c r="J42">
        <f>2*1754</f>
        <v>3508</v>
      </c>
      <c r="K42">
        <f>2*85.4</f>
        <v>170.8</v>
      </c>
      <c r="L42">
        <f>2*(70+24.8)</f>
        <v>189.6</v>
      </c>
      <c r="M42" t="s">
        <v>75</v>
      </c>
    </row>
    <row r="43" spans="1:13" x14ac:dyDescent="0.55000000000000004">
      <c r="A43">
        <v>18</v>
      </c>
      <c r="B43" t="s">
        <v>130</v>
      </c>
      <c r="C43" t="s">
        <v>20</v>
      </c>
      <c r="D43" t="s">
        <v>30</v>
      </c>
      <c r="E43" t="s">
        <v>55</v>
      </c>
      <c r="F43" t="s">
        <v>49</v>
      </c>
      <c r="I43">
        <f>2*329</f>
        <v>658</v>
      </c>
      <c r="J43">
        <f>2*960</f>
        <v>1920</v>
      </c>
      <c r="K43">
        <f>2*108</f>
        <v>216</v>
      </c>
      <c r="L43">
        <f>2*(70+108)</f>
        <v>356</v>
      </c>
      <c r="M43" t="s">
        <v>98</v>
      </c>
    </row>
    <row r="44" spans="1:13" x14ac:dyDescent="0.55000000000000004">
      <c r="A44">
        <v>18</v>
      </c>
      <c r="B44" t="s">
        <v>131</v>
      </c>
      <c r="C44" t="s">
        <v>20</v>
      </c>
      <c r="D44" t="s">
        <v>30</v>
      </c>
      <c r="E44" t="s">
        <v>55</v>
      </c>
      <c r="F44" t="s">
        <v>132</v>
      </c>
      <c r="I44">
        <f>2*77</f>
        <v>154</v>
      </c>
      <c r="J44">
        <f>2*956</f>
        <v>1912</v>
      </c>
      <c r="K44">
        <f>2*48.5</f>
        <v>97</v>
      </c>
      <c r="L44">
        <f>2*(70+48.5)</f>
        <v>237</v>
      </c>
      <c r="M44" t="s">
        <v>98</v>
      </c>
    </row>
    <row r="45" spans="1:13" x14ac:dyDescent="0.55000000000000004">
      <c r="A45">
        <v>18</v>
      </c>
      <c r="B45" t="s">
        <v>133</v>
      </c>
      <c r="C45" t="s">
        <v>20</v>
      </c>
      <c r="D45" t="s">
        <v>30</v>
      </c>
      <c r="E45" t="s">
        <v>55</v>
      </c>
      <c r="F45" t="s">
        <v>134</v>
      </c>
      <c r="I45">
        <f>2*447</f>
        <v>894</v>
      </c>
      <c r="J45">
        <f>2*851</f>
        <v>1702</v>
      </c>
      <c r="K45">
        <f>2*5.9</f>
        <v>11.8</v>
      </c>
      <c r="L45">
        <f>2*(70+5.9)</f>
        <v>151.80000000000001</v>
      </c>
      <c r="M45" t="s">
        <v>98</v>
      </c>
    </row>
    <row r="46" spans="1:13" x14ac:dyDescent="0.55000000000000004">
      <c r="A46">
        <v>18</v>
      </c>
      <c r="B46" t="s">
        <v>135</v>
      </c>
      <c r="C46" t="s">
        <v>21</v>
      </c>
      <c r="D46" t="s">
        <v>30</v>
      </c>
      <c r="E46" t="s">
        <v>110</v>
      </c>
      <c r="F46" t="s">
        <v>136</v>
      </c>
      <c r="G46" t="s">
        <v>52</v>
      </c>
      <c r="I46">
        <v>3002</v>
      </c>
      <c r="J46">
        <f>2*(1196+305)</f>
        <v>3002</v>
      </c>
      <c r="K46">
        <f>2*(70+7.4+61.2)</f>
        <v>277.20000000000005</v>
      </c>
      <c r="L46">
        <f>2*(70+7.4)</f>
        <v>154.80000000000001</v>
      </c>
      <c r="M46" s="1" t="s">
        <v>108</v>
      </c>
    </row>
    <row r="47" spans="1:13" x14ac:dyDescent="0.55000000000000004">
      <c r="A47">
        <v>18</v>
      </c>
      <c r="B47" t="s">
        <v>137</v>
      </c>
      <c r="C47" t="s">
        <v>21</v>
      </c>
      <c r="D47" t="s">
        <v>30</v>
      </c>
      <c r="E47" t="s">
        <v>30</v>
      </c>
      <c r="F47" t="s">
        <v>138</v>
      </c>
      <c r="I47">
        <v>2120</v>
      </c>
      <c r="J47">
        <f>2*1060</f>
        <v>2120</v>
      </c>
      <c r="K47">
        <v>169.8</v>
      </c>
      <c r="L47">
        <f>2*(70+14.9)</f>
        <v>169.8</v>
      </c>
      <c r="M47" t="s">
        <v>93</v>
      </c>
    </row>
    <row r="48" spans="1:13" x14ac:dyDescent="0.55000000000000004">
      <c r="A48">
        <v>17</v>
      </c>
      <c r="B48" t="s">
        <v>139</v>
      </c>
      <c r="C48" t="s">
        <v>16</v>
      </c>
      <c r="D48" t="s">
        <v>30</v>
      </c>
      <c r="E48" t="s">
        <v>140</v>
      </c>
      <c r="F48" s="1" t="s">
        <v>141</v>
      </c>
      <c r="I48">
        <v>1128</v>
      </c>
      <c r="J48">
        <f>2*564</f>
        <v>1128</v>
      </c>
      <c r="K48">
        <v>610</v>
      </c>
      <c r="L48">
        <f>2*(70+235)</f>
        <v>610</v>
      </c>
      <c r="M48" t="s">
        <v>142</v>
      </c>
    </row>
    <row r="49" spans="1:13" x14ac:dyDescent="0.55000000000000004">
      <c r="A49">
        <v>17</v>
      </c>
      <c r="B49" t="s">
        <v>143</v>
      </c>
      <c r="C49" t="s">
        <v>21</v>
      </c>
      <c r="D49" t="s">
        <v>30</v>
      </c>
      <c r="E49" t="s">
        <v>27</v>
      </c>
      <c r="F49" t="s">
        <v>144</v>
      </c>
      <c r="I49">
        <v>2488</v>
      </c>
      <c r="J49">
        <f>2*1244</f>
        <v>2488</v>
      </c>
      <c r="K49">
        <v>171.6</v>
      </c>
      <c r="L49">
        <f>2*(70+15.8)</f>
        <v>171.6</v>
      </c>
      <c r="M49" t="s">
        <v>125</v>
      </c>
    </row>
    <row r="50" spans="1:13" x14ac:dyDescent="0.55000000000000004">
      <c r="A50">
        <v>17</v>
      </c>
      <c r="B50" t="s">
        <v>145</v>
      </c>
      <c r="C50" t="s">
        <v>17</v>
      </c>
      <c r="D50" t="s">
        <v>30</v>
      </c>
      <c r="E50" t="s">
        <v>55</v>
      </c>
      <c r="F50" t="s">
        <v>146</v>
      </c>
      <c r="G50" t="s">
        <v>147</v>
      </c>
      <c r="I50">
        <f>2*(1841+239)</f>
        <v>4160</v>
      </c>
      <c r="J50">
        <f>2*(885+239)</f>
        <v>2248</v>
      </c>
      <c r="K50">
        <f>2*30.2</f>
        <v>60.4</v>
      </c>
      <c r="L50">
        <f>2*(70+30.2)</f>
        <v>200.4</v>
      </c>
      <c r="M50" t="s">
        <v>98</v>
      </c>
    </row>
    <row r="51" spans="1:13" x14ac:dyDescent="0.55000000000000004">
      <c r="A51">
        <v>17</v>
      </c>
      <c r="B51" t="s">
        <v>148</v>
      </c>
      <c r="C51" t="s">
        <v>20</v>
      </c>
      <c r="D51" t="s">
        <v>30</v>
      </c>
      <c r="E51" t="s">
        <v>55</v>
      </c>
      <c r="F51" t="s">
        <v>149</v>
      </c>
      <c r="I51">
        <f>2*587</f>
        <v>1174</v>
      </c>
      <c r="J51">
        <f>2*556</f>
        <v>1112</v>
      </c>
      <c r="K51">
        <f>2*52.4</f>
        <v>104.8</v>
      </c>
      <c r="L51">
        <f>2*(70+52.4)</f>
        <v>244.8</v>
      </c>
      <c r="M51" t="s">
        <v>98</v>
      </c>
    </row>
    <row r="52" spans="1:13" x14ac:dyDescent="0.55000000000000004">
      <c r="A52">
        <v>17</v>
      </c>
      <c r="B52" t="s">
        <v>150</v>
      </c>
      <c r="C52" t="s">
        <v>19</v>
      </c>
      <c r="D52" t="s">
        <v>30</v>
      </c>
      <c r="E52" t="s">
        <v>27</v>
      </c>
      <c r="F52" t="s">
        <v>151</v>
      </c>
      <c r="I52">
        <v>2952</v>
      </c>
      <c r="J52">
        <f>2*1476</f>
        <v>2952</v>
      </c>
      <c r="K52">
        <v>282</v>
      </c>
      <c r="L52">
        <f>2*(70+71)</f>
        <v>282</v>
      </c>
      <c r="M52" t="s">
        <v>125</v>
      </c>
    </row>
    <row r="53" spans="1:13" x14ac:dyDescent="0.55000000000000004">
      <c r="A53">
        <v>17</v>
      </c>
      <c r="B53" t="s">
        <v>152</v>
      </c>
      <c r="C53" t="s">
        <v>18</v>
      </c>
      <c r="D53" t="s">
        <v>30</v>
      </c>
      <c r="E53" t="s">
        <v>27</v>
      </c>
      <c r="F53" t="s">
        <v>38</v>
      </c>
      <c r="I53">
        <v>2896</v>
      </c>
      <c r="J53">
        <f>1448*2</f>
        <v>2896</v>
      </c>
      <c r="K53">
        <v>217</v>
      </c>
      <c r="L53">
        <f>2*(70+38.5)</f>
        <v>217</v>
      </c>
      <c r="M53" t="s">
        <v>125</v>
      </c>
    </row>
    <row r="54" spans="1:13" x14ac:dyDescent="0.55000000000000004">
      <c r="A54">
        <v>17</v>
      </c>
      <c r="B54" t="s">
        <v>153</v>
      </c>
      <c r="C54" t="s">
        <v>20</v>
      </c>
      <c r="D54" t="s">
        <v>30</v>
      </c>
      <c r="E54" t="s">
        <v>55</v>
      </c>
      <c r="F54" t="s">
        <v>154</v>
      </c>
      <c r="G54" t="s">
        <v>155</v>
      </c>
      <c r="I54">
        <f>2*199</f>
        <v>398</v>
      </c>
      <c r="J54">
        <f>2*(626+493)</f>
        <v>2238</v>
      </c>
      <c r="K54">
        <f>2*51.3</f>
        <v>102.6</v>
      </c>
      <c r="L54">
        <f>2*(70+51.3)</f>
        <v>242.6</v>
      </c>
      <c r="M54" t="s">
        <v>98</v>
      </c>
    </row>
    <row r="55" spans="1:13" x14ac:dyDescent="0.55000000000000004">
      <c r="A55">
        <v>17</v>
      </c>
      <c r="B55" t="s">
        <v>156</v>
      </c>
      <c r="C55" t="s">
        <v>21</v>
      </c>
      <c r="D55" t="s">
        <v>30</v>
      </c>
      <c r="E55" t="s">
        <v>30</v>
      </c>
      <c r="F55" t="s">
        <v>51</v>
      </c>
      <c r="G55" t="s">
        <v>52</v>
      </c>
      <c r="I55">
        <v>2604</v>
      </c>
      <c r="J55">
        <f>2*(1196+106)</f>
        <v>2604</v>
      </c>
      <c r="K55">
        <v>279.39999999999998</v>
      </c>
      <c r="L55">
        <f>2*(70+69.7)</f>
        <v>279.39999999999998</v>
      </c>
      <c r="M55" t="s">
        <v>93</v>
      </c>
    </row>
    <row r="56" spans="1:13" x14ac:dyDescent="0.55000000000000004">
      <c r="A56">
        <v>17</v>
      </c>
      <c r="B56" t="s">
        <v>157</v>
      </c>
      <c r="C56" t="s">
        <v>17</v>
      </c>
      <c r="D56" t="s">
        <v>30</v>
      </c>
      <c r="E56" t="s">
        <v>24</v>
      </c>
      <c r="F56" t="s">
        <v>158</v>
      </c>
      <c r="I56">
        <v>1230</v>
      </c>
      <c r="J56">
        <f>2*615</f>
        <v>1230</v>
      </c>
      <c r="K56">
        <v>189.4</v>
      </c>
      <c r="L56">
        <f>2*(70+24.7)</f>
        <v>189.4</v>
      </c>
      <c r="M56" t="s">
        <v>123</v>
      </c>
    </row>
    <row r="57" spans="1:13" x14ac:dyDescent="0.55000000000000004">
      <c r="A57">
        <v>17</v>
      </c>
      <c r="B57" t="s">
        <v>159</v>
      </c>
      <c r="C57" t="s">
        <v>19</v>
      </c>
      <c r="D57" t="s">
        <v>30</v>
      </c>
      <c r="E57" t="s">
        <v>24</v>
      </c>
      <c r="F57" t="s">
        <v>102</v>
      </c>
      <c r="I57">
        <f>2*427</f>
        <v>854</v>
      </c>
      <c r="J57">
        <f>2*1482</f>
        <v>2964</v>
      </c>
      <c r="K57">
        <f>2*11.6</f>
        <v>23.2</v>
      </c>
      <c r="L57">
        <f>2*(70+11.6)</f>
        <v>163.19999999999999</v>
      </c>
      <c r="M57" t="s">
        <v>100</v>
      </c>
    </row>
    <row r="58" spans="1:13" x14ac:dyDescent="0.55000000000000004">
      <c r="A58">
        <v>17</v>
      </c>
      <c r="B58" t="s">
        <v>160</v>
      </c>
      <c r="C58" t="s">
        <v>18</v>
      </c>
      <c r="D58" t="s">
        <v>30</v>
      </c>
      <c r="E58" t="s">
        <v>55</v>
      </c>
      <c r="F58" t="s">
        <v>71</v>
      </c>
      <c r="I58">
        <f>2*2436</f>
        <v>4872</v>
      </c>
      <c r="J58">
        <f>2*1471</f>
        <v>2942</v>
      </c>
      <c r="K58">
        <f>2*9.3</f>
        <v>18.600000000000001</v>
      </c>
      <c r="L58">
        <f>2*(70+9.3)</f>
        <v>158.6</v>
      </c>
      <c r="M58" t="s">
        <v>98</v>
      </c>
    </row>
    <row r="59" spans="1:13" x14ac:dyDescent="0.55000000000000004">
      <c r="A59">
        <v>17</v>
      </c>
      <c r="B59" t="s">
        <v>161</v>
      </c>
      <c r="C59" t="s">
        <v>16</v>
      </c>
      <c r="D59" t="s">
        <v>30</v>
      </c>
      <c r="E59" t="s">
        <v>24</v>
      </c>
      <c r="F59" t="s">
        <v>162</v>
      </c>
      <c r="I59">
        <v>1588</v>
      </c>
      <c r="J59">
        <f>2*794</f>
        <v>1588</v>
      </c>
      <c r="K59">
        <v>172.2</v>
      </c>
      <c r="L59">
        <f>2*(70+16.1)</f>
        <v>172.2</v>
      </c>
      <c r="M59" t="s">
        <v>123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Carlson, Madeline Jane</dc:creator>
  <cp:keywords/>
  <dc:description/>
  <cp:lastModifiedBy>Carlson, Madeline J</cp:lastModifiedBy>
  <cp:revision/>
  <dcterms:created xsi:type="dcterms:W3CDTF">2022-08-11T19:20:28Z</dcterms:created>
  <dcterms:modified xsi:type="dcterms:W3CDTF">2022-08-22T16:19:55Z</dcterms:modified>
  <cp:category/>
  <cp:contentStatus/>
</cp:coreProperties>
</file>