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drl\OneDrive\Desktop\입찰 정보\IBK 기프트샵\게이미피케이션 관련\"/>
    </mc:Choice>
  </mc:AlternateContent>
  <xr:revisionPtr revIDLastSave="0" documentId="13_ncr:1_{1754C847-3476-48C8-9E33-9666EACFD39F}" xr6:coauthVersionLast="47" xr6:coauthVersionMax="47" xr10:uidLastSave="{00000000-0000-0000-0000-000000000000}"/>
  <bookViews>
    <workbookView xWindow="28680" yWindow="4005" windowWidth="29040" windowHeight="15720" xr2:uid="{C9907C9D-4DB1-45A2-9193-54EA896CB3C1}"/>
  </bookViews>
  <sheets>
    <sheet name="상품별 시뮬레이션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0" l="1"/>
  <c r="D57" i="10"/>
  <c r="E57" i="10"/>
  <c r="C57" i="10"/>
  <c r="I32" i="10"/>
  <c r="E4" i="10"/>
  <c r="G4" i="10" s="1"/>
  <c r="I4" i="10" s="1"/>
  <c r="K4" i="10" s="1"/>
  <c r="I49" i="10"/>
  <c r="I48" i="10"/>
  <c r="I47" i="10"/>
  <c r="I46" i="10"/>
  <c r="I45" i="10"/>
  <c r="I44" i="10"/>
  <c r="I42" i="10"/>
  <c r="I41" i="10"/>
  <c r="I40" i="10"/>
  <c r="I39" i="10"/>
  <c r="I38" i="10"/>
  <c r="E26" i="10"/>
  <c r="E19" i="10"/>
  <c r="F15" i="10" l="1"/>
  <c r="F18" i="10"/>
  <c r="F16" i="10"/>
  <c r="F14" i="10"/>
  <c r="F17" i="10"/>
  <c r="J4" i="10"/>
  <c r="L4" i="10"/>
  <c r="F25" i="10" l="1"/>
  <c r="F22" i="10"/>
  <c r="F24" i="10"/>
  <c r="F21" i="10"/>
  <c r="F23" i="10"/>
  <c r="F20" i="10"/>
  <c r="M4" i="10"/>
  <c r="F11" i="10"/>
  <c r="F9" i="10"/>
  <c r="F12" i="10"/>
  <c r="F10" i="10"/>
  <c r="F8" i="10"/>
  <c r="F32" i="10" s="1"/>
  <c r="H32" i="10" l="1"/>
  <c r="G32" i="10"/>
  <c r="K32" i="10" l="1"/>
  <c r="J32" i="10"/>
  <c r="L32" i="10" l="1"/>
  <c r="N32" i="10" s="1"/>
  <c r="O32" i="10" l="1"/>
  <c r="I36" i="10" l="1"/>
  <c r="I35" i="10"/>
  <c r="I34" i="10"/>
  <c r="I33" i="10"/>
  <c r="F44" i="10" l="1"/>
  <c r="F41" i="10"/>
  <c r="F38" i="10"/>
  <c r="G15" i="10" l="1"/>
  <c r="F39" i="10"/>
  <c r="G18" i="10"/>
  <c r="F42" i="10"/>
  <c r="H38" i="10"/>
  <c r="G38" i="10"/>
  <c r="G16" i="10"/>
  <c r="F40" i="10"/>
  <c r="G41" i="10"/>
  <c r="H41" i="10"/>
  <c r="G44" i="10"/>
  <c r="H44" i="10"/>
  <c r="G24" i="10"/>
  <c r="F48" i="10"/>
  <c r="G21" i="10"/>
  <c r="F45" i="10"/>
  <c r="G22" i="10"/>
  <c r="F46" i="10"/>
  <c r="G25" i="10"/>
  <c r="F49" i="10"/>
  <c r="G23" i="10"/>
  <c r="F47" i="10"/>
  <c r="G17" i="10"/>
  <c r="F26" i="10"/>
  <c r="G20" i="10"/>
  <c r="F19" i="10"/>
  <c r="G14" i="10"/>
  <c r="H49" i="10" l="1"/>
  <c r="G49" i="10"/>
  <c r="G19" i="10"/>
  <c r="H48" i="10"/>
  <c r="G48" i="10"/>
  <c r="F50" i="10"/>
  <c r="J44" i="10"/>
  <c r="K44" i="10"/>
  <c r="G26" i="10"/>
  <c r="K41" i="10"/>
  <c r="J41" i="10"/>
  <c r="G40" i="10"/>
  <c r="H40" i="10"/>
  <c r="H47" i="10"/>
  <c r="G47" i="10"/>
  <c r="F43" i="10"/>
  <c r="K38" i="10"/>
  <c r="J38" i="10"/>
  <c r="H46" i="10"/>
  <c r="G46" i="10"/>
  <c r="G42" i="10"/>
  <c r="H42" i="10"/>
  <c r="H45" i="10"/>
  <c r="G45" i="10"/>
  <c r="H39" i="10"/>
  <c r="G39" i="10"/>
  <c r="K49" i="10" l="1"/>
  <c r="J49" i="10"/>
  <c r="L49" i="10" s="1"/>
  <c r="N49" i="10" s="1"/>
  <c r="O49" i="10" s="1"/>
  <c r="H50" i="10"/>
  <c r="H43" i="10"/>
  <c r="L44" i="10"/>
  <c r="N44" i="10" s="1"/>
  <c r="K47" i="10"/>
  <c r="J47" i="10"/>
  <c r="K39" i="10"/>
  <c r="J39" i="10"/>
  <c r="K40" i="10"/>
  <c r="J40" i="10"/>
  <c r="J45" i="10"/>
  <c r="K45" i="10"/>
  <c r="L41" i="10"/>
  <c r="K42" i="10"/>
  <c r="J42" i="10"/>
  <c r="K46" i="10"/>
  <c r="J46" i="10"/>
  <c r="G50" i="10"/>
  <c r="L38" i="10"/>
  <c r="N38" i="10" s="1"/>
  <c r="K48" i="10"/>
  <c r="J48" i="10"/>
  <c r="G43" i="10"/>
  <c r="J43" i="10" l="1"/>
  <c r="J50" i="10"/>
  <c r="N41" i="10"/>
  <c r="O41" i="10" s="1"/>
  <c r="L45" i="10"/>
  <c r="L48" i="10"/>
  <c r="L47" i="10"/>
  <c r="K43" i="10"/>
  <c r="K50" i="10"/>
  <c r="L46" i="10"/>
  <c r="L42" i="10"/>
  <c r="L40" i="10"/>
  <c r="L39" i="10"/>
  <c r="N39" i="10" l="1"/>
  <c r="O39" i="10" s="1"/>
  <c r="N40" i="10"/>
  <c r="N42" i="10"/>
  <c r="O42" i="10" s="1"/>
  <c r="N46" i="10"/>
  <c r="O46" i="10" s="1"/>
  <c r="N47" i="10"/>
  <c r="O47" i="10" s="1"/>
  <c r="N48" i="10"/>
  <c r="O48" i="10" s="1"/>
  <c r="N45" i="10"/>
  <c r="O45" i="10" s="1"/>
  <c r="L43" i="10"/>
  <c r="L50" i="10"/>
  <c r="O44" i="10"/>
  <c r="O38" i="10"/>
  <c r="N50" i="10" l="1"/>
  <c r="O50" i="10" s="1"/>
  <c r="N43" i="10"/>
  <c r="O43" i="10" s="1"/>
  <c r="O40" i="10"/>
  <c r="E13" i="10"/>
  <c r="G12" i="10"/>
  <c r="F35" i="10"/>
  <c r="H35" i="10" s="1"/>
  <c r="G10" i="10"/>
  <c r="G9" i="10"/>
  <c r="F13" i="10" l="1"/>
  <c r="F27" i="10" s="1"/>
  <c r="F34" i="10"/>
  <c r="H34" i="10" s="1"/>
  <c r="F36" i="10"/>
  <c r="H36" i="10" s="1"/>
  <c r="G35" i="10"/>
  <c r="F33" i="10"/>
  <c r="G8" i="10"/>
  <c r="G11" i="10"/>
  <c r="H33" i="10" l="1"/>
  <c r="F37" i="10"/>
  <c r="G13" i="10"/>
  <c r="K35" i="10"/>
  <c r="J35" i="10"/>
  <c r="G36" i="10"/>
  <c r="G34" i="10"/>
  <c r="G33" i="10"/>
  <c r="H37" i="10" l="1"/>
  <c r="H51" i="10" s="1"/>
  <c r="G37" i="10"/>
  <c r="G51" i="10" s="1"/>
  <c r="G27" i="10"/>
  <c r="L35" i="10"/>
  <c r="K33" i="10"/>
  <c r="J33" i="10"/>
  <c r="K34" i="10"/>
  <c r="J34" i="10"/>
  <c r="K36" i="10"/>
  <c r="J36" i="10"/>
  <c r="N35" i="10" l="1"/>
  <c r="O35" i="10" s="1"/>
  <c r="K37" i="10"/>
  <c r="K51" i="10" s="1"/>
  <c r="J37" i="10"/>
  <c r="J51" i="10" s="1"/>
  <c r="L36" i="10"/>
  <c r="L34" i="10"/>
  <c r="L33" i="10"/>
  <c r="N33" i="10" s="1"/>
  <c r="N34" i="10" l="1"/>
  <c r="O34" i="10" s="1"/>
  <c r="N36" i="10"/>
  <c r="O36" i="10" s="1"/>
  <c r="L37" i="10"/>
  <c r="L51" i="10" s="1"/>
  <c r="N37" i="10" l="1"/>
  <c r="O37" i="10" s="1"/>
  <c r="O33" i="10"/>
  <c r="N51" i="10" l="1"/>
  <c r="O51" i="10" l="1"/>
  <c r="I8" i="10"/>
  <c r="L8" i="10" s="1"/>
</calcChain>
</file>

<file path=xl/sharedStrings.xml><?xml version="1.0" encoding="utf-8"?>
<sst xmlns="http://schemas.openxmlformats.org/spreadsheetml/2006/main" count="147" uniqueCount="99">
  <si>
    <t>상품A</t>
    <phoneticPr fontId="3" type="noConversion"/>
  </si>
  <si>
    <t>경품금액(원)</t>
    <phoneticPr fontId="3" type="noConversion"/>
  </si>
  <si>
    <t>확률</t>
    <phoneticPr fontId="3" type="noConversion"/>
  </si>
  <si>
    <t>예상 수량</t>
    <phoneticPr fontId="3" type="noConversion"/>
  </si>
  <si>
    <t>정상가 합계</t>
    <phoneticPr fontId="3" type="noConversion"/>
  </si>
  <si>
    <t>상품정보</t>
    <phoneticPr fontId="3" type="noConversion"/>
  </si>
  <si>
    <t>예상 수익 정보</t>
    <phoneticPr fontId="3" type="noConversion"/>
  </si>
  <si>
    <t>상품명</t>
    <phoneticPr fontId="3" type="noConversion"/>
  </si>
  <si>
    <t>권종</t>
    <phoneticPr fontId="3" type="noConversion"/>
  </si>
  <si>
    <t>공급수수료
(vat별도)</t>
    <phoneticPr fontId="3" type="noConversion"/>
  </si>
  <si>
    <t>발송량</t>
    <phoneticPr fontId="3" type="noConversion"/>
  </si>
  <si>
    <t>거래금액</t>
    <phoneticPr fontId="3" type="noConversion"/>
  </si>
  <si>
    <t xml:space="preserve">예상 미교환율 </t>
    <phoneticPr fontId="3" type="noConversion"/>
  </si>
  <si>
    <t>예상 수익</t>
    <phoneticPr fontId="3" type="noConversion"/>
  </si>
  <si>
    <t>예상 수익율</t>
    <phoneticPr fontId="3" type="noConversion"/>
  </si>
  <si>
    <t>합계</t>
    <phoneticPr fontId="3" type="noConversion"/>
  </si>
  <si>
    <t>기프트샵 할인권</t>
    <phoneticPr fontId="3" type="noConversion"/>
  </si>
  <si>
    <t>스타벅스</t>
    <phoneticPr fontId="3" type="noConversion"/>
  </si>
  <si>
    <t>치킨</t>
    <phoneticPr fontId="3" type="noConversion"/>
  </si>
  <si>
    <t>신세계 3만원</t>
    <phoneticPr fontId="3" type="noConversion"/>
  </si>
  <si>
    <t>스타벅스 아메리카노</t>
    <phoneticPr fontId="3" type="noConversion"/>
  </si>
  <si>
    <t>컴포즈HOT</t>
    <phoneticPr fontId="3" type="noConversion"/>
  </si>
  <si>
    <t>CU 700원 금액권</t>
    <phoneticPr fontId="3" type="noConversion"/>
  </si>
  <si>
    <t>CU 300원 금액권</t>
    <phoneticPr fontId="3" type="noConversion"/>
  </si>
  <si>
    <t>스타벅스 아메리카노</t>
  </si>
  <si>
    <t>투썸 아메리카노</t>
  </si>
  <si>
    <t>투썸 아메리카노</t>
    <phoneticPr fontId="3" type="noConversion"/>
  </si>
  <si>
    <t>컴포즈커피 아이스</t>
  </si>
  <si>
    <t>컴포즈커피 아이스</t>
    <phoneticPr fontId="3" type="noConversion"/>
  </si>
  <si>
    <t>빽다방 아이스</t>
  </si>
  <si>
    <t>빽다방 아이스</t>
    <phoneticPr fontId="3" type="noConversion"/>
  </si>
  <si>
    <t>메가 아이스</t>
  </si>
  <si>
    <t>메가 아이스</t>
    <phoneticPr fontId="3" type="noConversion"/>
  </si>
  <si>
    <t>구분</t>
    <phoneticPr fontId="3" type="noConversion"/>
  </si>
  <si>
    <t>활성률</t>
    <phoneticPr fontId="3" type="noConversion"/>
  </si>
  <si>
    <t>노출률</t>
    <phoneticPr fontId="3" type="noConversion"/>
  </si>
  <si>
    <t>참여전환율</t>
    <phoneticPr fontId="3" type="noConversion"/>
  </si>
  <si>
    <t>예상 참여인원</t>
    <phoneticPr fontId="3" type="noConversion"/>
  </si>
  <si>
    <t>기준</t>
    <phoneticPr fontId="3" type="noConversion"/>
  </si>
  <si>
    <t>활성인원</t>
    <phoneticPr fontId="3" type="noConversion"/>
  </si>
  <si>
    <t>노출인원</t>
    <phoneticPr fontId="3" type="noConversion"/>
  </si>
  <si>
    <t>예상인원</t>
    <phoneticPr fontId="3" type="noConversion"/>
  </si>
  <si>
    <t>일반</t>
    <phoneticPr fontId="3" type="noConversion"/>
  </si>
  <si>
    <t>교환금액</t>
    <phoneticPr fontId="3" type="noConversion"/>
  </si>
  <si>
    <t>공급사</t>
    <phoneticPr fontId="3" type="noConversion"/>
  </si>
  <si>
    <t>청구금액</t>
    <phoneticPr fontId="3" type="noConversion"/>
  </si>
  <si>
    <t>IBK</t>
    <phoneticPr fontId="3" type="noConversion"/>
  </si>
  <si>
    <t>공급수수료</t>
    <phoneticPr fontId="3" type="noConversion"/>
  </si>
  <si>
    <t>소계</t>
    <phoneticPr fontId="3" type="noConversion"/>
  </si>
  <si>
    <t>100포인트</t>
    <phoneticPr fontId="3" type="noConversion"/>
  </si>
  <si>
    <t>100포인트 소계</t>
    <phoneticPr fontId="3" type="noConversion"/>
  </si>
  <si>
    <t>500포인트</t>
    <phoneticPr fontId="3" type="noConversion"/>
  </si>
  <si>
    <t>500포인트 소계</t>
    <phoneticPr fontId="3" type="noConversion"/>
  </si>
  <si>
    <t>1500포인트 소계</t>
    <phoneticPr fontId="3" type="noConversion"/>
  </si>
  <si>
    <t>1500포인트</t>
    <phoneticPr fontId="3" type="noConversion"/>
  </si>
  <si>
    <t>인원 합계</t>
    <phoneticPr fontId="3" type="noConversion"/>
  </si>
  <si>
    <t>100포인트(50%)</t>
    <phoneticPr fontId="3" type="noConversion"/>
  </si>
  <si>
    <t>500포인트(35%)</t>
    <phoneticPr fontId="3" type="noConversion"/>
  </si>
  <si>
    <t>공급사 정산 금액</t>
    <phoneticPr fontId="3" type="noConversion"/>
  </si>
  <si>
    <t>1. 전환율</t>
    <phoneticPr fontId="3" type="noConversion"/>
  </si>
  <si>
    <t>2. 예상수량</t>
    <phoneticPr fontId="3" type="noConversion"/>
  </si>
  <si>
    <t>3. 수익 시뮬레이션 상세내역</t>
    <phoneticPr fontId="3" type="noConversion"/>
  </si>
  <si>
    <t>쿠폰 수익금</t>
    <phoneticPr fontId="3" type="noConversion"/>
  </si>
  <si>
    <t>최종수익</t>
    <phoneticPr fontId="3" type="noConversion"/>
  </si>
  <si>
    <t>운영비 (원가)</t>
    <phoneticPr fontId="3" type="noConversion"/>
  </si>
  <si>
    <t>개발비 / 12 (원가)</t>
    <phoneticPr fontId="3" type="noConversion"/>
  </si>
  <si>
    <t>최종 수익</t>
    <phoneticPr fontId="3" type="noConversion"/>
  </si>
  <si>
    <t>4. 최종 수익율 (월)</t>
    <phoneticPr fontId="3" type="noConversion"/>
  </si>
  <si>
    <t>쿠폰수익금</t>
    <phoneticPr fontId="3" type="noConversion"/>
  </si>
  <si>
    <t>원가</t>
    <phoneticPr fontId="3" type="noConversion"/>
  </si>
  <si>
    <t>5. 기타 활성율 참고 (월)</t>
    <phoneticPr fontId="3" type="noConversion"/>
  </si>
  <si>
    <t xml:space="preserve">기프트샵 B2C </t>
    <phoneticPr fontId="3" type="noConversion"/>
  </si>
  <si>
    <t>수익율</t>
    <phoneticPr fontId="3" type="noConversion"/>
  </si>
  <si>
    <t>수익금</t>
    <phoneticPr fontId="3" type="noConversion"/>
  </si>
  <si>
    <t>일반 B2B</t>
    <phoneticPr fontId="3" type="noConversion"/>
  </si>
  <si>
    <t>(월)</t>
    <phoneticPr fontId="3" type="noConversion"/>
  </si>
  <si>
    <t>1500포인트(15%)</t>
    <phoneticPr fontId="3" type="noConversion"/>
  </si>
  <si>
    <t>5. 2025년 참고</t>
    <phoneticPr fontId="3" type="noConversion"/>
  </si>
  <si>
    <t>월</t>
  </si>
  <si>
    <t>B2B</t>
  </si>
  <si>
    <t>판매금액</t>
  </si>
  <si>
    <t>수익(기간만료)</t>
  </si>
  <si>
    <t>수익률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</si>
  <si>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</si>
  <si>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</si>
  <si>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</si>
  <si>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</si>
  <si>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</si>
  <si>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</si>
  <si>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</si>
  <si>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</si>
  <si>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</si>
  <si>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</si>
  <si>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</si>
  <si>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</si>
  <si>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합계</t>
  </si>
  <si>
    <t>B2C</t>
  </si>
  <si>
    <t>IBK 기프트샵 B2B 거래현황</t>
    <phoneticPr fontId="3" type="noConversion"/>
  </si>
  <si>
    <t>IBK 기프트샵 B2C 거래현황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</si>
</sst>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0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1" fontId="0" fillId="0" borderId="0" xfId="1" applyFont="1">
      <alignment vertical="center"/>
    </xf>
    <xf numFmtId="41" fontId="5" fillId="0" borderId="1" xfId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2" fillId="3" borderId="1" xfId="2" applyNumberFormat="1" applyFont="1" applyFill="1" applyBorder="1" applyAlignment="1">
      <alignment horizontal="center" vertical="center"/>
    </xf>
    <xf numFmtId="41" fontId="2" fillId="3" borderId="1" xfId="0" applyNumberFormat="1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11" fillId="4" borderId="1" xfId="1" applyFont="1" applyFill="1" applyBorder="1">
      <alignment vertical="center"/>
    </xf>
    <xf numFmtId="0" fontId="11" fillId="4" borderId="1" xfId="0" applyFont="1" applyFill="1" applyBorder="1">
      <alignment vertical="center"/>
    </xf>
    <xf numFmtId="41" fontId="11" fillId="4" borderId="1" xfId="0" applyNumberFormat="1" applyFont="1" applyFill="1" applyBorder="1">
      <alignment vertical="center"/>
    </xf>
    <xf numFmtId="41" fontId="2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176" fontId="11" fillId="2" borderId="1" xfId="2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1" fontId="0" fillId="4" borderId="1" xfId="0" applyNumberFormat="1" applyFill="1" applyBorder="1">
      <alignment vertical="center"/>
    </xf>
    <xf numFmtId="0" fontId="9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41" fontId="11" fillId="8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Border="1">
      <alignment vertical="center"/>
    </xf>
    <xf numFmtId="176" fontId="10" fillId="9" borderId="1" xfId="1" applyNumberFormat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0" fontId="10" fillId="9" borderId="1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>
      <alignment vertical="center"/>
    </xf>
    <xf numFmtId="41" fontId="11" fillId="3" borderId="1" xfId="0" applyNumberFormat="1" applyFont="1" applyFill="1" applyBorder="1">
      <alignment vertical="center"/>
    </xf>
    <xf numFmtId="10" fontId="10" fillId="3" borderId="1" xfId="2" applyNumberFormat="1" applyFont="1" applyFill="1" applyBorder="1" applyAlignment="1">
      <alignment horizontal="center" vertical="center"/>
    </xf>
    <xf numFmtId="10" fontId="11" fillId="4" borderId="1" xfId="2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7" fillId="0" borderId="0" xfId="1" applyFont="1" applyAlignment="1">
      <alignment horizontal="right" vertical="center"/>
    </xf>
    <xf numFmtId="9" fontId="0" fillId="0" borderId="1" xfId="2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1" fontId="7" fillId="11" borderId="1" xfId="1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2" applyFont="1" applyBorder="1">
      <alignment vertical="center"/>
    </xf>
    <xf numFmtId="10" fontId="0" fillId="0" borderId="1" xfId="2" applyNumberFormat="1" applyFont="1" applyBorder="1">
      <alignment vertical="center"/>
    </xf>
    <xf numFmtId="0" fontId="7" fillId="4" borderId="1" xfId="0" applyFont="1" applyFill="1" applyBorder="1">
      <alignment vertical="center"/>
    </xf>
    <xf numFmtId="41" fontId="7" fillId="4" borderId="1" xfId="1" applyFont="1" applyFill="1" applyBorder="1">
      <alignment vertical="center"/>
    </xf>
    <xf numFmtId="10" fontId="7" fillId="4" borderId="1" xfId="2" applyNumberFormat="1" applyFont="1" applyFill="1" applyBorder="1">
      <alignment vertical="center"/>
    </xf>
    <xf numFmtId="9" fontId="0" fillId="0" borderId="0" xfId="2" applyFont="1">
      <alignment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0" xfId="1" applyFont="1" applyBorder="1">
      <alignment vertical="center"/>
    </xf>
    <xf numFmtId="41" fontId="0" fillId="9" borderId="0" xfId="0" applyNumberFormat="1" applyFill="1">
      <alignment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9" fontId="11" fillId="7" borderId="1" xfId="2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27215</xdr:colOff>
      <xdr:row>93</xdr:row>
      <xdr:rowOff>27215</xdr:rowOff>
    </xdr:from>
    <xdr:to>
      <xdr:col>3</xdr:col>
      <xdr:colOff>218260</xdr:colOff>
      <xdr:row>115</xdr:row>
      <xdr:rowOff>136072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0B6C0A-21EF-4DF5-D7B6-BB2B2CB5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322" y="11185072"/>
          <a:ext cx="3905795" cy="4599214"/>
        </a:xfrm>
        <a:prstGeom prst="rect">
          <a:avLst/>
        </a:prstGeom>
      </xdr:spPr>
    </xdr:pic>
    <xdr:clientData/>
  </xdr:twoCellAnchor>
  <xdr:twoCellAnchor editAs="oneCell">
    <xdr:from>
      <xdr:col>11</xdr:col>
      <xdr:colOff>27211</xdr:colOff>
      <xdr:row>97</xdr:row>
      <xdr:rowOff>12845</xdr:rowOff>
    </xdr:from>
    <xdr:to>
      <xdr:col>15</xdr:col>
      <xdr:colOff>188740</xdr:colOff>
      <xdr:row>113</xdr:row>
      <xdr:rowOff>13606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C9E71A-3619-45B4-EDC4-EC1ACE1CC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6104" y="11987131"/>
          <a:ext cx="4910422" cy="3266475"/>
        </a:xfrm>
        <a:prstGeom prst="rect">
          <a:avLst/>
        </a:prstGeom>
      </xdr:spPr>
    </xdr:pic>
    <xdr:clientData/>
  </xdr:twoCellAnchor>
  <xdr:twoCellAnchor editAs="oneCell">
    <xdr:from>
      <xdr:col>8</xdr:col>
      <xdr:colOff>1401533</xdr:colOff>
      <xdr:row>92</xdr:row>
      <xdr:rowOff>122459</xdr:rowOff>
    </xdr:from>
    <xdr:to>
      <xdr:col>10</xdr:col>
      <xdr:colOff>1129392</xdr:colOff>
      <xdr:row>116</xdr:row>
      <xdr:rowOff>144518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724B8D1-6E12-8301-4358-EED1787B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1069" y="11076209"/>
          <a:ext cx="2626180" cy="4920630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312964</xdr:colOff>
      <xdr:row>93</xdr:row>
      <xdr:rowOff>68036</xdr:rowOff>
    </xdr:from>
    <xdr:to>
      <xdr:col>6</xdr:col>
      <xdr:colOff>252962</xdr:colOff>
      <xdr:row>116</xdr:row>
      <xdr:rowOff>48350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20F5AA2-ECAD-A6C8-F016-5A65C249D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1821" y="11225893"/>
          <a:ext cx="2538962" cy="4674778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462644</xdr:colOff>
      <xdr:row>92</xdr:row>
      <xdr:rowOff>149677</xdr:rowOff>
    </xdr:from>
    <xdr:to>
      <xdr:col>8</xdr:col>
      <xdr:colOff>1241045</xdr:colOff>
      <xdr:row>116</xdr:row>
      <xdr:rowOff>22525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101944C-3A79-CEB5-A248-23CEF36A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80465" y="11103427"/>
          <a:ext cx="2520116" cy="4771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507C-66EA-4CDC-8834-EE30F2E0D2E2}">
  <sheetPr>
    <pageSetUpPr fitToPage="1"/>
  </sheetPr>
  <dimension ref="B2:O91"/>
  <sheetViews>
    <sheetView showGridLines="0" tabSelected="1" topLeftCell="A39" zoomScale="70" zoomScaleNormal="70" workbookViewId="0">
      <selection activeCell="O121" sqref="O121"/>
    </sheetView>
  </sheetViews>
  <sheetFormatPr defaultRowHeight="16.5" x14ac:dyDescent="0.3"/>
  <cols>
    <col min="1" max="1" width="2.625" customWidth="1"/>
    <col min="2" max="2" width="26.125" bestFit="1" customWidth="1"/>
    <col min="3" max="3" width="22.75" bestFit="1" customWidth="1"/>
    <col min="4" max="4" width="12.625" bestFit="1" customWidth="1"/>
    <col min="5" max="5" width="12.625" style="1" bestFit="1" customWidth="1"/>
    <col min="6" max="6" width="8.75" bestFit="1" customWidth="1"/>
    <col min="7" max="8" width="11.375" bestFit="1" customWidth="1"/>
    <col min="9" max="9" width="22.375" bestFit="1" customWidth="1"/>
    <col min="10" max="10" width="15.625" bestFit="1" customWidth="1"/>
    <col min="11" max="11" width="15.875" bestFit="1" customWidth="1"/>
    <col min="12" max="12" width="17.875" bestFit="1" customWidth="1"/>
    <col min="13" max="13" width="14.875" customWidth="1"/>
    <col min="14" max="14" width="14" customWidth="1"/>
    <col min="15" max="15" width="15.75" customWidth="1"/>
    <col min="16" max="16" width="16.125" bestFit="1" customWidth="1"/>
  </cols>
  <sheetData>
    <row r="2" spans="2:15" x14ac:dyDescent="0.3">
      <c r="B2" s="33" t="s">
        <v>59</v>
      </c>
      <c r="C2" s="12"/>
      <c r="D2" s="8"/>
      <c r="E2" s="8"/>
      <c r="F2" s="8"/>
      <c r="G2" s="8"/>
      <c r="H2" s="8"/>
      <c r="I2" s="8"/>
      <c r="J2" s="79" t="s">
        <v>41</v>
      </c>
      <c r="K2" s="79"/>
      <c r="L2" s="79"/>
      <c r="M2" s="79"/>
    </row>
    <row r="3" spans="2:15" x14ac:dyDescent="0.3">
      <c r="B3" s="27" t="s">
        <v>33</v>
      </c>
      <c r="C3" s="27" t="s">
        <v>38</v>
      </c>
      <c r="D3" s="27" t="s">
        <v>34</v>
      </c>
      <c r="E3" s="27" t="s">
        <v>39</v>
      </c>
      <c r="F3" s="27" t="s">
        <v>35</v>
      </c>
      <c r="G3" s="27" t="s">
        <v>40</v>
      </c>
      <c r="H3" s="13" t="s">
        <v>36</v>
      </c>
      <c r="I3" s="27" t="s">
        <v>37</v>
      </c>
      <c r="J3" s="27" t="s">
        <v>56</v>
      </c>
      <c r="K3" s="27" t="s">
        <v>57</v>
      </c>
      <c r="L3" s="27" t="s">
        <v>76</v>
      </c>
      <c r="M3" s="27" t="s">
        <v>55</v>
      </c>
    </row>
    <row r="4" spans="2:15" x14ac:dyDescent="0.3">
      <c r="B4" s="9" t="s">
        <v>42</v>
      </c>
      <c r="C4" s="15">
        <v>1200000</v>
      </c>
      <c r="D4" s="10">
        <v>0.45</v>
      </c>
      <c r="E4" s="15">
        <f>C4*D4</f>
        <v>540000</v>
      </c>
      <c r="F4" s="10">
        <v>0.6</v>
      </c>
      <c r="G4" s="15">
        <f>E4*F4</f>
        <v>324000</v>
      </c>
      <c r="H4" s="10">
        <v>0.2</v>
      </c>
      <c r="I4" s="20">
        <f>G4*H4</f>
        <v>64800</v>
      </c>
      <c r="J4" s="22">
        <f>I4*50%</f>
        <v>32400</v>
      </c>
      <c r="K4" s="22">
        <f>I4*35%</f>
        <v>22680</v>
      </c>
      <c r="L4" s="22">
        <f>I4*15%</f>
        <v>9720</v>
      </c>
      <c r="M4" s="28">
        <f>SUM(J4:L4)</f>
        <v>64800</v>
      </c>
    </row>
    <row r="5" spans="2:15" x14ac:dyDescent="0.3">
      <c r="H5" s="56"/>
    </row>
    <row r="6" spans="2:15" x14ac:dyDescent="0.3">
      <c r="B6" s="34" t="s">
        <v>60</v>
      </c>
      <c r="I6" s="35" t="s">
        <v>67</v>
      </c>
    </row>
    <row r="7" spans="2:15" x14ac:dyDescent="0.3">
      <c r="B7" s="31" t="s">
        <v>33</v>
      </c>
      <c r="C7" s="29" t="s">
        <v>0</v>
      </c>
      <c r="D7" s="29" t="s">
        <v>1</v>
      </c>
      <c r="E7" s="30" t="s">
        <v>2</v>
      </c>
      <c r="F7" s="29" t="s">
        <v>3</v>
      </c>
      <c r="G7" s="29" t="s">
        <v>4</v>
      </c>
      <c r="H7" s="36"/>
      <c r="I7" s="29" t="s">
        <v>62</v>
      </c>
      <c r="J7" s="29" t="s">
        <v>64</v>
      </c>
      <c r="K7" s="29" t="s">
        <v>65</v>
      </c>
      <c r="L7" s="37" t="s">
        <v>66</v>
      </c>
    </row>
    <row r="8" spans="2:15" x14ac:dyDescent="0.3">
      <c r="B8" s="86" t="s">
        <v>49</v>
      </c>
      <c r="C8" s="6" t="s">
        <v>23</v>
      </c>
      <c r="D8" s="2">
        <v>300</v>
      </c>
      <c r="E8" s="3">
        <v>0.2</v>
      </c>
      <c r="F8" s="2">
        <f>$J$4*E8</f>
        <v>6480</v>
      </c>
      <c r="G8" s="2">
        <f>D8*F8</f>
        <v>1944000</v>
      </c>
      <c r="I8" s="22">
        <f>N51</f>
        <v>7156033.0955999997</v>
      </c>
      <c r="J8" s="19">
        <v>900000</v>
      </c>
      <c r="K8" s="19">
        <v>750000</v>
      </c>
      <c r="L8" s="32">
        <f>I8-J8-K8</f>
        <v>5506033.0955999997</v>
      </c>
    </row>
    <row r="9" spans="2:15" x14ac:dyDescent="0.3">
      <c r="B9" s="86"/>
      <c r="C9" s="6" t="s">
        <v>16</v>
      </c>
      <c r="D9" s="2">
        <v>100</v>
      </c>
      <c r="E9" s="3">
        <v>0.79200000000000004</v>
      </c>
      <c r="F9" s="2">
        <f t="shared" ref="F9:F12" si="0">$J$4*E9</f>
        <v>25660.800000000003</v>
      </c>
      <c r="G9" s="2">
        <f t="shared" ref="G9:G12" si="1">D9*F9</f>
        <v>2566080.0000000005</v>
      </c>
    </row>
    <row r="10" spans="2:15" x14ac:dyDescent="0.3">
      <c r="B10" s="86"/>
      <c r="C10" s="6" t="s">
        <v>21</v>
      </c>
      <c r="D10" s="2">
        <v>1500</v>
      </c>
      <c r="E10" s="3">
        <v>5.0000000000000001E-3</v>
      </c>
      <c r="F10" s="2">
        <f t="shared" si="0"/>
        <v>162</v>
      </c>
      <c r="G10" s="2">
        <f t="shared" si="1"/>
        <v>243000</v>
      </c>
    </row>
    <row r="11" spans="2:15" x14ac:dyDescent="0.3">
      <c r="B11" s="86"/>
      <c r="C11" s="7" t="s">
        <v>20</v>
      </c>
      <c r="D11" s="2">
        <v>4700</v>
      </c>
      <c r="E11" s="3">
        <v>2E-3</v>
      </c>
      <c r="F11" s="2">
        <f t="shared" si="0"/>
        <v>64.8</v>
      </c>
      <c r="G11" s="2">
        <f t="shared" si="1"/>
        <v>304560</v>
      </c>
    </row>
    <row r="12" spans="2:15" x14ac:dyDescent="0.3">
      <c r="B12" s="86"/>
      <c r="C12" s="6" t="s">
        <v>18</v>
      </c>
      <c r="D12" s="2">
        <v>25500</v>
      </c>
      <c r="E12" s="3">
        <v>1E-3</v>
      </c>
      <c r="F12" s="2">
        <f t="shared" si="0"/>
        <v>32.4</v>
      </c>
      <c r="G12" s="2">
        <f t="shared" si="1"/>
        <v>826200</v>
      </c>
      <c r="I12" s="33" t="s">
        <v>70</v>
      </c>
      <c r="J12" s="8"/>
      <c r="K12" s="8"/>
    </row>
    <row r="13" spans="2:15" x14ac:dyDescent="0.3">
      <c r="B13" s="86"/>
      <c r="C13" s="16" t="s">
        <v>50</v>
      </c>
      <c r="D13" s="20"/>
      <c r="E13" s="17">
        <f>SUM(E8:E12)</f>
        <v>1</v>
      </c>
      <c r="F13" s="18">
        <f>SUM(F8:F12)</f>
        <v>32400.000000000004</v>
      </c>
      <c r="G13" s="26">
        <f>SUM(G8:G12)</f>
        <v>5883840</v>
      </c>
      <c r="I13" s="27" t="s">
        <v>33</v>
      </c>
      <c r="J13" s="13" t="s">
        <v>36</v>
      </c>
      <c r="K13" s="27" t="s">
        <v>37</v>
      </c>
      <c r="L13" s="27" t="s">
        <v>68</v>
      </c>
      <c r="M13" s="27" t="s">
        <v>69</v>
      </c>
      <c r="N13" s="14" t="s">
        <v>63</v>
      </c>
    </row>
    <row r="14" spans="2:15" x14ac:dyDescent="0.3">
      <c r="B14" s="86" t="s">
        <v>51</v>
      </c>
      <c r="C14" s="6" t="s">
        <v>22</v>
      </c>
      <c r="D14" s="2">
        <v>700</v>
      </c>
      <c r="E14" s="3">
        <v>0.2</v>
      </c>
      <c r="F14" s="2">
        <f>$K$4*E14</f>
        <v>4536</v>
      </c>
      <c r="G14" s="2">
        <f>D14*F14</f>
        <v>3175200</v>
      </c>
      <c r="I14" s="9" t="s">
        <v>42</v>
      </c>
      <c r="J14" s="10">
        <v>0.2</v>
      </c>
      <c r="K14" s="11">
        <v>64800</v>
      </c>
      <c r="L14" s="19">
        <v>7156033</v>
      </c>
      <c r="M14" s="19">
        <v>1800000</v>
      </c>
      <c r="N14" s="32">
        <f t="shared" ref="N14" si="2">L14-M14</f>
        <v>5356033</v>
      </c>
    </row>
    <row r="15" spans="2:15" x14ac:dyDescent="0.3">
      <c r="B15" s="86"/>
      <c r="C15" s="6" t="s">
        <v>16</v>
      </c>
      <c r="D15" s="2">
        <v>600</v>
      </c>
      <c r="E15" s="3">
        <v>0.79300000000000004</v>
      </c>
      <c r="F15" s="2">
        <f>$K$4*E15</f>
        <v>17985.240000000002</v>
      </c>
      <c r="G15" s="2">
        <f>D15*F15</f>
        <v>10791144.000000002</v>
      </c>
      <c r="I15" s="8"/>
      <c r="J15" s="70"/>
      <c r="K15" s="71"/>
      <c r="L15" s="72"/>
      <c r="M15" s="72"/>
      <c r="N15" s="73"/>
    </row>
    <row r="16" spans="2:15" x14ac:dyDescent="0.3">
      <c r="B16" s="86"/>
      <c r="C16" s="6" t="s">
        <v>21</v>
      </c>
      <c r="D16" s="2">
        <v>1500</v>
      </c>
      <c r="E16" s="3">
        <v>5.0000000000000001E-3</v>
      </c>
      <c r="F16" s="2">
        <f>$K$4*E16</f>
        <v>113.4</v>
      </c>
      <c r="G16" s="2">
        <f t="shared" ref="G16:G18" si="3">D16*F16</f>
        <v>170100</v>
      </c>
      <c r="I16" s="8"/>
      <c r="J16" s="70"/>
      <c r="K16" s="71"/>
      <c r="L16" s="72"/>
      <c r="M16" s="72"/>
      <c r="N16" s="73"/>
      <c r="O16" s="69"/>
    </row>
    <row r="17" spans="2:15" x14ac:dyDescent="0.3">
      <c r="B17" s="86"/>
      <c r="C17" s="7" t="s">
        <v>18</v>
      </c>
      <c r="D17" s="2">
        <v>25500</v>
      </c>
      <c r="E17" s="3">
        <v>1E-3</v>
      </c>
      <c r="F17" s="2">
        <f>$K$4*E17</f>
        <v>22.68</v>
      </c>
      <c r="G17" s="2">
        <f t="shared" si="3"/>
        <v>578340</v>
      </c>
      <c r="I17" s="8"/>
      <c r="J17" s="70"/>
      <c r="K17" s="71"/>
      <c r="L17" s="72"/>
      <c r="M17" s="72"/>
      <c r="N17" s="73"/>
    </row>
    <row r="18" spans="2:15" x14ac:dyDescent="0.3">
      <c r="B18" s="86"/>
      <c r="C18" s="6" t="s">
        <v>19</v>
      </c>
      <c r="D18" s="2">
        <v>30000</v>
      </c>
      <c r="E18" s="3">
        <v>1E-3</v>
      </c>
      <c r="F18" s="2">
        <f>$K$4*E18</f>
        <v>22.68</v>
      </c>
      <c r="G18" s="2">
        <f t="shared" si="3"/>
        <v>680400</v>
      </c>
      <c r="I18" s="8"/>
      <c r="J18" s="70"/>
      <c r="K18" s="71"/>
      <c r="L18" s="72"/>
      <c r="M18" s="72"/>
      <c r="N18" s="73"/>
    </row>
    <row r="19" spans="2:15" x14ac:dyDescent="0.3">
      <c r="B19" s="86"/>
      <c r="C19" s="62" t="s">
        <v>52</v>
      </c>
      <c r="D19" s="21"/>
      <c r="E19" s="17">
        <f>SUM(E14:E18)</f>
        <v>1</v>
      </c>
      <c r="F19" s="18">
        <f>SUM(F14:F18)</f>
        <v>22680.000000000004</v>
      </c>
      <c r="G19" s="26">
        <f>SUM(G14:G18)</f>
        <v>15395184.000000002</v>
      </c>
    </row>
    <row r="20" spans="2:15" x14ac:dyDescent="0.3">
      <c r="B20" s="86" t="s">
        <v>54</v>
      </c>
      <c r="C20" s="6" t="s">
        <v>28</v>
      </c>
      <c r="D20" s="2">
        <v>1800</v>
      </c>
      <c r="E20" s="3">
        <v>0.4</v>
      </c>
      <c r="F20" s="2">
        <f>$L$4*E20</f>
        <v>3888</v>
      </c>
      <c r="G20" s="2">
        <f>D20*F20</f>
        <v>6998400</v>
      </c>
    </row>
    <row r="21" spans="2:15" x14ac:dyDescent="0.3">
      <c r="B21" s="86"/>
      <c r="C21" s="6" t="s">
        <v>30</v>
      </c>
      <c r="D21" s="2">
        <v>2000</v>
      </c>
      <c r="E21" s="3">
        <v>0.1</v>
      </c>
      <c r="F21" s="2">
        <f t="shared" ref="F21:F25" si="4">$L$4*E21</f>
        <v>972</v>
      </c>
      <c r="G21" s="2">
        <f>D21*F21</f>
        <v>1944000</v>
      </c>
    </row>
    <row r="22" spans="2:15" x14ac:dyDescent="0.3">
      <c r="B22" s="86"/>
      <c r="C22" s="6" t="s">
        <v>32</v>
      </c>
      <c r="D22" s="2">
        <v>2000</v>
      </c>
      <c r="E22" s="3">
        <v>0.1</v>
      </c>
      <c r="F22" s="2">
        <f t="shared" si="4"/>
        <v>972</v>
      </c>
      <c r="G22" s="2">
        <f t="shared" ref="G22:G25" si="5">D22*F22</f>
        <v>1944000</v>
      </c>
    </row>
    <row r="23" spans="2:15" x14ac:dyDescent="0.3">
      <c r="B23" s="86"/>
      <c r="C23" s="6" t="s">
        <v>26</v>
      </c>
      <c r="D23" s="2">
        <v>4700</v>
      </c>
      <c r="E23" s="3">
        <v>1E-3</v>
      </c>
      <c r="F23" s="2">
        <f t="shared" si="4"/>
        <v>9.7200000000000006</v>
      </c>
      <c r="G23" s="2">
        <f t="shared" si="5"/>
        <v>45684</v>
      </c>
    </row>
    <row r="24" spans="2:15" x14ac:dyDescent="0.3">
      <c r="B24" s="86"/>
      <c r="C24" s="6" t="s">
        <v>20</v>
      </c>
      <c r="D24" s="2">
        <v>4700</v>
      </c>
      <c r="E24" s="3">
        <v>1E-3</v>
      </c>
      <c r="F24" s="2">
        <f t="shared" si="4"/>
        <v>9.7200000000000006</v>
      </c>
      <c r="G24" s="2">
        <f t="shared" si="5"/>
        <v>45684</v>
      </c>
    </row>
    <row r="25" spans="2:15" x14ac:dyDescent="0.3">
      <c r="B25" s="86"/>
      <c r="C25" s="6" t="s">
        <v>16</v>
      </c>
      <c r="D25" s="2">
        <v>1600</v>
      </c>
      <c r="E25" s="3">
        <v>0.39800000000000002</v>
      </c>
      <c r="F25" s="2">
        <f t="shared" si="4"/>
        <v>3868.5600000000004</v>
      </c>
      <c r="G25" s="2">
        <f t="shared" si="5"/>
        <v>6189696.0000000009</v>
      </c>
    </row>
    <row r="26" spans="2:15" x14ac:dyDescent="0.3">
      <c r="B26" s="86"/>
      <c r="C26" s="16" t="s">
        <v>53</v>
      </c>
      <c r="D26" s="20"/>
      <c r="E26" s="17">
        <f>SUM(E20:E25)</f>
        <v>1</v>
      </c>
      <c r="F26" s="18">
        <f>SUM(F20:F25)</f>
        <v>9720</v>
      </c>
      <c r="G26" s="26">
        <f>SUM(G20:G25)</f>
        <v>17167464</v>
      </c>
    </row>
    <row r="27" spans="2:15" x14ac:dyDescent="0.3">
      <c r="B27" s="87" t="s">
        <v>15</v>
      </c>
      <c r="C27" s="87"/>
      <c r="D27" s="23"/>
      <c r="E27" s="24"/>
      <c r="F27" s="25">
        <f>SUM(F26,F19,F13)</f>
        <v>64800.000000000007</v>
      </c>
      <c r="G27" s="23">
        <f>SUM(G26,G19,G13)</f>
        <v>38446488</v>
      </c>
    </row>
    <row r="28" spans="2:15" x14ac:dyDescent="0.3">
      <c r="C28" s="4"/>
      <c r="D28" s="5"/>
      <c r="F28" s="4"/>
      <c r="G28" s="5"/>
    </row>
    <row r="29" spans="2:15" x14ac:dyDescent="0.3">
      <c r="B29" s="34" t="s">
        <v>61</v>
      </c>
    </row>
    <row r="30" spans="2:15" x14ac:dyDescent="0.3">
      <c r="B30" s="83" t="s">
        <v>5</v>
      </c>
      <c r="C30" s="84"/>
      <c r="D30" s="84"/>
      <c r="E30" s="84"/>
      <c r="F30" s="84"/>
      <c r="G30" s="85"/>
      <c r="H30" s="40" t="s">
        <v>46</v>
      </c>
      <c r="I30" s="88" t="s">
        <v>44</v>
      </c>
      <c r="J30" s="88"/>
      <c r="K30" s="88"/>
      <c r="L30" s="88"/>
      <c r="M30" s="89" t="s">
        <v>6</v>
      </c>
      <c r="N30" s="89"/>
      <c r="O30" s="89"/>
    </row>
    <row r="31" spans="2:15" ht="27" x14ac:dyDescent="0.3">
      <c r="B31" s="41" t="s">
        <v>33</v>
      </c>
      <c r="C31" s="41" t="s">
        <v>7</v>
      </c>
      <c r="D31" s="41" t="s">
        <v>8</v>
      </c>
      <c r="E31" s="42" t="s">
        <v>9</v>
      </c>
      <c r="F31" s="41" t="s">
        <v>10</v>
      </c>
      <c r="G31" s="41" t="s">
        <v>11</v>
      </c>
      <c r="H31" s="42" t="s">
        <v>45</v>
      </c>
      <c r="I31" s="41" t="s">
        <v>43</v>
      </c>
      <c r="J31" s="41" t="s">
        <v>47</v>
      </c>
      <c r="K31" s="41" t="s">
        <v>43</v>
      </c>
      <c r="L31" s="41" t="s">
        <v>58</v>
      </c>
      <c r="M31" s="41" t="s">
        <v>12</v>
      </c>
      <c r="N31" s="43" t="s">
        <v>13</v>
      </c>
      <c r="O31" s="41" t="s">
        <v>14</v>
      </c>
    </row>
    <row r="32" spans="2:15" x14ac:dyDescent="0.3">
      <c r="B32" s="80" t="s">
        <v>49</v>
      </c>
      <c r="C32" s="38" t="s">
        <v>23</v>
      </c>
      <c r="D32" s="44">
        <v>300</v>
      </c>
      <c r="E32" s="45">
        <v>3.3000000000000002E-2</v>
      </c>
      <c r="F32" s="46">
        <f>F8</f>
        <v>6480</v>
      </c>
      <c r="G32" s="46">
        <f t="shared" ref="G32" si="6">D32*F32</f>
        <v>1944000</v>
      </c>
      <c r="H32" s="46">
        <f t="shared" ref="H32" si="7">F32*100</f>
        <v>648000</v>
      </c>
      <c r="I32" s="47">
        <f t="shared" ref="I32" si="8">1-M32</f>
        <v>0.4</v>
      </c>
      <c r="J32" s="46">
        <f>(G32*I32)*E32</f>
        <v>25660.800000000003</v>
      </c>
      <c r="K32" s="46">
        <f>G32*I32</f>
        <v>777600</v>
      </c>
      <c r="L32" s="46">
        <f t="shared" ref="L32" si="9">K32-J32</f>
        <v>751939.2</v>
      </c>
      <c r="M32" s="48">
        <v>0.6</v>
      </c>
      <c r="N32" s="46">
        <f>(H32-L32)+J32</f>
        <v>-78278.399999999951</v>
      </c>
      <c r="O32" s="49">
        <f t="shared" ref="O32:O51" si="10">N32/G32</f>
        <v>-4.0266666666666638E-2</v>
      </c>
    </row>
    <row r="33" spans="2:15" x14ac:dyDescent="0.3">
      <c r="B33" s="81"/>
      <c r="C33" s="39" t="s">
        <v>16</v>
      </c>
      <c r="D33" s="44">
        <v>100</v>
      </c>
      <c r="E33" s="45">
        <v>0</v>
      </c>
      <c r="F33" s="46">
        <f>F9</f>
        <v>25660.800000000003</v>
      </c>
      <c r="G33" s="46">
        <f t="shared" ref="G33:G49" si="11">D33*F33</f>
        <v>2566080.0000000005</v>
      </c>
      <c r="H33" s="46">
        <f>F33*100</f>
        <v>2566080.0000000005</v>
      </c>
      <c r="I33" s="47">
        <f>1-M33</f>
        <v>9.9999999999999978E-2</v>
      </c>
      <c r="J33" s="46">
        <f>(G33*I33)*E33</f>
        <v>0</v>
      </c>
      <c r="K33" s="46">
        <f>G33*I33</f>
        <v>256608</v>
      </c>
      <c r="L33" s="46">
        <f>K33-J33</f>
        <v>256608</v>
      </c>
      <c r="M33" s="48">
        <v>0.9</v>
      </c>
      <c r="N33" s="46">
        <f t="shared" ref="N33:N36" si="12">(H33-L33)+J33</f>
        <v>2309472.0000000005</v>
      </c>
      <c r="O33" s="49">
        <f t="shared" si="10"/>
        <v>0.9</v>
      </c>
    </row>
    <row r="34" spans="2:15" x14ac:dyDescent="0.3">
      <c r="B34" s="81"/>
      <c r="C34" s="38" t="s">
        <v>21</v>
      </c>
      <c r="D34" s="44">
        <v>1500</v>
      </c>
      <c r="E34" s="45">
        <v>7.6999999999999999E-2</v>
      </c>
      <c r="F34" s="46">
        <f>F10</f>
        <v>162</v>
      </c>
      <c r="G34" s="46">
        <f t="shared" si="11"/>
        <v>243000</v>
      </c>
      <c r="H34" s="46">
        <f t="shared" ref="H34:H36" si="13">F34*100</f>
        <v>16200</v>
      </c>
      <c r="I34" s="47">
        <f t="shared" ref="I34:I36" si="14">1-M34</f>
        <v>0.85</v>
      </c>
      <c r="J34" s="46">
        <f>(G34*I34)*E34</f>
        <v>15904.35</v>
      </c>
      <c r="K34" s="46">
        <f>G34*I34</f>
        <v>206550</v>
      </c>
      <c r="L34" s="46">
        <f t="shared" ref="L34:L36" si="15">K34-J34</f>
        <v>190645.65</v>
      </c>
      <c r="M34" s="48">
        <v>0.15</v>
      </c>
      <c r="N34" s="46">
        <f t="shared" si="12"/>
        <v>-158541.29999999999</v>
      </c>
      <c r="O34" s="49">
        <f t="shared" si="10"/>
        <v>-0.65243333333333331</v>
      </c>
    </row>
    <row r="35" spans="2:15" x14ac:dyDescent="0.3">
      <c r="B35" s="81"/>
      <c r="C35" s="39" t="s">
        <v>17</v>
      </c>
      <c r="D35" s="44">
        <v>4700</v>
      </c>
      <c r="E35" s="45">
        <v>5.0599999999999999E-2</v>
      </c>
      <c r="F35" s="46">
        <f>F11</f>
        <v>64.8</v>
      </c>
      <c r="G35" s="46">
        <f t="shared" si="11"/>
        <v>304560</v>
      </c>
      <c r="H35" s="46">
        <f t="shared" si="13"/>
        <v>6480</v>
      </c>
      <c r="I35" s="47">
        <f t="shared" si="14"/>
        <v>0.9</v>
      </c>
      <c r="J35" s="46">
        <f>(G35*I35)*E35</f>
        <v>13869.662399999999</v>
      </c>
      <c r="K35" s="46">
        <f>G35*I35</f>
        <v>274104</v>
      </c>
      <c r="L35" s="46">
        <f t="shared" si="15"/>
        <v>260234.3376</v>
      </c>
      <c r="M35" s="48">
        <v>0.1</v>
      </c>
      <c r="N35" s="46">
        <f t="shared" si="12"/>
        <v>-239884.6752</v>
      </c>
      <c r="O35" s="49">
        <f t="shared" si="10"/>
        <v>-0.78764340425531909</v>
      </c>
    </row>
    <row r="36" spans="2:15" x14ac:dyDescent="0.3">
      <c r="B36" s="81"/>
      <c r="C36" s="39" t="s">
        <v>18</v>
      </c>
      <c r="D36" s="44">
        <v>25500</v>
      </c>
      <c r="E36" s="50">
        <v>0.04</v>
      </c>
      <c r="F36" s="46">
        <f>F12</f>
        <v>32.4</v>
      </c>
      <c r="G36" s="46">
        <f t="shared" si="11"/>
        <v>826200</v>
      </c>
      <c r="H36" s="46">
        <f t="shared" si="13"/>
        <v>3240</v>
      </c>
      <c r="I36" s="47">
        <f t="shared" si="14"/>
        <v>1</v>
      </c>
      <c r="J36" s="46">
        <f>(G36*I36)*E36</f>
        <v>33048</v>
      </c>
      <c r="K36" s="46">
        <f>G36*I36</f>
        <v>826200</v>
      </c>
      <c r="L36" s="46">
        <f t="shared" si="15"/>
        <v>793152</v>
      </c>
      <c r="M36" s="48">
        <v>0</v>
      </c>
      <c r="N36" s="46">
        <f t="shared" si="12"/>
        <v>-756864</v>
      </c>
      <c r="O36" s="49">
        <f t="shared" si="10"/>
        <v>-0.91607843137254907</v>
      </c>
    </row>
    <row r="37" spans="2:15" x14ac:dyDescent="0.3">
      <c r="B37" s="82"/>
      <c r="C37" s="51" t="s">
        <v>48</v>
      </c>
      <c r="D37" s="52"/>
      <c r="E37" s="52"/>
      <c r="F37" s="53">
        <f>SUM(F32:F36)</f>
        <v>32400.000000000004</v>
      </c>
      <c r="G37" s="53">
        <f>SUM(G32:G36)</f>
        <v>5883840</v>
      </c>
      <c r="H37" s="53">
        <f>SUM(H32:H36)</f>
        <v>3240000.0000000005</v>
      </c>
      <c r="I37" s="53"/>
      <c r="J37" s="53">
        <f>SUM(J32:J36)</f>
        <v>88482.812399999995</v>
      </c>
      <c r="K37" s="53">
        <f>SUM(K32:K36)</f>
        <v>2341062</v>
      </c>
      <c r="L37" s="53">
        <f>SUM(L32:L36)</f>
        <v>2252579.1875999998</v>
      </c>
      <c r="M37" s="53"/>
      <c r="N37" s="53">
        <f>SUM(N32:N36)</f>
        <v>1075903.6248000006</v>
      </c>
      <c r="O37" s="54">
        <f t="shared" si="10"/>
        <v>0.1828573898678415</v>
      </c>
    </row>
    <row r="38" spans="2:15" x14ac:dyDescent="0.3">
      <c r="B38" s="80" t="s">
        <v>51</v>
      </c>
      <c r="C38" s="38" t="s">
        <v>22</v>
      </c>
      <c r="D38" s="44">
        <v>700</v>
      </c>
      <c r="E38" s="45">
        <v>3.3000000000000002E-2</v>
      </c>
      <c r="F38" s="46">
        <f>F14</f>
        <v>4536</v>
      </c>
      <c r="G38" s="46">
        <f t="shared" si="11"/>
        <v>3175200</v>
      </c>
      <c r="H38" s="46">
        <f>F38*500</f>
        <v>2268000</v>
      </c>
      <c r="I38" s="47">
        <f>1-M38</f>
        <v>0.5</v>
      </c>
      <c r="J38" s="46">
        <f>(G38*I38)*E38</f>
        <v>52390.8</v>
      </c>
      <c r="K38" s="46">
        <f>G38*I38</f>
        <v>1587600</v>
      </c>
      <c r="L38" s="46">
        <f t="shared" ref="L38:L42" si="16">K38-J38</f>
        <v>1535209.2</v>
      </c>
      <c r="M38" s="48">
        <v>0.5</v>
      </c>
      <c r="N38" s="46">
        <f>(H38-L38)+J38</f>
        <v>785181.60000000009</v>
      </c>
      <c r="O38" s="49">
        <f t="shared" si="10"/>
        <v>0.2472857142857143</v>
      </c>
    </row>
    <row r="39" spans="2:15" x14ac:dyDescent="0.3">
      <c r="B39" s="81"/>
      <c r="C39" s="39" t="s">
        <v>16</v>
      </c>
      <c r="D39" s="44">
        <v>600</v>
      </c>
      <c r="E39" s="45">
        <v>0</v>
      </c>
      <c r="F39" s="46">
        <f t="shared" ref="F39:F42" si="17">F15</f>
        <v>17985.240000000002</v>
      </c>
      <c r="G39" s="46">
        <f t="shared" si="11"/>
        <v>10791144.000000002</v>
      </c>
      <c r="H39" s="46">
        <f t="shared" ref="H39:H42" si="18">F39*500</f>
        <v>8992620</v>
      </c>
      <c r="I39" s="47">
        <f t="shared" ref="I39:I42" si="19">1-M39</f>
        <v>0.5</v>
      </c>
      <c r="J39" s="46">
        <f>(G39*I39)*E39</f>
        <v>0</v>
      </c>
      <c r="K39" s="46">
        <f>G39*I39</f>
        <v>5395572.0000000009</v>
      </c>
      <c r="L39" s="46">
        <f t="shared" si="16"/>
        <v>5395572.0000000009</v>
      </c>
      <c r="M39" s="48">
        <v>0.5</v>
      </c>
      <c r="N39" s="46">
        <f t="shared" ref="N39:N42" si="20">(H39-L39)+J39</f>
        <v>3597047.9999999991</v>
      </c>
      <c r="O39" s="49">
        <f t="shared" si="10"/>
        <v>0.3333333333333332</v>
      </c>
    </row>
    <row r="40" spans="2:15" x14ac:dyDescent="0.3">
      <c r="B40" s="81"/>
      <c r="C40" s="38" t="s">
        <v>21</v>
      </c>
      <c r="D40" s="44">
        <v>1500</v>
      </c>
      <c r="E40" s="45">
        <v>7.6999999999999999E-2</v>
      </c>
      <c r="F40" s="46">
        <f t="shared" si="17"/>
        <v>113.4</v>
      </c>
      <c r="G40" s="46">
        <f t="shared" si="11"/>
        <v>170100</v>
      </c>
      <c r="H40" s="46">
        <f t="shared" si="18"/>
        <v>56700</v>
      </c>
      <c r="I40" s="47">
        <f t="shared" si="19"/>
        <v>0.85</v>
      </c>
      <c r="J40" s="46">
        <f>(G40*I40)*E40</f>
        <v>11133.045</v>
      </c>
      <c r="K40" s="46">
        <f>G40*I40</f>
        <v>144585</v>
      </c>
      <c r="L40" s="46">
        <f t="shared" si="16"/>
        <v>133451.95499999999</v>
      </c>
      <c r="M40" s="48">
        <v>0.15</v>
      </c>
      <c r="N40" s="46">
        <f t="shared" si="20"/>
        <v>-65618.909999999989</v>
      </c>
      <c r="O40" s="49">
        <f t="shared" si="10"/>
        <v>-0.38576666666666659</v>
      </c>
    </row>
    <row r="41" spans="2:15" x14ac:dyDescent="0.3">
      <c r="B41" s="81"/>
      <c r="C41" s="39" t="s">
        <v>18</v>
      </c>
      <c r="D41" s="44">
        <v>25500</v>
      </c>
      <c r="E41" s="50">
        <v>0.04</v>
      </c>
      <c r="F41" s="46">
        <f t="shared" si="17"/>
        <v>22.68</v>
      </c>
      <c r="G41" s="46">
        <f t="shared" si="11"/>
        <v>578340</v>
      </c>
      <c r="H41" s="46">
        <f t="shared" si="18"/>
        <v>11340</v>
      </c>
      <c r="I41" s="47">
        <f t="shared" si="19"/>
        <v>1</v>
      </c>
      <c r="J41" s="46">
        <f>(G41*I41)*E41</f>
        <v>23133.600000000002</v>
      </c>
      <c r="K41" s="46">
        <f>G41*I41</f>
        <v>578340</v>
      </c>
      <c r="L41" s="46">
        <f t="shared" si="16"/>
        <v>555206.40000000002</v>
      </c>
      <c r="M41" s="48">
        <v>0</v>
      </c>
      <c r="N41" s="46">
        <f t="shared" si="20"/>
        <v>-520732.80000000005</v>
      </c>
      <c r="O41" s="49">
        <f t="shared" si="10"/>
        <v>-0.90039215686274521</v>
      </c>
    </row>
    <row r="42" spans="2:15" x14ac:dyDescent="0.3">
      <c r="B42" s="81"/>
      <c r="C42" s="39" t="s">
        <v>19</v>
      </c>
      <c r="D42" s="44">
        <v>30000</v>
      </c>
      <c r="E42" s="50">
        <v>1.4999999999999999E-2</v>
      </c>
      <c r="F42" s="46">
        <f t="shared" si="17"/>
        <v>22.68</v>
      </c>
      <c r="G42" s="46">
        <f t="shared" si="11"/>
        <v>680400</v>
      </c>
      <c r="H42" s="46">
        <f t="shared" si="18"/>
        <v>11340</v>
      </c>
      <c r="I42" s="47">
        <f t="shared" si="19"/>
        <v>1</v>
      </c>
      <c r="J42" s="46">
        <f>(G42*I42)*E42</f>
        <v>10206</v>
      </c>
      <c r="K42" s="46">
        <f>G42*I42</f>
        <v>680400</v>
      </c>
      <c r="L42" s="46">
        <f t="shared" si="16"/>
        <v>670194</v>
      </c>
      <c r="M42" s="48">
        <v>0</v>
      </c>
      <c r="N42" s="46">
        <f t="shared" si="20"/>
        <v>-648648</v>
      </c>
      <c r="O42" s="49">
        <f t="shared" si="10"/>
        <v>-0.95333333333333337</v>
      </c>
    </row>
    <row r="43" spans="2:15" x14ac:dyDescent="0.3">
      <c r="B43" s="82"/>
      <c r="C43" s="51" t="s">
        <v>48</v>
      </c>
      <c r="D43" s="52"/>
      <c r="E43" s="52"/>
      <c r="F43" s="53">
        <f>SUM(F38:F42)</f>
        <v>22680.000000000004</v>
      </c>
      <c r="G43" s="53">
        <f>SUM(G38:G42)</f>
        <v>15395184.000000002</v>
      </c>
      <c r="H43" s="53">
        <f>SUM(H38:H42)</f>
        <v>11340000</v>
      </c>
      <c r="I43" s="53"/>
      <c r="J43" s="53">
        <f>SUM(J38:J42)</f>
        <v>96863.445000000007</v>
      </c>
      <c r="K43" s="53">
        <f>SUM(K38:K42)</f>
        <v>8386497.0000000009</v>
      </c>
      <c r="L43" s="53">
        <f>SUM(L38:L42)</f>
        <v>8289633.5550000016</v>
      </c>
      <c r="M43" s="53"/>
      <c r="N43" s="53">
        <f>SUM(N38:N42)</f>
        <v>3147229.8899999997</v>
      </c>
      <c r="O43" s="54">
        <f t="shared" si="10"/>
        <v>0.20442950795521503</v>
      </c>
    </row>
    <row r="44" spans="2:15" x14ac:dyDescent="0.3">
      <c r="B44" s="80" t="s">
        <v>54</v>
      </c>
      <c r="C44" s="38" t="s">
        <v>27</v>
      </c>
      <c r="D44" s="44">
        <v>1800</v>
      </c>
      <c r="E44" s="45">
        <v>7.6999999999999999E-2</v>
      </c>
      <c r="F44" s="46">
        <f>F20</f>
        <v>3888</v>
      </c>
      <c r="G44" s="46">
        <f t="shared" si="11"/>
        <v>6998400</v>
      </c>
      <c r="H44" s="46">
        <f>F44*1500</f>
        <v>5832000</v>
      </c>
      <c r="I44" s="47">
        <f>1-M44</f>
        <v>0.5</v>
      </c>
      <c r="J44" s="46">
        <f t="shared" ref="J44:J49" si="21">(G44*I44)*E44</f>
        <v>269438.40000000002</v>
      </c>
      <c r="K44" s="46">
        <f t="shared" ref="K44:K49" si="22">G44*I44</f>
        <v>3499200</v>
      </c>
      <c r="L44" s="46">
        <f t="shared" ref="L44:L47" si="23">K44-J44</f>
        <v>3229761.6</v>
      </c>
      <c r="M44" s="48">
        <v>0.5</v>
      </c>
      <c r="N44" s="46">
        <f>(H44-L44)+J44</f>
        <v>2871676.8</v>
      </c>
      <c r="O44" s="49">
        <f t="shared" si="10"/>
        <v>0.41033333333333333</v>
      </c>
    </row>
    <row r="45" spans="2:15" x14ac:dyDescent="0.3">
      <c r="B45" s="81"/>
      <c r="C45" s="38" t="s">
        <v>29</v>
      </c>
      <c r="D45" s="44">
        <v>2000</v>
      </c>
      <c r="E45" s="45">
        <v>0.04</v>
      </c>
      <c r="F45" s="46">
        <f t="shared" ref="F45:F49" si="24">F21</f>
        <v>972</v>
      </c>
      <c r="G45" s="46">
        <f t="shared" si="11"/>
        <v>1944000</v>
      </c>
      <c r="H45" s="46">
        <f t="shared" ref="H45:H49" si="25">F45*1500</f>
        <v>1458000</v>
      </c>
      <c r="I45" s="47">
        <f t="shared" ref="I45:I47" si="26">1-M45</f>
        <v>0.5</v>
      </c>
      <c r="J45" s="46">
        <f t="shared" si="21"/>
        <v>38880</v>
      </c>
      <c r="K45" s="46">
        <f t="shared" si="22"/>
        <v>972000</v>
      </c>
      <c r="L45" s="46">
        <f t="shared" si="23"/>
        <v>933120</v>
      </c>
      <c r="M45" s="48">
        <v>0.5</v>
      </c>
      <c r="N45" s="46">
        <f t="shared" ref="N45:N49" si="27">(H45-L45)+J45</f>
        <v>563760</v>
      </c>
      <c r="O45" s="49">
        <f t="shared" si="10"/>
        <v>0.28999999999999998</v>
      </c>
    </row>
    <row r="46" spans="2:15" x14ac:dyDescent="0.3">
      <c r="B46" s="81"/>
      <c r="C46" s="38" t="s">
        <v>31</v>
      </c>
      <c r="D46" s="44">
        <v>2000</v>
      </c>
      <c r="E46" s="45">
        <v>0.04</v>
      </c>
      <c r="F46" s="46">
        <f t="shared" si="24"/>
        <v>972</v>
      </c>
      <c r="G46" s="46">
        <f t="shared" si="11"/>
        <v>1944000</v>
      </c>
      <c r="H46" s="46">
        <f t="shared" si="25"/>
        <v>1458000</v>
      </c>
      <c r="I46" s="47">
        <f t="shared" si="26"/>
        <v>0.85</v>
      </c>
      <c r="J46" s="46">
        <f t="shared" si="21"/>
        <v>66096</v>
      </c>
      <c r="K46" s="46">
        <f t="shared" si="22"/>
        <v>1652400</v>
      </c>
      <c r="L46" s="46">
        <f t="shared" si="23"/>
        <v>1586304</v>
      </c>
      <c r="M46" s="48">
        <v>0.15</v>
      </c>
      <c r="N46" s="46">
        <f t="shared" si="27"/>
        <v>-62208</v>
      </c>
      <c r="O46" s="49">
        <f t="shared" si="10"/>
        <v>-3.2000000000000001E-2</v>
      </c>
    </row>
    <row r="47" spans="2:15" x14ac:dyDescent="0.3">
      <c r="B47" s="81"/>
      <c r="C47" s="38" t="s">
        <v>25</v>
      </c>
      <c r="D47" s="44">
        <v>4700</v>
      </c>
      <c r="E47" s="45">
        <v>4.4999999999999998E-2</v>
      </c>
      <c r="F47" s="46">
        <f t="shared" si="24"/>
        <v>9.7200000000000006</v>
      </c>
      <c r="G47" s="46">
        <f t="shared" si="11"/>
        <v>45684</v>
      </c>
      <c r="H47" s="46">
        <f t="shared" si="25"/>
        <v>14580.000000000002</v>
      </c>
      <c r="I47" s="47">
        <f t="shared" si="26"/>
        <v>1</v>
      </c>
      <c r="J47" s="46">
        <f t="shared" si="21"/>
        <v>2055.7799999999997</v>
      </c>
      <c r="K47" s="46">
        <f t="shared" si="22"/>
        <v>45684</v>
      </c>
      <c r="L47" s="46">
        <f t="shared" si="23"/>
        <v>43628.22</v>
      </c>
      <c r="M47" s="48">
        <v>0</v>
      </c>
      <c r="N47" s="46">
        <f t="shared" si="27"/>
        <v>-26992.440000000002</v>
      </c>
      <c r="O47" s="49">
        <f t="shared" si="10"/>
        <v>-0.59085106382978725</v>
      </c>
    </row>
    <row r="48" spans="2:15" x14ac:dyDescent="0.3">
      <c r="B48" s="81"/>
      <c r="C48" s="38" t="s">
        <v>24</v>
      </c>
      <c r="D48" s="44">
        <v>4700</v>
      </c>
      <c r="E48" s="50">
        <v>5.0599999999999999E-2</v>
      </c>
      <c r="F48" s="46">
        <f t="shared" si="24"/>
        <v>9.7200000000000006</v>
      </c>
      <c r="G48" s="46">
        <f t="shared" si="11"/>
        <v>45684</v>
      </c>
      <c r="H48" s="46">
        <f t="shared" si="25"/>
        <v>14580.000000000002</v>
      </c>
      <c r="I48" s="47">
        <f>1-M48</f>
        <v>1</v>
      </c>
      <c r="J48" s="46">
        <f t="shared" si="21"/>
        <v>2311.6104</v>
      </c>
      <c r="K48" s="46">
        <f t="shared" si="22"/>
        <v>45684</v>
      </c>
      <c r="L48" s="46">
        <f>K48-J48</f>
        <v>43372.389600000002</v>
      </c>
      <c r="M48" s="48">
        <v>0</v>
      </c>
      <c r="N48" s="46">
        <f t="shared" si="27"/>
        <v>-26480.779200000001</v>
      </c>
      <c r="O48" s="49">
        <f t="shared" si="10"/>
        <v>-0.57965106382978726</v>
      </c>
    </row>
    <row r="49" spans="2:15" x14ac:dyDescent="0.3">
      <c r="B49" s="81"/>
      <c r="C49" s="38" t="s">
        <v>16</v>
      </c>
      <c r="D49" s="44">
        <v>1600</v>
      </c>
      <c r="E49" s="50">
        <v>0</v>
      </c>
      <c r="F49" s="46">
        <f t="shared" si="24"/>
        <v>3868.5600000000004</v>
      </c>
      <c r="G49" s="46">
        <f t="shared" si="11"/>
        <v>6189696.0000000009</v>
      </c>
      <c r="H49" s="46">
        <f t="shared" si="25"/>
        <v>5802840.0000000009</v>
      </c>
      <c r="I49" s="47">
        <f>1-M49</f>
        <v>1</v>
      </c>
      <c r="J49" s="46">
        <f t="shared" si="21"/>
        <v>0</v>
      </c>
      <c r="K49" s="46">
        <f t="shared" si="22"/>
        <v>6189696.0000000009</v>
      </c>
      <c r="L49" s="46">
        <f>K49-J49</f>
        <v>6189696.0000000009</v>
      </c>
      <c r="M49" s="48">
        <v>0</v>
      </c>
      <c r="N49" s="46">
        <f t="shared" si="27"/>
        <v>-386856</v>
      </c>
      <c r="O49" s="49">
        <f t="shared" si="10"/>
        <v>-6.2499999999999993E-2</v>
      </c>
    </row>
    <row r="50" spans="2:15" x14ac:dyDescent="0.3">
      <c r="B50" s="82"/>
      <c r="C50" s="51" t="s">
        <v>48</v>
      </c>
      <c r="D50" s="52"/>
      <c r="E50" s="52"/>
      <c r="F50" s="53">
        <f>SUM(F44:F49)</f>
        <v>9720</v>
      </c>
      <c r="G50" s="53">
        <f>SUM(G44:G49)</f>
        <v>17167464</v>
      </c>
      <c r="H50" s="53">
        <f>SUM(H44:H49)</f>
        <v>14580000</v>
      </c>
      <c r="I50" s="53"/>
      <c r="J50" s="53">
        <f>SUM(J44:J49)</f>
        <v>378781.79040000006</v>
      </c>
      <c r="K50" s="53">
        <f>SUM(K44:K49)</f>
        <v>12404664</v>
      </c>
      <c r="L50" s="53">
        <f>SUM(L44:L49)</f>
        <v>12025882.209600002</v>
      </c>
      <c r="M50" s="53"/>
      <c r="N50" s="53">
        <f>SUM(N44:N49)</f>
        <v>2932899.5807999996</v>
      </c>
      <c r="O50" s="54">
        <f t="shared" si="10"/>
        <v>0.17084058430528817</v>
      </c>
    </row>
    <row r="51" spans="2:15" x14ac:dyDescent="0.3">
      <c r="B51" s="77" t="s">
        <v>15</v>
      </c>
      <c r="C51" s="78"/>
      <c r="D51" s="24"/>
      <c r="E51" s="23"/>
      <c r="F51" s="24"/>
      <c r="G51" s="25">
        <f>SUM(G37,G43,G50)</f>
        <v>38446488</v>
      </c>
      <c r="H51" s="25">
        <f>SUM(H37,H43,H50)</f>
        <v>29160000</v>
      </c>
      <c r="I51" s="24"/>
      <c r="J51" s="25">
        <f>SUM(J37,J43,J50)</f>
        <v>564128.04780000006</v>
      </c>
      <c r="K51" s="25">
        <f>SUM(K37,K43,K50)</f>
        <v>23132223</v>
      </c>
      <c r="L51" s="25">
        <f>SUM(L37,L43,L50)</f>
        <v>22568094.952200003</v>
      </c>
      <c r="M51" s="24"/>
      <c r="N51" s="25">
        <f>SUM(N37,N43,N50)</f>
        <v>7156033.0955999997</v>
      </c>
      <c r="O51" s="55">
        <f t="shared" si="10"/>
        <v>0.18612969526891507</v>
      </c>
    </row>
    <row r="52" spans="2:15" x14ac:dyDescent="0.3">
      <c r="E52"/>
    </row>
    <row r="53" spans="2:15" hidden="1" x14ac:dyDescent="0.3">
      <c r="B53" s="35" t="s">
        <v>77</v>
      </c>
      <c r="E53" s="57" t="s">
        <v>75</v>
      </c>
    </row>
    <row r="54" spans="2:15" hidden="1" x14ac:dyDescent="0.3">
      <c r="B54" s="59" t="s">
        <v>33</v>
      </c>
      <c r="C54" s="59" t="s">
        <v>11</v>
      </c>
      <c r="D54" s="59" t="s">
        <v>72</v>
      </c>
      <c r="E54" s="60" t="s">
        <v>73</v>
      </c>
    </row>
    <row r="55" spans="2:15" hidden="1" x14ac:dyDescent="0.3">
      <c r="B55" s="9" t="s">
        <v>71</v>
      </c>
      <c r="C55" s="15"/>
      <c r="D55" s="10"/>
      <c r="E55" s="15"/>
    </row>
    <row r="56" spans="2:15" hidden="1" x14ac:dyDescent="0.3">
      <c r="B56" s="9" t="s">
        <v>74</v>
      </c>
      <c r="C56" s="15"/>
      <c r="D56" s="58"/>
      <c r="E56" s="15"/>
    </row>
    <row r="57" spans="2:15" hidden="1" x14ac:dyDescent="0.3">
      <c r="B57" s="59" t="s">
        <v>15</v>
      </c>
      <c r="C57" s="60">
        <f>SUM(C55:C56)</f>
        <v>0</v>
      </c>
      <c r="D57" s="61" t="e">
        <f>AVERAGE(D55:D56)</f>
        <v>#DIV/0!</v>
      </c>
      <c r="E57" s="60">
        <f>SUM(E55:E56)</f>
        <v>0</v>
      </c>
    </row>
    <row r="58" spans="2:15" hidden="1" x14ac:dyDescent="0.3"/>
    <row r="59" spans="2:15" hidden="1" x14ac:dyDescent="0.3">
      <c r="B59" s="74" t="s">
        <v>97</v>
      </c>
      <c r="C59" s="75"/>
      <c r="D59" s="75"/>
      <c r="E59" s="76"/>
    </row>
    <row r="60" spans="2:15" hidden="1" x14ac:dyDescent="0.3">
      <c r="B60" s="63" t="s">
        <v>78</v>
      </c>
      <c r="C60" s="63" t="s">
        <v>79</v>
      </c>
      <c r="D60" s="63"/>
      <c r="E60" s="19"/>
    </row>
    <row r="61" spans="2:15" hidden="1" x14ac:dyDescent="0.3">
      <c r="B61" s="63"/>
      <c r="C61" s="19" t="s">
        <v>80</v>
      </c>
      <c r="D61" s="19" t="s">
        <v>81</v>
      </c>
      <c r="E61" s="64" t="s">
        <v>82</v>
      </c>
    </row>
    <row r="62" spans="2:15" hidden="1" x14ac:dyDescent="0.3">
      <c r="B62" s="63" t="s">
        <v>83</v>
      </c>
      <c r="C62" s="19">
        <v>0</v>
      </c>
      <c r="D62" s="19">
        <v>0</v>
      </c>
      <c r="E62" s="64">
        <v>0</v>
      </c>
    </row>
    <row r="63" spans="2:15" hidden="1" x14ac:dyDescent="0.3">
      <c r="B63" s="63" t="s">
        <v>84</v>
      </c>
      <c r="C63" s="19">
        <v>0</v>
      </c>
      <c r="D63" s="19">
        <v>0</v>
      </c>
      <c r="E63" s="64">
        <v>0</v>
      </c>
    </row>
    <row r="64" spans="2:15" hidden="1" x14ac:dyDescent="0.3">
      <c r="B64" s="63" t="s">
        <v>85</v>
      </c>
      <c r="C64" s="19">
        <v>0</v>
      </c>
      <c r="D64" s="19">
        <v>0</v>
      </c>
      <c r="E64" s="64">
        <v>0</v>
      </c>
    </row>
    <row r="65" spans="2:5" hidden="1" x14ac:dyDescent="0.3">
      <c r="B65" s="63" t="s">
        <v>86</v>
      </c>
      <c r="C65" s="19">
        <v>0</v>
      </c>
      <c r="D65" s="19">
        <v>0</v>
      </c>
      <c r="E65" s="64">
        <v>0</v>
      </c>
    </row>
    <row r="66" spans="2:5" hidden="1" x14ac:dyDescent="0.3">
      <c r="B66" s="63" t="s">
        <v>87</v>
      </c>
      <c r="C66" s="19">
        <v>0</v>
      </c>
      <c r="D66" s="19">
        <v>0</v>
      </c>
      <c r="E66" s="64">
        <v>0</v>
      </c>
    </row>
    <row r="67" spans="2:5" hidden="1" x14ac:dyDescent="0.3">
      <c r="B67" s="63" t="s">
        <v>88</v>
      </c>
      <c r="C67" s="19">
        <v>2409000</v>
      </c>
      <c r="D67" s="19">
        <v>762000</v>
      </c>
      <c r="E67" s="65">
        <v>0.31630000000000003</v>
      </c>
    </row>
    <row r="68" spans="2:5" hidden="1" x14ac:dyDescent="0.3">
      <c r="B68" s="63" t="s">
        <v>89</v>
      </c>
      <c r="C68" s="19">
        <v>27219000</v>
      </c>
      <c r="D68" s="19">
        <v>8697000</v>
      </c>
      <c r="E68" s="65">
        <v>0.31950000000000001</v>
      </c>
    </row>
    <row r="69" spans="2:5" hidden="1" x14ac:dyDescent="0.3">
      <c r="B69" s="63" t="s">
        <v>90</v>
      </c>
      <c r="C69" s="19">
        <v>7280000</v>
      </c>
      <c r="D69" s="19">
        <v>5140000</v>
      </c>
      <c r="E69" s="65">
        <v>0.70599999999999996</v>
      </c>
    </row>
    <row r="70" spans="2:5" hidden="1" x14ac:dyDescent="0.3">
      <c r="B70" s="63" t="s">
        <v>91</v>
      </c>
      <c r="C70" s="19">
        <v>14305800</v>
      </c>
      <c r="D70" s="19">
        <v>9821800</v>
      </c>
      <c r="E70" s="65">
        <v>0.68659999999999999</v>
      </c>
    </row>
    <row r="71" spans="2:5" hidden="1" x14ac:dyDescent="0.3">
      <c r="B71" s="63" t="s">
        <v>92</v>
      </c>
      <c r="C71" s="19">
        <v>13537955</v>
      </c>
      <c r="D71" s="19">
        <v>9141844</v>
      </c>
      <c r="E71" s="65">
        <v>0.72529999999999994</v>
      </c>
    </row>
    <row r="72" spans="2:5" hidden="1" x14ac:dyDescent="0.3">
      <c r="B72" s="63" t="s">
        <v>93</v>
      </c>
      <c r="C72" s="19">
        <v>27512200</v>
      </c>
      <c r="D72" s="19">
        <v>8492000</v>
      </c>
      <c r="E72" s="65">
        <v>0.30869999999999997</v>
      </c>
    </row>
    <row r="73" spans="2:5" hidden="1" x14ac:dyDescent="0.3">
      <c r="B73" s="63" t="s">
        <v>94</v>
      </c>
      <c r="C73" s="19">
        <v>13617000</v>
      </c>
      <c r="D73" s="19">
        <v>9779000</v>
      </c>
      <c r="E73" s="65">
        <v>0.71809999999999996</v>
      </c>
    </row>
    <row r="74" spans="2:5" hidden="1" x14ac:dyDescent="0.3">
      <c r="B74" s="66" t="s">
        <v>95</v>
      </c>
      <c r="C74" s="67">
        <v>130258555</v>
      </c>
      <c r="D74" s="67">
        <v>70193715</v>
      </c>
      <c r="E74" s="68">
        <v>0.53890000000000005</v>
      </c>
    </row>
    <row r="75" spans="2:5" hidden="1" x14ac:dyDescent="0.3"/>
    <row r="76" spans="2:5" hidden="1" x14ac:dyDescent="0.3">
      <c r="B76" s="74" t="s">
        <v>98</v>
      </c>
      <c r="C76" s="75"/>
      <c r="D76" s="75"/>
      <c r="E76" s="76"/>
    </row>
    <row r="77" spans="2:5" hidden="1" x14ac:dyDescent="0.3">
      <c r="B77" s="63" t="s">
        <v>78</v>
      </c>
      <c r="C77" s="63" t="s">
        <v>96</v>
      </c>
      <c r="D77" s="63"/>
      <c r="E77" s="19"/>
    </row>
    <row r="78" spans="2:5" hidden="1" x14ac:dyDescent="0.3">
      <c r="B78" s="63"/>
      <c r="C78" s="63" t="s">
        <v>80</v>
      </c>
      <c r="D78" s="63" t="s">
        <v>81</v>
      </c>
      <c r="E78" s="19" t="s">
        <v>82</v>
      </c>
    </row>
    <row r="79" spans="2:5" hidden="1" x14ac:dyDescent="0.3">
      <c r="B79" s="63" t="s">
        <v>83</v>
      </c>
      <c r="C79" s="19">
        <v>1369100</v>
      </c>
      <c r="D79" s="19">
        <v>155650</v>
      </c>
      <c r="E79" s="65">
        <v>0.1137</v>
      </c>
    </row>
    <row r="80" spans="2:5" hidden="1" x14ac:dyDescent="0.3">
      <c r="B80" s="63" t="s">
        <v>84</v>
      </c>
      <c r="C80" s="19">
        <v>2639330</v>
      </c>
      <c r="D80" s="19">
        <v>160500</v>
      </c>
      <c r="E80" s="65">
        <v>6.08E-2</v>
      </c>
    </row>
    <row r="81" spans="2:5" hidden="1" x14ac:dyDescent="0.3">
      <c r="B81" s="63" t="s">
        <v>85</v>
      </c>
      <c r="C81" s="19">
        <v>12456810</v>
      </c>
      <c r="D81" s="19">
        <v>496340</v>
      </c>
      <c r="E81" s="65">
        <v>3.9800000000000002E-2</v>
      </c>
    </row>
    <row r="82" spans="2:5" hidden="1" x14ac:dyDescent="0.3">
      <c r="B82" s="63" t="s">
        <v>86</v>
      </c>
      <c r="C82" s="19">
        <v>15005800</v>
      </c>
      <c r="D82" s="19">
        <v>293600</v>
      </c>
      <c r="E82" s="65">
        <v>1.9599999999999999E-2</v>
      </c>
    </row>
    <row r="83" spans="2:5" hidden="1" x14ac:dyDescent="0.3">
      <c r="B83" s="63" t="s">
        <v>87</v>
      </c>
      <c r="C83" s="19">
        <v>18036110</v>
      </c>
      <c r="D83" s="19">
        <v>111000</v>
      </c>
      <c r="E83" s="65">
        <v>6.1999999999999998E-3</v>
      </c>
    </row>
    <row r="84" spans="2:5" hidden="1" x14ac:dyDescent="0.3">
      <c r="B84" s="63" t="s">
        <v>88</v>
      </c>
      <c r="C84" s="19">
        <v>20158303</v>
      </c>
      <c r="D84" s="19">
        <v>37900</v>
      </c>
      <c r="E84" s="65">
        <v>1.9E-3</v>
      </c>
    </row>
    <row r="85" spans="2:5" hidden="1" x14ac:dyDescent="0.3">
      <c r="B85" s="63" t="s">
        <v>89</v>
      </c>
      <c r="C85" s="19">
        <v>19415237</v>
      </c>
      <c r="D85" s="19">
        <v>28600</v>
      </c>
      <c r="E85" s="65">
        <v>1.5E-3</v>
      </c>
    </row>
    <row r="86" spans="2:5" hidden="1" x14ac:dyDescent="0.3">
      <c r="B86" s="63" t="s">
        <v>90</v>
      </c>
      <c r="C86" s="19">
        <v>22794962</v>
      </c>
      <c r="D86" s="19">
        <v>45200</v>
      </c>
      <c r="E86" s="65">
        <v>2E-3</v>
      </c>
    </row>
    <row r="87" spans="2:5" hidden="1" x14ac:dyDescent="0.3">
      <c r="B87" s="63" t="s">
        <v>91</v>
      </c>
      <c r="C87" s="19">
        <v>28229301</v>
      </c>
      <c r="D87" s="19">
        <v>118200</v>
      </c>
      <c r="E87" s="65">
        <v>4.1999999999999997E-3</v>
      </c>
    </row>
    <row r="88" spans="2:5" hidden="1" x14ac:dyDescent="0.3">
      <c r="B88" s="63" t="s">
        <v>92</v>
      </c>
      <c r="C88" s="19">
        <v>23571177</v>
      </c>
      <c r="D88" s="19">
        <v>18700</v>
      </c>
      <c r="E88" s="65">
        <v>8.0000000000000004E-4</v>
      </c>
    </row>
    <row r="89" spans="2:5" hidden="1" x14ac:dyDescent="0.3">
      <c r="B89" s="63" t="s">
        <v>93</v>
      </c>
      <c r="C89" s="19">
        <v>24932947</v>
      </c>
      <c r="D89" s="19">
        <v>37900</v>
      </c>
      <c r="E89" s="65">
        <v>1.5E-3</v>
      </c>
    </row>
    <row r="90" spans="2:5" hidden="1" x14ac:dyDescent="0.3">
      <c r="B90" s="63" t="s">
        <v>94</v>
      </c>
      <c r="C90" s="19">
        <v>27259480</v>
      </c>
      <c r="D90" s="19">
        <v>26500</v>
      </c>
      <c r="E90" s="65">
        <v>1E-3</v>
      </c>
    </row>
    <row r="91" spans="2:5" hidden="1" x14ac:dyDescent="0.3">
      <c r="B91" s="66" t="s">
        <v>95</v>
      </c>
      <c r="C91" s="67">
        <v>215868557</v>
      </c>
      <c r="D91" s="67">
        <v>1530090</v>
      </c>
      <c r="E91" s="68">
        <v>7.1000000000000004E-3</v>
      </c>
    </row>
  </sheetData>
  <mergeCells count="14">
    <mergeCell ref="B59:E59"/>
    <mergeCell ref="B76:E76"/>
    <mergeCell ref="B51:C51"/>
    <mergeCell ref="J2:M2"/>
    <mergeCell ref="B38:B43"/>
    <mergeCell ref="B30:G30"/>
    <mergeCell ref="B32:B37"/>
    <mergeCell ref="B44:B50"/>
    <mergeCell ref="B8:B13"/>
    <mergeCell ref="B14:B19"/>
    <mergeCell ref="B27:C27"/>
    <mergeCell ref="B20:B26"/>
    <mergeCell ref="I30:L30"/>
    <mergeCell ref="M30:O30"/>
  </mergeCells>
  <phoneticPr fontId="3" type="noConversion"/>
  <printOptions horizontalCentered="1"/>
  <pageMargins left="0.19685039370078741" right="0.23622047244094491" top="0.74803149606299213" bottom="0.74803149606299213" header="0.31496062992125984" footer="0.31496062992125984"/>
  <pageSetup paperSize="9" scale="88" orientation="landscape" r:id="rId1"/>
  <ignoredErrors>
    <ignoredError sqref="F37:G37 J37:L37 N3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상품별 시뮬레이션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전략영업팀</dc:creator>
  <cp:lastModifiedBy>전략사업실</cp:lastModifiedBy>
  <cp:lastPrinted>2026-03-16T04:13:38Z</cp:lastPrinted>
  <dcterms:created xsi:type="dcterms:W3CDTF">2026-02-02T04:04:38Z</dcterms:created>
  <dcterms:modified xsi:type="dcterms:W3CDTF">2026-04-23T07:43:16Z</dcterms:modified>
</cp:coreProperties>
</file>