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obistrian/Box Sync/Publications/TFM and HPI axis-SUBMITTED/PlosOne/"/>
    </mc:Choice>
  </mc:AlternateContent>
  <bookViews>
    <workbookView xWindow="1060" yWindow="460" windowWidth="24560" windowHeight="15540" firstSheet="17" activeTab="24"/>
  </bookViews>
  <sheets>
    <sheet name="Trial ELISA- March 13, 2015" sheetId="1" r:id="rId1"/>
    <sheet name="Plasma cortisol" sheetId="2" r:id="rId2"/>
    <sheet name="Plasma lactate" sheetId="3" r:id="rId3"/>
    <sheet name="Plasma glucose" sheetId="5" r:id="rId4"/>
    <sheet name="HK EF1a" sheetId="9" r:id="rId5"/>
    <sheet name="HK MC2R" sheetId="6" r:id="rId6"/>
    <sheet name="HK StAR" sheetId="7" r:id="rId7"/>
    <sheet name="HK P450scc" sheetId="8" r:id="rId8"/>
    <sheet name="HK 18sRNA gradient" sheetId="20" r:id="rId9"/>
    <sheet name="HK 18sRNA samples" sheetId="21" r:id="rId10"/>
    <sheet name="Normalization" sheetId="26" r:id="rId11"/>
    <sheet name="Morphometrics and water quality" sheetId="10" r:id="rId12"/>
    <sheet name="Liver LDH" sheetId="11" r:id="rId13"/>
    <sheet name="Liver HK" sheetId="12" r:id="rId14"/>
    <sheet name="Liver GK" sheetId="14" r:id="rId15"/>
    <sheet name="Liver PK" sheetId="15" r:id="rId16"/>
    <sheet name="Liver PEPCK" sheetId="16" r:id="rId17"/>
    <sheet name="Liver AlaAT" sheetId="17" r:id="rId18"/>
    <sheet name="Liver AspAT" sheetId="18" r:id="rId19"/>
    <sheet name="Liver protein-raw data" sheetId="13" r:id="rId20"/>
    <sheet name="Liver GLY and BG" sheetId="4" r:id="rId21"/>
    <sheet name="Liver glycogen on SPSS" sheetId="19" r:id="rId22"/>
    <sheet name="In vitro media cortisol" sheetId="22" r:id="rId23"/>
    <sheet name="In vitro media protein" sheetId="23" r:id="rId24"/>
    <sheet name="In vitro media cortisol on SPSS" sheetId="24" r:id="rId25"/>
    <sheet name="Sheet2" sheetId="25" r:id="rId26"/>
  </sheets>
  <externalReferences>
    <externalReference r:id="rId27"/>
    <externalReference r:id="rId2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  <c r="W3" i="12"/>
  <c r="E76" i="4"/>
  <c r="K74" i="4"/>
  <c r="AB3" i="26"/>
  <c r="F4" i="26"/>
  <c r="P4" i="26"/>
  <c r="F5" i="26"/>
  <c r="P5" i="26"/>
  <c r="F6" i="26"/>
  <c r="P6" i="26"/>
  <c r="F7" i="26"/>
  <c r="P7" i="26"/>
  <c r="F8" i="26"/>
  <c r="P8" i="26"/>
  <c r="F9" i="26"/>
  <c r="P9" i="26"/>
  <c r="F10" i="26"/>
  <c r="P10" i="26"/>
  <c r="F11" i="26"/>
  <c r="P11" i="26"/>
  <c r="F12" i="26"/>
  <c r="P12" i="26"/>
  <c r="F13" i="26"/>
  <c r="P13" i="26"/>
  <c r="F14" i="26"/>
  <c r="P14" i="26"/>
  <c r="F15" i="26"/>
  <c r="P15" i="26"/>
  <c r="F16" i="26"/>
  <c r="P16" i="26"/>
  <c r="F17" i="26"/>
  <c r="P17" i="26"/>
  <c r="F18" i="26"/>
  <c r="P18" i="26"/>
  <c r="F19" i="26"/>
  <c r="P19" i="26"/>
  <c r="F20" i="26"/>
  <c r="P20" i="26"/>
  <c r="F21" i="26"/>
  <c r="P21" i="26"/>
  <c r="F22" i="26"/>
  <c r="P22" i="26"/>
  <c r="F23" i="26"/>
  <c r="P23" i="26"/>
  <c r="F24" i="26"/>
  <c r="P24" i="26"/>
  <c r="F25" i="26"/>
  <c r="P25" i="26"/>
  <c r="F26" i="26"/>
  <c r="P26" i="26"/>
  <c r="F27" i="26"/>
  <c r="P27" i="26"/>
  <c r="F28" i="26"/>
  <c r="P28" i="26"/>
  <c r="F29" i="26"/>
  <c r="P29" i="26"/>
  <c r="F30" i="26"/>
  <c r="P30" i="26"/>
  <c r="F31" i="26"/>
  <c r="P31" i="26"/>
  <c r="F32" i="26"/>
  <c r="P32" i="26"/>
  <c r="F33" i="26"/>
  <c r="P33" i="26"/>
  <c r="F34" i="26"/>
  <c r="P34" i="26"/>
  <c r="F35" i="26"/>
  <c r="P35" i="26"/>
  <c r="F36" i="26"/>
  <c r="P36" i="26"/>
  <c r="F37" i="26"/>
  <c r="P37" i="26"/>
  <c r="F38" i="26"/>
  <c r="P38" i="26"/>
  <c r="F39" i="26"/>
  <c r="P39" i="26"/>
  <c r="F40" i="26"/>
  <c r="P40" i="26"/>
  <c r="F41" i="26"/>
  <c r="P41" i="26"/>
  <c r="F42" i="26"/>
  <c r="P42" i="26"/>
  <c r="F43" i="26"/>
  <c r="P43" i="26"/>
  <c r="F44" i="26"/>
  <c r="P44" i="26"/>
  <c r="F45" i="26"/>
  <c r="P45" i="26"/>
  <c r="F46" i="26"/>
  <c r="P46" i="26"/>
  <c r="F47" i="26"/>
  <c r="P47" i="26"/>
  <c r="F48" i="26"/>
  <c r="P48" i="26"/>
  <c r="F49" i="26"/>
  <c r="P49" i="26"/>
  <c r="F50" i="26"/>
  <c r="P50" i="26"/>
  <c r="F3" i="26"/>
  <c r="P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3" i="26"/>
  <c r="Q1" i="26"/>
  <c r="Q27" i="26"/>
  <c r="Q28" i="26"/>
  <c r="Q29" i="26"/>
  <c r="Q30" i="26"/>
  <c r="Q31" i="26"/>
  <c r="Q32" i="26"/>
  <c r="AM8" i="26"/>
  <c r="I1" i="26"/>
  <c r="I15" i="26"/>
  <c r="I16" i="26"/>
  <c r="I17" i="26"/>
  <c r="I18" i="26"/>
  <c r="I19" i="26"/>
  <c r="I20" i="26"/>
  <c r="AB5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3" i="26"/>
  <c r="M1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3" i="26"/>
  <c r="AN11" i="26"/>
  <c r="AN10" i="26"/>
  <c r="AN9" i="26"/>
  <c r="AN8" i="26"/>
  <c r="AN6" i="26"/>
  <c r="AN5" i="26"/>
  <c r="AN4" i="26"/>
  <c r="AN3" i="26"/>
  <c r="AM11" i="26"/>
  <c r="AM10" i="26"/>
  <c r="AM9" i="26"/>
  <c r="AM6" i="26"/>
  <c r="AM5" i="26"/>
  <c r="AM4" i="26"/>
  <c r="AM3" i="26"/>
  <c r="AI3" i="26"/>
  <c r="AI4" i="26"/>
  <c r="AI5" i="26"/>
  <c r="AI6" i="26"/>
  <c r="AI8" i="26"/>
  <c r="AI9" i="26"/>
  <c r="AI10" i="26"/>
  <c r="AI11" i="26"/>
  <c r="AH11" i="26"/>
  <c r="AH10" i="26"/>
  <c r="AH9" i="26"/>
  <c r="AH8" i="26"/>
  <c r="AH6" i="26"/>
  <c r="AH5" i="26"/>
  <c r="AH4" i="26"/>
  <c r="AH3" i="26"/>
  <c r="I45" i="26"/>
  <c r="I46" i="26"/>
  <c r="I47" i="26"/>
  <c r="I48" i="26"/>
  <c r="I49" i="26"/>
  <c r="I50" i="26"/>
  <c r="AC11" i="26"/>
  <c r="I39" i="26"/>
  <c r="I40" i="26"/>
  <c r="I41" i="26"/>
  <c r="I42" i="26"/>
  <c r="I43" i="26"/>
  <c r="I44" i="26"/>
  <c r="AC10" i="26"/>
  <c r="I33" i="26"/>
  <c r="I34" i="26"/>
  <c r="I35" i="26"/>
  <c r="I36" i="26"/>
  <c r="I37" i="26"/>
  <c r="I38" i="26"/>
  <c r="AC9" i="26"/>
  <c r="I27" i="26"/>
  <c r="I28" i="26"/>
  <c r="I29" i="26"/>
  <c r="I30" i="26"/>
  <c r="I31" i="26"/>
  <c r="I32" i="26"/>
  <c r="AC8" i="26"/>
  <c r="I21" i="26"/>
  <c r="I22" i="26"/>
  <c r="I23" i="26"/>
  <c r="I24" i="26"/>
  <c r="I25" i="26"/>
  <c r="I26" i="26"/>
  <c r="AC6" i="26"/>
  <c r="AC5" i="26"/>
  <c r="I9" i="26"/>
  <c r="I10" i="26"/>
  <c r="I11" i="26"/>
  <c r="I12" i="26"/>
  <c r="I13" i="26"/>
  <c r="I14" i="26"/>
  <c r="AC4" i="26"/>
  <c r="I3" i="26"/>
  <c r="I4" i="26"/>
  <c r="I5" i="26"/>
  <c r="I6" i="26"/>
  <c r="I7" i="26"/>
  <c r="I8" i="26"/>
  <c r="AC3" i="26"/>
  <c r="AB11" i="26"/>
  <c r="AB10" i="26"/>
  <c r="AB9" i="26"/>
  <c r="AB8" i="26"/>
  <c r="AB6" i="26"/>
  <c r="AB4" i="26"/>
  <c r="W11" i="26"/>
  <c r="W10" i="26"/>
  <c r="W9" i="26"/>
  <c r="W8" i="26"/>
  <c r="W6" i="26"/>
  <c r="W5" i="26"/>
  <c r="W4" i="26"/>
  <c r="W3" i="26"/>
  <c r="V11" i="26"/>
  <c r="V10" i="26"/>
  <c r="V9" i="26"/>
  <c r="V8" i="26"/>
  <c r="V6" i="26"/>
  <c r="V5" i="26"/>
  <c r="V4" i="26"/>
  <c r="V3" i="26"/>
  <c r="F61" i="6"/>
  <c r="G61" i="6"/>
  <c r="H61" i="6"/>
  <c r="P61" i="6"/>
  <c r="F19" i="6"/>
  <c r="G19" i="6"/>
  <c r="H19" i="6"/>
  <c r="P19" i="6"/>
  <c r="F20" i="6"/>
  <c r="G20" i="6"/>
  <c r="H20" i="6"/>
  <c r="P20" i="6"/>
  <c r="F21" i="6"/>
  <c r="G21" i="6"/>
  <c r="H21" i="6"/>
  <c r="P21" i="6"/>
  <c r="F22" i="6"/>
  <c r="G22" i="6"/>
  <c r="H22" i="6"/>
  <c r="P22" i="6"/>
  <c r="F23" i="6"/>
  <c r="G23" i="6"/>
  <c r="H23" i="6"/>
  <c r="P23" i="6"/>
  <c r="F24" i="6"/>
  <c r="G24" i="6"/>
  <c r="H24" i="6"/>
  <c r="P24" i="6"/>
  <c r="S19" i="6"/>
  <c r="Q61" i="6"/>
  <c r="F62" i="6"/>
  <c r="G62" i="6"/>
  <c r="H62" i="6"/>
  <c r="P62" i="6"/>
  <c r="Q62" i="6"/>
  <c r="F63" i="6"/>
  <c r="G63" i="6"/>
  <c r="H63" i="6"/>
  <c r="P63" i="6"/>
  <c r="Q63" i="6"/>
  <c r="F64" i="6"/>
  <c r="G64" i="6"/>
  <c r="H64" i="6"/>
  <c r="P64" i="6"/>
  <c r="Q64" i="6"/>
  <c r="F65" i="6"/>
  <c r="G65" i="6"/>
  <c r="H65" i="6"/>
  <c r="P65" i="6"/>
  <c r="Q65" i="6"/>
  <c r="F66" i="6"/>
  <c r="G66" i="6"/>
  <c r="H66" i="6"/>
  <c r="P66" i="6"/>
  <c r="Q66" i="6"/>
  <c r="AC28" i="6"/>
  <c r="AA28" i="6"/>
  <c r="F55" i="6"/>
  <c r="G55" i="6"/>
  <c r="H55" i="6"/>
  <c r="P55" i="6"/>
  <c r="Q55" i="6"/>
  <c r="F56" i="6"/>
  <c r="G56" i="6"/>
  <c r="H56" i="6"/>
  <c r="P56" i="6"/>
  <c r="Q56" i="6"/>
  <c r="F57" i="6"/>
  <c r="G57" i="6"/>
  <c r="H57" i="6"/>
  <c r="P57" i="6"/>
  <c r="Q57" i="6"/>
  <c r="F58" i="6"/>
  <c r="G58" i="6"/>
  <c r="H58" i="6"/>
  <c r="P58" i="6"/>
  <c r="Q58" i="6"/>
  <c r="F59" i="6"/>
  <c r="G59" i="6"/>
  <c r="H59" i="6"/>
  <c r="P59" i="6"/>
  <c r="Q59" i="6"/>
  <c r="F60" i="6"/>
  <c r="G60" i="6"/>
  <c r="H60" i="6"/>
  <c r="P60" i="6"/>
  <c r="Q60" i="6"/>
  <c r="AC27" i="6"/>
  <c r="AA27" i="6"/>
  <c r="F49" i="6"/>
  <c r="G49" i="6"/>
  <c r="H49" i="6"/>
  <c r="P49" i="6"/>
  <c r="Q49" i="6"/>
  <c r="F50" i="6"/>
  <c r="G50" i="6"/>
  <c r="H50" i="6"/>
  <c r="P50" i="6"/>
  <c r="Q50" i="6"/>
  <c r="F51" i="6"/>
  <c r="G51" i="6"/>
  <c r="H51" i="6"/>
  <c r="P51" i="6"/>
  <c r="Q51" i="6"/>
  <c r="F52" i="6"/>
  <c r="G52" i="6"/>
  <c r="H52" i="6"/>
  <c r="P52" i="6"/>
  <c r="Q52" i="6"/>
  <c r="F53" i="6"/>
  <c r="G53" i="6"/>
  <c r="H53" i="6"/>
  <c r="P53" i="6"/>
  <c r="Q53" i="6"/>
  <c r="F54" i="6"/>
  <c r="G54" i="6"/>
  <c r="H54" i="6"/>
  <c r="P54" i="6"/>
  <c r="Q54" i="6"/>
  <c r="AC26" i="6"/>
  <c r="AA26" i="6"/>
  <c r="F43" i="6"/>
  <c r="G43" i="6"/>
  <c r="H43" i="6"/>
  <c r="P43" i="6"/>
  <c r="Q43" i="6"/>
  <c r="F44" i="6"/>
  <c r="G44" i="6"/>
  <c r="H44" i="6"/>
  <c r="P44" i="6"/>
  <c r="Q44" i="6"/>
  <c r="F45" i="6"/>
  <c r="G45" i="6"/>
  <c r="H45" i="6"/>
  <c r="P45" i="6"/>
  <c r="Q45" i="6"/>
  <c r="F46" i="6"/>
  <c r="G46" i="6"/>
  <c r="H46" i="6"/>
  <c r="P46" i="6"/>
  <c r="Q46" i="6"/>
  <c r="F47" i="6"/>
  <c r="G47" i="6"/>
  <c r="H47" i="6"/>
  <c r="P47" i="6"/>
  <c r="Q47" i="6"/>
  <c r="F48" i="6"/>
  <c r="G48" i="6"/>
  <c r="H48" i="6"/>
  <c r="P48" i="6"/>
  <c r="Q48" i="6"/>
  <c r="AC25" i="6"/>
  <c r="AA25" i="6"/>
  <c r="F37" i="6"/>
  <c r="G37" i="6"/>
  <c r="H37" i="6"/>
  <c r="P37" i="6"/>
  <c r="Q37" i="6"/>
  <c r="F38" i="6"/>
  <c r="G38" i="6"/>
  <c r="H38" i="6"/>
  <c r="P38" i="6"/>
  <c r="Q38" i="6"/>
  <c r="F39" i="6"/>
  <c r="G39" i="6"/>
  <c r="H39" i="6"/>
  <c r="P39" i="6"/>
  <c r="Q39" i="6"/>
  <c r="F40" i="6"/>
  <c r="G40" i="6"/>
  <c r="H40" i="6"/>
  <c r="P40" i="6"/>
  <c r="Q40" i="6"/>
  <c r="F41" i="6"/>
  <c r="G41" i="6"/>
  <c r="H41" i="6"/>
  <c r="P41" i="6"/>
  <c r="Q41" i="6"/>
  <c r="F42" i="6"/>
  <c r="G42" i="6"/>
  <c r="H42" i="6"/>
  <c r="P42" i="6"/>
  <c r="Q42" i="6"/>
  <c r="AC23" i="6"/>
  <c r="AA23" i="6"/>
  <c r="F31" i="6"/>
  <c r="G31" i="6"/>
  <c r="H31" i="6"/>
  <c r="P31" i="6"/>
  <c r="Q31" i="6"/>
  <c r="F32" i="6"/>
  <c r="G32" i="6"/>
  <c r="H32" i="6"/>
  <c r="P32" i="6"/>
  <c r="Q32" i="6"/>
  <c r="F33" i="6"/>
  <c r="G33" i="6"/>
  <c r="H33" i="6"/>
  <c r="P33" i="6"/>
  <c r="Q33" i="6"/>
  <c r="F34" i="6"/>
  <c r="G34" i="6"/>
  <c r="H34" i="6"/>
  <c r="P34" i="6"/>
  <c r="Q34" i="6"/>
  <c r="F36" i="6"/>
  <c r="G36" i="6"/>
  <c r="H36" i="6"/>
  <c r="P36" i="6"/>
  <c r="Q36" i="6"/>
  <c r="AC22" i="6"/>
  <c r="F35" i="6"/>
  <c r="G35" i="6"/>
  <c r="H35" i="6"/>
  <c r="P35" i="6"/>
  <c r="Q35" i="6"/>
  <c r="AA22" i="6"/>
  <c r="F25" i="6"/>
  <c r="G25" i="6"/>
  <c r="H25" i="6"/>
  <c r="P25" i="6"/>
  <c r="Q25" i="6"/>
  <c r="F26" i="6"/>
  <c r="G26" i="6"/>
  <c r="H26" i="6"/>
  <c r="P26" i="6"/>
  <c r="Q26" i="6"/>
  <c r="F27" i="6"/>
  <c r="G27" i="6"/>
  <c r="H27" i="6"/>
  <c r="P27" i="6"/>
  <c r="Q27" i="6"/>
  <c r="F28" i="6"/>
  <c r="G28" i="6"/>
  <c r="H28" i="6"/>
  <c r="P28" i="6"/>
  <c r="Q28" i="6"/>
  <c r="F29" i="6"/>
  <c r="G29" i="6"/>
  <c r="H29" i="6"/>
  <c r="P29" i="6"/>
  <c r="Q29" i="6"/>
  <c r="F30" i="6"/>
  <c r="G30" i="6"/>
  <c r="H30" i="6"/>
  <c r="P30" i="6"/>
  <c r="Q30" i="6"/>
  <c r="AC21" i="6"/>
  <c r="AA21" i="6"/>
  <c r="Q19" i="6"/>
  <c r="Q20" i="6"/>
  <c r="Q21" i="6"/>
  <c r="Q22" i="6"/>
  <c r="Q23" i="6"/>
  <c r="Q24" i="6"/>
  <c r="AC20" i="6"/>
  <c r="AA20" i="6"/>
  <c r="F32" i="7"/>
  <c r="G32" i="7"/>
  <c r="H32" i="7"/>
  <c r="P32" i="7"/>
  <c r="F20" i="7"/>
  <c r="G20" i="7"/>
  <c r="H20" i="7"/>
  <c r="P20" i="7"/>
  <c r="F21" i="7"/>
  <c r="G21" i="7"/>
  <c r="H21" i="7"/>
  <c r="P21" i="7"/>
  <c r="F22" i="7"/>
  <c r="G22" i="7"/>
  <c r="H22" i="7"/>
  <c r="P22" i="7"/>
  <c r="F23" i="7"/>
  <c r="G23" i="7"/>
  <c r="H23" i="7"/>
  <c r="P23" i="7"/>
  <c r="F24" i="7"/>
  <c r="G24" i="7"/>
  <c r="H24" i="7"/>
  <c r="P24" i="7"/>
  <c r="F25" i="7"/>
  <c r="G25" i="7"/>
  <c r="H25" i="7"/>
  <c r="P25" i="7"/>
  <c r="R20" i="7"/>
  <c r="Q32" i="7"/>
  <c r="F33" i="7"/>
  <c r="G33" i="7"/>
  <c r="H33" i="7"/>
  <c r="P33" i="7"/>
  <c r="Q33" i="7"/>
  <c r="F34" i="7"/>
  <c r="G34" i="7"/>
  <c r="H34" i="7"/>
  <c r="P34" i="7"/>
  <c r="Q34" i="7"/>
  <c r="F35" i="7"/>
  <c r="G35" i="7"/>
  <c r="H35" i="7"/>
  <c r="P35" i="7"/>
  <c r="Q35" i="7"/>
  <c r="F36" i="7"/>
  <c r="G36" i="7"/>
  <c r="H36" i="7"/>
  <c r="P36" i="7"/>
  <c r="Q36" i="7"/>
  <c r="F37" i="7"/>
  <c r="G37" i="7"/>
  <c r="H37" i="7"/>
  <c r="P37" i="7"/>
  <c r="Q37" i="7"/>
  <c r="Z23" i="7"/>
  <c r="F62" i="7"/>
  <c r="G62" i="7"/>
  <c r="H62" i="7"/>
  <c r="P62" i="7"/>
  <c r="Q62" i="7"/>
  <c r="F63" i="7"/>
  <c r="G63" i="7"/>
  <c r="H63" i="7"/>
  <c r="P63" i="7"/>
  <c r="Q63" i="7"/>
  <c r="F64" i="7"/>
  <c r="G64" i="7"/>
  <c r="H64" i="7"/>
  <c r="P64" i="7"/>
  <c r="Q64" i="7"/>
  <c r="F65" i="7"/>
  <c r="G65" i="7"/>
  <c r="H65" i="7"/>
  <c r="P65" i="7"/>
  <c r="Q65" i="7"/>
  <c r="F66" i="7"/>
  <c r="G66" i="7"/>
  <c r="H66" i="7"/>
  <c r="P66" i="7"/>
  <c r="Q66" i="7"/>
  <c r="F67" i="7"/>
  <c r="G67" i="7"/>
  <c r="H67" i="7"/>
  <c r="P67" i="7"/>
  <c r="Q67" i="7"/>
  <c r="AB29" i="7"/>
  <c r="Z29" i="7"/>
  <c r="F56" i="7"/>
  <c r="G56" i="7"/>
  <c r="H56" i="7"/>
  <c r="P56" i="7"/>
  <c r="Q56" i="7"/>
  <c r="F57" i="7"/>
  <c r="G57" i="7"/>
  <c r="H57" i="7"/>
  <c r="P57" i="7"/>
  <c r="Q57" i="7"/>
  <c r="F58" i="7"/>
  <c r="G58" i="7"/>
  <c r="H58" i="7"/>
  <c r="P58" i="7"/>
  <c r="Q58" i="7"/>
  <c r="F59" i="7"/>
  <c r="G59" i="7"/>
  <c r="H59" i="7"/>
  <c r="P59" i="7"/>
  <c r="Q59" i="7"/>
  <c r="F60" i="7"/>
  <c r="G60" i="7"/>
  <c r="H60" i="7"/>
  <c r="P60" i="7"/>
  <c r="Q60" i="7"/>
  <c r="F61" i="7"/>
  <c r="G61" i="7"/>
  <c r="H61" i="7"/>
  <c r="P61" i="7"/>
  <c r="Q61" i="7"/>
  <c r="AB28" i="7"/>
  <c r="Z28" i="7"/>
  <c r="F50" i="7"/>
  <c r="G50" i="7"/>
  <c r="H50" i="7"/>
  <c r="P50" i="7"/>
  <c r="Q50" i="7"/>
  <c r="F51" i="7"/>
  <c r="G51" i="7"/>
  <c r="H51" i="7"/>
  <c r="P51" i="7"/>
  <c r="Q51" i="7"/>
  <c r="F52" i="7"/>
  <c r="G52" i="7"/>
  <c r="H52" i="7"/>
  <c r="P52" i="7"/>
  <c r="Q52" i="7"/>
  <c r="F53" i="7"/>
  <c r="G53" i="7"/>
  <c r="H53" i="7"/>
  <c r="P53" i="7"/>
  <c r="Q53" i="7"/>
  <c r="F54" i="7"/>
  <c r="G54" i="7"/>
  <c r="H54" i="7"/>
  <c r="P54" i="7"/>
  <c r="Q54" i="7"/>
  <c r="F55" i="7"/>
  <c r="G55" i="7"/>
  <c r="H55" i="7"/>
  <c r="P55" i="7"/>
  <c r="Q55" i="7"/>
  <c r="AB27" i="7"/>
  <c r="Z27" i="7"/>
  <c r="F44" i="7"/>
  <c r="G44" i="7"/>
  <c r="H44" i="7"/>
  <c r="P44" i="7"/>
  <c r="Q44" i="7"/>
  <c r="F45" i="7"/>
  <c r="G45" i="7"/>
  <c r="H45" i="7"/>
  <c r="P45" i="7"/>
  <c r="Q45" i="7"/>
  <c r="F46" i="7"/>
  <c r="G46" i="7"/>
  <c r="H46" i="7"/>
  <c r="P46" i="7"/>
  <c r="Q46" i="7"/>
  <c r="F47" i="7"/>
  <c r="G47" i="7"/>
  <c r="H47" i="7"/>
  <c r="P47" i="7"/>
  <c r="Q47" i="7"/>
  <c r="F48" i="7"/>
  <c r="G48" i="7"/>
  <c r="H48" i="7"/>
  <c r="P48" i="7"/>
  <c r="Q48" i="7"/>
  <c r="F49" i="7"/>
  <c r="G49" i="7"/>
  <c r="H49" i="7"/>
  <c r="P49" i="7"/>
  <c r="Q49" i="7"/>
  <c r="AB26" i="7"/>
  <c r="Z26" i="7"/>
  <c r="F38" i="7"/>
  <c r="G38" i="7"/>
  <c r="H38" i="7"/>
  <c r="P38" i="7"/>
  <c r="Q38" i="7"/>
  <c r="F39" i="7"/>
  <c r="G39" i="7"/>
  <c r="H39" i="7"/>
  <c r="P39" i="7"/>
  <c r="Q39" i="7"/>
  <c r="F40" i="7"/>
  <c r="G40" i="7"/>
  <c r="H40" i="7"/>
  <c r="P40" i="7"/>
  <c r="Q40" i="7"/>
  <c r="F41" i="7"/>
  <c r="G41" i="7"/>
  <c r="H41" i="7"/>
  <c r="P41" i="7"/>
  <c r="Q41" i="7"/>
  <c r="F42" i="7"/>
  <c r="G42" i="7"/>
  <c r="H42" i="7"/>
  <c r="P42" i="7"/>
  <c r="Q42" i="7"/>
  <c r="F43" i="7"/>
  <c r="G43" i="7"/>
  <c r="H43" i="7"/>
  <c r="P43" i="7"/>
  <c r="Q43" i="7"/>
  <c r="AB24" i="7"/>
  <c r="Z24" i="7"/>
  <c r="AB23" i="7"/>
  <c r="F26" i="7"/>
  <c r="G26" i="7"/>
  <c r="H26" i="7"/>
  <c r="P26" i="7"/>
  <c r="Q26" i="7"/>
  <c r="F27" i="7"/>
  <c r="G27" i="7"/>
  <c r="H27" i="7"/>
  <c r="P27" i="7"/>
  <c r="Q27" i="7"/>
  <c r="F28" i="7"/>
  <c r="G28" i="7"/>
  <c r="H28" i="7"/>
  <c r="P28" i="7"/>
  <c r="Q28" i="7"/>
  <c r="F29" i="7"/>
  <c r="G29" i="7"/>
  <c r="H29" i="7"/>
  <c r="P29" i="7"/>
  <c r="Q29" i="7"/>
  <c r="F30" i="7"/>
  <c r="G30" i="7"/>
  <c r="H30" i="7"/>
  <c r="P30" i="7"/>
  <c r="Q30" i="7"/>
  <c r="F31" i="7"/>
  <c r="G31" i="7"/>
  <c r="H31" i="7"/>
  <c r="P31" i="7"/>
  <c r="Q31" i="7"/>
  <c r="AB22" i="7"/>
  <c r="Z22" i="7"/>
  <c r="Q20" i="7"/>
  <c r="Q21" i="7"/>
  <c r="Q22" i="7"/>
  <c r="Q23" i="7"/>
  <c r="Q24" i="7"/>
  <c r="Q25" i="7"/>
  <c r="AB21" i="7"/>
  <c r="Z21" i="7"/>
  <c r="V58" i="4"/>
  <c r="W58" i="4"/>
  <c r="X58" i="4"/>
  <c r="Y58" i="4"/>
  <c r="G58" i="4"/>
  <c r="H58" i="4"/>
  <c r="J58" i="4"/>
  <c r="Z58" i="4"/>
  <c r="V59" i="4"/>
  <c r="W59" i="4"/>
  <c r="X59" i="4"/>
  <c r="Y59" i="4"/>
  <c r="G59" i="4"/>
  <c r="H59" i="4"/>
  <c r="J59" i="4"/>
  <c r="Z59" i="4"/>
  <c r="V60" i="4"/>
  <c r="W60" i="4"/>
  <c r="X60" i="4"/>
  <c r="Y60" i="4"/>
  <c r="G60" i="4"/>
  <c r="H60" i="4"/>
  <c r="J60" i="4"/>
  <c r="Z60" i="4"/>
  <c r="V61" i="4"/>
  <c r="W61" i="4"/>
  <c r="X61" i="4"/>
  <c r="Y61" i="4"/>
  <c r="G61" i="4"/>
  <c r="H61" i="4"/>
  <c r="J61" i="4"/>
  <c r="Z61" i="4"/>
  <c r="V62" i="4"/>
  <c r="W62" i="4"/>
  <c r="X62" i="4"/>
  <c r="Y62" i="4"/>
  <c r="G62" i="4"/>
  <c r="H62" i="4"/>
  <c r="J62" i="4"/>
  <c r="Z62" i="4"/>
  <c r="V63" i="4"/>
  <c r="W63" i="4"/>
  <c r="X63" i="4"/>
  <c r="Y63" i="4"/>
  <c r="G63" i="4"/>
  <c r="H63" i="4"/>
  <c r="J63" i="4"/>
  <c r="Z63" i="4"/>
  <c r="V64" i="4"/>
  <c r="W64" i="4"/>
  <c r="X64" i="4"/>
  <c r="Y64" i="4"/>
  <c r="G64" i="4"/>
  <c r="H64" i="4"/>
  <c r="J64" i="4"/>
  <c r="Z64" i="4"/>
  <c r="V65" i="4"/>
  <c r="W65" i="4"/>
  <c r="X65" i="4"/>
  <c r="Y65" i="4"/>
  <c r="G65" i="4"/>
  <c r="H65" i="4"/>
  <c r="J65" i="4"/>
  <c r="Z65" i="4"/>
  <c r="V66" i="4"/>
  <c r="W66" i="4"/>
  <c r="X66" i="4"/>
  <c r="Y66" i="4"/>
  <c r="G66" i="4"/>
  <c r="H66" i="4"/>
  <c r="J66" i="4"/>
  <c r="Z66" i="4"/>
  <c r="V67" i="4"/>
  <c r="W67" i="4"/>
  <c r="X67" i="4"/>
  <c r="Y67" i="4"/>
  <c r="G67" i="4"/>
  <c r="H67" i="4"/>
  <c r="J67" i="4"/>
  <c r="Z67" i="4"/>
  <c r="V68" i="4"/>
  <c r="W68" i="4"/>
  <c r="X68" i="4"/>
  <c r="Y68" i="4"/>
  <c r="G68" i="4"/>
  <c r="H68" i="4"/>
  <c r="J68" i="4"/>
  <c r="Z68" i="4"/>
  <c r="V69" i="4"/>
  <c r="W69" i="4"/>
  <c r="X69" i="4"/>
  <c r="Y69" i="4"/>
  <c r="G69" i="4"/>
  <c r="H69" i="4"/>
  <c r="J69" i="4"/>
  <c r="Z69" i="4"/>
  <c r="V70" i="4"/>
  <c r="W70" i="4"/>
  <c r="X70" i="4"/>
  <c r="Y70" i="4"/>
  <c r="G70" i="4"/>
  <c r="H70" i="4"/>
  <c r="J70" i="4"/>
  <c r="Z70" i="4"/>
  <c r="Y77" i="4"/>
  <c r="Z77" i="4"/>
  <c r="V46" i="4"/>
  <c r="W46" i="4"/>
  <c r="X46" i="4"/>
  <c r="Y46" i="4"/>
  <c r="G46" i="4"/>
  <c r="H46" i="4"/>
  <c r="J46" i="4"/>
  <c r="Z46" i="4"/>
  <c r="V47" i="4"/>
  <c r="W47" i="4"/>
  <c r="X47" i="4"/>
  <c r="Y47" i="4"/>
  <c r="G47" i="4"/>
  <c r="H47" i="4"/>
  <c r="J47" i="4"/>
  <c r="Z47" i="4"/>
  <c r="V48" i="4"/>
  <c r="W48" i="4"/>
  <c r="X48" i="4"/>
  <c r="Y48" i="4"/>
  <c r="G48" i="4"/>
  <c r="H48" i="4"/>
  <c r="J48" i="4"/>
  <c r="Z48" i="4"/>
  <c r="V49" i="4"/>
  <c r="W49" i="4"/>
  <c r="X49" i="4"/>
  <c r="Y49" i="4"/>
  <c r="G49" i="4"/>
  <c r="H49" i="4"/>
  <c r="J49" i="4"/>
  <c r="Z49" i="4"/>
  <c r="V50" i="4"/>
  <c r="W50" i="4"/>
  <c r="X50" i="4"/>
  <c r="Y50" i="4"/>
  <c r="G50" i="4"/>
  <c r="H50" i="4"/>
  <c r="J50" i="4"/>
  <c r="Z50" i="4"/>
  <c r="V51" i="4"/>
  <c r="W51" i="4"/>
  <c r="X51" i="4"/>
  <c r="Y51" i="4"/>
  <c r="G51" i="4"/>
  <c r="H51" i="4"/>
  <c r="J51" i="4"/>
  <c r="Z51" i="4"/>
  <c r="V52" i="4"/>
  <c r="W52" i="4"/>
  <c r="X52" i="4"/>
  <c r="Y52" i="4"/>
  <c r="G52" i="4"/>
  <c r="H52" i="4"/>
  <c r="J52" i="4"/>
  <c r="Z52" i="4"/>
  <c r="V53" i="4"/>
  <c r="W53" i="4"/>
  <c r="X53" i="4"/>
  <c r="Y53" i="4"/>
  <c r="G53" i="4"/>
  <c r="H53" i="4"/>
  <c r="J53" i="4"/>
  <c r="Z53" i="4"/>
  <c r="V54" i="4"/>
  <c r="W54" i="4"/>
  <c r="X54" i="4"/>
  <c r="Y54" i="4"/>
  <c r="G54" i="4"/>
  <c r="H54" i="4"/>
  <c r="J54" i="4"/>
  <c r="Z54" i="4"/>
  <c r="V55" i="4"/>
  <c r="W55" i="4"/>
  <c r="X55" i="4"/>
  <c r="Y55" i="4"/>
  <c r="G55" i="4"/>
  <c r="H55" i="4"/>
  <c r="J55" i="4"/>
  <c r="Z55" i="4"/>
  <c r="V56" i="4"/>
  <c r="W56" i="4"/>
  <c r="X56" i="4"/>
  <c r="Y56" i="4"/>
  <c r="G56" i="4"/>
  <c r="H56" i="4"/>
  <c r="J56" i="4"/>
  <c r="Z56" i="4"/>
  <c r="V57" i="4"/>
  <c r="W57" i="4"/>
  <c r="X57" i="4"/>
  <c r="Y57" i="4"/>
  <c r="G57" i="4"/>
  <c r="H57" i="4"/>
  <c r="J57" i="4"/>
  <c r="Z57" i="4"/>
  <c r="Y76" i="4"/>
  <c r="Z76" i="4"/>
  <c r="V33" i="4"/>
  <c r="W33" i="4"/>
  <c r="X33" i="4"/>
  <c r="Y33" i="4"/>
  <c r="G33" i="4"/>
  <c r="H33" i="4"/>
  <c r="J33" i="4"/>
  <c r="Z33" i="4"/>
  <c r="V34" i="4"/>
  <c r="W34" i="4"/>
  <c r="X34" i="4"/>
  <c r="Y34" i="4"/>
  <c r="G34" i="4"/>
  <c r="H34" i="4"/>
  <c r="J34" i="4"/>
  <c r="Z34" i="4"/>
  <c r="V35" i="4"/>
  <c r="W35" i="4"/>
  <c r="X35" i="4"/>
  <c r="Y35" i="4"/>
  <c r="G35" i="4"/>
  <c r="H35" i="4"/>
  <c r="J35" i="4"/>
  <c r="Z35" i="4"/>
  <c r="V36" i="4"/>
  <c r="W36" i="4"/>
  <c r="X36" i="4"/>
  <c r="Y36" i="4"/>
  <c r="G36" i="4"/>
  <c r="H36" i="4"/>
  <c r="J36" i="4"/>
  <c r="Z36" i="4"/>
  <c r="V37" i="4"/>
  <c r="W37" i="4"/>
  <c r="X37" i="4"/>
  <c r="Y37" i="4"/>
  <c r="G37" i="4"/>
  <c r="H37" i="4"/>
  <c r="J37" i="4"/>
  <c r="Z37" i="4"/>
  <c r="V39" i="4"/>
  <c r="W39" i="4"/>
  <c r="X39" i="4"/>
  <c r="Y39" i="4"/>
  <c r="G39" i="4"/>
  <c r="H39" i="4"/>
  <c r="J39" i="4"/>
  <c r="Z39" i="4"/>
  <c r="V40" i="4"/>
  <c r="W40" i="4"/>
  <c r="X40" i="4"/>
  <c r="Y40" i="4"/>
  <c r="G40" i="4"/>
  <c r="H40" i="4"/>
  <c r="J40" i="4"/>
  <c r="Z40" i="4"/>
  <c r="V41" i="4"/>
  <c r="W41" i="4"/>
  <c r="X41" i="4"/>
  <c r="Y41" i="4"/>
  <c r="G41" i="4"/>
  <c r="H41" i="4"/>
  <c r="J41" i="4"/>
  <c r="Z41" i="4"/>
  <c r="V42" i="4"/>
  <c r="W42" i="4"/>
  <c r="X42" i="4"/>
  <c r="Y42" i="4"/>
  <c r="G42" i="4"/>
  <c r="H42" i="4"/>
  <c r="J42" i="4"/>
  <c r="Z42" i="4"/>
  <c r="V43" i="4"/>
  <c r="W43" i="4"/>
  <c r="X43" i="4"/>
  <c r="Y43" i="4"/>
  <c r="G43" i="4"/>
  <c r="H43" i="4"/>
  <c r="J43" i="4"/>
  <c r="Z43" i="4"/>
  <c r="V44" i="4"/>
  <c r="W44" i="4"/>
  <c r="X44" i="4"/>
  <c r="Y44" i="4"/>
  <c r="G44" i="4"/>
  <c r="H44" i="4"/>
  <c r="J44" i="4"/>
  <c r="Z44" i="4"/>
  <c r="V45" i="4"/>
  <c r="W45" i="4"/>
  <c r="X45" i="4"/>
  <c r="Y45" i="4"/>
  <c r="G45" i="4"/>
  <c r="H45" i="4"/>
  <c r="J45" i="4"/>
  <c r="Z45" i="4"/>
  <c r="Y75" i="4"/>
  <c r="Z75" i="4"/>
  <c r="V21" i="4"/>
  <c r="W21" i="4"/>
  <c r="X21" i="4"/>
  <c r="Y21" i="4"/>
  <c r="G21" i="4"/>
  <c r="H21" i="4"/>
  <c r="J21" i="4"/>
  <c r="Z21" i="4"/>
  <c r="V22" i="4"/>
  <c r="W22" i="4"/>
  <c r="X22" i="4"/>
  <c r="Y22" i="4"/>
  <c r="G22" i="4"/>
  <c r="H22" i="4"/>
  <c r="J22" i="4"/>
  <c r="Z22" i="4"/>
  <c r="V23" i="4"/>
  <c r="W23" i="4"/>
  <c r="X23" i="4"/>
  <c r="Y23" i="4"/>
  <c r="G23" i="4"/>
  <c r="H23" i="4"/>
  <c r="J23" i="4"/>
  <c r="Z23" i="4"/>
  <c r="V25" i="4"/>
  <c r="W25" i="4"/>
  <c r="X25" i="4"/>
  <c r="Y25" i="4"/>
  <c r="G25" i="4"/>
  <c r="H25" i="4"/>
  <c r="J25" i="4"/>
  <c r="Z25" i="4"/>
  <c r="V26" i="4"/>
  <c r="W26" i="4"/>
  <c r="X26" i="4"/>
  <c r="Y26" i="4"/>
  <c r="G26" i="4"/>
  <c r="H26" i="4"/>
  <c r="J26" i="4"/>
  <c r="Z26" i="4"/>
  <c r="V27" i="4"/>
  <c r="W27" i="4"/>
  <c r="X27" i="4"/>
  <c r="Y27" i="4"/>
  <c r="G27" i="4"/>
  <c r="H27" i="4"/>
  <c r="J27" i="4"/>
  <c r="Z27" i="4"/>
  <c r="V28" i="4"/>
  <c r="W28" i="4"/>
  <c r="X28" i="4"/>
  <c r="Y28" i="4"/>
  <c r="G28" i="4"/>
  <c r="H28" i="4"/>
  <c r="J28" i="4"/>
  <c r="Z28" i="4"/>
  <c r="V29" i="4"/>
  <c r="W29" i="4"/>
  <c r="X29" i="4"/>
  <c r="Y29" i="4"/>
  <c r="G29" i="4"/>
  <c r="H29" i="4"/>
  <c r="J29" i="4"/>
  <c r="Z29" i="4"/>
  <c r="V30" i="4"/>
  <c r="W30" i="4"/>
  <c r="X30" i="4"/>
  <c r="Y30" i="4"/>
  <c r="G30" i="4"/>
  <c r="H30" i="4"/>
  <c r="J30" i="4"/>
  <c r="Z30" i="4"/>
  <c r="V31" i="4"/>
  <c r="W31" i="4"/>
  <c r="X31" i="4"/>
  <c r="Y31" i="4"/>
  <c r="G31" i="4"/>
  <c r="H31" i="4"/>
  <c r="J31" i="4"/>
  <c r="Z31" i="4"/>
  <c r="V32" i="4"/>
  <c r="W32" i="4"/>
  <c r="X32" i="4"/>
  <c r="Y32" i="4"/>
  <c r="G32" i="4"/>
  <c r="H32" i="4"/>
  <c r="J32" i="4"/>
  <c r="Z32" i="4"/>
  <c r="Y74" i="4"/>
  <c r="Z74" i="4"/>
  <c r="AZ58" i="4"/>
  <c r="BA58" i="4"/>
  <c r="BC58" i="4"/>
  <c r="AK58" i="4"/>
  <c r="AL58" i="4"/>
  <c r="AN58" i="4"/>
  <c r="BD58" i="4"/>
  <c r="AZ59" i="4"/>
  <c r="BA59" i="4"/>
  <c r="BB59" i="4"/>
  <c r="BC59" i="4"/>
  <c r="AK59" i="4"/>
  <c r="AL59" i="4"/>
  <c r="AN59" i="4"/>
  <c r="BD59" i="4"/>
  <c r="AZ60" i="4"/>
  <c r="BA60" i="4"/>
  <c r="BC60" i="4"/>
  <c r="AK60" i="4"/>
  <c r="AL60" i="4"/>
  <c r="AN60" i="4"/>
  <c r="BD60" i="4"/>
  <c r="AZ61" i="4"/>
  <c r="BA61" i="4"/>
  <c r="BC61" i="4"/>
  <c r="AK61" i="4"/>
  <c r="AL61" i="4"/>
  <c r="AN61" i="4"/>
  <c r="BD61" i="4"/>
  <c r="AZ62" i="4"/>
  <c r="BA62" i="4"/>
  <c r="BB62" i="4"/>
  <c r="BC62" i="4"/>
  <c r="AK62" i="4"/>
  <c r="AL62" i="4"/>
  <c r="AN62" i="4"/>
  <c r="BD62" i="4"/>
  <c r="AZ63" i="4"/>
  <c r="BA63" i="4"/>
  <c r="BC63" i="4"/>
  <c r="AK63" i="4"/>
  <c r="AL63" i="4"/>
  <c r="AN63" i="4"/>
  <c r="BD63" i="4"/>
  <c r="AZ65" i="4"/>
  <c r="BA65" i="4"/>
  <c r="BC65" i="4"/>
  <c r="AK65" i="4"/>
  <c r="AL65" i="4"/>
  <c r="AN65" i="4"/>
  <c r="BD65" i="4"/>
  <c r="AZ66" i="4"/>
  <c r="BA66" i="4"/>
  <c r="BC66" i="4"/>
  <c r="AK66" i="4"/>
  <c r="AL66" i="4"/>
  <c r="AN66" i="4"/>
  <c r="BD66" i="4"/>
  <c r="AZ67" i="4"/>
  <c r="BA67" i="4"/>
  <c r="BC67" i="4"/>
  <c r="AK67" i="4"/>
  <c r="AL67" i="4"/>
  <c r="AN67" i="4"/>
  <c r="BD67" i="4"/>
  <c r="AZ68" i="4"/>
  <c r="BA68" i="4"/>
  <c r="BC68" i="4"/>
  <c r="AK68" i="4"/>
  <c r="AL68" i="4"/>
  <c r="AN68" i="4"/>
  <c r="BD68" i="4"/>
  <c r="AZ69" i="4"/>
  <c r="BA69" i="4"/>
  <c r="BC69" i="4"/>
  <c r="AK69" i="4"/>
  <c r="AL69" i="4"/>
  <c r="AN69" i="4"/>
  <c r="BD69" i="4"/>
  <c r="AZ70" i="4"/>
  <c r="BA70" i="4"/>
  <c r="BC70" i="4"/>
  <c r="AK70" i="4"/>
  <c r="AL70" i="4"/>
  <c r="AN70" i="4"/>
  <c r="BD70" i="4"/>
  <c r="S77" i="4"/>
  <c r="T77" i="4"/>
  <c r="AZ46" i="4"/>
  <c r="BA46" i="4"/>
  <c r="BC46" i="4"/>
  <c r="AK46" i="4"/>
  <c r="AL46" i="4"/>
  <c r="AN46" i="4"/>
  <c r="BD46" i="4"/>
  <c r="AZ47" i="4"/>
  <c r="BA47" i="4"/>
  <c r="BC47" i="4"/>
  <c r="AK47" i="4"/>
  <c r="AL47" i="4"/>
  <c r="AN47" i="4"/>
  <c r="BD47" i="4"/>
  <c r="AZ48" i="4"/>
  <c r="BA48" i="4"/>
  <c r="BB48" i="4"/>
  <c r="BC48" i="4"/>
  <c r="AK48" i="4"/>
  <c r="AL48" i="4"/>
  <c r="AN48" i="4"/>
  <c r="BD48" i="4"/>
  <c r="AZ49" i="4"/>
  <c r="BA49" i="4"/>
  <c r="BC49" i="4"/>
  <c r="AK49" i="4"/>
  <c r="AL49" i="4"/>
  <c r="AN49" i="4"/>
  <c r="BD49" i="4"/>
  <c r="AZ50" i="4"/>
  <c r="BA50" i="4"/>
  <c r="BC50" i="4"/>
  <c r="AK50" i="4"/>
  <c r="AL50" i="4"/>
  <c r="AN50" i="4"/>
  <c r="BD50" i="4"/>
  <c r="AZ51" i="4"/>
  <c r="BA51" i="4"/>
  <c r="BC51" i="4"/>
  <c r="AK51" i="4"/>
  <c r="AL51" i="4"/>
  <c r="AN51" i="4"/>
  <c r="BD51" i="4"/>
  <c r="AZ52" i="4"/>
  <c r="BA52" i="4"/>
  <c r="BC52" i="4"/>
  <c r="AK52" i="4"/>
  <c r="AL52" i="4"/>
  <c r="AN52" i="4"/>
  <c r="BD52" i="4"/>
  <c r="AZ53" i="4"/>
  <c r="BA53" i="4"/>
  <c r="BB53" i="4"/>
  <c r="BC53" i="4"/>
  <c r="AK53" i="4"/>
  <c r="AL53" i="4"/>
  <c r="AN53" i="4"/>
  <c r="BD53" i="4"/>
  <c r="AZ54" i="4"/>
  <c r="BA54" i="4"/>
  <c r="BC54" i="4"/>
  <c r="AK54" i="4"/>
  <c r="AL54" i="4"/>
  <c r="AN54" i="4"/>
  <c r="BD54" i="4"/>
  <c r="AZ55" i="4"/>
  <c r="BA55" i="4"/>
  <c r="BB55" i="4"/>
  <c r="BC55" i="4"/>
  <c r="AK55" i="4"/>
  <c r="AL55" i="4"/>
  <c r="AN55" i="4"/>
  <c r="BD55" i="4"/>
  <c r="AZ56" i="4"/>
  <c r="BA56" i="4"/>
  <c r="BC56" i="4"/>
  <c r="AK56" i="4"/>
  <c r="AL56" i="4"/>
  <c r="AN56" i="4"/>
  <c r="BD56" i="4"/>
  <c r="AZ57" i="4"/>
  <c r="BA57" i="4"/>
  <c r="BB57" i="4"/>
  <c r="BC57" i="4"/>
  <c r="AK57" i="4"/>
  <c r="AL57" i="4"/>
  <c r="AN57" i="4"/>
  <c r="BD57" i="4"/>
  <c r="S76" i="4"/>
  <c r="T76" i="4"/>
  <c r="AZ33" i="4"/>
  <c r="BA33" i="4"/>
  <c r="BB33" i="4"/>
  <c r="BC33" i="4"/>
  <c r="AK33" i="4"/>
  <c r="AL33" i="4"/>
  <c r="AN33" i="4"/>
  <c r="BD33" i="4"/>
  <c r="AZ34" i="4"/>
  <c r="BA34" i="4"/>
  <c r="BB34" i="4"/>
  <c r="BC34" i="4"/>
  <c r="AK34" i="4"/>
  <c r="AL34" i="4"/>
  <c r="AN34" i="4"/>
  <c r="BD34" i="4"/>
  <c r="AZ35" i="4"/>
  <c r="BA35" i="4"/>
  <c r="BC35" i="4"/>
  <c r="AK35" i="4"/>
  <c r="AL35" i="4"/>
  <c r="AN35" i="4"/>
  <c r="BD35" i="4"/>
  <c r="AZ36" i="4"/>
  <c r="BA36" i="4"/>
  <c r="BC36" i="4"/>
  <c r="AK36" i="4"/>
  <c r="AL36" i="4"/>
  <c r="AN36" i="4"/>
  <c r="BD36" i="4"/>
  <c r="AZ37" i="4"/>
  <c r="BA37" i="4"/>
  <c r="BC37" i="4"/>
  <c r="AK37" i="4"/>
  <c r="AL37" i="4"/>
  <c r="AN37" i="4"/>
  <c r="BD37" i="4"/>
  <c r="AZ38" i="4"/>
  <c r="BA38" i="4"/>
  <c r="BC38" i="4"/>
  <c r="AK38" i="4"/>
  <c r="AL38" i="4"/>
  <c r="AN38" i="4"/>
  <c r="BD38" i="4"/>
  <c r="AZ39" i="4"/>
  <c r="BA39" i="4"/>
  <c r="BC39" i="4"/>
  <c r="AK39" i="4"/>
  <c r="AL39" i="4"/>
  <c r="AN39" i="4"/>
  <c r="BD39" i="4"/>
  <c r="AZ40" i="4"/>
  <c r="BA40" i="4"/>
  <c r="BB40" i="4"/>
  <c r="BC40" i="4"/>
  <c r="AK40" i="4"/>
  <c r="AL40" i="4"/>
  <c r="AN40" i="4"/>
  <c r="BD40" i="4"/>
  <c r="AZ41" i="4"/>
  <c r="BA41" i="4"/>
  <c r="BB41" i="4"/>
  <c r="BC41" i="4"/>
  <c r="AK41" i="4"/>
  <c r="AL41" i="4"/>
  <c r="AN41" i="4"/>
  <c r="BD41" i="4"/>
  <c r="AZ42" i="4"/>
  <c r="BA42" i="4"/>
  <c r="BB42" i="4"/>
  <c r="BC42" i="4"/>
  <c r="AK42" i="4"/>
  <c r="AL42" i="4"/>
  <c r="AN42" i="4"/>
  <c r="BD42" i="4"/>
  <c r="AZ43" i="4"/>
  <c r="BA43" i="4"/>
  <c r="BC43" i="4"/>
  <c r="AK43" i="4"/>
  <c r="AL43" i="4"/>
  <c r="AN43" i="4"/>
  <c r="BD43" i="4"/>
  <c r="AZ44" i="4"/>
  <c r="BA44" i="4"/>
  <c r="BB44" i="4"/>
  <c r="BC44" i="4"/>
  <c r="AK44" i="4"/>
  <c r="AL44" i="4"/>
  <c r="AN44" i="4"/>
  <c r="BD44" i="4"/>
  <c r="AZ45" i="4"/>
  <c r="BA45" i="4"/>
  <c r="BB45" i="4"/>
  <c r="BC45" i="4"/>
  <c r="AK45" i="4"/>
  <c r="AL45" i="4"/>
  <c r="AN45" i="4"/>
  <c r="BD45" i="4"/>
  <c r="S75" i="4"/>
  <c r="T75" i="4"/>
  <c r="AZ21" i="4"/>
  <c r="BA21" i="4"/>
  <c r="BB21" i="4"/>
  <c r="BC21" i="4"/>
  <c r="AK21" i="4"/>
  <c r="AL21" i="4"/>
  <c r="AN21" i="4"/>
  <c r="BD21" i="4"/>
  <c r="AZ22" i="4"/>
  <c r="BA22" i="4"/>
  <c r="BB22" i="4"/>
  <c r="BC22" i="4"/>
  <c r="AK22" i="4"/>
  <c r="AL22" i="4"/>
  <c r="AN22" i="4"/>
  <c r="BD22" i="4"/>
  <c r="AZ23" i="4"/>
  <c r="BA23" i="4"/>
  <c r="BC23" i="4"/>
  <c r="AK23" i="4"/>
  <c r="AL23" i="4"/>
  <c r="AN23" i="4"/>
  <c r="BD23" i="4"/>
  <c r="AZ24" i="4"/>
  <c r="BA24" i="4"/>
  <c r="BC24" i="4"/>
  <c r="AK24" i="4"/>
  <c r="AL24" i="4"/>
  <c r="AN24" i="4"/>
  <c r="BD24" i="4"/>
  <c r="AZ25" i="4"/>
  <c r="BA25" i="4"/>
  <c r="BC25" i="4"/>
  <c r="AK25" i="4"/>
  <c r="AL25" i="4"/>
  <c r="AN25" i="4"/>
  <c r="BD25" i="4"/>
  <c r="AZ26" i="4"/>
  <c r="BA26" i="4"/>
  <c r="BC26" i="4"/>
  <c r="AK26" i="4"/>
  <c r="AL26" i="4"/>
  <c r="AN26" i="4"/>
  <c r="BD26" i="4"/>
  <c r="AZ27" i="4"/>
  <c r="BA27" i="4"/>
  <c r="BC27" i="4"/>
  <c r="AK27" i="4"/>
  <c r="AL27" i="4"/>
  <c r="AN27" i="4"/>
  <c r="BD27" i="4"/>
  <c r="AZ28" i="4"/>
  <c r="BA28" i="4"/>
  <c r="BB28" i="4"/>
  <c r="BC28" i="4"/>
  <c r="AK28" i="4"/>
  <c r="AL28" i="4"/>
  <c r="AN28" i="4"/>
  <c r="BD28" i="4"/>
  <c r="AZ29" i="4"/>
  <c r="BA29" i="4"/>
  <c r="BB29" i="4"/>
  <c r="BC29" i="4"/>
  <c r="AK29" i="4"/>
  <c r="AL29" i="4"/>
  <c r="AN29" i="4"/>
  <c r="BD29" i="4"/>
  <c r="AZ30" i="4"/>
  <c r="BA30" i="4"/>
  <c r="BC30" i="4"/>
  <c r="AK30" i="4"/>
  <c r="AL30" i="4"/>
  <c r="AN30" i="4"/>
  <c r="BD30" i="4"/>
  <c r="AZ31" i="4"/>
  <c r="BA31" i="4"/>
  <c r="BB31" i="4"/>
  <c r="BC31" i="4"/>
  <c r="AK31" i="4"/>
  <c r="AL31" i="4"/>
  <c r="AN31" i="4"/>
  <c r="BD31" i="4"/>
  <c r="AZ32" i="4"/>
  <c r="BA32" i="4"/>
  <c r="BB32" i="4"/>
  <c r="BC32" i="4"/>
  <c r="AK32" i="4"/>
  <c r="AL32" i="4"/>
  <c r="AN32" i="4"/>
  <c r="BD32" i="4"/>
  <c r="S74" i="4"/>
  <c r="T74" i="4"/>
  <c r="X77" i="4"/>
  <c r="X76" i="4"/>
  <c r="X75" i="4"/>
  <c r="X74" i="4"/>
  <c r="R77" i="4"/>
  <c r="R76" i="4"/>
  <c r="R75" i="4"/>
  <c r="R74" i="4"/>
  <c r="L77" i="4"/>
  <c r="M77" i="4"/>
  <c r="L76" i="4"/>
  <c r="M76" i="4"/>
  <c r="G38" i="4"/>
  <c r="H38" i="4"/>
  <c r="J38" i="4"/>
  <c r="L75" i="4"/>
  <c r="M75" i="4"/>
  <c r="G24" i="4"/>
  <c r="H24" i="4"/>
  <c r="J24" i="4"/>
  <c r="L74" i="4"/>
  <c r="M74" i="4"/>
  <c r="F77" i="4"/>
  <c r="G77" i="4"/>
  <c r="F76" i="4"/>
  <c r="G76" i="4"/>
  <c r="F75" i="4"/>
  <c r="G75" i="4"/>
  <c r="F74" i="4"/>
  <c r="G74" i="4"/>
  <c r="E74" i="4"/>
  <c r="E75" i="4"/>
  <c r="K77" i="4"/>
  <c r="K76" i="4"/>
  <c r="K75" i="4"/>
  <c r="E77" i="4"/>
  <c r="G29" i="22"/>
  <c r="H29" i="22"/>
  <c r="I29" i="22"/>
  <c r="K29" i="22"/>
  <c r="M29" i="22"/>
  <c r="N29" i="22"/>
  <c r="G30" i="22"/>
  <c r="H30" i="22"/>
  <c r="I30" i="22"/>
  <c r="K30" i="22"/>
  <c r="M30" i="22"/>
  <c r="N30" i="22"/>
  <c r="G31" i="22"/>
  <c r="H31" i="22"/>
  <c r="I31" i="22"/>
  <c r="K31" i="22"/>
  <c r="M31" i="22"/>
  <c r="N31" i="22"/>
  <c r="G32" i="22"/>
  <c r="H32" i="22"/>
  <c r="I32" i="22"/>
  <c r="K32" i="22"/>
  <c r="M32" i="22"/>
  <c r="N32" i="22"/>
  <c r="G33" i="22"/>
  <c r="H33" i="22"/>
  <c r="I33" i="22"/>
  <c r="K33" i="22"/>
  <c r="M33" i="22"/>
  <c r="N33" i="22"/>
  <c r="G34" i="22"/>
  <c r="H34" i="22"/>
  <c r="I34" i="22"/>
  <c r="K34" i="22"/>
  <c r="M34" i="22"/>
  <c r="N34" i="22"/>
  <c r="G35" i="22"/>
  <c r="H35" i="22"/>
  <c r="I35" i="22"/>
  <c r="K35" i="22"/>
  <c r="M35" i="22"/>
  <c r="N35" i="22"/>
  <c r="G36" i="22"/>
  <c r="H36" i="22"/>
  <c r="I36" i="22"/>
  <c r="K36" i="22"/>
  <c r="M36" i="22"/>
  <c r="N36" i="22"/>
  <c r="W31" i="22"/>
  <c r="G45" i="22"/>
  <c r="H45" i="22"/>
  <c r="I45" i="22"/>
  <c r="K45" i="22"/>
  <c r="O45" i="22"/>
  <c r="P45" i="22"/>
  <c r="G46" i="22"/>
  <c r="H46" i="22"/>
  <c r="I46" i="22"/>
  <c r="K46" i="22"/>
  <c r="O46" i="22"/>
  <c r="P46" i="22"/>
  <c r="G47" i="22"/>
  <c r="H47" i="22"/>
  <c r="I47" i="22"/>
  <c r="K47" i="22"/>
  <c r="O47" i="22"/>
  <c r="P47" i="22"/>
  <c r="G48" i="22"/>
  <c r="H48" i="22"/>
  <c r="I48" i="22"/>
  <c r="K48" i="22"/>
  <c r="O48" i="22"/>
  <c r="P48" i="22"/>
  <c r="G49" i="22"/>
  <c r="H49" i="22"/>
  <c r="I49" i="22"/>
  <c r="K49" i="22"/>
  <c r="O49" i="22"/>
  <c r="P49" i="22"/>
  <c r="G50" i="22"/>
  <c r="H50" i="22"/>
  <c r="I50" i="22"/>
  <c r="K50" i="22"/>
  <c r="O50" i="22"/>
  <c r="P50" i="22"/>
  <c r="G51" i="22"/>
  <c r="H51" i="22"/>
  <c r="I51" i="22"/>
  <c r="K51" i="22"/>
  <c r="O51" i="22"/>
  <c r="P51" i="22"/>
  <c r="G52" i="22"/>
  <c r="H52" i="22"/>
  <c r="I52" i="22"/>
  <c r="K52" i="22"/>
  <c r="O52" i="22"/>
  <c r="P52" i="22"/>
  <c r="AB33" i="22"/>
  <c r="O29" i="22"/>
  <c r="P29" i="22"/>
  <c r="O30" i="22"/>
  <c r="P30" i="22"/>
  <c r="O31" i="22"/>
  <c r="P31" i="22"/>
  <c r="O32" i="22"/>
  <c r="P32" i="22"/>
  <c r="O33" i="22"/>
  <c r="P33" i="22"/>
  <c r="O34" i="22"/>
  <c r="P34" i="22"/>
  <c r="O35" i="22"/>
  <c r="P35" i="22"/>
  <c r="O36" i="22"/>
  <c r="P36" i="22"/>
  <c r="AB31" i="22"/>
  <c r="AE32" i="22"/>
  <c r="G37" i="22"/>
  <c r="H37" i="22"/>
  <c r="I37" i="22"/>
  <c r="K37" i="22"/>
  <c r="O37" i="22"/>
  <c r="P37" i="22"/>
  <c r="G38" i="22"/>
  <c r="H38" i="22"/>
  <c r="I38" i="22"/>
  <c r="K38" i="22"/>
  <c r="O38" i="22"/>
  <c r="P38" i="22"/>
  <c r="G39" i="22"/>
  <c r="H39" i="22"/>
  <c r="I39" i="22"/>
  <c r="K39" i="22"/>
  <c r="O39" i="22"/>
  <c r="P39" i="22"/>
  <c r="G40" i="22"/>
  <c r="H40" i="22"/>
  <c r="I40" i="22"/>
  <c r="K40" i="22"/>
  <c r="O40" i="22"/>
  <c r="P40" i="22"/>
  <c r="G41" i="22"/>
  <c r="H41" i="22"/>
  <c r="I41" i="22"/>
  <c r="K41" i="22"/>
  <c r="O41" i="22"/>
  <c r="P41" i="22"/>
  <c r="G42" i="22"/>
  <c r="H42" i="22"/>
  <c r="I42" i="22"/>
  <c r="K42" i="22"/>
  <c r="O42" i="22"/>
  <c r="P42" i="22"/>
  <c r="G43" i="22"/>
  <c r="H43" i="22"/>
  <c r="I43" i="22"/>
  <c r="K43" i="22"/>
  <c r="O43" i="22"/>
  <c r="P43" i="22"/>
  <c r="G44" i="22"/>
  <c r="H44" i="22"/>
  <c r="I44" i="22"/>
  <c r="K44" i="22"/>
  <c r="O44" i="22"/>
  <c r="P44" i="22"/>
  <c r="AB32" i="22"/>
  <c r="AE31" i="22"/>
  <c r="G69" i="22"/>
  <c r="H69" i="22"/>
  <c r="I69" i="22"/>
  <c r="K69" i="22"/>
  <c r="O69" i="22"/>
  <c r="P69" i="22"/>
  <c r="G70" i="22"/>
  <c r="H70" i="22"/>
  <c r="I70" i="22"/>
  <c r="K70" i="22"/>
  <c r="O70" i="22"/>
  <c r="P70" i="22"/>
  <c r="G71" i="22"/>
  <c r="H71" i="22"/>
  <c r="I71" i="22"/>
  <c r="K71" i="22"/>
  <c r="O71" i="22"/>
  <c r="P71" i="22"/>
  <c r="G72" i="22"/>
  <c r="H72" i="22"/>
  <c r="I72" i="22"/>
  <c r="K72" i="22"/>
  <c r="O72" i="22"/>
  <c r="P72" i="22"/>
  <c r="G73" i="22"/>
  <c r="H73" i="22"/>
  <c r="I73" i="22"/>
  <c r="K73" i="22"/>
  <c r="O73" i="22"/>
  <c r="P73" i="22"/>
  <c r="G74" i="22"/>
  <c r="H74" i="22"/>
  <c r="I74" i="22"/>
  <c r="K74" i="22"/>
  <c r="O74" i="22"/>
  <c r="P74" i="22"/>
  <c r="G75" i="22"/>
  <c r="H75" i="22"/>
  <c r="I75" i="22"/>
  <c r="K75" i="22"/>
  <c r="O75" i="22"/>
  <c r="P75" i="22"/>
  <c r="G76" i="22"/>
  <c r="H76" i="22"/>
  <c r="I76" i="22"/>
  <c r="K76" i="22"/>
  <c r="O76" i="22"/>
  <c r="P76" i="22"/>
  <c r="AB37" i="22"/>
  <c r="G53" i="22"/>
  <c r="H53" i="22"/>
  <c r="I53" i="22"/>
  <c r="K53" i="22"/>
  <c r="O53" i="22"/>
  <c r="P53" i="22"/>
  <c r="G54" i="22"/>
  <c r="H54" i="22"/>
  <c r="I54" i="22"/>
  <c r="K54" i="22"/>
  <c r="O54" i="22"/>
  <c r="P54" i="22"/>
  <c r="G55" i="22"/>
  <c r="H55" i="22"/>
  <c r="I55" i="22"/>
  <c r="K55" i="22"/>
  <c r="O55" i="22"/>
  <c r="P55" i="22"/>
  <c r="G56" i="22"/>
  <c r="H56" i="22"/>
  <c r="I56" i="22"/>
  <c r="K56" i="22"/>
  <c r="O56" i="22"/>
  <c r="P56" i="22"/>
  <c r="G57" i="22"/>
  <c r="H57" i="22"/>
  <c r="I57" i="22"/>
  <c r="K57" i="22"/>
  <c r="O57" i="22"/>
  <c r="P57" i="22"/>
  <c r="G58" i="22"/>
  <c r="H58" i="22"/>
  <c r="I58" i="22"/>
  <c r="K58" i="22"/>
  <c r="O58" i="22"/>
  <c r="P58" i="22"/>
  <c r="G59" i="22"/>
  <c r="H59" i="22"/>
  <c r="I59" i="22"/>
  <c r="K59" i="22"/>
  <c r="O59" i="22"/>
  <c r="P59" i="22"/>
  <c r="G60" i="22"/>
  <c r="H60" i="22"/>
  <c r="I60" i="22"/>
  <c r="K60" i="22"/>
  <c r="O60" i="22"/>
  <c r="P60" i="22"/>
  <c r="AB35" i="22"/>
  <c r="AE37" i="22"/>
  <c r="G61" i="22"/>
  <c r="H61" i="22"/>
  <c r="I61" i="22"/>
  <c r="K61" i="22"/>
  <c r="O61" i="22"/>
  <c r="P61" i="22"/>
  <c r="G62" i="22"/>
  <c r="H62" i="22"/>
  <c r="I62" i="22"/>
  <c r="K62" i="22"/>
  <c r="O62" i="22"/>
  <c r="P62" i="22"/>
  <c r="G63" i="22"/>
  <c r="H63" i="22"/>
  <c r="I63" i="22"/>
  <c r="K63" i="22"/>
  <c r="O63" i="22"/>
  <c r="P63" i="22"/>
  <c r="G64" i="22"/>
  <c r="H64" i="22"/>
  <c r="I64" i="22"/>
  <c r="K64" i="22"/>
  <c r="O64" i="22"/>
  <c r="P64" i="22"/>
  <c r="G65" i="22"/>
  <c r="H65" i="22"/>
  <c r="I65" i="22"/>
  <c r="K65" i="22"/>
  <c r="O65" i="22"/>
  <c r="P65" i="22"/>
  <c r="G66" i="22"/>
  <c r="H66" i="22"/>
  <c r="I66" i="22"/>
  <c r="K66" i="22"/>
  <c r="O66" i="22"/>
  <c r="P66" i="22"/>
  <c r="G67" i="22"/>
  <c r="H67" i="22"/>
  <c r="I67" i="22"/>
  <c r="K67" i="22"/>
  <c r="O67" i="22"/>
  <c r="P67" i="22"/>
  <c r="G68" i="22"/>
  <c r="H68" i="22"/>
  <c r="I68" i="22"/>
  <c r="K68" i="22"/>
  <c r="O68" i="22"/>
  <c r="P68" i="22"/>
  <c r="AB36" i="22"/>
  <c r="AE36" i="22"/>
  <c r="K23" i="10"/>
  <c r="J23" i="10"/>
  <c r="K14" i="10"/>
  <c r="J14" i="10"/>
  <c r="V20" i="10"/>
  <c r="U20" i="10"/>
  <c r="V19" i="10"/>
  <c r="U19" i="10"/>
  <c r="R105" i="10"/>
  <c r="Q105" i="10"/>
  <c r="R104" i="10"/>
  <c r="Q104" i="10"/>
  <c r="O3" i="24"/>
  <c r="P3" i="24"/>
  <c r="Q3" i="24"/>
  <c r="O4" i="24"/>
  <c r="P4" i="24"/>
  <c r="Q4" i="24"/>
  <c r="O5" i="24"/>
  <c r="P5" i="24"/>
  <c r="Q5" i="24"/>
  <c r="O6" i="24"/>
  <c r="P6" i="24"/>
  <c r="Q6" i="24"/>
  <c r="O7" i="24"/>
  <c r="P7" i="24"/>
  <c r="Q7" i="24"/>
  <c r="O8" i="24"/>
  <c r="P8" i="24"/>
  <c r="Q8" i="24"/>
  <c r="O9" i="24"/>
  <c r="P9" i="24"/>
  <c r="Q9" i="24"/>
  <c r="O10" i="24"/>
  <c r="P10" i="24"/>
  <c r="Q10" i="24"/>
  <c r="O11" i="24"/>
  <c r="P11" i="24"/>
  <c r="Q11" i="24"/>
  <c r="O12" i="24"/>
  <c r="P12" i="24"/>
  <c r="Q12" i="24"/>
  <c r="O13" i="24"/>
  <c r="P13" i="24"/>
  <c r="Q13" i="24"/>
  <c r="O14" i="24"/>
  <c r="P14" i="24"/>
  <c r="Q14" i="24"/>
  <c r="O15" i="24"/>
  <c r="P15" i="24"/>
  <c r="Q15" i="24"/>
  <c r="O16" i="24"/>
  <c r="P16" i="24"/>
  <c r="Q16" i="24"/>
  <c r="O17" i="24"/>
  <c r="P17" i="24"/>
  <c r="Q17" i="24"/>
  <c r="P2" i="24"/>
  <c r="Q2" i="24"/>
  <c r="O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2" i="24"/>
  <c r="AD37" i="22"/>
  <c r="AD36" i="22"/>
  <c r="AD35" i="22"/>
  <c r="AD33" i="22"/>
  <c r="AD32" i="22"/>
  <c r="AD31" i="22"/>
  <c r="M69" i="22"/>
  <c r="N69" i="22"/>
  <c r="M70" i="22"/>
  <c r="N70" i="22"/>
  <c r="M71" i="22"/>
  <c r="N71" i="22"/>
  <c r="M72" i="22"/>
  <c r="N72" i="22"/>
  <c r="M73" i="22"/>
  <c r="N73" i="22"/>
  <c r="M74" i="22"/>
  <c r="N74" i="22"/>
  <c r="M75" i="22"/>
  <c r="N75" i="22"/>
  <c r="M76" i="22"/>
  <c r="N76" i="22"/>
  <c r="W37" i="22"/>
  <c r="M61" i="22"/>
  <c r="N61" i="22"/>
  <c r="M62" i="22"/>
  <c r="N62" i="22"/>
  <c r="M63" i="22"/>
  <c r="N63" i="22"/>
  <c r="M64" i="22"/>
  <c r="N64" i="22"/>
  <c r="M65" i="22"/>
  <c r="N65" i="22"/>
  <c r="M66" i="22"/>
  <c r="N66" i="22"/>
  <c r="M67" i="22"/>
  <c r="N67" i="22"/>
  <c r="M68" i="22"/>
  <c r="N68" i="22"/>
  <c r="W36" i="22"/>
  <c r="M53" i="22"/>
  <c r="N53" i="22"/>
  <c r="M54" i="22"/>
  <c r="N54" i="22"/>
  <c r="M55" i="22"/>
  <c r="N55" i="22"/>
  <c r="M56" i="22"/>
  <c r="N56" i="22"/>
  <c r="M57" i="22"/>
  <c r="N57" i="22"/>
  <c r="M58" i="22"/>
  <c r="N58" i="22"/>
  <c r="M59" i="22"/>
  <c r="N59" i="22"/>
  <c r="M60" i="22"/>
  <c r="N60" i="22"/>
  <c r="W35" i="22"/>
  <c r="M45" i="22"/>
  <c r="N45" i="22"/>
  <c r="M46" i="22"/>
  <c r="N46" i="22"/>
  <c r="M47" i="22"/>
  <c r="N47" i="22"/>
  <c r="M48" i="22"/>
  <c r="N48" i="22"/>
  <c r="M49" i="22"/>
  <c r="N49" i="22"/>
  <c r="M50" i="22"/>
  <c r="N50" i="22"/>
  <c r="M51" i="22"/>
  <c r="N51" i="22"/>
  <c r="M52" i="22"/>
  <c r="N52" i="22"/>
  <c r="W33" i="22"/>
  <c r="M37" i="22"/>
  <c r="N37" i="22"/>
  <c r="M38" i="22"/>
  <c r="N38" i="22"/>
  <c r="M39" i="22"/>
  <c r="N39" i="22"/>
  <c r="M40" i="22"/>
  <c r="N40" i="22"/>
  <c r="M41" i="22"/>
  <c r="N41" i="22"/>
  <c r="M42" i="22"/>
  <c r="N42" i="22"/>
  <c r="M43" i="22"/>
  <c r="N43" i="22"/>
  <c r="M44" i="22"/>
  <c r="N44" i="22"/>
  <c r="W32" i="22"/>
  <c r="U37" i="22"/>
  <c r="U36" i="22"/>
  <c r="U35" i="22"/>
  <c r="U33" i="22"/>
  <c r="U32" i="22"/>
  <c r="U31" i="22"/>
  <c r="D4" i="22"/>
  <c r="G4" i="22"/>
  <c r="D5" i="22"/>
  <c r="G5" i="22"/>
  <c r="G10" i="22"/>
  <c r="D10" i="22"/>
  <c r="P10" i="22"/>
  <c r="M10" i="22"/>
  <c r="P9" i="22"/>
  <c r="M9" i="22"/>
  <c r="P8" i="22"/>
  <c r="M8" i="22"/>
  <c r="P7" i="22"/>
  <c r="M7" i="22"/>
  <c r="P6" i="22"/>
  <c r="M6" i="22"/>
  <c r="P5" i="22"/>
  <c r="M5" i="22"/>
  <c r="P4" i="22"/>
  <c r="M4" i="22"/>
  <c r="P3" i="22"/>
  <c r="M3" i="22"/>
  <c r="D6" i="22"/>
  <c r="D7" i="22"/>
  <c r="D8" i="22"/>
  <c r="D9" i="22"/>
  <c r="D3" i="22"/>
  <c r="G6" i="22"/>
  <c r="G7" i="22"/>
  <c r="G8" i="22"/>
  <c r="G9" i="22"/>
  <c r="G3" i="22"/>
  <c r="F61" i="21"/>
  <c r="G61" i="21"/>
  <c r="H61" i="21"/>
  <c r="I61" i="21"/>
  <c r="L61" i="21"/>
  <c r="M61" i="21"/>
  <c r="F62" i="21"/>
  <c r="G62" i="21"/>
  <c r="H62" i="21"/>
  <c r="I62" i="21"/>
  <c r="L62" i="21"/>
  <c r="M62" i="21"/>
  <c r="F63" i="21"/>
  <c r="G63" i="21"/>
  <c r="H63" i="21"/>
  <c r="I63" i="21"/>
  <c r="L63" i="21"/>
  <c r="M63" i="21"/>
  <c r="F64" i="21"/>
  <c r="G64" i="21"/>
  <c r="H64" i="21"/>
  <c r="I64" i="21"/>
  <c r="L64" i="21"/>
  <c r="M64" i="21"/>
  <c r="F65" i="21"/>
  <c r="G65" i="21"/>
  <c r="H65" i="21"/>
  <c r="I65" i="21"/>
  <c r="L65" i="21"/>
  <c r="M65" i="21"/>
  <c r="F66" i="21"/>
  <c r="G66" i="21"/>
  <c r="H66" i="21"/>
  <c r="I66" i="21"/>
  <c r="L66" i="21"/>
  <c r="M66" i="21"/>
  <c r="Q78" i="21"/>
  <c r="F55" i="21"/>
  <c r="G55" i="21"/>
  <c r="H55" i="21"/>
  <c r="I55" i="21"/>
  <c r="L55" i="21"/>
  <c r="M55" i="21"/>
  <c r="F56" i="21"/>
  <c r="G56" i="21"/>
  <c r="H56" i="21"/>
  <c r="I56" i="21"/>
  <c r="L56" i="21"/>
  <c r="M56" i="21"/>
  <c r="F57" i="21"/>
  <c r="G57" i="21"/>
  <c r="H57" i="21"/>
  <c r="I57" i="21"/>
  <c r="L57" i="21"/>
  <c r="M57" i="21"/>
  <c r="F58" i="21"/>
  <c r="G58" i="21"/>
  <c r="H58" i="21"/>
  <c r="I58" i="21"/>
  <c r="L58" i="21"/>
  <c r="M58" i="21"/>
  <c r="F59" i="21"/>
  <c r="G59" i="21"/>
  <c r="H59" i="21"/>
  <c r="I59" i="21"/>
  <c r="L59" i="21"/>
  <c r="M59" i="21"/>
  <c r="F60" i="21"/>
  <c r="G60" i="21"/>
  <c r="H60" i="21"/>
  <c r="I60" i="21"/>
  <c r="L60" i="21"/>
  <c r="M60" i="21"/>
  <c r="Q77" i="21"/>
  <c r="F49" i="21"/>
  <c r="G49" i="21"/>
  <c r="H49" i="21"/>
  <c r="I49" i="21"/>
  <c r="L49" i="21"/>
  <c r="M49" i="21"/>
  <c r="F50" i="21"/>
  <c r="G50" i="21"/>
  <c r="H50" i="21"/>
  <c r="I50" i="21"/>
  <c r="L50" i="21"/>
  <c r="M50" i="21"/>
  <c r="F51" i="21"/>
  <c r="G51" i="21"/>
  <c r="H51" i="21"/>
  <c r="I51" i="21"/>
  <c r="L51" i="21"/>
  <c r="M51" i="21"/>
  <c r="F52" i="21"/>
  <c r="G52" i="21"/>
  <c r="H52" i="21"/>
  <c r="I52" i="21"/>
  <c r="L52" i="21"/>
  <c r="M52" i="21"/>
  <c r="F53" i="21"/>
  <c r="G53" i="21"/>
  <c r="H53" i="21"/>
  <c r="I53" i="21"/>
  <c r="L53" i="21"/>
  <c r="M53" i="21"/>
  <c r="F54" i="21"/>
  <c r="G54" i="21"/>
  <c r="H54" i="21"/>
  <c r="I54" i="21"/>
  <c r="L54" i="21"/>
  <c r="M54" i="21"/>
  <c r="Q76" i="21"/>
  <c r="F43" i="21"/>
  <c r="G43" i="21"/>
  <c r="H43" i="21"/>
  <c r="I43" i="21"/>
  <c r="L43" i="21"/>
  <c r="M43" i="21"/>
  <c r="F44" i="21"/>
  <c r="G44" i="21"/>
  <c r="H44" i="21"/>
  <c r="I44" i="21"/>
  <c r="L44" i="21"/>
  <c r="M44" i="21"/>
  <c r="F45" i="21"/>
  <c r="G45" i="21"/>
  <c r="H45" i="21"/>
  <c r="I45" i="21"/>
  <c r="L45" i="21"/>
  <c r="M45" i="21"/>
  <c r="F46" i="21"/>
  <c r="G46" i="21"/>
  <c r="H46" i="21"/>
  <c r="I46" i="21"/>
  <c r="L46" i="21"/>
  <c r="M46" i="21"/>
  <c r="F47" i="21"/>
  <c r="G47" i="21"/>
  <c r="H47" i="21"/>
  <c r="I47" i="21"/>
  <c r="L47" i="21"/>
  <c r="M47" i="21"/>
  <c r="F48" i="21"/>
  <c r="G48" i="21"/>
  <c r="H48" i="21"/>
  <c r="I48" i="21"/>
  <c r="L48" i="21"/>
  <c r="M48" i="21"/>
  <c r="Q75" i="21"/>
  <c r="F37" i="21"/>
  <c r="G37" i="21"/>
  <c r="H37" i="21"/>
  <c r="I37" i="21"/>
  <c r="L37" i="21"/>
  <c r="M37" i="21"/>
  <c r="F38" i="21"/>
  <c r="G38" i="21"/>
  <c r="H38" i="21"/>
  <c r="I38" i="21"/>
  <c r="L38" i="21"/>
  <c r="M38" i="21"/>
  <c r="F39" i="21"/>
  <c r="G39" i="21"/>
  <c r="H39" i="21"/>
  <c r="I39" i="21"/>
  <c r="L39" i="21"/>
  <c r="M39" i="21"/>
  <c r="F40" i="21"/>
  <c r="G40" i="21"/>
  <c r="H40" i="21"/>
  <c r="I40" i="21"/>
  <c r="L40" i="21"/>
  <c r="M40" i="21"/>
  <c r="F41" i="21"/>
  <c r="G41" i="21"/>
  <c r="H41" i="21"/>
  <c r="I41" i="21"/>
  <c r="L41" i="21"/>
  <c r="M41" i="21"/>
  <c r="F42" i="21"/>
  <c r="G42" i="21"/>
  <c r="H42" i="21"/>
  <c r="I42" i="21"/>
  <c r="L42" i="21"/>
  <c r="M42" i="21"/>
  <c r="Q73" i="21"/>
  <c r="F31" i="21"/>
  <c r="G31" i="21"/>
  <c r="H31" i="21"/>
  <c r="I31" i="21"/>
  <c r="L31" i="21"/>
  <c r="M31" i="21"/>
  <c r="F32" i="21"/>
  <c r="G32" i="21"/>
  <c r="H32" i="21"/>
  <c r="I32" i="21"/>
  <c r="L32" i="21"/>
  <c r="M32" i="21"/>
  <c r="F33" i="21"/>
  <c r="G33" i="21"/>
  <c r="H33" i="21"/>
  <c r="I33" i="21"/>
  <c r="L33" i="21"/>
  <c r="M33" i="21"/>
  <c r="F34" i="21"/>
  <c r="G34" i="21"/>
  <c r="H34" i="21"/>
  <c r="I34" i="21"/>
  <c r="L34" i="21"/>
  <c r="M34" i="21"/>
  <c r="F35" i="21"/>
  <c r="G35" i="21"/>
  <c r="H35" i="21"/>
  <c r="I35" i="21"/>
  <c r="L35" i="21"/>
  <c r="M35" i="21"/>
  <c r="F36" i="21"/>
  <c r="G36" i="21"/>
  <c r="H36" i="21"/>
  <c r="I36" i="21"/>
  <c r="L36" i="21"/>
  <c r="M36" i="21"/>
  <c r="Q72" i="21"/>
  <c r="F25" i="21"/>
  <c r="G25" i="21"/>
  <c r="H25" i="21"/>
  <c r="I25" i="21"/>
  <c r="L25" i="21"/>
  <c r="M25" i="21"/>
  <c r="F26" i="21"/>
  <c r="G26" i="21"/>
  <c r="H26" i="21"/>
  <c r="I26" i="21"/>
  <c r="L26" i="21"/>
  <c r="M26" i="21"/>
  <c r="F27" i="21"/>
  <c r="G27" i="21"/>
  <c r="H27" i="21"/>
  <c r="I27" i="21"/>
  <c r="L27" i="21"/>
  <c r="M27" i="21"/>
  <c r="F28" i="21"/>
  <c r="G28" i="21"/>
  <c r="H28" i="21"/>
  <c r="I28" i="21"/>
  <c r="L28" i="21"/>
  <c r="M28" i="21"/>
  <c r="F29" i="21"/>
  <c r="G29" i="21"/>
  <c r="H29" i="21"/>
  <c r="I29" i="21"/>
  <c r="L29" i="21"/>
  <c r="M29" i="21"/>
  <c r="F30" i="21"/>
  <c r="G30" i="21"/>
  <c r="H30" i="21"/>
  <c r="I30" i="21"/>
  <c r="L30" i="21"/>
  <c r="M30" i="21"/>
  <c r="Q71" i="21"/>
  <c r="F19" i="21"/>
  <c r="G19" i="21"/>
  <c r="H19" i="21"/>
  <c r="I19" i="21"/>
  <c r="L19" i="21"/>
  <c r="M19" i="21"/>
  <c r="F20" i="21"/>
  <c r="G20" i="21"/>
  <c r="H20" i="21"/>
  <c r="I20" i="21"/>
  <c r="L20" i="21"/>
  <c r="M20" i="21"/>
  <c r="F21" i="21"/>
  <c r="G21" i="21"/>
  <c r="H21" i="21"/>
  <c r="I21" i="21"/>
  <c r="L21" i="21"/>
  <c r="M21" i="21"/>
  <c r="F22" i="21"/>
  <c r="G22" i="21"/>
  <c r="H22" i="21"/>
  <c r="I22" i="21"/>
  <c r="L22" i="21"/>
  <c r="M22" i="21"/>
  <c r="F23" i="21"/>
  <c r="G23" i="21"/>
  <c r="H23" i="21"/>
  <c r="I23" i="21"/>
  <c r="L23" i="21"/>
  <c r="M23" i="21"/>
  <c r="F24" i="21"/>
  <c r="G24" i="21"/>
  <c r="H24" i="21"/>
  <c r="I24" i="21"/>
  <c r="L24" i="21"/>
  <c r="M24" i="21"/>
  <c r="Q70" i="21"/>
  <c r="O78" i="21"/>
  <c r="O77" i="21"/>
  <c r="O76" i="21"/>
  <c r="O75" i="21"/>
  <c r="O73" i="21"/>
  <c r="O72" i="21"/>
  <c r="O71" i="21"/>
  <c r="O70" i="21"/>
  <c r="J78" i="21"/>
  <c r="J77" i="21"/>
  <c r="J76" i="21"/>
  <c r="J75" i="21"/>
  <c r="J73" i="21"/>
  <c r="J72" i="21"/>
  <c r="J71" i="21"/>
  <c r="J70" i="21"/>
  <c r="H78" i="21"/>
  <c r="H77" i="21"/>
  <c r="H76" i="21"/>
  <c r="H75" i="21"/>
  <c r="H73" i="21"/>
  <c r="H72" i="21"/>
  <c r="H71" i="21"/>
  <c r="H70" i="21"/>
  <c r="P92" i="20"/>
  <c r="O92" i="20"/>
  <c r="Q92" i="20"/>
  <c r="M92" i="20"/>
  <c r="N92" i="20"/>
  <c r="P91" i="20"/>
  <c r="O91" i="20"/>
  <c r="Q91" i="20"/>
  <c r="M91" i="20"/>
  <c r="N91" i="20"/>
  <c r="P90" i="20"/>
  <c r="O90" i="20"/>
  <c r="Q90" i="20"/>
  <c r="M90" i="20"/>
  <c r="N90" i="20"/>
  <c r="O89" i="20"/>
  <c r="P89" i="20"/>
  <c r="Q89" i="20"/>
  <c r="M89" i="20"/>
  <c r="N89" i="20"/>
  <c r="P88" i="20"/>
  <c r="O88" i="20"/>
  <c r="Q88" i="20"/>
  <c r="M88" i="20"/>
  <c r="N88" i="20"/>
  <c r="P87" i="20"/>
  <c r="O87" i="20"/>
  <c r="Q87" i="20"/>
  <c r="N87" i="20"/>
  <c r="P56" i="20"/>
  <c r="O56" i="20"/>
  <c r="Q56" i="20"/>
  <c r="M56" i="20"/>
  <c r="N56" i="20"/>
  <c r="P55" i="20"/>
  <c r="O55" i="20"/>
  <c r="Q55" i="20"/>
  <c r="M55" i="20"/>
  <c r="N55" i="20"/>
  <c r="O54" i="20"/>
  <c r="P54" i="20"/>
  <c r="Q54" i="20"/>
  <c r="M54" i="20"/>
  <c r="N54" i="20"/>
  <c r="P53" i="20"/>
  <c r="O53" i="20"/>
  <c r="Q53" i="20"/>
  <c r="M53" i="20"/>
  <c r="N53" i="20"/>
  <c r="P52" i="20"/>
  <c r="O52" i="20"/>
  <c r="Q52" i="20"/>
  <c r="M52" i="20"/>
  <c r="N52" i="20"/>
  <c r="P51" i="20"/>
  <c r="O51" i="20"/>
  <c r="Q51" i="20"/>
  <c r="N51" i="20"/>
  <c r="P32" i="20"/>
  <c r="O32" i="20"/>
  <c r="Q32" i="20"/>
  <c r="M32" i="20"/>
  <c r="N32" i="20"/>
  <c r="O31" i="20"/>
  <c r="P31" i="20"/>
  <c r="Q31" i="20"/>
  <c r="M31" i="20"/>
  <c r="N31" i="20"/>
  <c r="P30" i="20"/>
  <c r="O30" i="20"/>
  <c r="Q30" i="20"/>
  <c r="M30" i="20"/>
  <c r="N30" i="20"/>
  <c r="P29" i="20"/>
  <c r="O29" i="20"/>
  <c r="Q29" i="20"/>
  <c r="M29" i="20"/>
  <c r="N29" i="20"/>
  <c r="P28" i="20"/>
  <c r="O28" i="20"/>
  <c r="Q28" i="20"/>
  <c r="M28" i="20"/>
  <c r="N28" i="20"/>
  <c r="O27" i="20"/>
  <c r="P27" i="20"/>
  <c r="Q27" i="20"/>
  <c r="N27" i="20"/>
  <c r="O8" i="20"/>
  <c r="P8" i="20"/>
  <c r="Q8" i="20"/>
  <c r="M8" i="20"/>
  <c r="N8" i="20"/>
  <c r="P7" i="20"/>
  <c r="O7" i="20"/>
  <c r="Q7" i="20"/>
  <c r="M7" i="20"/>
  <c r="N7" i="20"/>
  <c r="P6" i="20"/>
  <c r="O6" i="20"/>
  <c r="Q6" i="20"/>
  <c r="M6" i="20"/>
  <c r="N6" i="20"/>
  <c r="P5" i="20"/>
  <c r="O5" i="20"/>
  <c r="Q5" i="20"/>
  <c r="M5" i="20"/>
  <c r="N5" i="20"/>
  <c r="O4" i="20"/>
  <c r="P4" i="20"/>
  <c r="Q4" i="20"/>
  <c r="M4" i="20"/>
  <c r="N4" i="20"/>
  <c r="P3" i="20"/>
  <c r="O3" i="20"/>
  <c r="Q3" i="20"/>
  <c r="N3" i="20"/>
  <c r="G15" i="18"/>
  <c r="H15" i="18"/>
  <c r="J15" i="18"/>
  <c r="L15" i="18"/>
  <c r="M15" i="18"/>
  <c r="G16" i="18"/>
  <c r="H16" i="18"/>
  <c r="J16" i="18"/>
  <c r="L16" i="18"/>
  <c r="M16" i="18"/>
  <c r="G17" i="18"/>
  <c r="H17" i="18"/>
  <c r="J17" i="18"/>
  <c r="L17" i="18"/>
  <c r="M17" i="18"/>
  <c r="G19" i="18"/>
  <c r="H19" i="18"/>
  <c r="J19" i="18"/>
  <c r="L19" i="18"/>
  <c r="M19" i="18"/>
  <c r="G20" i="18"/>
  <c r="H20" i="18"/>
  <c r="J20" i="18"/>
  <c r="L20" i="18"/>
  <c r="M20" i="18"/>
  <c r="G21" i="18"/>
  <c r="H21" i="18"/>
  <c r="J21" i="18"/>
  <c r="L21" i="18"/>
  <c r="M21" i="18"/>
  <c r="G22" i="18"/>
  <c r="H22" i="18"/>
  <c r="J22" i="18"/>
  <c r="L22" i="18"/>
  <c r="M22" i="18"/>
  <c r="G23" i="18"/>
  <c r="H23" i="18"/>
  <c r="J23" i="18"/>
  <c r="L23" i="18"/>
  <c r="M23" i="18"/>
  <c r="G24" i="18"/>
  <c r="H24" i="18"/>
  <c r="J24" i="18"/>
  <c r="L24" i="18"/>
  <c r="M24" i="18"/>
  <c r="G25" i="18"/>
  <c r="H25" i="18"/>
  <c r="J25" i="18"/>
  <c r="L25" i="18"/>
  <c r="M25" i="18"/>
  <c r="G26" i="18"/>
  <c r="H26" i="18"/>
  <c r="J26" i="18"/>
  <c r="L26" i="18"/>
  <c r="M26" i="18"/>
  <c r="G27" i="18"/>
  <c r="H27" i="18"/>
  <c r="J27" i="18"/>
  <c r="L27" i="18"/>
  <c r="M27" i="18"/>
  <c r="AJ9" i="18"/>
  <c r="AK9" i="18"/>
  <c r="AI9" i="18"/>
  <c r="G15" i="16"/>
  <c r="H15" i="16"/>
  <c r="J15" i="16"/>
  <c r="L15" i="16"/>
  <c r="M15" i="16"/>
  <c r="G16" i="16"/>
  <c r="H16" i="16"/>
  <c r="J16" i="16"/>
  <c r="L16" i="16"/>
  <c r="M16" i="16"/>
  <c r="G17" i="16"/>
  <c r="H17" i="16"/>
  <c r="J17" i="16"/>
  <c r="L17" i="16"/>
  <c r="M17" i="16"/>
  <c r="G19" i="16"/>
  <c r="H19" i="16"/>
  <c r="J19" i="16"/>
  <c r="L19" i="16"/>
  <c r="M19" i="16"/>
  <c r="G20" i="16"/>
  <c r="H20" i="16"/>
  <c r="J20" i="16"/>
  <c r="L20" i="16"/>
  <c r="M20" i="16"/>
  <c r="G21" i="16"/>
  <c r="H21" i="16"/>
  <c r="J21" i="16"/>
  <c r="L21" i="16"/>
  <c r="M21" i="16"/>
  <c r="G22" i="16"/>
  <c r="H22" i="16"/>
  <c r="J22" i="16"/>
  <c r="L22" i="16"/>
  <c r="M22" i="16"/>
  <c r="G23" i="16"/>
  <c r="H23" i="16"/>
  <c r="J23" i="16"/>
  <c r="L23" i="16"/>
  <c r="M23" i="16"/>
  <c r="G24" i="16"/>
  <c r="H24" i="16"/>
  <c r="J24" i="16"/>
  <c r="L24" i="16"/>
  <c r="M24" i="16"/>
  <c r="G25" i="16"/>
  <c r="H25" i="16"/>
  <c r="J25" i="16"/>
  <c r="L25" i="16"/>
  <c r="M25" i="16"/>
  <c r="G26" i="16"/>
  <c r="H26" i="16"/>
  <c r="J26" i="16"/>
  <c r="L26" i="16"/>
  <c r="M26" i="16"/>
  <c r="G27" i="16"/>
  <c r="H27" i="16"/>
  <c r="J27" i="16"/>
  <c r="L27" i="16"/>
  <c r="M27" i="16"/>
  <c r="AJ9" i="16"/>
  <c r="AK9" i="16"/>
  <c r="AI9" i="16"/>
  <c r="W39" i="16"/>
  <c r="X39" i="16"/>
  <c r="Z39" i="16"/>
  <c r="AB39" i="16"/>
  <c r="AC39" i="16"/>
  <c r="W41" i="16"/>
  <c r="X41" i="16"/>
  <c r="Z41" i="16"/>
  <c r="AB41" i="16"/>
  <c r="AC41" i="16"/>
  <c r="W42" i="16"/>
  <c r="X42" i="16"/>
  <c r="Z42" i="16"/>
  <c r="AB42" i="16"/>
  <c r="AC42" i="16"/>
  <c r="W43" i="16"/>
  <c r="X43" i="16"/>
  <c r="Z43" i="16"/>
  <c r="AB43" i="16"/>
  <c r="AC43" i="16"/>
  <c r="W44" i="16"/>
  <c r="X44" i="16"/>
  <c r="Z44" i="16"/>
  <c r="AB44" i="16"/>
  <c r="AC44" i="16"/>
  <c r="W45" i="16"/>
  <c r="X45" i="16"/>
  <c r="Z45" i="16"/>
  <c r="AB45" i="16"/>
  <c r="AC45" i="16"/>
  <c r="W46" i="16"/>
  <c r="X46" i="16"/>
  <c r="Z46" i="16"/>
  <c r="AB46" i="16"/>
  <c r="AC46" i="16"/>
  <c r="W47" i="16"/>
  <c r="X47" i="16"/>
  <c r="Z47" i="16"/>
  <c r="AB47" i="16"/>
  <c r="AC47" i="16"/>
  <c r="W48" i="16"/>
  <c r="X48" i="16"/>
  <c r="Z48" i="16"/>
  <c r="AB48" i="16"/>
  <c r="AC48" i="16"/>
  <c r="W49" i="16"/>
  <c r="X49" i="16"/>
  <c r="Z49" i="16"/>
  <c r="AB49" i="16"/>
  <c r="AC49" i="16"/>
  <c r="W50" i="16"/>
  <c r="X50" i="16"/>
  <c r="Z50" i="16"/>
  <c r="AB50" i="16"/>
  <c r="AC50" i="16"/>
  <c r="AJ6" i="16"/>
  <c r="AK6" i="16"/>
  <c r="AI6" i="16"/>
  <c r="G15" i="14"/>
  <c r="H15" i="14"/>
  <c r="J15" i="14"/>
  <c r="L15" i="14"/>
  <c r="M15" i="14"/>
  <c r="G16" i="14"/>
  <c r="H16" i="14"/>
  <c r="J16" i="14"/>
  <c r="L16" i="14"/>
  <c r="M16" i="14"/>
  <c r="G17" i="14"/>
  <c r="H17" i="14"/>
  <c r="J17" i="14"/>
  <c r="L17" i="14"/>
  <c r="M17" i="14"/>
  <c r="G18" i="14"/>
  <c r="H18" i="14"/>
  <c r="J18" i="14"/>
  <c r="L18" i="14"/>
  <c r="M18" i="14"/>
  <c r="G19" i="14"/>
  <c r="H19" i="14"/>
  <c r="J19" i="14"/>
  <c r="L19" i="14"/>
  <c r="M19" i="14"/>
  <c r="G21" i="14"/>
  <c r="H21" i="14"/>
  <c r="J21" i="14"/>
  <c r="L21" i="14"/>
  <c r="M21" i="14"/>
  <c r="G22" i="14"/>
  <c r="H22" i="14"/>
  <c r="J22" i="14"/>
  <c r="L22" i="14"/>
  <c r="M22" i="14"/>
  <c r="G23" i="14"/>
  <c r="H23" i="14"/>
  <c r="J23" i="14"/>
  <c r="L23" i="14"/>
  <c r="M23" i="14"/>
  <c r="G24" i="14"/>
  <c r="H24" i="14"/>
  <c r="J24" i="14"/>
  <c r="L24" i="14"/>
  <c r="M24" i="14"/>
  <c r="G25" i="14"/>
  <c r="H25" i="14"/>
  <c r="J25" i="14"/>
  <c r="L25" i="14"/>
  <c r="M25" i="14"/>
  <c r="G26" i="14"/>
  <c r="H26" i="14"/>
  <c r="J26" i="14"/>
  <c r="L26" i="14"/>
  <c r="M26" i="14"/>
  <c r="G27" i="14"/>
  <c r="H27" i="14"/>
  <c r="J27" i="14"/>
  <c r="L27" i="14"/>
  <c r="M27" i="14"/>
  <c r="AJ9" i="14"/>
  <c r="AK9" i="14"/>
  <c r="AI9" i="14"/>
  <c r="G15" i="11"/>
  <c r="H15" i="11"/>
  <c r="J15" i="11"/>
  <c r="L15" i="11"/>
  <c r="M15" i="11"/>
  <c r="G16" i="11"/>
  <c r="H16" i="11"/>
  <c r="J16" i="11"/>
  <c r="L16" i="11"/>
  <c r="M16" i="11"/>
  <c r="G17" i="11"/>
  <c r="H17" i="11"/>
  <c r="J17" i="11"/>
  <c r="L17" i="11"/>
  <c r="M17" i="11"/>
  <c r="G19" i="11"/>
  <c r="H19" i="11"/>
  <c r="J19" i="11"/>
  <c r="L19" i="11"/>
  <c r="M19" i="11"/>
  <c r="G20" i="11"/>
  <c r="H20" i="11"/>
  <c r="J20" i="11"/>
  <c r="L20" i="11"/>
  <c r="M20" i="11"/>
  <c r="G21" i="11"/>
  <c r="H21" i="11"/>
  <c r="J21" i="11"/>
  <c r="L21" i="11"/>
  <c r="M21" i="11"/>
  <c r="G22" i="11"/>
  <c r="H22" i="11"/>
  <c r="J22" i="11"/>
  <c r="L22" i="11"/>
  <c r="M22" i="11"/>
  <c r="G23" i="11"/>
  <c r="H23" i="11"/>
  <c r="J23" i="11"/>
  <c r="L23" i="11"/>
  <c r="M23" i="11"/>
  <c r="G24" i="11"/>
  <c r="H24" i="11"/>
  <c r="J24" i="11"/>
  <c r="L24" i="11"/>
  <c r="M24" i="11"/>
  <c r="G25" i="11"/>
  <c r="H25" i="11"/>
  <c r="J25" i="11"/>
  <c r="L25" i="11"/>
  <c r="M25" i="11"/>
  <c r="G26" i="11"/>
  <c r="H26" i="11"/>
  <c r="J26" i="11"/>
  <c r="L26" i="11"/>
  <c r="M26" i="11"/>
  <c r="G27" i="11"/>
  <c r="H27" i="11"/>
  <c r="J27" i="11"/>
  <c r="L27" i="11"/>
  <c r="M27" i="11"/>
  <c r="AI9" i="11"/>
  <c r="G15" i="12"/>
  <c r="H15" i="12"/>
  <c r="J15" i="12"/>
  <c r="L15" i="12"/>
  <c r="M15" i="12"/>
  <c r="G16" i="12"/>
  <c r="H16" i="12"/>
  <c r="J16" i="12"/>
  <c r="L16" i="12"/>
  <c r="M16" i="12"/>
  <c r="G17" i="12"/>
  <c r="H17" i="12"/>
  <c r="J17" i="12"/>
  <c r="L17" i="12"/>
  <c r="M17" i="12"/>
  <c r="G19" i="12"/>
  <c r="H19" i="12"/>
  <c r="J19" i="12"/>
  <c r="L19" i="12"/>
  <c r="M19" i="12"/>
  <c r="G20" i="12"/>
  <c r="H20" i="12"/>
  <c r="J20" i="12"/>
  <c r="L20" i="12"/>
  <c r="M20" i="12"/>
  <c r="G21" i="12"/>
  <c r="H21" i="12"/>
  <c r="J21" i="12"/>
  <c r="L21" i="12"/>
  <c r="M21" i="12"/>
  <c r="G22" i="12"/>
  <c r="H22" i="12"/>
  <c r="J22" i="12"/>
  <c r="L22" i="12"/>
  <c r="M22" i="12"/>
  <c r="G23" i="12"/>
  <c r="H23" i="12"/>
  <c r="J23" i="12"/>
  <c r="L23" i="12"/>
  <c r="M23" i="12"/>
  <c r="G24" i="12"/>
  <c r="H24" i="12"/>
  <c r="J24" i="12"/>
  <c r="L24" i="12"/>
  <c r="M24" i="12"/>
  <c r="G25" i="12"/>
  <c r="H25" i="12"/>
  <c r="J25" i="12"/>
  <c r="L25" i="12"/>
  <c r="M25" i="12"/>
  <c r="G26" i="12"/>
  <c r="H26" i="12"/>
  <c r="J26" i="12"/>
  <c r="L26" i="12"/>
  <c r="M26" i="12"/>
  <c r="G27" i="12"/>
  <c r="H27" i="12"/>
  <c r="J27" i="12"/>
  <c r="L27" i="12"/>
  <c r="M27" i="12"/>
  <c r="AI9" i="12"/>
  <c r="AJ9" i="12"/>
  <c r="AK9" i="12"/>
  <c r="G41" i="12"/>
  <c r="H41" i="12"/>
  <c r="J41" i="12"/>
  <c r="L41" i="12"/>
  <c r="M41" i="12"/>
  <c r="AJ9" i="11"/>
  <c r="AK9" i="11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BS26" i="4"/>
  <c r="AP58" i="4"/>
  <c r="AQ58" i="4"/>
  <c r="AP59" i="4"/>
  <c r="AQ59" i="4"/>
  <c r="AP60" i="4"/>
  <c r="AQ60" i="4"/>
  <c r="AP61" i="4"/>
  <c r="AQ61" i="4"/>
  <c r="AP62" i="4"/>
  <c r="AQ62" i="4"/>
  <c r="AP63" i="4"/>
  <c r="AQ63" i="4"/>
  <c r="AP65" i="4"/>
  <c r="AQ65" i="4"/>
  <c r="AP66" i="4"/>
  <c r="AQ66" i="4"/>
  <c r="AP67" i="4"/>
  <c r="AQ67" i="4"/>
  <c r="AP68" i="4"/>
  <c r="AQ68" i="4"/>
  <c r="AP69" i="4"/>
  <c r="AQ69" i="4"/>
  <c r="AP70" i="4"/>
  <c r="AQ70" i="4"/>
  <c r="BS31" i="4"/>
  <c r="L21" i="4"/>
  <c r="M21" i="4"/>
  <c r="L22" i="4"/>
  <c r="M22" i="4"/>
  <c r="L23" i="4"/>
  <c r="M23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BT23" i="4"/>
  <c r="BU23" i="4"/>
  <c r="BS23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BT24" i="4"/>
  <c r="BU24" i="4"/>
  <c r="L46" i="4"/>
  <c r="M46" i="4"/>
  <c r="L47" i="4"/>
  <c r="M47" i="4"/>
  <c r="L48" i="4"/>
  <c r="M48" i="4"/>
  <c r="L49" i="4"/>
  <c r="M49" i="4"/>
  <c r="L50" i="4"/>
  <c r="M50" i="4"/>
  <c r="L52" i="4"/>
  <c r="M52" i="4"/>
  <c r="L53" i="4"/>
  <c r="M53" i="4"/>
  <c r="L54" i="4"/>
  <c r="M54" i="4"/>
  <c r="L55" i="4"/>
  <c r="M55" i="4"/>
  <c r="L56" i="4"/>
  <c r="M56" i="4"/>
  <c r="L57" i="4"/>
  <c r="M57" i="4"/>
  <c r="BT25" i="4"/>
  <c r="BU25" i="4"/>
  <c r="BT26" i="4"/>
  <c r="BU26" i="4"/>
  <c r="BS24" i="4"/>
  <c r="BS25" i="4"/>
  <c r="AP21" i="4"/>
  <c r="AQ21" i="4"/>
  <c r="AP22" i="4"/>
  <c r="AQ22" i="4"/>
  <c r="AP23" i="4"/>
  <c r="AQ23" i="4"/>
  <c r="AP24" i="4"/>
  <c r="AQ24" i="4"/>
  <c r="AP25" i="4"/>
  <c r="AQ25" i="4"/>
  <c r="AP26" i="4"/>
  <c r="AQ26" i="4"/>
  <c r="AP27" i="4"/>
  <c r="AQ27" i="4"/>
  <c r="AP28" i="4"/>
  <c r="AQ28" i="4"/>
  <c r="AP29" i="4"/>
  <c r="AQ29" i="4"/>
  <c r="AP30" i="4"/>
  <c r="AQ30" i="4"/>
  <c r="AP31" i="4"/>
  <c r="AQ31" i="4"/>
  <c r="AP32" i="4"/>
  <c r="AQ32" i="4"/>
  <c r="BT28" i="4"/>
  <c r="BU28" i="4"/>
  <c r="AP33" i="4"/>
  <c r="AQ33" i="4"/>
  <c r="AP34" i="4"/>
  <c r="AQ34" i="4"/>
  <c r="AP35" i="4"/>
  <c r="AQ35" i="4"/>
  <c r="AP36" i="4"/>
  <c r="AQ36" i="4"/>
  <c r="AP37" i="4"/>
  <c r="AQ37" i="4"/>
  <c r="AP38" i="4"/>
  <c r="AQ38" i="4"/>
  <c r="AP39" i="4"/>
  <c r="AQ39" i="4"/>
  <c r="AP40" i="4"/>
  <c r="AQ40" i="4"/>
  <c r="AP41" i="4"/>
  <c r="AQ41" i="4"/>
  <c r="AP42" i="4"/>
  <c r="AQ42" i="4"/>
  <c r="AP43" i="4"/>
  <c r="AQ43" i="4"/>
  <c r="AP44" i="4"/>
  <c r="AQ44" i="4"/>
  <c r="AP45" i="4"/>
  <c r="AQ45" i="4"/>
  <c r="BT29" i="4"/>
  <c r="BU29" i="4"/>
  <c r="AP46" i="4"/>
  <c r="AQ46" i="4"/>
  <c r="AP47" i="4"/>
  <c r="AQ47" i="4"/>
  <c r="AP48" i="4"/>
  <c r="AQ48" i="4"/>
  <c r="AP49" i="4"/>
  <c r="AQ49" i="4"/>
  <c r="AP50" i="4"/>
  <c r="AQ50" i="4"/>
  <c r="AP51" i="4"/>
  <c r="AQ51" i="4"/>
  <c r="AP52" i="4"/>
  <c r="AQ52" i="4"/>
  <c r="AP53" i="4"/>
  <c r="AQ53" i="4"/>
  <c r="AP54" i="4"/>
  <c r="AQ54" i="4"/>
  <c r="AP56" i="4"/>
  <c r="AQ56" i="4"/>
  <c r="AP57" i="4"/>
  <c r="AQ57" i="4"/>
  <c r="BT30" i="4"/>
  <c r="BU30" i="4"/>
  <c r="BT31" i="4"/>
  <c r="BU31" i="4"/>
  <c r="BS30" i="4"/>
  <c r="BS29" i="4"/>
  <c r="BS28" i="4"/>
  <c r="L24" i="4"/>
  <c r="M24" i="4"/>
  <c r="L51" i="4"/>
  <c r="M51" i="4"/>
  <c r="BF21" i="4"/>
  <c r="BG21" i="4"/>
  <c r="BF22" i="4"/>
  <c r="BG22" i="4"/>
  <c r="BF23" i="4"/>
  <c r="BG23" i="4"/>
  <c r="BF24" i="4"/>
  <c r="BG24" i="4"/>
  <c r="BF25" i="4"/>
  <c r="BG25" i="4"/>
  <c r="BF26" i="4"/>
  <c r="BG26" i="4"/>
  <c r="BF27" i="4"/>
  <c r="BG27" i="4"/>
  <c r="BF28" i="4"/>
  <c r="BG28" i="4"/>
  <c r="BF29" i="4"/>
  <c r="BG29" i="4"/>
  <c r="BF30" i="4"/>
  <c r="BG30" i="4"/>
  <c r="BF31" i="4"/>
  <c r="BG31" i="4"/>
  <c r="BF32" i="4"/>
  <c r="BG32" i="4"/>
  <c r="BL28" i="4"/>
  <c r="BM28" i="4"/>
  <c r="BF33" i="4"/>
  <c r="BG33" i="4"/>
  <c r="BF34" i="4"/>
  <c r="BG34" i="4"/>
  <c r="BF35" i="4"/>
  <c r="BG35" i="4"/>
  <c r="BF36" i="4"/>
  <c r="BG36" i="4"/>
  <c r="BF37" i="4"/>
  <c r="BG37" i="4"/>
  <c r="BF38" i="4"/>
  <c r="BG38" i="4"/>
  <c r="BF39" i="4"/>
  <c r="BG39" i="4"/>
  <c r="BF40" i="4"/>
  <c r="BG40" i="4"/>
  <c r="BF41" i="4"/>
  <c r="BG41" i="4"/>
  <c r="BF42" i="4"/>
  <c r="BG42" i="4"/>
  <c r="BF43" i="4"/>
  <c r="BG43" i="4"/>
  <c r="BF44" i="4"/>
  <c r="BG44" i="4"/>
  <c r="BF45" i="4"/>
  <c r="BG45" i="4"/>
  <c r="BL29" i="4"/>
  <c r="BM29" i="4"/>
  <c r="BF46" i="4"/>
  <c r="BG46" i="4"/>
  <c r="BF47" i="4"/>
  <c r="BG47" i="4"/>
  <c r="BF48" i="4"/>
  <c r="BG48" i="4"/>
  <c r="BF49" i="4"/>
  <c r="BG49" i="4"/>
  <c r="BF50" i="4"/>
  <c r="BG50" i="4"/>
  <c r="BF51" i="4"/>
  <c r="BG51" i="4"/>
  <c r="BF52" i="4"/>
  <c r="BG52" i="4"/>
  <c r="BF53" i="4"/>
  <c r="BG53" i="4"/>
  <c r="BF54" i="4"/>
  <c r="BG54" i="4"/>
  <c r="BF56" i="4"/>
  <c r="BG56" i="4"/>
  <c r="BF57" i="4"/>
  <c r="BG57" i="4"/>
  <c r="BL30" i="4"/>
  <c r="BM30" i="4"/>
  <c r="BF58" i="4"/>
  <c r="BG58" i="4"/>
  <c r="BF59" i="4"/>
  <c r="BG59" i="4"/>
  <c r="BF60" i="4"/>
  <c r="BG60" i="4"/>
  <c r="BF61" i="4"/>
  <c r="BG61" i="4"/>
  <c r="BF62" i="4"/>
  <c r="BG62" i="4"/>
  <c r="BF63" i="4"/>
  <c r="BG63" i="4"/>
  <c r="BF65" i="4"/>
  <c r="BG65" i="4"/>
  <c r="BF66" i="4"/>
  <c r="BG66" i="4"/>
  <c r="BF67" i="4"/>
  <c r="BG67" i="4"/>
  <c r="BF68" i="4"/>
  <c r="BG68" i="4"/>
  <c r="BF69" i="4"/>
  <c r="BG69" i="4"/>
  <c r="BF70" i="4"/>
  <c r="BG70" i="4"/>
  <c r="BL31" i="4"/>
  <c r="BM31" i="4"/>
  <c r="BK30" i="4"/>
  <c r="BK31" i="4"/>
  <c r="BK29" i="4"/>
  <c r="BK28" i="4"/>
  <c r="AB22" i="4"/>
  <c r="AC22" i="4"/>
  <c r="AB23" i="4"/>
  <c r="AC23" i="4"/>
  <c r="AB25" i="4"/>
  <c r="AC25" i="4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21" i="4"/>
  <c r="AC21" i="4"/>
  <c r="AB24" i="4"/>
  <c r="AB38" i="4"/>
  <c r="I3" i="13"/>
  <c r="K3" i="13"/>
  <c r="N3" i="13"/>
  <c r="I4" i="13"/>
  <c r="K4" i="13"/>
  <c r="N4" i="13"/>
  <c r="I5" i="13"/>
  <c r="K5" i="13"/>
  <c r="N5" i="13"/>
  <c r="I6" i="13"/>
  <c r="K6" i="13"/>
  <c r="N6" i="13"/>
  <c r="I7" i="13"/>
  <c r="K7" i="13"/>
  <c r="N7" i="13"/>
  <c r="I8" i="13"/>
  <c r="K8" i="13"/>
  <c r="N8" i="13"/>
  <c r="I9" i="13"/>
  <c r="K9" i="13"/>
  <c r="N9" i="13"/>
  <c r="I10" i="13"/>
  <c r="K10" i="13"/>
  <c r="N10" i="13"/>
  <c r="I11" i="13"/>
  <c r="K11" i="13"/>
  <c r="N11" i="13"/>
  <c r="I12" i="13"/>
  <c r="K12" i="13"/>
  <c r="N12" i="13"/>
  <c r="I13" i="13"/>
  <c r="K13" i="13"/>
  <c r="N13" i="13"/>
  <c r="I14" i="13"/>
  <c r="K14" i="13"/>
  <c r="N14" i="13"/>
  <c r="I15" i="13"/>
  <c r="K15" i="13"/>
  <c r="N15" i="13"/>
  <c r="I16" i="13"/>
  <c r="K16" i="13"/>
  <c r="N16" i="13"/>
  <c r="I17" i="13"/>
  <c r="K17" i="13"/>
  <c r="N17" i="13"/>
  <c r="I18" i="13"/>
  <c r="K18" i="13"/>
  <c r="N18" i="13"/>
  <c r="I19" i="13"/>
  <c r="K19" i="13"/>
  <c r="N19" i="13"/>
  <c r="I20" i="13"/>
  <c r="K20" i="13"/>
  <c r="N20" i="13"/>
  <c r="I21" i="13"/>
  <c r="K21" i="13"/>
  <c r="N21" i="13"/>
  <c r="I22" i="13"/>
  <c r="K22" i="13"/>
  <c r="N22" i="13"/>
  <c r="I23" i="13"/>
  <c r="K23" i="13"/>
  <c r="N23" i="13"/>
  <c r="I24" i="13"/>
  <c r="K24" i="13"/>
  <c r="N24" i="13"/>
  <c r="I25" i="13"/>
  <c r="K25" i="13"/>
  <c r="N25" i="13"/>
  <c r="I26" i="13"/>
  <c r="K26" i="13"/>
  <c r="N26" i="13"/>
  <c r="I27" i="13"/>
  <c r="K27" i="13"/>
  <c r="N27" i="13"/>
  <c r="I28" i="13"/>
  <c r="K28" i="13"/>
  <c r="N28" i="13"/>
  <c r="I29" i="13"/>
  <c r="K29" i="13"/>
  <c r="N29" i="13"/>
  <c r="I30" i="13"/>
  <c r="K30" i="13"/>
  <c r="N30" i="13"/>
  <c r="I31" i="13"/>
  <c r="K31" i="13"/>
  <c r="N31" i="13"/>
  <c r="I32" i="13"/>
  <c r="K32" i="13"/>
  <c r="N32" i="13"/>
  <c r="I33" i="13"/>
  <c r="K33" i="13"/>
  <c r="N33" i="13"/>
  <c r="I34" i="13"/>
  <c r="K34" i="13"/>
  <c r="N34" i="13"/>
  <c r="I35" i="13"/>
  <c r="K35" i="13"/>
  <c r="N35" i="13"/>
  <c r="I36" i="13"/>
  <c r="K36" i="13"/>
  <c r="N36" i="13"/>
  <c r="I37" i="13"/>
  <c r="K37" i="13"/>
  <c r="N37" i="13"/>
  <c r="I38" i="13"/>
  <c r="K38" i="13"/>
  <c r="N38" i="13"/>
  <c r="I39" i="13"/>
  <c r="K39" i="13"/>
  <c r="N39" i="13"/>
  <c r="I40" i="13"/>
  <c r="K40" i="13"/>
  <c r="N40" i="13"/>
  <c r="I41" i="13"/>
  <c r="K41" i="13"/>
  <c r="N41" i="13"/>
  <c r="I42" i="13"/>
  <c r="K42" i="13"/>
  <c r="N42" i="13"/>
  <c r="I43" i="13"/>
  <c r="K43" i="13"/>
  <c r="N43" i="13"/>
  <c r="I44" i="13"/>
  <c r="K44" i="13"/>
  <c r="N44" i="13"/>
  <c r="I45" i="13"/>
  <c r="K45" i="13"/>
  <c r="N45" i="13"/>
  <c r="I46" i="13"/>
  <c r="K46" i="13"/>
  <c r="N46" i="13"/>
  <c r="I47" i="13"/>
  <c r="K47" i="13"/>
  <c r="N47" i="13"/>
  <c r="I48" i="13"/>
  <c r="K48" i="13"/>
  <c r="N48" i="13"/>
  <c r="I49" i="13"/>
  <c r="K49" i="13"/>
  <c r="N49" i="13"/>
  <c r="I50" i="13"/>
  <c r="K50" i="13"/>
  <c r="N50" i="13"/>
  <c r="I51" i="13"/>
  <c r="K51" i="13"/>
  <c r="N51" i="13"/>
  <c r="I52" i="13"/>
  <c r="K52" i="13"/>
  <c r="N52" i="13"/>
  <c r="I53" i="13"/>
  <c r="K53" i="13"/>
  <c r="N53" i="13"/>
  <c r="I54" i="13"/>
  <c r="K54" i="13"/>
  <c r="N54" i="13"/>
  <c r="I55" i="13"/>
  <c r="K55" i="13"/>
  <c r="N55" i="13"/>
  <c r="I56" i="13"/>
  <c r="K56" i="13"/>
  <c r="N56" i="13"/>
  <c r="I57" i="13"/>
  <c r="K57" i="13"/>
  <c r="N57" i="13"/>
  <c r="I58" i="13"/>
  <c r="K58" i="13"/>
  <c r="N58" i="13"/>
  <c r="I59" i="13"/>
  <c r="K59" i="13"/>
  <c r="N59" i="13"/>
  <c r="I60" i="13"/>
  <c r="K60" i="13"/>
  <c r="N60" i="13"/>
  <c r="I61" i="13"/>
  <c r="K61" i="13"/>
  <c r="N61" i="13"/>
  <c r="I62" i="13"/>
  <c r="K62" i="13"/>
  <c r="N62" i="13"/>
  <c r="I63" i="13"/>
  <c r="K63" i="13"/>
  <c r="N63" i="13"/>
  <c r="I64" i="13"/>
  <c r="K64" i="13"/>
  <c r="N64" i="13"/>
  <c r="I65" i="13"/>
  <c r="K65" i="13"/>
  <c r="N65" i="13"/>
  <c r="I66" i="13"/>
  <c r="K66" i="13"/>
  <c r="N66" i="13"/>
  <c r="I67" i="13"/>
  <c r="K67" i="13"/>
  <c r="N67" i="13"/>
  <c r="I68" i="13"/>
  <c r="K68" i="13"/>
  <c r="N68" i="13"/>
  <c r="I69" i="13"/>
  <c r="K69" i="13"/>
  <c r="N69" i="13"/>
  <c r="I70" i="13"/>
  <c r="K70" i="13"/>
  <c r="N70" i="13"/>
  <c r="I71" i="13"/>
  <c r="K71" i="13"/>
  <c r="N71" i="13"/>
  <c r="I72" i="13"/>
  <c r="K72" i="13"/>
  <c r="N72" i="13"/>
  <c r="I73" i="13"/>
  <c r="K73" i="13"/>
  <c r="N73" i="13"/>
  <c r="I74" i="13"/>
  <c r="K74" i="13"/>
  <c r="N74" i="13"/>
  <c r="I75" i="13"/>
  <c r="K75" i="13"/>
  <c r="N75" i="13"/>
  <c r="I76" i="13"/>
  <c r="K76" i="13"/>
  <c r="N76" i="13"/>
  <c r="I77" i="13"/>
  <c r="K77" i="13"/>
  <c r="N77" i="13"/>
  <c r="I78" i="13"/>
  <c r="K78" i="13"/>
  <c r="N78" i="13"/>
  <c r="I79" i="13"/>
  <c r="K79" i="13"/>
  <c r="N79" i="13"/>
  <c r="I80" i="13"/>
  <c r="K80" i="13"/>
  <c r="N80" i="13"/>
  <c r="I81" i="13"/>
  <c r="K81" i="13"/>
  <c r="N81" i="13"/>
  <c r="I82" i="13"/>
  <c r="K82" i="13"/>
  <c r="N82" i="13"/>
  <c r="I83" i="13"/>
  <c r="K83" i="13"/>
  <c r="N83" i="13"/>
  <c r="I84" i="13"/>
  <c r="K84" i="13"/>
  <c r="N84" i="13"/>
  <c r="I85" i="13"/>
  <c r="K85" i="13"/>
  <c r="N85" i="13"/>
  <c r="I86" i="13"/>
  <c r="K86" i="13"/>
  <c r="N86" i="13"/>
  <c r="I87" i="13"/>
  <c r="K87" i="13"/>
  <c r="N87" i="13"/>
  <c r="I88" i="13"/>
  <c r="K88" i="13"/>
  <c r="N88" i="13"/>
  <c r="I89" i="13"/>
  <c r="K89" i="13"/>
  <c r="N89" i="13"/>
  <c r="I90" i="13"/>
  <c r="K90" i="13"/>
  <c r="N90" i="13"/>
  <c r="I91" i="13"/>
  <c r="K91" i="13"/>
  <c r="N91" i="13"/>
  <c r="I92" i="13"/>
  <c r="K92" i="13"/>
  <c r="N92" i="13"/>
  <c r="I93" i="13"/>
  <c r="K93" i="13"/>
  <c r="N93" i="13"/>
  <c r="I94" i="13"/>
  <c r="K94" i="13"/>
  <c r="N94" i="13"/>
  <c r="I95" i="13"/>
  <c r="K95" i="13"/>
  <c r="N95" i="13"/>
  <c r="I96" i="13"/>
  <c r="K96" i="13"/>
  <c r="N96" i="13"/>
  <c r="I97" i="13"/>
  <c r="K97" i="13"/>
  <c r="N97" i="13"/>
  <c r="I98" i="13"/>
  <c r="K98" i="13"/>
  <c r="N98" i="13"/>
  <c r="I99" i="13"/>
  <c r="K99" i="13"/>
  <c r="N99" i="13"/>
  <c r="I100" i="13"/>
  <c r="K100" i="13"/>
  <c r="N100" i="13"/>
  <c r="I101" i="13"/>
  <c r="K101" i="13"/>
  <c r="N101" i="13"/>
  <c r="I102" i="13"/>
  <c r="K102" i="13"/>
  <c r="N102" i="13"/>
  <c r="I103" i="13"/>
  <c r="K103" i="13"/>
  <c r="N103" i="13"/>
  <c r="I104" i="13"/>
  <c r="K104" i="13"/>
  <c r="N104" i="13"/>
  <c r="I105" i="13"/>
  <c r="K105" i="13"/>
  <c r="N105" i="13"/>
  <c r="I106" i="13"/>
  <c r="K106" i="13"/>
  <c r="N106" i="13"/>
  <c r="I107" i="13"/>
  <c r="K107" i="13"/>
  <c r="N107" i="13"/>
  <c r="I108" i="13"/>
  <c r="K108" i="13"/>
  <c r="N108" i="13"/>
  <c r="I109" i="13"/>
  <c r="K109" i="13"/>
  <c r="N109" i="13"/>
  <c r="I110" i="13"/>
  <c r="K110" i="13"/>
  <c r="N110" i="13"/>
  <c r="I111" i="13"/>
  <c r="K111" i="13"/>
  <c r="N111" i="13"/>
  <c r="I112" i="13"/>
  <c r="K112" i="13"/>
  <c r="N112" i="13"/>
  <c r="I113" i="13"/>
  <c r="K113" i="13"/>
  <c r="N113" i="13"/>
  <c r="I114" i="13"/>
  <c r="K114" i="13"/>
  <c r="N114" i="13"/>
  <c r="I115" i="13"/>
  <c r="K115" i="13"/>
  <c r="N115" i="13"/>
  <c r="I116" i="13"/>
  <c r="K116" i="13"/>
  <c r="N116" i="13"/>
  <c r="I117" i="13"/>
  <c r="K117" i="13"/>
  <c r="N117" i="13"/>
  <c r="I118" i="13"/>
  <c r="K118" i="13"/>
  <c r="N118" i="13"/>
  <c r="I119" i="13"/>
  <c r="K119" i="13"/>
  <c r="N119" i="13"/>
  <c r="I120" i="13"/>
  <c r="K120" i="13"/>
  <c r="N120" i="13"/>
  <c r="I121" i="13"/>
  <c r="K121" i="13"/>
  <c r="N121" i="13"/>
  <c r="I122" i="13"/>
  <c r="K122" i="13"/>
  <c r="N122" i="13"/>
  <c r="I123" i="13"/>
  <c r="K123" i="13"/>
  <c r="N123" i="13"/>
  <c r="I124" i="13"/>
  <c r="K124" i="13"/>
  <c r="N124" i="13"/>
  <c r="I125" i="13"/>
  <c r="K125" i="13"/>
  <c r="N125" i="13"/>
  <c r="I126" i="13"/>
  <c r="K126" i="13"/>
  <c r="N126" i="13"/>
  <c r="I127" i="13"/>
  <c r="K127" i="13"/>
  <c r="N127" i="13"/>
  <c r="I128" i="13"/>
  <c r="K128" i="13"/>
  <c r="N128" i="13"/>
  <c r="I129" i="13"/>
  <c r="K129" i="13"/>
  <c r="N129" i="13"/>
  <c r="I130" i="13"/>
  <c r="K130" i="13"/>
  <c r="N130" i="13"/>
  <c r="I131" i="13"/>
  <c r="K131" i="13"/>
  <c r="N131" i="13"/>
  <c r="I132" i="13"/>
  <c r="K132" i="13"/>
  <c r="N132" i="13"/>
  <c r="I133" i="13"/>
  <c r="K133" i="13"/>
  <c r="N133" i="13"/>
  <c r="I134" i="13"/>
  <c r="K134" i="13"/>
  <c r="N134" i="13"/>
  <c r="I135" i="13"/>
  <c r="K135" i="13"/>
  <c r="N135" i="13"/>
  <c r="I136" i="13"/>
  <c r="K136" i="13"/>
  <c r="N136" i="13"/>
  <c r="I137" i="13"/>
  <c r="K137" i="13"/>
  <c r="N137" i="13"/>
  <c r="I138" i="13"/>
  <c r="K138" i="13"/>
  <c r="N138" i="13"/>
  <c r="I139" i="13"/>
  <c r="K139" i="13"/>
  <c r="N139" i="13"/>
  <c r="I140" i="13"/>
  <c r="K140" i="13"/>
  <c r="N140" i="13"/>
  <c r="I141" i="13"/>
  <c r="K141" i="13"/>
  <c r="N141" i="13"/>
  <c r="I142" i="13"/>
  <c r="K142" i="13"/>
  <c r="N142" i="13"/>
  <c r="I143" i="13"/>
  <c r="K143" i="13"/>
  <c r="N143" i="13"/>
  <c r="I144" i="13"/>
  <c r="K144" i="13"/>
  <c r="N144" i="13"/>
  <c r="I145" i="13"/>
  <c r="K145" i="13"/>
  <c r="N145" i="13"/>
  <c r="I146" i="13"/>
  <c r="K146" i="13"/>
  <c r="N146" i="13"/>
  <c r="I147" i="13"/>
  <c r="K147" i="13"/>
  <c r="N147" i="13"/>
  <c r="I148" i="13"/>
  <c r="K148" i="13"/>
  <c r="N148" i="13"/>
  <c r="I149" i="13"/>
  <c r="K149" i="13"/>
  <c r="N149" i="13"/>
  <c r="I150" i="13"/>
  <c r="K150" i="13"/>
  <c r="N150" i="13"/>
  <c r="I151" i="13"/>
  <c r="K151" i="13"/>
  <c r="N151" i="13"/>
  <c r="I152" i="13"/>
  <c r="K152" i="13"/>
  <c r="N152" i="13"/>
  <c r="I153" i="13"/>
  <c r="K153" i="13"/>
  <c r="N153" i="13"/>
  <c r="I154" i="13"/>
  <c r="K154" i="13"/>
  <c r="N154" i="13"/>
  <c r="I155" i="13"/>
  <c r="K155" i="13"/>
  <c r="N155" i="13"/>
  <c r="I156" i="13"/>
  <c r="K156" i="13"/>
  <c r="N156" i="13"/>
  <c r="I157" i="13"/>
  <c r="K157" i="13"/>
  <c r="N157" i="13"/>
  <c r="I158" i="13"/>
  <c r="K158" i="13"/>
  <c r="N158" i="13"/>
  <c r="I159" i="13"/>
  <c r="K159" i="13"/>
  <c r="N159" i="13"/>
  <c r="I160" i="13"/>
  <c r="K160" i="13"/>
  <c r="N160" i="13"/>
  <c r="I161" i="13"/>
  <c r="K161" i="13"/>
  <c r="N161" i="13"/>
  <c r="I162" i="13"/>
  <c r="K162" i="13"/>
  <c r="N162" i="13"/>
  <c r="I163" i="13"/>
  <c r="K163" i="13"/>
  <c r="N163" i="13"/>
  <c r="I164" i="13"/>
  <c r="K164" i="13"/>
  <c r="N164" i="13"/>
  <c r="I165" i="13"/>
  <c r="K165" i="13"/>
  <c r="N165" i="13"/>
  <c r="I166" i="13"/>
  <c r="K166" i="13"/>
  <c r="N166" i="13"/>
  <c r="I167" i="13"/>
  <c r="K167" i="13"/>
  <c r="N167" i="13"/>
  <c r="I168" i="13"/>
  <c r="K168" i="13"/>
  <c r="N168" i="13"/>
  <c r="I169" i="13"/>
  <c r="K169" i="13"/>
  <c r="N169" i="13"/>
  <c r="I170" i="13"/>
  <c r="K170" i="13"/>
  <c r="N170" i="13"/>
  <c r="I171" i="13"/>
  <c r="K171" i="13"/>
  <c r="N171" i="13"/>
  <c r="I172" i="13"/>
  <c r="K172" i="13"/>
  <c r="N172" i="13"/>
  <c r="I173" i="13"/>
  <c r="K173" i="13"/>
  <c r="N173" i="13"/>
  <c r="I174" i="13"/>
  <c r="K174" i="13"/>
  <c r="N174" i="13"/>
  <c r="I175" i="13"/>
  <c r="K175" i="13"/>
  <c r="N175" i="13"/>
  <c r="I176" i="13"/>
  <c r="K176" i="13"/>
  <c r="N176" i="13"/>
  <c r="I177" i="13"/>
  <c r="K177" i="13"/>
  <c r="N177" i="13"/>
  <c r="I178" i="13"/>
  <c r="K178" i="13"/>
  <c r="N178" i="13"/>
  <c r="I179" i="13"/>
  <c r="K179" i="13"/>
  <c r="N179" i="13"/>
  <c r="I180" i="13"/>
  <c r="K180" i="13"/>
  <c r="N180" i="13"/>
  <c r="I181" i="13"/>
  <c r="K181" i="13"/>
  <c r="N181" i="13"/>
  <c r="I182" i="13"/>
  <c r="K182" i="13"/>
  <c r="N182" i="13"/>
  <c r="I183" i="13"/>
  <c r="K183" i="13"/>
  <c r="N183" i="13"/>
  <c r="I184" i="13"/>
  <c r="K184" i="13"/>
  <c r="N184" i="13"/>
  <c r="I185" i="13"/>
  <c r="K185" i="13"/>
  <c r="N185" i="13"/>
  <c r="I186" i="13"/>
  <c r="K186" i="13"/>
  <c r="N186" i="13"/>
  <c r="I187" i="13"/>
  <c r="K187" i="13"/>
  <c r="N187" i="13"/>
  <c r="I188" i="13"/>
  <c r="K188" i="13"/>
  <c r="N188" i="13"/>
  <c r="I189" i="13"/>
  <c r="K189" i="13"/>
  <c r="N189" i="13"/>
  <c r="I190" i="13"/>
  <c r="K190" i="13"/>
  <c r="N190" i="13"/>
  <c r="I191" i="13"/>
  <c r="K191" i="13"/>
  <c r="N191" i="13"/>
  <c r="I192" i="13"/>
  <c r="K192" i="13"/>
  <c r="N192" i="13"/>
  <c r="I193" i="13"/>
  <c r="K193" i="13"/>
  <c r="N193" i="13"/>
  <c r="I194" i="13"/>
  <c r="K194" i="13"/>
  <c r="N194" i="13"/>
  <c r="I195" i="13"/>
  <c r="K195" i="13"/>
  <c r="N195" i="13"/>
  <c r="I196" i="13"/>
  <c r="K196" i="13"/>
  <c r="N196" i="13"/>
  <c r="I197" i="13"/>
  <c r="K197" i="13"/>
  <c r="N197" i="13"/>
  <c r="I2" i="13"/>
  <c r="K2" i="13"/>
  <c r="N2" i="13"/>
  <c r="T11" i="13"/>
  <c r="R11" i="13"/>
  <c r="T10" i="13"/>
  <c r="R10" i="13"/>
  <c r="T9" i="13"/>
  <c r="R9" i="13"/>
  <c r="T8" i="13"/>
  <c r="R8" i="13"/>
  <c r="T6" i="13"/>
  <c r="R6" i="13"/>
  <c r="T5" i="13"/>
  <c r="R5" i="13"/>
  <c r="T4" i="13"/>
  <c r="R4" i="13"/>
  <c r="T3" i="13"/>
  <c r="R3" i="13"/>
  <c r="W40" i="16"/>
  <c r="X40" i="16"/>
  <c r="Z40" i="16"/>
  <c r="AB40" i="16"/>
  <c r="AC40" i="16"/>
  <c r="AD39" i="16"/>
  <c r="W28" i="16"/>
  <c r="X28" i="16"/>
  <c r="Z28" i="16"/>
  <c r="AB28" i="16"/>
  <c r="AC28" i="16"/>
  <c r="W29" i="16"/>
  <c r="X29" i="16"/>
  <c r="Z29" i="16"/>
  <c r="AB29" i="16"/>
  <c r="AC29" i="16"/>
  <c r="W30" i="16"/>
  <c r="X30" i="16"/>
  <c r="Z30" i="16"/>
  <c r="AB30" i="16"/>
  <c r="AC30" i="16"/>
  <c r="W31" i="16"/>
  <c r="X31" i="16"/>
  <c r="Z31" i="16"/>
  <c r="AB31" i="16"/>
  <c r="AC31" i="16"/>
  <c r="W32" i="16"/>
  <c r="X32" i="16"/>
  <c r="Z32" i="16"/>
  <c r="AB32" i="16"/>
  <c r="AC32" i="16"/>
  <c r="W33" i="16"/>
  <c r="X33" i="16"/>
  <c r="Z33" i="16"/>
  <c r="AB33" i="16"/>
  <c r="AC33" i="16"/>
  <c r="W34" i="16"/>
  <c r="X34" i="16"/>
  <c r="Z34" i="16"/>
  <c r="AB34" i="16"/>
  <c r="AC34" i="16"/>
  <c r="W35" i="16"/>
  <c r="X35" i="16"/>
  <c r="Z35" i="16"/>
  <c r="AB35" i="16"/>
  <c r="AC35" i="16"/>
  <c r="W36" i="16"/>
  <c r="X36" i="16"/>
  <c r="Z36" i="16"/>
  <c r="AB36" i="16"/>
  <c r="AC36" i="16"/>
  <c r="W37" i="16"/>
  <c r="X37" i="16"/>
  <c r="Z37" i="16"/>
  <c r="AB37" i="16"/>
  <c r="AC37" i="16"/>
  <c r="W38" i="16"/>
  <c r="X38" i="16"/>
  <c r="Z38" i="16"/>
  <c r="AB38" i="16"/>
  <c r="AC38" i="16"/>
  <c r="AD28" i="16"/>
  <c r="W15" i="16"/>
  <c r="X15" i="16"/>
  <c r="Z15" i="16"/>
  <c r="AB15" i="16"/>
  <c r="AC15" i="16"/>
  <c r="W16" i="16"/>
  <c r="X16" i="16"/>
  <c r="Z16" i="16"/>
  <c r="AB16" i="16"/>
  <c r="AC16" i="16"/>
  <c r="W17" i="16"/>
  <c r="X17" i="16"/>
  <c r="Z17" i="16"/>
  <c r="AB17" i="16"/>
  <c r="AC17" i="16"/>
  <c r="W18" i="16"/>
  <c r="X18" i="16"/>
  <c r="Z18" i="16"/>
  <c r="AB18" i="16"/>
  <c r="AC18" i="16"/>
  <c r="W19" i="16"/>
  <c r="X19" i="16"/>
  <c r="Z19" i="16"/>
  <c r="AB19" i="16"/>
  <c r="AC19" i="16"/>
  <c r="W20" i="16"/>
  <c r="X20" i="16"/>
  <c r="Z20" i="16"/>
  <c r="AB20" i="16"/>
  <c r="AC20" i="16"/>
  <c r="W21" i="16"/>
  <c r="X21" i="16"/>
  <c r="Z21" i="16"/>
  <c r="AB21" i="16"/>
  <c r="AC21" i="16"/>
  <c r="W22" i="16"/>
  <c r="X22" i="16"/>
  <c r="Z22" i="16"/>
  <c r="AB22" i="16"/>
  <c r="AC22" i="16"/>
  <c r="W23" i="16"/>
  <c r="X23" i="16"/>
  <c r="Z23" i="16"/>
  <c r="AB23" i="16"/>
  <c r="AC23" i="16"/>
  <c r="W24" i="16"/>
  <c r="X24" i="16"/>
  <c r="Z24" i="16"/>
  <c r="AB24" i="16"/>
  <c r="AC24" i="16"/>
  <c r="W25" i="16"/>
  <c r="X25" i="16"/>
  <c r="Z25" i="16"/>
  <c r="AB25" i="16"/>
  <c r="AC25" i="16"/>
  <c r="W26" i="16"/>
  <c r="X26" i="16"/>
  <c r="Z26" i="16"/>
  <c r="AB26" i="16"/>
  <c r="AC26" i="16"/>
  <c r="W27" i="16"/>
  <c r="X27" i="16"/>
  <c r="Z27" i="16"/>
  <c r="AB27" i="16"/>
  <c r="AC27" i="16"/>
  <c r="AD15" i="16"/>
  <c r="G40" i="16"/>
  <c r="H40" i="16"/>
  <c r="J40" i="16"/>
  <c r="L40" i="16"/>
  <c r="M40" i="16"/>
  <c r="G41" i="16"/>
  <c r="H41" i="16"/>
  <c r="J41" i="16"/>
  <c r="L41" i="16"/>
  <c r="M41" i="16"/>
  <c r="G42" i="16"/>
  <c r="H42" i="16"/>
  <c r="J42" i="16"/>
  <c r="L42" i="16"/>
  <c r="M42" i="16"/>
  <c r="G43" i="16"/>
  <c r="H43" i="16"/>
  <c r="J43" i="16"/>
  <c r="L43" i="16"/>
  <c r="M43" i="16"/>
  <c r="G44" i="16"/>
  <c r="H44" i="16"/>
  <c r="J44" i="16"/>
  <c r="L44" i="16"/>
  <c r="M44" i="16"/>
  <c r="G45" i="16"/>
  <c r="H45" i="16"/>
  <c r="J45" i="16"/>
  <c r="L45" i="16"/>
  <c r="M45" i="16"/>
  <c r="G46" i="16"/>
  <c r="H46" i="16"/>
  <c r="J46" i="16"/>
  <c r="L46" i="16"/>
  <c r="M46" i="16"/>
  <c r="G47" i="16"/>
  <c r="H47" i="16"/>
  <c r="J47" i="16"/>
  <c r="L47" i="16"/>
  <c r="M47" i="16"/>
  <c r="G48" i="16"/>
  <c r="H48" i="16"/>
  <c r="J48" i="16"/>
  <c r="L48" i="16"/>
  <c r="M48" i="16"/>
  <c r="G49" i="16"/>
  <c r="H49" i="16"/>
  <c r="J49" i="16"/>
  <c r="L49" i="16"/>
  <c r="M49" i="16"/>
  <c r="G50" i="16"/>
  <c r="H50" i="16"/>
  <c r="J50" i="16"/>
  <c r="L50" i="16"/>
  <c r="M50" i="16"/>
  <c r="G51" i="16"/>
  <c r="H51" i="16"/>
  <c r="J51" i="16"/>
  <c r="L51" i="16"/>
  <c r="M51" i="16"/>
  <c r="G52" i="16"/>
  <c r="H52" i="16"/>
  <c r="J52" i="16"/>
  <c r="L52" i="16"/>
  <c r="M52" i="16"/>
  <c r="AJ11" i="16"/>
  <c r="AK11" i="16"/>
  <c r="AI11" i="16"/>
  <c r="G28" i="16"/>
  <c r="H28" i="16"/>
  <c r="J28" i="16"/>
  <c r="L28" i="16"/>
  <c r="M28" i="16"/>
  <c r="G29" i="16"/>
  <c r="H29" i="16"/>
  <c r="J29" i="16"/>
  <c r="L29" i="16"/>
  <c r="M29" i="16"/>
  <c r="G30" i="16"/>
  <c r="H30" i="16"/>
  <c r="J30" i="16"/>
  <c r="L30" i="16"/>
  <c r="M30" i="16"/>
  <c r="G31" i="16"/>
  <c r="H31" i="16"/>
  <c r="J31" i="16"/>
  <c r="L31" i="16"/>
  <c r="M31" i="16"/>
  <c r="G32" i="16"/>
  <c r="H32" i="16"/>
  <c r="J32" i="16"/>
  <c r="L32" i="16"/>
  <c r="M32" i="16"/>
  <c r="G33" i="16"/>
  <c r="H33" i="16"/>
  <c r="J33" i="16"/>
  <c r="L33" i="16"/>
  <c r="M33" i="16"/>
  <c r="G34" i="16"/>
  <c r="H34" i="16"/>
  <c r="J34" i="16"/>
  <c r="L34" i="16"/>
  <c r="M34" i="16"/>
  <c r="G35" i="16"/>
  <c r="H35" i="16"/>
  <c r="J35" i="16"/>
  <c r="L35" i="16"/>
  <c r="M35" i="16"/>
  <c r="G36" i="16"/>
  <c r="H36" i="16"/>
  <c r="J36" i="16"/>
  <c r="L36" i="16"/>
  <c r="M36" i="16"/>
  <c r="G37" i="16"/>
  <c r="H37" i="16"/>
  <c r="J37" i="16"/>
  <c r="L37" i="16"/>
  <c r="M37" i="16"/>
  <c r="G38" i="16"/>
  <c r="H38" i="16"/>
  <c r="J38" i="16"/>
  <c r="L38" i="16"/>
  <c r="M38" i="16"/>
  <c r="G39" i="16"/>
  <c r="H39" i="16"/>
  <c r="J39" i="16"/>
  <c r="L39" i="16"/>
  <c r="M39" i="16"/>
  <c r="AJ10" i="16"/>
  <c r="AK10" i="16"/>
  <c r="AI10" i="16"/>
  <c r="G3" i="16"/>
  <c r="H3" i="16"/>
  <c r="J3" i="16"/>
  <c r="L3" i="16"/>
  <c r="M3" i="16"/>
  <c r="G4" i="16"/>
  <c r="H4" i="16"/>
  <c r="J4" i="16"/>
  <c r="L4" i="16"/>
  <c r="M4" i="16"/>
  <c r="G5" i="16"/>
  <c r="H5" i="16"/>
  <c r="J5" i="16"/>
  <c r="L5" i="16"/>
  <c r="M5" i="16"/>
  <c r="G6" i="16"/>
  <c r="H6" i="16"/>
  <c r="J6" i="16"/>
  <c r="L6" i="16"/>
  <c r="M6" i="16"/>
  <c r="G7" i="16"/>
  <c r="H7" i="16"/>
  <c r="J7" i="16"/>
  <c r="L7" i="16"/>
  <c r="M7" i="16"/>
  <c r="G8" i="16"/>
  <c r="H8" i="16"/>
  <c r="J8" i="16"/>
  <c r="L8" i="16"/>
  <c r="M8" i="16"/>
  <c r="G9" i="16"/>
  <c r="H9" i="16"/>
  <c r="J9" i="16"/>
  <c r="L9" i="16"/>
  <c r="M9" i="16"/>
  <c r="G10" i="16"/>
  <c r="H10" i="16"/>
  <c r="J10" i="16"/>
  <c r="L10" i="16"/>
  <c r="M10" i="16"/>
  <c r="G11" i="16"/>
  <c r="H11" i="16"/>
  <c r="J11" i="16"/>
  <c r="L11" i="16"/>
  <c r="M11" i="16"/>
  <c r="G12" i="16"/>
  <c r="H12" i="16"/>
  <c r="J12" i="16"/>
  <c r="L12" i="16"/>
  <c r="M12" i="16"/>
  <c r="G13" i="16"/>
  <c r="H13" i="16"/>
  <c r="J13" i="16"/>
  <c r="L13" i="16"/>
  <c r="M13" i="16"/>
  <c r="G14" i="16"/>
  <c r="H14" i="16"/>
  <c r="J14" i="16"/>
  <c r="L14" i="16"/>
  <c r="M14" i="16"/>
  <c r="AJ8" i="16"/>
  <c r="AK8" i="16"/>
  <c r="AI8" i="16"/>
  <c r="AJ5" i="16"/>
  <c r="AK5" i="16"/>
  <c r="AI5" i="16"/>
  <c r="AJ4" i="16"/>
  <c r="AK4" i="16"/>
  <c r="AI4" i="16"/>
  <c r="W3" i="16"/>
  <c r="X3" i="16"/>
  <c r="Z3" i="16"/>
  <c r="AB3" i="16"/>
  <c r="W4" i="16"/>
  <c r="X4" i="16"/>
  <c r="Z4" i="16"/>
  <c r="AB4" i="16"/>
  <c r="AC4" i="16"/>
  <c r="W5" i="16"/>
  <c r="X5" i="16"/>
  <c r="Z5" i="16"/>
  <c r="AB5" i="16"/>
  <c r="AC5" i="16"/>
  <c r="W6" i="16"/>
  <c r="X6" i="16"/>
  <c r="Z6" i="16"/>
  <c r="AB6" i="16"/>
  <c r="AC6" i="16"/>
  <c r="W7" i="16"/>
  <c r="X7" i="16"/>
  <c r="Z7" i="16"/>
  <c r="AB7" i="16"/>
  <c r="AC7" i="16"/>
  <c r="W8" i="16"/>
  <c r="X8" i="16"/>
  <c r="Z8" i="16"/>
  <c r="AB8" i="16"/>
  <c r="AC8" i="16"/>
  <c r="W9" i="16"/>
  <c r="X9" i="16"/>
  <c r="Z9" i="16"/>
  <c r="AB9" i="16"/>
  <c r="AC9" i="16"/>
  <c r="W10" i="16"/>
  <c r="X10" i="16"/>
  <c r="Z10" i="16"/>
  <c r="AB10" i="16"/>
  <c r="AC10" i="16"/>
  <c r="W11" i="16"/>
  <c r="X11" i="16"/>
  <c r="Z11" i="16"/>
  <c r="AB11" i="16"/>
  <c r="AC11" i="16"/>
  <c r="W12" i="16"/>
  <c r="X12" i="16"/>
  <c r="Z12" i="16"/>
  <c r="AB12" i="16"/>
  <c r="AC12" i="16"/>
  <c r="W13" i="16"/>
  <c r="X13" i="16"/>
  <c r="Z13" i="16"/>
  <c r="AB13" i="16"/>
  <c r="AC13" i="16"/>
  <c r="W14" i="16"/>
  <c r="X14" i="16"/>
  <c r="Z14" i="16"/>
  <c r="AB14" i="16"/>
  <c r="AC14" i="16"/>
  <c r="AJ3" i="16"/>
  <c r="AK3" i="16"/>
  <c r="AI3" i="16"/>
  <c r="AD3" i="16"/>
  <c r="G18" i="16"/>
  <c r="H18" i="16"/>
  <c r="J18" i="16"/>
  <c r="L18" i="16"/>
  <c r="M18" i="16"/>
  <c r="W39" i="15"/>
  <c r="X39" i="15"/>
  <c r="Z39" i="15"/>
  <c r="AB39" i="15"/>
  <c r="AC39" i="15"/>
  <c r="W40" i="15"/>
  <c r="X40" i="15"/>
  <c r="Z40" i="15"/>
  <c r="AB40" i="15"/>
  <c r="AC40" i="15"/>
  <c r="W41" i="15"/>
  <c r="X41" i="15"/>
  <c r="Z41" i="15"/>
  <c r="AB41" i="15"/>
  <c r="AC41" i="15"/>
  <c r="W42" i="15"/>
  <c r="X42" i="15"/>
  <c r="Z42" i="15"/>
  <c r="AB42" i="15"/>
  <c r="AC42" i="15"/>
  <c r="W43" i="15"/>
  <c r="X43" i="15"/>
  <c r="Z43" i="15"/>
  <c r="AB43" i="15"/>
  <c r="AC43" i="15"/>
  <c r="W44" i="15"/>
  <c r="X44" i="15"/>
  <c r="Z44" i="15"/>
  <c r="AB44" i="15"/>
  <c r="AC44" i="15"/>
  <c r="W45" i="15"/>
  <c r="X45" i="15"/>
  <c r="Z45" i="15"/>
  <c r="AB45" i="15"/>
  <c r="AC45" i="15"/>
  <c r="W46" i="15"/>
  <c r="X46" i="15"/>
  <c r="Z46" i="15"/>
  <c r="AB46" i="15"/>
  <c r="AC46" i="15"/>
  <c r="W47" i="15"/>
  <c r="X47" i="15"/>
  <c r="Z47" i="15"/>
  <c r="AB47" i="15"/>
  <c r="AC47" i="15"/>
  <c r="W48" i="15"/>
  <c r="X48" i="15"/>
  <c r="Z48" i="15"/>
  <c r="AB48" i="15"/>
  <c r="AC48" i="15"/>
  <c r="W49" i="15"/>
  <c r="X49" i="15"/>
  <c r="Z49" i="15"/>
  <c r="AB49" i="15"/>
  <c r="AC49" i="15"/>
  <c r="W50" i="15"/>
  <c r="X50" i="15"/>
  <c r="Z50" i="15"/>
  <c r="AB50" i="15"/>
  <c r="AC50" i="15"/>
  <c r="AD39" i="15"/>
  <c r="W28" i="15"/>
  <c r="X28" i="15"/>
  <c r="Z28" i="15"/>
  <c r="AB28" i="15"/>
  <c r="AC28" i="15"/>
  <c r="W29" i="15"/>
  <c r="X29" i="15"/>
  <c r="Z29" i="15"/>
  <c r="AB29" i="15"/>
  <c r="AC29" i="15"/>
  <c r="W30" i="15"/>
  <c r="X30" i="15"/>
  <c r="Z30" i="15"/>
  <c r="AB30" i="15"/>
  <c r="AC30" i="15"/>
  <c r="W31" i="15"/>
  <c r="X31" i="15"/>
  <c r="Z31" i="15"/>
  <c r="AB31" i="15"/>
  <c r="AC31" i="15"/>
  <c r="W32" i="15"/>
  <c r="X32" i="15"/>
  <c r="Z32" i="15"/>
  <c r="AB32" i="15"/>
  <c r="AC32" i="15"/>
  <c r="W33" i="15"/>
  <c r="X33" i="15"/>
  <c r="Z33" i="15"/>
  <c r="AB33" i="15"/>
  <c r="AC33" i="15"/>
  <c r="W34" i="15"/>
  <c r="X34" i="15"/>
  <c r="Z34" i="15"/>
  <c r="AB34" i="15"/>
  <c r="AC34" i="15"/>
  <c r="W35" i="15"/>
  <c r="X35" i="15"/>
  <c r="Z35" i="15"/>
  <c r="AB35" i="15"/>
  <c r="AC35" i="15"/>
  <c r="W36" i="15"/>
  <c r="X36" i="15"/>
  <c r="Z36" i="15"/>
  <c r="AB36" i="15"/>
  <c r="AC36" i="15"/>
  <c r="W37" i="15"/>
  <c r="X37" i="15"/>
  <c r="Z37" i="15"/>
  <c r="AB37" i="15"/>
  <c r="AC37" i="15"/>
  <c r="W38" i="15"/>
  <c r="X38" i="15"/>
  <c r="Z38" i="15"/>
  <c r="AB38" i="15"/>
  <c r="AC38" i="15"/>
  <c r="AD28" i="15"/>
  <c r="W15" i="15"/>
  <c r="X15" i="15"/>
  <c r="Z15" i="15"/>
  <c r="AB15" i="15"/>
  <c r="AC15" i="15"/>
  <c r="W16" i="15"/>
  <c r="X16" i="15"/>
  <c r="Z16" i="15"/>
  <c r="AB16" i="15"/>
  <c r="AC16" i="15"/>
  <c r="W17" i="15"/>
  <c r="X17" i="15"/>
  <c r="Z17" i="15"/>
  <c r="AB17" i="15"/>
  <c r="AC17" i="15"/>
  <c r="W18" i="15"/>
  <c r="X18" i="15"/>
  <c r="Z18" i="15"/>
  <c r="AB18" i="15"/>
  <c r="AC18" i="15"/>
  <c r="W19" i="15"/>
  <c r="X19" i="15"/>
  <c r="Z19" i="15"/>
  <c r="AB19" i="15"/>
  <c r="AC19" i="15"/>
  <c r="W20" i="15"/>
  <c r="X20" i="15"/>
  <c r="Z20" i="15"/>
  <c r="AB20" i="15"/>
  <c r="AC20" i="15"/>
  <c r="W21" i="15"/>
  <c r="X21" i="15"/>
  <c r="Z21" i="15"/>
  <c r="AB21" i="15"/>
  <c r="AC21" i="15"/>
  <c r="W22" i="15"/>
  <c r="X22" i="15"/>
  <c r="Z22" i="15"/>
  <c r="AB22" i="15"/>
  <c r="AC22" i="15"/>
  <c r="W23" i="15"/>
  <c r="X23" i="15"/>
  <c r="Z23" i="15"/>
  <c r="AB23" i="15"/>
  <c r="AC23" i="15"/>
  <c r="W24" i="15"/>
  <c r="X24" i="15"/>
  <c r="Z24" i="15"/>
  <c r="AB24" i="15"/>
  <c r="AC24" i="15"/>
  <c r="W25" i="15"/>
  <c r="X25" i="15"/>
  <c r="Z25" i="15"/>
  <c r="AB25" i="15"/>
  <c r="AC25" i="15"/>
  <c r="W26" i="15"/>
  <c r="X26" i="15"/>
  <c r="Z26" i="15"/>
  <c r="AB26" i="15"/>
  <c r="AC26" i="15"/>
  <c r="W27" i="15"/>
  <c r="X27" i="15"/>
  <c r="Z27" i="15"/>
  <c r="AB27" i="15"/>
  <c r="AC27" i="15"/>
  <c r="AD15" i="15"/>
  <c r="G40" i="15"/>
  <c r="H40" i="15"/>
  <c r="J40" i="15"/>
  <c r="L40" i="15"/>
  <c r="M40" i="15"/>
  <c r="G41" i="15"/>
  <c r="H41" i="15"/>
  <c r="J41" i="15"/>
  <c r="L41" i="15"/>
  <c r="M41" i="15"/>
  <c r="G42" i="15"/>
  <c r="H42" i="15"/>
  <c r="J42" i="15"/>
  <c r="L42" i="15"/>
  <c r="M42" i="15"/>
  <c r="G43" i="15"/>
  <c r="H43" i="15"/>
  <c r="J43" i="15"/>
  <c r="L43" i="15"/>
  <c r="M43" i="15"/>
  <c r="G44" i="15"/>
  <c r="H44" i="15"/>
  <c r="J44" i="15"/>
  <c r="L44" i="15"/>
  <c r="M44" i="15"/>
  <c r="G45" i="15"/>
  <c r="H45" i="15"/>
  <c r="J45" i="15"/>
  <c r="L45" i="15"/>
  <c r="M45" i="15"/>
  <c r="G46" i="15"/>
  <c r="H46" i="15"/>
  <c r="J46" i="15"/>
  <c r="L46" i="15"/>
  <c r="M46" i="15"/>
  <c r="G47" i="15"/>
  <c r="H47" i="15"/>
  <c r="J47" i="15"/>
  <c r="L47" i="15"/>
  <c r="M47" i="15"/>
  <c r="G48" i="15"/>
  <c r="H48" i="15"/>
  <c r="J48" i="15"/>
  <c r="L48" i="15"/>
  <c r="M48" i="15"/>
  <c r="G49" i="15"/>
  <c r="H49" i="15"/>
  <c r="J49" i="15"/>
  <c r="L49" i="15"/>
  <c r="M49" i="15"/>
  <c r="G50" i="15"/>
  <c r="H50" i="15"/>
  <c r="J50" i="15"/>
  <c r="L50" i="15"/>
  <c r="M50" i="15"/>
  <c r="G51" i="15"/>
  <c r="H51" i="15"/>
  <c r="J51" i="15"/>
  <c r="L51" i="15"/>
  <c r="M51" i="15"/>
  <c r="G52" i="15"/>
  <c r="H52" i="15"/>
  <c r="J52" i="15"/>
  <c r="L52" i="15"/>
  <c r="M52" i="15"/>
  <c r="AJ11" i="15"/>
  <c r="AK11" i="15"/>
  <c r="AI11" i="15"/>
  <c r="G28" i="15"/>
  <c r="H28" i="15"/>
  <c r="J28" i="15"/>
  <c r="L28" i="15"/>
  <c r="M28" i="15"/>
  <c r="G29" i="15"/>
  <c r="H29" i="15"/>
  <c r="J29" i="15"/>
  <c r="L29" i="15"/>
  <c r="M29" i="15"/>
  <c r="G30" i="15"/>
  <c r="H30" i="15"/>
  <c r="J30" i="15"/>
  <c r="L30" i="15"/>
  <c r="M30" i="15"/>
  <c r="G31" i="15"/>
  <c r="H31" i="15"/>
  <c r="J31" i="15"/>
  <c r="L31" i="15"/>
  <c r="M31" i="15"/>
  <c r="G32" i="15"/>
  <c r="H32" i="15"/>
  <c r="J32" i="15"/>
  <c r="L32" i="15"/>
  <c r="M32" i="15"/>
  <c r="G33" i="15"/>
  <c r="H33" i="15"/>
  <c r="J33" i="15"/>
  <c r="L33" i="15"/>
  <c r="M33" i="15"/>
  <c r="G34" i="15"/>
  <c r="H34" i="15"/>
  <c r="J34" i="15"/>
  <c r="L34" i="15"/>
  <c r="M34" i="15"/>
  <c r="G35" i="15"/>
  <c r="H35" i="15"/>
  <c r="J35" i="15"/>
  <c r="L35" i="15"/>
  <c r="M35" i="15"/>
  <c r="G36" i="15"/>
  <c r="H36" i="15"/>
  <c r="J36" i="15"/>
  <c r="L36" i="15"/>
  <c r="M36" i="15"/>
  <c r="G37" i="15"/>
  <c r="H37" i="15"/>
  <c r="J37" i="15"/>
  <c r="L37" i="15"/>
  <c r="M37" i="15"/>
  <c r="G38" i="15"/>
  <c r="H38" i="15"/>
  <c r="J38" i="15"/>
  <c r="L38" i="15"/>
  <c r="M38" i="15"/>
  <c r="G39" i="15"/>
  <c r="H39" i="15"/>
  <c r="J39" i="15"/>
  <c r="L39" i="15"/>
  <c r="M39" i="15"/>
  <c r="AJ10" i="15"/>
  <c r="AK10" i="15"/>
  <c r="AI10" i="15"/>
  <c r="G15" i="15"/>
  <c r="H15" i="15"/>
  <c r="J15" i="15"/>
  <c r="L15" i="15"/>
  <c r="M15" i="15"/>
  <c r="G16" i="15"/>
  <c r="H16" i="15"/>
  <c r="J16" i="15"/>
  <c r="L16" i="15"/>
  <c r="M16" i="15"/>
  <c r="G17" i="15"/>
  <c r="H17" i="15"/>
  <c r="J17" i="15"/>
  <c r="L17" i="15"/>
  <c r="M17" i="15"/>
  <c r="G18" i="15"/>
  <c r="H18" i="15"/>
  <c r="J18" i="15"/>
  <c r="L18" i="15"/>
  <c r="M18" i="15"/>
  <c r="G19" i="15"/>
  <c r="H19" i="15"/>
  <c r="J19" i="15"/>
  <c r="L19" i="15"/>
  <c r="M19" i="15"/>
  <c r="G20" i="15"/>
  <c r="H20" i="15"/>
  <c r="J20" i="15"/>
  <c r="L20" i="15"/>
  <c r="M20" i="15"/>
  <c r="G21" i="15"/>
  <c r="H21" i="15"/>
  <c r="J21" i="15"/>
  <c r="L21" i="15"/>
  <c r="M21" i="15"/>
  <c r="G22" i="15"/>
  <c r="H22" i="15"/>
  <c r="J22" i="15"/>
  <c r="L22" i="15"/>
  <c r="M22" i="15"/>
  <c r="G23" i="15"/>
  <c r="H23" i="15"/>
  <c r="J23" i="15"/>
  <c r="L23" i="15"/>
  <c r="M23" i="15"/>
  <c r="G24" i="15"/>
  <c r="H24" i="15"/>
  <c r="J24" i="15"/>
  <c r="L24" i="15"/>
  <c r="M24" i="15"/>
  <c r="G25" i="15"/>
  <c r="H25" i="15"/>
  <c r="J25" i="15"/>
  <c r="L25" i="15"/>
  <c r="M25" i="15"/>
  <c r="G26" i="15"/>
  <c r="H26" i="15"/>
  <c r="J26" i="15"/>
  <c r="L26" i="15"/>
  <c r="M26" i="15"/>
  <c r="G27" i="15"/>
  <c r="H27" i="15"/>
  <c r="J27" i="15"/>
  <c r="L27" i="15"/>
  <c r="M27" i="15"/>
  <c r="AJ9" i="15"/>
  <c r="AK9" i="15"/>
  <c r="AI9" i="15"/>
  <c r="G3" i="15"/>
  <c r="H3" i="15"/>
  <c r="J3" i="15"/>
  <c r="L3" i="15"/>
  <c r="M3" i="15"/>
  <c r="G4" i="15"/>
  <c r="H4" i="15"/>
  <c r="J4" i="15"/>
  <c r="L4" i="15"/>
  <c r="M4" i="15"/>
  <c r="G5" i="15"/>
  <c r="H5" i="15"/>
  <c r="J5" i="15"/>
  <c r="L5" i="15"/>
  <c r="M5" i="15"/>
  <c r="G6" i="15"/>
  <c r="H6" i="15"/>
  <c r="J6" i="15"/>
  <c r="L6" i="15"/>
  <c r="M6" i="15"/>
  <c r="G7" i="15"/>
  <c r="H7" i="15"/>
  <c r="J7" i="15"/>
  <c r="L7" i="15"/>
  <c r="M7" i="15"/>
  <c r="G8" i="15"/>
  <c r="H8" i="15"/>
  <c r="J8" i="15"/>
  <c r="L8" i="15"/>
  <c r="M8" i="15"/>
  <c r="G9" i="15"/>
  <c r="H9" i="15"/>
  <c r="J9" i="15"/>
  <c r="L9" i="15"/>
  <c r="M9" i="15"/>
  <c r="G10" i="15"/>
  <c r="H10" i="15"/>
  <c r="J10" i="15"/>
  <c r="L10" i="15"/>
  <c r="M10" i="15"/>
  <c r="G11" i="15"/>
  <c r="H11" i="15"/>
  <c r="J11" i="15"/>
  <c r="L11" i="15"/>
  <c r="M11" i="15"/>
  <c r="G12" i="15"/>
  <c r="H12" i="15"/>
  <c r="J12" i="15"/>
  <c r="L12" i="15"/>
  <c r="M12" i="15"/>
  <c r="G13" i="15"/>
  <c r="H13" i="15"/>
  <c r="J13" i="15"/>
  <c r="L13" i="15"/>
  <c r="M13" i="15"/>
  <c r="G14" i="15"/>
  <c r="H14" i="15"/>
  <c r="J14" i="15"/>
  <c r="L14" i="15"/>
  <c r="M14" i="15"/>
  <c r="AJ8" i="15"/>
  <c r="AK8" i="15"/>
  <c r="AI8" i="15"/>
  <c r="AJ6" i="15"/>
  <c r="AK6" i="15"/>
  <c r="AI6" i="15"/>
  <c r="AJ5" i="15"/>
  <c r="AK5" i="15"/>
  <c r="AI5" i="15"/>
  <c r="AJ4" i="15"/>
  <c r="AK4" i="15"/>
  <c r="AI4" i="15"/>
  <c r="W3" i="15"/>
  <c r="X3" i="15"/>
  <c r="Z3" i="15"/>
  <c r="AB3" i="15"/>
  <c r="AC3" i="15"/>
  <c r="W4" i="15"/>
  <c r="X4" i="15"/>
  <c r="Z4" i="15"/>
  <c r="AB4" i="15"/>
  <c r="AC4" i="15"/>
  <c r="W5" i="15"/>
  <c r="X5" i="15"/>
  <c r="Z5" i="15"/>
  <c r="AB5" i="15"/>
  <c r="AC5" i="15"/>
  <c r="W6" i="15"/>
  <c r="X6" i="15"/>
  <c r="Z6" i="15"/>
  <c r="AB6" i="15"/>
  <c r="AC6" i="15"/>
  <c r="W7" i="15"/>
  <c r="X7" i="15"/>
  <c r="Z7" i="15"/>
  <c r="AB7" i="15"/>
  <c r="AC7" i="15"/>
  <c r="W8" i="15"/>
  <c r="X8" i="15"/>
  <c r="Z8" i="15"/>
  <c r="AB8" i="15"/>
  <c r="AC8" i="15"/>
  <c r="W9" i="15"/>
  <c r="X9" i="15"/>
  <c r="Z9" i="15"/>
  <c r="AB9" i="15"/>
  <c r="AC9" i="15"/>
  <c r="W10" i="15"/>
  <c r="X10" i="15"/>
  <c r="Z10" i="15"/>
  <c r="AB10" i="15"/>
  <c r="AC10" i="15"/>
  <c r="W11" i="15"/>
  <c r="X11" i="15"/>
  <c r="Z11" i="15"/>
  <c r="AB11" i="15"/>
  <c r="AC11" i="15"/>
  <c r="W12" i="15"/>
  <c r="X12" i="15"/>
  <c r="Z12" i="15"/>
  <c r="AB12" i="15"/>
  <c r="AC12" i="15"/>
  <c r="W13" i="15"/>
  <c r="X13" i="15"/>
  <c r="Z13" i="15"/>
  <c r="AB13" i="15"/>
  <c r="AC13" i="15"/>
  <c r="W14" i="15"/>
  <c r="X14" i="15"/>
  <c r="Z14" i="15"/>
  <c r="AB14" i="15"/>
  <c r="AC14" i="15"/>
  <c r="AJ3" i="15"/>
  <c r="AK3" i="15"/>
  <c r="AI3" i="15"/>
  <c r="AD3" i="15"/>
  <c r="W39" i="18"/>
  <c r="X39" i="18"/>
  <c r="Z39" i="18"/>
  <c r="AB39" i="18"/>
  <c r="AC39" i="18"/>
  <c r="W40" i="18"/>
  <c r="X40" i="18"/>
  <c r="Z40" i="18"/>
  <c r="AB40" i="18"/>
  <c r="AC40" i="18"/>
  <c r="W41" i="18"/>
  <c r="X41" i="18"/>
  <c r="Z41" i="18"/>
  <c r="AB41" i="18"/>
  <c r="AC41" i="18"/>
  <c r="W42" i="18"/>
  <c r="X42" i="18"/>
  <c r="Z42" i="18"/>
  <c r="AB42" i="18"/>
  <c r="AC42" i="18"/>
  <c r="W43" i="18"/>
  <c r="X43" i="18"/>
  <c r="Z43" i="18"/>
  <c r="AB43" i="18"/>
  <c r="AC43" i="18"/>
  <c r="W44" i="18"/>
  <c r="X44" i="18"/>
  <c r="Z44" i="18"/>
  <c r="AB44" i="18"/>
  <c r="AC44" i="18"/>
  <c r="W45" i="18"/>
  <c r="X45" i="18"/>
  <c r="Z45" i="18"/>
  <c r="AB45" i="18"/>
  <c r="AC45" i="18"/>
  <c r="W46" i="18"/>
  <c r="X46" i="18"/>
  <c r="Z46" i="18"/>
  <c r="AB46" i="18"/>
  <c r="AC46" i="18"/>
  <c r="W47" i="18"/>
  <c r="X47" i="18"/>
  <c r="Z47" i="18"/>
  <c r="AB47" i="18"/>
  <c r="AC47" i="18"/>
  <c r="W48" i="18"/>
  <c r="X48" i="18"/>
  <c r="Z48" i="18"/>
  <c r="AB48" i="18"/>
  <c r="AC48" i="18"/>
  <c r="AJ6" i="18"/>
  <c r="AK6" i="18"/>
  <c r="AI6" i="18"/>
  <c r="W49" i="18"/>
  <c r="X49" i="18"/>
  <c r="Z49" i="18"/>
  <c r="AB49" i="18"/>
  <c r="AC49" i="18"/>
  <c r="W50" i="18"/>
  <c r="X50" i="18"/>
  <c r="Z50" i="18"/>
  <c r="AB50" i="18"/>
  <c r="AC50" i="18"/>
  <c r="AD39" i="18"/>
  <c r="W28" i="18"/>
  <c r="X28" i="18"/>
  <c r="Z28" i="18"/>
  <c r="AB28" i="18"/>
  <c r="AC28" i="18"/>
  <c r="W29" i="18"/>
  <c r="X29" i="18"/>
  <c r="Z29" i="18"/>
  <c r="AB29" i="18"/>
  <c r="AC29" i="18"/>
  <c r="W30" i="18"/>
  <c r="X30" i="18"/>
  <c r="Z30" i="18"/>
  <c r="AB30" i="18"/>
  <c r="AC30" i="18"/>
  <c r="W31" i="18"/>
  <c r="X31" i="18"/>
  <c r="Z31" i="18"/>
  <c r="AB31" i="18"/>
  <c r="AC31" i="18"/>
  <c r="W32" i="18"/>
  <c r="X32" i="18"/>
  <c r="Z32" i="18"/>
  <c r="AB32" i="18"/>
  <c r="AC32" i="18"/>
  <c r="W33" i="18"/>
  <c r="X33" i="18"/>
  <c r="Z33" i="18"/>
  <c r="AB33" i="18"/>
  <c r="AC33" i="18"/>
  <c r="W34" i="18"/>
  <c r="X34" i="18"/>
  <c r="Z34" i="18"/>
  <c r="AB34" i="18"/>
  <c r="AC34" i="18"/>
  <c r="W35" i="18"/>
  <c r="X35" i="18"/>
  <c r="Z35" i="18"/>
  <c r="AB35" i="18"/>
  <c r="AC35" i="18"/>
  <c r="W36" i="18"/>
  <c r="X36" i="18"/>
  <c r="Z36" i="18"/>
  <c r="AB36" i="18"/>
  <c r="AC36" i="18"/>
  <c r="W37" i="18"/>
  <c r="X37" i="18"/>
  <c r="Z37" i="18"/>
  <c r="AB37" i="18"/>
  <c r="AC37" i="18"/>
  <c r="W38" i="18"/>
  <c r="X38" i="18"/>
  <c r="Z38" i="18"/>
  <c r="AB38" i="18"/>
  <c r="AC38" i="18"/>
  <c r="AD28" i="18"/>
  <c r="W15" i="18"/>
  <c r="X15" i="18"/>
  <c r="Z15" i="18"/>
  <c r="AB15" i="18"/>
  <c r="AC15" i="18"/>
  <c r="W16" i="18"/>
  <c r="X16" i="18"/>
  <c r="Z16" i="18"/>
  <c r="AB16" i="18"/>
  <c r="AC16" i="18"/>
  <c r="W17" i="18"/>
  <c r="X17" i="18"/>
  <c r="Z17" i="18"/>
  <c r="AB17" i="18"/>
  <c r="AC17" i="18"/>
  <c r="W18" i="18"/>
  <c r="X18" i="18"/>
  <c r="Z18" i="18"/>
  <c r="AB18" i="18"/>
  <c r="AC18" i="18"/>
  <c r="W19" i="18"/>
  <c r="X19" i="18"/>
  <c r="Z19" i="18"/>
  <c r="AB19" i="18"/>
  <c r="AC19" i="18"/>
  <c r="W20" i="18"/>
  <c r="X20" i="18"/>
  <c r="Z20" i="18"/>
  <c r="AB20" i="18"/>
  <c r="AC20" i="18"/>
  <c r="W21" i="18"/>
  <c r="X21" i="18"/>
  <c r="Z21" i="18"/>
  <c r="AB21" i="18"/>
  <c r="AC21" i="18"/>
  <c r="W22" i="18"/>
  <c r="X22" i="18"/>
  <c r="Z22" i="18"/>
  <c r="AB22" i="18"/>
  <c r="AC22" i="18"/>
  <c r="W23" i="18"/>
  <c r="X23" i="18"/>
  <c r="Z23" i="18"/>
  <c r="AB23" i="18"/>
  <c r="AC23" i="18"/>
  <c r="W24" i="18"/>
  <c r="X24" i="18"/>
  <c r="Z24" i="18"/>
  <c r="AB24" i="18"/>
  <c r="AC24" i="18"/>
  <c r="W25" i="18"/>
  <c r="X25" i="18"/>
  <c r="Z25" i="18"/>
  <c r="AB25" i="18"/>
  <c r="AC25" i="18"/>
  <c r="W26" i="18"/>
  <c r="X26" i="18"/>
  <c r="Z26" i="18"/>
  <c r="AB26" i="18"/>
  <c r="AC26" i="18"/>
  <c r="W27" i="18"/>
  <c r="X27" i="18"/>
  <c r="Z27" i="18"/>
  <c r="AB27" i="18"/>
  <c r="AC27" i="18"/>
  <c r="AD15" i="18"/>
  <c r="G40" i="18"/>
  <c r="H40" i="18"/>
  <c r="J40" i="18"/>
  <c r="L40" i="18"/>
  <c r="M40" i="18"/>
  <c r="G41" i="18"/>
  <c r="H41" i="18"/>
  <c r="J41" i="18"/>
  <c r="L41" i="18"/>
  <c r="M41" i="18"/>
  <c r="G42" i="18"/>
  <c r="H42" i="18"/>
  <c r="J42" i="18"/>
  <c r="L42" i="18"/>
  <c r="M42" i="18"/>
  <c r="G43" i="18"/>
  <c r="H43" i="18"/>
  <c r="J43" i="18"/>
  <c r="L43" i="18"/>
  <c r="M43" i="18"/>
  <c r="G44" i="18"/>
  <c r="H44" i="18"/>
  <c r="J44" i="18"/>
  <c r="L44" i="18"/>
  <c r="M44" i="18"/>
  <c r="G45" i="18"/>
  <c r="H45" i="18"/>
  <c r="J45" i="18"/>
  <c r="L45" i="18"/>
  <c r="M45" i="18"/>
  <c r="G46" i="18"/>
  <c r="H46" i="18"/>
  <c r="J46" i="18"/>
  <c r="L46" i="18"/>
  <c r="M46" i="18"/>
  <c r="G47" i="18"/>
  <c r="H47" i="18"/>
  <c r="J47" i="18"/>
  <c r="L47" i="18"/>
  <c r="M47" i="18"/>
  <c r="G48" i="18"/>
  <c r="H48" i="18"/>
  <c r="J48" i="18"/>
  <c r="L48" i="18"/>
  <c r="M48" i="18"/>
  <c r="G49" i="18"/>
  <c r="H49" i="18"/>
  <c r="J49" i="18"/>
  <c r="L49" i="18"/>
  <c r="M49" i="18"/>
  <c r="G50" i="18"/>
  <c r="H50" i="18"/>
  <c r="J50" i="18"/>
  <c r="L50" i="18"/>
  <c r="M50" i="18"/>
  <c r="G51" i="18"/>
  <c r="H51" i="18"/>
  <c r="J51" i="18"/>
  <c r="L51" i="18"/>
  <c r="M51" i="18"/>
  <c r="G52" i="18"/>
  <c r="H52" i="18"/>
  <c r="J52" i="18"/>
  <c r="L52" i="18"/>
  <c r="M52" i="18"/>
  <c r="AJ11" i="18"/>
  <c r="AK11" i="18"/>
  <c r="AI11" i="18"/>
  <c r="G28" i="18"/>
  <c r="H28" i="18"/>
  <c r="J28" i="18"/>
  <c r="L28" i="18"/>
  <c r="M28" i="18"/>
  <c r="G29" i="18"/>
  <c r="H29" i="18"/>
  <c r="J29" i="18"/>
  <c r="L29" i="18"/>
  <c r="M29" i="18"/>
  <c r="G30" i="18"/>
  <c r="H30" i="18"/>
  <c r="J30" i="18"/>
  <c r="L30" i="18"/>
  <c r="M30" i="18"/>
  <c r="G31" i="18"/>
  <c r="H31" i="18"/>
  <c r="J31" i="18"/>
  <c r="L31" i="18"/>
  <c r="M31" i="18"/>
  <c r="G32" i="18"/>
  <c r="H32" i="18"/>
  <c r="J32" i="18"/>
  <c r="L32" i="18"/>
  <c r="M32" i="18"/>
  <c r="G33" i="18"/>
  <c r="H33" i="18"/>
  <c r="J33" i="18"/>
  <c r="L33" i="18"/>
  <c r="M33" i="18"/>
  <c r="G34" i="18"/>
  <c r="H34" i="18"/>
  <c r="J34" i="18"/>
  <c r="L34" i="18"/>
  <c r="M34" i="18"/>
  <c r="G35" i="18"/>
  <c r="H35" i="18"/>
  <c r="J35" i="18"/>
  <c r="L35" i="18"/>
  <c r="M35" i="18"/>
  <c r="G36" i="18"/>
  <c r="H36" i="18"/>
  <c r="J36" i="18"/>
  <c r="L36" i="18"/>
  <c r="M36" i="18"/>
  <c r="G37" i="18"/>
  <c r="H37" i="18"/>
  <c r="J37" i="18"/>
  <c r="L37" i="18"/>
  <c r="M37" i="18"/>
  <c r="G38" i="18"/>
  <c r="H38" i="18"/>
  <c r="J38" i="18"/>
  <c r="L38" i="18"/>
  <c r="M38" i="18"/>
  <c r="G39" i="18"/>
  <c r="H39" i="18"/>
  <c r="J39" i="18"/>
  <c r="L39" i="18"/>
  <c r="M39" i="18"/>
  <c r="AJ10" i="18"/>
  <c r="AK10" i="18"/>
  <c r="AI10" i="18"/>
  <c r="G3" i="18"/>
  <c r="H3" i="18"/>
  <c r="J3" i="18"/>
  <c r="L3" i="18"/>
  <c r="M3" i="18"/>
  <c r="G4" i="18"/>
  <c r="H4" i="18"/>
  <c r="J4" i="18"/>
  <c r="L4" i="18"/>
  <c r="M4" i="18"/>
  <c r="G5" i="18"/>
  <c r="H5" i="18"/>
  <c r="J5" i="18"/>
  <c r="L5" i="18"/>
  <c r="M5" i="18"/>
  <c r="G6" i="18"/>
  <c r="H6" i="18"/>
  <c r="J6" i="18"/>
  <c r="L6" i="18"/>
  <c r="M6" i="18"/>
  <c r="G7" i="18"/>
  <c r="H7" i="18"/>
  <c r="J7" i="18"/>
  <c r="L7" i="18"/>
  <c r="M7" i="18"/>
  <c r="G8" i="18"/>
  <c r="H8" i="18"/>
  <c r="J8" i="18"/>
  <c r="L8" i="18"/>
  <c r="M8" i="18"/>
  <c r="G9" i="18"/>
  <c r="H9" i="18"/>
  <c r="J9" i="18"/>
  <c r="L9" i="18"/>
  <c r="M9" i="18"/>
  <c r="G10" i="18"/>
  <c r="H10" i="18"/>
  <c r="J10" i="18"/>
  <c r="L10" i="18"/>
  <c r="M10" i="18"/>
  <c r="G11" i="18"/>
  <c r="H11" i="18"/>
  <c r="J11" i="18"/>
  <c r="L11" i="18"/>
  <c r="M11" i="18"/>
  <c r="G12" i="18"/>
  <c r="H12" i="18"/>
  <c r="J12" i="18"/>
  <c r="L12" i="18"/>
  <c r="M12" i="18"/>
  <c r="G13" i="18"/>
  <c r="H13" i="18"/>
  <c r="J13" i="18"/>
  <c r="L13" i="18"/>
  <c r="M13" i="18"/>
  <c r="G14" i="18"/>
  <c r="H14" i="18"/>
  <c r="J14" i="18"/>
  <c r="L14" i="18"/>
  <c r="M14" i="18"/>
  <c r="AJ8" i="18"/>
  <c r="AK8" i="18"/>
  <c r="AI8" i="18"/>
  <c r="AJ5" i="18"/>
  <c r="AK5" i="18"/>
  <c r="AI5" i="18"/>
  <c r="AJ4" i="18"/>
  <c r="AK4" i="18"/>
  <c r="AI4" i="18"/>
  <c r="W3" i="18"/>
  <c r="X3" i="18"/>
  <c r="Z3" i="18"/>
  <c r="AB3" i="18"/>
  <c r="AC3" i="18"/>
  <c r="W4" i="18"/>
  <c r="X4" i="18"/>
  <c r="Z4" i="18"/>
  <c r="AB4" i="18"/>
  <c r="AC4" i="18"/>
  <c r="W5" i="18"/>
  <c r="X5" i="18"/>
  <c r="Z5" i="18"/>
  <c r="AB5" i="18"/>
  <c r="AC5" i="18"/>
  <c r="W6" i="18"/>
  <c r="X6" i="18"/>
  <c r="Z6" i="18"/>
  <c r="AB6" i="18"/>
  <c r="AC6" i="18"/>
  <c r="W7" i="18"/>
  <c r="X7" i="18"/>
  <c r="Z7" i="18"/>
  <c r="AB7" i="18"/>
  <c r="AC7" i="18"/>
  <c r="W8" i="18"/>
  <c r="X8" i="18"/>
  <c r="Z8" i="18"/>
  <c r="AB8" i="18"/>
  <c r="AC8" i="18"/>
  <c r="W9" i="18"/>
  <c r="X9" i="18"/>
  <c r="Z9" i="18"/>
  <c r="AB9" i="18"/>
  <c r="AC9" i="18"/>
  <c r="W10" i="18"/>
  <c r="X10" i="18"/>
  <c r="Z10" i="18"/>
  <c r="AB10" i="18"/>
  <c r="AC10" i="18"/>
  <c r="W11" i="18"/>
  <c r="X11" i="18"/>
  <c r="Z11" i="18"/>
  <c r="AB11" i="18"/>
  <c r="AC11" i="18"/>
  <c r="W12" i="18"/>
  <c r="X12" i="18"/>
  <c r="Z12" i="18"/>
  <c r="AB12" i="18"/>
  <c r="AC12" i="18"/>
  <c r="W13" i="18"/>
  <c r="X13" i="18"/>
  <c r="Z13" i="18"/>
  <c r="AB13" i="18"/>
  <c r="AC13" i="18"/>
  <c r="W14" i="18"/>
  <c r="X14" i="18"/>
  <c r="Z14" i="18"/>
  <c r="AB14" i="18"/>
  <c r="AC14" i="18"/>
  <c r="AJ3" i="18"/>
  <c r="AK3" i="18"/>
  <c r="AI3" i="18"/>
  <c r="AD3" i="18"/>
  <c r="G18" i="18"/>
  <c r="H18" i="18"/>
  <c r="J18" i="18"/>
  <c r="L18" i="18"/>
  <c r="M18" i="18"/>
  <c r="BL26" i="4"/>
  <c r="BM26" i="4"/>
  <c r="BL25" i="4"/>
  <c r="BM25" i="4"/>
  <c r="BK23" i="4"/>
  <c r="BK26" i="4"/>
  <c r="BL24" i="4"/>
  <c r="BM24" i="4"/>
  <c r="BL23" i="4"/>
  <c r="BM23" i="4"/>
  <c r="BK24" i="4"/>
  <c r="BK25" i="4"/>
  <c r="W39" i="17"/>
  <c r="X39" i="17"/>
  <c r="Z39" i="17"/>
  <c r="AB39" i="17"/>
  <c r="AC39" i="17"/>
  <c r="W40" i="17"/>
  <c r="X40" i="17"/>
  <c r="Z40" i="17"/>
  <c r="AB40" i="17"/>
  <c r="AC40" i="17"/>
  <c r="W41" i="17"/>
  <c r="X41" i="17"/>
  <c r="Z41" i="17"/>
  <c r="AB41" i="17"/>
  <c r="AC41" i="17"/>
  <c r="W42" i="17"/>
  <c r="X42" i="17"/>
  <c r="Z42" i="17"/>
  <c r="AB42" i="17"/>
  <c r="AC42" i="17"/>
  <c r="W43" i="17"/>
  <c r="X43" i="17"/>
  <c r="Z43" i="17"/>
  <c r="AB43" i="17"/>
  <c r="AC43" i="17"/>
  <c r="W44" i="17"/>
  <c r="X44" i="17"/>
  <c r="Z44" i="17"/>
  <c r="AB44" i="17"/>
  <c r="AC44" i="17"/>
  <c r="W45" i="17"/>
  <c r="X45" i="17"/>
  <c r="Z45" i="17"/>
  <c r="AB45" i="17"/>
  <c r="AC45" i="17"/>
  <c r="W46" i="17"/>
  <c r="X46" i="17"/>
  <c r="Z46" i="17"/>
  <c r="AB46" i="17"/>
  <c r="AC46" i="17"/>
  <c r="W47" i="17"/>
  <c r="X47" i="17"/>
  <c r="Z47" i="17"/>
  <c r="AB47" i="17"/>
  <c r="AC47" i="17"/>
  <c r="W48" i="17"/>
  <c r="X48" i="17"/>
  <c r="Z48" i="17"/>
  <c r="AB48" i="17"/>
  <c r="AC48" i="17"/>
  <c r="W49" i="17"/>
  <c r="X49" i="17"/>
  <c r="Z49" i="17"/>
  <c r="AB49" i="17"/>
  <c r="AC49" i="17"/>
  <c r="W50" i="17"/>
  <c r="X50" i="17"/>
  <c r="Z50" i="17"/>
  <c r="AB50" i="17"/>
  <c r="AC50" i="17"/>
  <c r="AD39" i="17"/>
  <c r="W28" i="17"/>
  <c r="X28" i="17"/>
  <c r="Z28" i="17"/>
  <c r="AB28" i="17"/>
  <c r="AC28" i="17"/>
  <c r="W29" i="17"/>
  <c r="X29" i="17"/>
  <c r="Z29" i="17"/>
  <c r="AB29" i="17"/>
  <c r="AC29" i="17"/>
  <c r="W30" i="17"/>
  <c r="X30" i="17"/>
  <c r="Z30" i="17"/>
  <c r="AB30" i="17"/>
  <c r="AC30" i="17"/>
  <c r="W31" i="17"/>
  <c r="X31" i="17"/>
  <c r="Z31" i="17"/>
  <c r="AB31" i="17"/>
  <c r="AC31" i="17"/>
  <c r="W32" i="17"/>
  <c r="X32" i="17"/>
  <c r="Z32" i="17"/>
  <c r="AB32" i="17"/>
  <c r="AC32" i="17"/>
  <c r="W33" i="17"/>
  <c r="X33" i="17"/>
  <c r="Z33" i="17"/>
  <c r="AB33" i="17"/>
  <c r="AC33" i="17"/>
  <c r="W34" i="17"/>
  <c r="X34" i="17"/>
  <c r="Z34" i="17"/>
  <c r="AB34" i="17"/>
  <c r="AC34" i="17"/>
  <c r="W35" i="17"/>
  <c r="X35" i="17"/>
  <c r="Z35" i="17"/>
  <c r="AB35" i="17"/>
  <c r="AC35" i="17"/>
  <c r="W36" i="17"/>
  <c r="X36" i="17"/>
  <c r="Z36" i="17"/>
  <c r="AB36" i="17"/>
  <c r="AC36" i="17"/>
  <c r="W37" i="17"/>
  <c r="X37" i="17"/>
  <c r="Z37" i="17"/>
  <c r="AB37" i="17"/>
  <c r="AC37" i="17"/>
  <c r="W38" i="17"/>
  <c r="X38" i="17"/>
  <c r="Z38" i="17"/>
  <c r="AB38" i="17"/>
  <c r="AC38" i="17"/>
  <c r="AD28" i="17"/>
  <c r="W15" i="17"/>
  <c r="X15" i="17"/>
  <c r="Z15" i="17"/>
  <c r="AB15" i="17"/>
  <c r="AC15" i="17"/>
  <c r="W16" i="17"/>
  <c r="X16" i="17"/>
  <c r="Z16" i="17"/>
  <c r="AB16" i="17"/>
  <c r="AC16" i="17"/>
  <c r="W17" i="17"/>
  <c r="X17" i="17"/>
  <c r="Z17" i="17"/>
  <c r="AB17" i="17"/>
  <c r="AC17" i="17"/>
  <c r="W18" i="17"/>
  <c r="X18" i="17"/>
  <c r="Z18" i="17"/>
  <c r="AB18" i="17"/>
  <c r="AC18" i="17"/>
  <c r="W19" i="17"/>
  <c r="X19" i="17"/>
  <c r="Z19" i="17"/>
  <c r="AB19" i="17"/>
  <c r="AC19" i="17"/>
  <c r="W20" i="17"/>
  <c r="X20" i="17"/>
  <c r="Z20" i="17"/>
  <c r="AB20" i="17"/>
  <c r="AC20" i="17"/>
  <c r="W21" i="17"/>
  <c r="X21" i="17"/>
  <c r="Z21" i="17"/>
  <c r="AB21" i="17"/>
  <c r="AC21" i="17"/>
  <c r="W22" i="17"/>
  <c r="X22" i="17"/>
  <c r="Z22" i="17"/>
  <c r="AB22" i="17"/>
  <c r="AC22" i="17"/>
  <c r="W23" i="17"/>
  <c r="X23" i="17"/>
  <c r="Z23" i="17"/>
  <c r="AB23" i="17"/>
  <c r="AC23" i="17"/>
  <c r="W24" i="17"/>
  <c r="X24" i="17"/>
  <c r="Z24" i="17"/>
  <c r="AB24" i="17"/>
  <c r="AC24" i="17"/>
  <c r="W25" i="17"/>
  <c r="X25" i="17"/>
  <c r="Z25" i="17"/>
  <c r="AB25" i="17"/>
  <c r="AC25" i="17"/>
  <c r="W26" i="17"/>
  <c r="X26" i="17"/>
  <c r="Z26" i="17"/>
  <c r="AB26" i="17"/>
  <c r="AC26" i="17"/>
  <c r="W27" i="17"/>
  <c r="X27" i="17"/>
  <c r="Z27" i="17"/>
  <c r="AB27" i="17"/>
  <c r="AC27" i="17"/>
  <c r="AD15" i="17"/>
  <c r="G40" i="17"/>
  <c r="H40" i="17"/>
  <c r="J40" i="17"/>
  <c r="L40" i="17"/>
  <c r="M40" i="17"/>
  <c r="G41" i="17"/>
  <c r="H41" i="17"/>
  <c r="J41" i="17"/>
  <c r="L41" i="17"/>
  <c r="M41" i="17"/>
  <c r="G42" i="17"/>
  <c r="H42" i="17"/>
  <c r="J42" i="17"/>
  <c r="L42" i="17"/>
  <c r="M42" i="17"/>
  <c r="G43" i="17"/>
  <c r="H43" i="17"/>
  <c r="J43" i="17"/>
  <c r="L43" i="17"/>
  <c r="M43" i="17"/>
  <c r="G44" i="17"/>
  <c r="H44" i="17"/>
  <c r="J44" i="17"/>
  <c r="L44" i="17"/>
  <c r="M44" i="17"/>
  <c r="G45" i="17"/>
  <c r="H45" i="17"/>
  <c r="J45" i="17"/>
  <c r="L45" i="17"/>
  <c r="M45" i="17"/>
  <c r="G46" i="17"/>
  <c r="H46" i="17"/>
  <c r="J46" i="17"/>
  <c r="L46" i="17"/>
  <c r="M46" i="17"/>
  <c r="G47" i="17"/>
  <c r="H47" i="17"/>
  <c r="J47" i="17"/>
  <c r="L47" i="17"/>
  <c r="M47" i="17"/>
  <c r="G48" i="17"/>
  <c r="H48" i="17"/>
  <c r="J48" i="17"/>
  <c r="L48" i="17"/>
  <c r="M48" i="17"/>
  <c r="G49" i="17"/>
  <c r="H49" i="17"/>
  <c r="J49" i="17"/>
  <c r="L49" i="17"/>
  <c r="M49" i="17"/>
  <c r="G50" i="17"/>
  <c r="H50" i="17"/>
  <c r="J50" i="17"/>
  <c r="L50" i="17"/>
  <c r="M50" i="17"/>
  <c r="G51" i="17"/>
  <c r="H51" i="17"/>
  <c r="J51" i="17"/>
  <c r="L51" i="17"/>
  <c r="M51" i="17"/>
  <c r="G52" i="17"/>
  <c r="H52" i="17"/>
  <c r="J52" i="17"/>
  <c r="L52" i="17"/>
  <c r="M52" i="17"/>
  <c r="AJ11" i="17"/>
  <c r="AK11" i="17"/>
  <c r="AI11" i="17"/>
  <c r="G28" i="17"/>
  <c r="H28" i="17"/>
  <c r="J28" i="17"/>
  <c r="L28" i="17"/>
  <c r="M28" i="17"/>
  <c r="G29" i="17"/>
  <c r="H29" i="17"/>
  <c r="J29" i="17"/>
  <c r="L29" i="17"/>
  <c r="M29" i="17"/>
  <c r="G30" i="17"/>
  <c r="H30" i="17"/>
  <c r="J30" i="17"/>
  <c r="L30" i="17"/>
  <c r="M30" i="17"/>
  <c r="G31" i="17"/>
  <c r="H31" i="17"/>
  <c r="J31" i="17"/>
  <c r="L31" i="17"/>
  <c r="M31" i="17"/>
  <c r="G32" i="17"/>
  <c r="H32" i="17"/>
  <c r="J32" i="17"/>
  <c r="L32" i="17"/>
  <c r="M32" i="17"/>
  <c r="G33" i="17"/>
  <c r="H33" i="17"/>
  <c r="J33" i="17"/>
  <c r="L33" i="17"/>
  <c r="M33" i="17"/>
  <c r="G34" i="17"/>
  <c r="H34" i="17"/>
  <c r="J34" i="17"/>
  <c r="L34" i="17"/>
  <c r="M34" i="17"/>
  <c r="G35" i="17"/>
  <c r="H35" i="17"/>
  <c r="J35" i="17"/>
  <c r="L35" i="17"/>
  <c r="M35" i="17"/>
  <c r="G36" i="17"/>
  <c r="H36" i="17"/>
  <c r="J36" i="17"/>
  <c r="L36" i="17"/>
  <c r="M36" i="17"/>
  <c r="G37" i="17"/>
  <c r="H37" i="17"/>
  <c r="J37" i="17"/>
  <c r="L37" i="17"/>
  <c r="M37" i="17"/>
  <c r="G38" i="17"/>
  <c r="H38" i="17"/>
  <c r="J38" i="17"/>
  <c r="L38" i="17"/>
  <c r="M38" i="17"/>
  <c r="G39" i="17"/>
  <c r="H39" i="17"/>
  <c r="J39" i="17"/>
  <c r="L39" i="17"/>
  <c r="M39" i="17"/>
  <c r="AJ10" i="17"/>
  <c r="AK10" i="17"/>
  <c r="AI10" i="17"/>
  <c r="G15" i="17"/>
  <c r="H15" i="17"/>
  <c r="J15" i="17"/>
  <c r="L15" i="17"/>
  <c r="M15" i="17"/>
  <c r="G16" i="17"/>
  <c r="H16" i="17"/>
  <c r="J16" i="17"/>
  <c r="L16" i="17"/>
  <c r="M16" i="17"/>
  <c r="G17" i="17"/>
  <c r="H17" i="17"/>
  <c r="J17" i="17"/>
  <c r="L17" i="17"/>
  <c r="M17" i="17"/>
  <c r="G18" i="17"/>
  <c r="H18" i="17"/>
  <c r="J18" i="17"/>
  <c r="L18" i="17"/>
  <c r="M18" i="17"/>
  <c r="G19" i="17"/>
  <c r="H19" i="17"/>
  <c r="J19" i="17"/>
  <c r="L19" i="17"/>
  <c r="M19" i="17"/>
  <c r="G20" i="17"/>
  <c r="H20" i="17"/>
  <c r="J20" i="17"/>
  <c r="L20" i="17"/>
  <c r="M20" i="17"/>
  <c r="G21" i="17"/>
  <c r="H21" i="17"/>
  <c r="J21" i="17"/>
  <c r="L21" i="17"/>
  <c r="M21" i="17"/>
  <c r="G22" i="17"/>
  <c r="H22" i="17"/>
  <c r="J22" i="17"/>
  <c r="L22" i="17"/>
  <c r="M22" i="17"/>
  <c r="G23" i="17"/>
  <c r="H23" i="17"/>
  <c r="J23" i="17"/>
  <c r="L23" i="17"/>
  <c r="M23" i="17"/>
  <c r="G24" i="17"/>
  <c r="H24" i="17"/>
  <c r="J24" i="17"/>
  <c r="L24" i="17"/>
  <c r="M24" i="17"/>
  <c r="G25" i="17"/>
  <c r="H25" i="17"/>
  <c r="J25" i="17"/>
  <c r="L25" i="17"/>
  <c r="M25" i="17"/>
  <c r="G26" i="17"/>
  <c r="H26" i="17"/>
  <c r="J26" i="17"/>
  <c r="L26" i="17"/>
  <c r="M26" i="17"/>
  <c r="G27" i="17"/>
  <c r="H27" i="17"/>
  <c r="J27" i="17"/>
  <c r="L27" i="17"/>
  <c r="M27" i="17"/>
  <c r="AJ9" i="17"/>
  <c r="AK9" i="17"/>
  <c r="AI9" i="17"/>
  <c r="G3" i="17"/>
  <c r="H3" i="17"/>
  <c r="J3" i="17"/>
  <c r="L3" i="17"/>
  <c r="M3" i="17"/>
  <c r="G4" i="17"/>
  <c r="H4" i="17"/>
  <c r="J4" i="17"/>
  <c r="L4" i="17"/>
  <c r="M4" i="17"/>
  <c r="G5" i="17"/>
  <c r="H5" i="17"/>
  <c r="J5" i="17"/>
  <c r="L5" i="17"/>
  <c r="M5" i="17"/>
  <c r="G6" i="17"/>
  <c r="H6" i="17"/>
  <c r="J6" i="17"/>
  <c r="L6" i="17"/>
  <c r="M6" i="17"/>
  <c r="G7" i="17"/>
  <c r="H7" i="17"/>
  <c r="J7" i="17"/>
  <c r="L7" i="17"/>
  <c r="M7" i="17"/>
  <c r="G8" i="17"/>
  <c r="H8" i="17"/>
  <c r="J8" i="17"/>
  <c r="L8" i="17"/>
  <c r="M8" i="17"/>
  <c r="G9" i="17"/>
  <c r="H9" i="17"/>
  <c r="J9" i="17"/>
  <c r="L9" i="17"/>
  <c r="M9" i="17"/>
  <c r="G10" i="17"/>
  <c r="H10" i="17"/>
  <c r="J10" i="17"/>
  <c r="L10" i="17"/>
  <c r="M10" i="17"/>
  <c r="G11" i="17"/>
  <c r="H11" i="17"/>
  <c r="J11" i="17"/>
  <c r="L11" i="17"/>
  <c r="M11" i="17"/>
  <c r="G12" i="17"/>
  <c r="H12" i="17"/>
  <c r="J12" i="17"/>
  <c r="L12" i="17"/>
  <c r="M12" i="17"/>
  <c r="G13" i="17"/>
  <c r="H13" i="17"/>
  <c r="J13" i="17"/>
  <c r="L13" i="17"/>
  <c r="M13" i="17"/>
  <c r="G14" i="17"/>
  <c r="H14" i="17"/>
  <c r="J14" i="17"/>
  <c r="L14" i="17"/>
  <c r="M14" i="17"/>
  <c r="AJ8" i="17"/>
  <c r="AK8" i="17"/>
  <c r="AI8" i="17"/>
  <c r="AJ6" i="17"/>
  <c r="AK6" i="17"/>
  <c r="AI6" i="17"/>
  <c r="AJ5" i="17"/>
  <c r="AK5" i="17"/>
  <c r="AI5" i="17"/>
  <c r="AJ4" i="17"/>
  <c r="AK4" i="17"/>
  <c r="AI4" i="17"/>
  <c r="W3" i="17"/>
  <c r="X3" i="17"/>
  <c r="Z3" i="17"/>
  <c r="AB3" i="17"/>
  <c r="AC3" i="17"/>
  <c r="W4" i="17"/>
  <c r="X4" i="17"/>
  <c r="Z4" i="17"/>
  <c r="AB4" i="17"/>
  <c r="AC4" i="17"/>
  <c r="W5" i="17"/>
  <c r="X5" i="17"/>
  <c r="Z5" i="17"/>
  <c r="AB5" i="17"/>
  <c r="AC5" i="17"/>
  <c r="W6" i="17"/>
  <c r="X6" i="17"/>
  <c r="Z6" i="17"/>
  <c r="AB6" i="17"/>
  <c r="AC6" i="17"/>
  <c r="W7" i="17"/>
  <c r="X7" i="17"/>
  <c r="Z7" i="17"/>
  <c r="AB7" i="17"/>
  <c r="AC7" i="17"/>
  <c r="W8" i="17"/>
  <c r="X8" i="17"/>
  <c r="Z8" i="17"/>
  <c r="AB8" i="17"/>
  <c r="AC8" i="17"/>
  <c r="W9" i="17"/>
  <c r="X9" i="17"/>
  <c r="Z9" i="17"/>
  <c r="AB9" i="17"/>
  <c r="AC9" i="17"/>
  <c r="W10" i="17"/>
  <c r="X10" i="17"/>
  <c r="Z10" i="17"/>
  <c r="AB10" i="17"/>
  <c r="AC10" i="17"/>
  <c r="W11" i="17"/>
  <c r="X11" i="17"/>
  <c r="Z11" i="17"/>
  <c r="AB11" i="17"/>
  <c r="AC11" i="17"/>
  <c r="W12" i="17"/>
  <c r="X12" i="17"/>
  <c r="Z12" i="17"/>
  <c r="AB12" i="17"/>
  <c r="AC12" i="17"/>
  <c r="W13" i="17"/>
  <c r="X13" i="17"/>
  <c r="Z13" i="17"/>
  <c r="AB13" i="17"/>
  <c r="AC13" i="17"/>
  <c r="W14" i="17"/>
  <c r="X14" i="17"/>
  <c r="Z14" i="17"/>
  <c r="AB14" i="17"/>
  <c r="AC14" i="17"/>
  <c r="AJ3" i="17"/>
  <c r="AK3" i="17"/>
  <c r="AI3" i="17"/>
  <c r="AD3" i="17"/>
  <c r="W39" i="14"/>
  <c r="X39" i="14"/>
  <c r="Z39" i="14"/>
  <c r="AB39" i="14"/>
  <c r="AC39" i="14"/>
  <c r="W40" i="14"/>
  <c r="X40" i="14"/>
  <c r="Z40" i="14"/>
  <c r="AB40" i="14"/>
  <c r="AC40" i="14"/>
  <c r="W41" i="14"/>
  <c r="X41" i="14"/>
  <c r="Z41" i="14"/>
  <c r="AB41" i="14"/>
  <c r="AC41" i="14"/>
  <c r="W42" i="14"/>
  <c r="X42" i="14"/>
  <c r="Z42" i="14"/>
  <c r="AB42" i="14"/>
  <c r="AC42" i="14"/>
  <c r="W43" i="14"/>
  <c r="X43" i="14"/>
  <c r="Z43" i="14"/>
  <c r="AB43" i="14"/>
  <c r="AC43" i="14"/>
  <c r="W44" i="14"/>
  <c r="X44" i="14"/>
  <c r="Z44" i="14"/>
  <c r="AB44" i="14"/>
  <c r="AC44" i="14"/>
  <c r="W45" i="14"/>
  <c r="X45" i="14"/>
  <c r="Z45" i="14"/>
  <c r="AB45" i="14"/>
  <c r="AC45" i="14"/>
  <c r="W46" i="14"/>
  <c r="X46" i="14"/>
  <c r="Z46" i="14"/>
  <c r="AB46" i="14"/>
  <c r="AC46" i="14"/>
  <c r="W47" i="14"/>
  <c r="X47" i="14"/>
  <c r="Z47" i="14"/>
  <c r="AB47" i="14"/>
  <c r="AC47" i="14"/>
  <c r="W48" i="14"/>
  <c r="X48" i="14"/>
  <c r="Z48" i="14"/>
  <c r="AB48" i="14"/>
  <c r="AC48" i="14"/>
  <c r="W49" i="14"/>
  <c r="X49" i="14"/>
  <c r="Z49" i="14"/>
  <c r="AB49" i="14"/>
  <c r="AC49" i="14"/>
  <c r="W50" i="14"/>
  <c r="X50" i="14"/>
  <c r="Z50" i="14"/>
  <c r="AB50" i="14"/>
  <c r="AC50" i="14"/>
  <c r="AD39" i="14"/>
  <c r="W28" i="14"/>
  <c r="X28" i="14"/>
  <c r="Z28" i="14"/>
  <c r="AB28" i="14"/>
  <c r="AC28" i="14"/>
  <c r="W29" i="14"/>
  <c r="X29" i="14"/>
  <c r="Z29" i="14"/>
  <c r="AB29" i="14"/>
  <c r="AC29" i="14"/>
  <c r="W30" i="14"/>
  <c r="X30" i="14"/>
  <c r="Z30" i="14"/>
  <c r="AB30" i="14"/>
  <c r="AC30" i="14"/>
  <c r="W31" i="14"/>
  <c r="X31" i="14"/>
  <c r="Z31" i="14"/>
  <c r="AB31" i="14"/>
  <c r="AC31" i="14"/>
  <c r="W32" i="14"/>
  <c r="X32" i="14"/>
  <c r="Z32" i="14"/>
  <c r="AB32" i="14"/>
  <c r="AC32" i="14"/>
  <c r="W33" i="14"/>
  <c r="X33" i="14"/>
  <c r="Z33" i="14"/>
  <c r="AB33" i="14"/>
  <c r="AC33" i="14"/>
  <c r="W34" i="14"/>
  <c r="X34" i="14"/>
  <c r="Z34" i="14"/>
  <c r="AB34" i="14"/>
  <c r="AC34" i="14"/>
  <c r="W35" i="14"/>
  <c r="X35" i="14"/>
  <c r="Z35" i="14"/>
  <c r="AB35" i="14"/>
  <c r="AC35" i="14"/>
  <c r="W36" i="14"/>
  <c r="X36" i="14"/>
  <c r="Z36" i="14"/>
  <c r="AB36" i="14"/>
  <c r="AC36" i="14"/>
  <c r="W37" i="14"/>
  <c r="X37" i="14"/>
  <c r="Z37" i="14"/>
  <c r="AB37" i="14"/>
  <c r="AC37" i="14"/>
  <c r="W38" i="14"/>
  <c r="X38" i="14"/>
  <c r="Z38" i="14"/>
  <c r="AB38" i="14"/>
  <c r="AC38" i="14"/>
  <c r="AD28" i="14"/>
  <c r="W15" i="14"/>
  <c r="X15" i="14"/>
  <c r="Z15" i="14"/>
  <c r="AB15" i="14"/>
  <c r="AC15" i="14"/>
  <c r="W16" i="14"/>
  <c r="X16" i="14"/>
  <c r="Z16" i="14"/>
  <c r="AB16" i="14"/>
  <c r="AC16" i="14"/>
  <c r="W17" i="14"/>
  <c r="X17" i="14"/>
  <c r="Z17" i="14"/>
  <c r="AB17" i="14"/>
  <c r="AC17" i="14"/>
  <c r="W18" i="14"/>
  <c r="X18" i="14"/>
  <c r="Z18" i="14"/>
  <c r="AB18" i="14"/>
  <c r="AC18" i="14"/>
  <c r="W19" i="14"/>
  <c r="X19" i="14"/>
  <c r="Z19" i="14"/>
  <c r="AB19" i="14"/>
  <c r="AC19" i="14"/>
  <c r="W20" i="14"/>
  <c r="X20" i="14"/>
  <c r="Z20" i="14"/>
  <c r="AB20" i="14"/>
  <c r="AC20" i="14"/>
  <c r="W21" i="14"/>
  <c r="X21" i="14"/>
  <c r="Z21" i="14"/>
  <c r="AB21" i="14"/>
  <c r="AC21" i="14"/>
  <c r="W22" i="14"/>
  <c r="X22" i="14"/>
  <c r="Z22" i="14"/>
  <c r="AB22" i="14"/>
  <c r="AC22" i="14"/>
  <c r="W23" i="14"/>
  <c r="X23" i="14"/>
  <c r="Z23" i="14"/>
  <c r="AB23" i="14"/>
  <c r="AC23" i="14"/>
  <c r="W24" i="14"/>
  <c r="X24" i="14"/>
  <c r="Z24" i="14"/>
  <c r="AB24" i="14"/>
  <c r="AC24" i="14"/>
  <c r="W25" i="14"/>
  <c r="X25" i="14"/>
  <c r="Z25" i="14"/>
  <c r="AB25" i="14"/>
  <c r="AC25" i="14"/>
  <c r="W26" i="14"/>
  <c r="X26" i="14"/>
  <c r="Z26" i="14"/>
  <c r="AB26" i="14"/>
  <c r="AC26" i="14"/>
  <c r="W27" i="14"/>
  <c r="X27" i="14"/>
  <c r="Z27" i="14"/>
  <c r="AB27" i="14"/>
  <c r="AC27" i="14"/>
  <c r="AD15" i="14"/>
  <c r="G40" i="14"/>
  <c r="H40" i="14"/>
  <c r="J40" i="14"/>
  <c r="L40" i="14"/>
  <c r="M40" i="14"/>
  <c r="G41" i="14"/>
  <c r="H41" i="14"/>
  <c r="J41" i="14"/>
  <c r="L41" i="14"/>
  <c r="M41" i="14"/>
  <c r="G42" i="14"/>
  <c r="H42" i="14"/>
  <c r="J42" i="14"/>
  <c r="L42" i="14"/>
  <c r="M42" i="14"/>
  <c r="G43" i="14"/>
  <c r="H43" i="14"/>
  <c r="J43" i="14"/>
  <c r="L43" i="14"/>
  <c r="M43" i="14"/>
  <c r="G44" i="14"/>
  <c r="H44" i="14"/>
  <c r="J44" i="14"/>
  <c r="L44" i="14"/>
  <c r="M44" i="14"/>
  <c r="G45" i="14"/>
  <c r="H45" i="14"/>
  <c r="J45" i="14"/>
  <c r="L45" i="14"/>
  <c r="M45" i="14"/>
  <c r="G46" i="14"/>
  <c r="H46" i="14"/>
  <c r="J46" i="14"/>
  <c r="L46" i="14"/>
  <c r="M46" i="14"/>
  <c r="G47" i="14"/>
  <c r="H47" i="14"/>
  <c r="J47" i="14"/>
  <c r="L47" i="14"/>
  <c r="M47" i="14"/>
  <c r="G48" i="14"/>
  <c r="H48" i="14"/>
  <c r="J48" i="14"/>
  <c r="L48" i="14"/>
  <c r="M48" i="14"/>
  <c r="G49" i="14"/>
  <c r="H49" i="14"/>
  <c r="J49" i="14"/>
  <c r="L49" i="14"/>
  <c r="M49" i="14"/>
  <c r="G50" i="14"/>
  <c r="H50" i="14"/>
  <c r="J50" i="14"/>
  <c r="L50" i="14"/>
  <c r="M50" i="14"/>
  <c r="G51" i="14"/>
  <c r="H51" i="14"/>
  <c r="J51" i="14"/>
  <c r="L51" i="14"/>
  <c r="M51" i="14"/>
  <c r="G52" i="14"/>
  <c r="H52" i="14"/>
  <c r="J52" i="14"/>
  <c r="L52" i="14"/>
  <c r="M52" i="14"/>
  <c r="AJ11" i="14"/>
  <c r="AK11" i="14"/>
  <c r="AI11" i="14"/>
  <c r="G28" i="14"/>
  <c r="H28" i="14"/>
  <c r="J28" i="14"/>
  <c r="L28" i="14"/>
  <c r="M28" i="14"/>
  <c r="G29" i="14"/>
  <c r="H29" i="14"/>
  <c r="J29" i="14"/>
  <c r="L29" i="14"/>
  <c r="M29" i="14"/>
  <c r="G30" i="14"/>
  <c r="H30" i="14"/>
  <c r="J30" i="14"/>
  <c r="L30" i="14"/>
  <c r="M30" i="14"/>
  <c r="G31" i="14"/>
  <c r="H31" i="14"/>
  <c r="J31" i="14"/>
  <c r="L31" i="14"/>
  <c r="M31" i="14"/>
  <c r="G32" i="14"/>
  <c r="H32" i="14"/>
  <c r="J32" i="14"/>
  <c r="L32" i="14"/>
  <c r="M32" i="14"/>
  <c r="G33" i="14"/>
  <c r="H33" i="14"/>
  <c r="J33" i="14"/>
  <c r="L33" i="14"/>
  <c r="M33" i="14"/>
  <c r="G34" i="14"/>
  <c r="H34" i="14"/>
  <c r="J34" i="14"/>
  <c r="L34" i="14"/>
  <c r="M34" i="14"/>
  <c r="G35" i="14"/>
  <c r="H35" i="14"/>
  <c r="J35" i="14"/>
  <c r="L35" i="14"/>
  <c r="M35" i="14"/>
  <c r="G36" i="14"/>
  <c r="H36" i="14"/>
  <c r="J36" i="14"/>
  <c r="L36" i="14"/>
  <c r="M36" i="14"/>
  <c r="G37" i="14"/>
  <c r="H37" i="14"/>
  <c r="J37" i="14"/>
  <c r="L37" i="14"/>
  <c r="M37" i="14"/>
  <c r="G38" i="14"/>
  <c r="H38" i="14"/>
  <c r="J38" i="14"/>
  <c r="L38" i="14"/>
  <c r="M38" i="14"/>
  <c r="G39" i="14"/>
  <c r="H39" i="14"/>
  <c r="J39" i="14"/>
  <c r="L39" i="14"/>
  <c r="M39" i="14"/>
  <c r="AJ10" i="14"/>
  <c r="AK10" i="14"/>
  <c r="AI10" i="14"/>
  <c r="G3" i="14"/>
  <c r="H3" i="14"/>
  <c r="J3" i="14"/>
  <c r="L3" i="14"/>
  <c r="M3" i="14"/>
  <c r="G4" i="14"/>
  <c r="H4" i="14"/>
  <c r="J4" i="14"/>
  <c r="L4" i="14"/>
  <c r="M4" i="14"/>
  <c r="G5" i="14"/>
  <c r="H5" i="14"/>
  <c r="J5" i="14"/>
  <c r="L5" i="14"/>
  <c r="M5" i="14"/>
  <c r="G6" i="14"/>
  <c r="H6" i="14"/>
  <c r="J6" i="14"/>
  <c r="L6" i="14"/>
  <c r="M6" i="14"/>
  <c r="G7" i="14"/>
  <c r="H7" i="14"/>
  <c r="J7" i="14"/>
  <c r="L7" i="14"/>
  <c r="M7" i="14"/>
  <c r="G8" i="14"/>
  <c r="H8" i="14"/>
  <c r="J8" i="14"/>
  <c r="L8" i="14"/>
  <c r="M8" i="14"/>
  <c r="G9" i="14"/>
  <c r="H9" i="14"/>
  <c r="J9" i="14"/>
  <c r="L9" i="14"/>
  <c r="M9" i="14"/>
  <c r="G10" i="14"/>
  <c r="H10" i="14"/>
  <c r="J10" i="14"/>
  <c r="L10" i="14"/>
  <c r="M10" i="14"/>
  <c r="G11" i="14"/>
  <c r="H11" i="14"/>
  <c r="J11" i="14"/>
  <c r="L11" i="14"/>
  <c r="M11" i="14"/>
  <c r="G12" i="14"/>
  <c r="H12" i="14"/>
  <c r="J12" i="14"/>
  <c r="L12" i="14"/>
  <c r="M12" i="14"/>
  <c r="G13" i="14"/>
  <c r="H13" i="14"/>
  <c r="J13" i="14"/>
  <c r="L13" i="14"/>
  <c r="M13" i="14"/>
  <c r="G14" i="14"/>
  <c r="H14" i="14"/>
  <c r="J14" i="14"/>
  <c r="L14" i="14"/>
  <c r="M14" i="14"/>
  <c r="AJ8" i="14"/>
  <c r="AK8" i="14"/>
  <c r="AI8" i="14"/>
  <c r="AJ6" i="14"/>
  <c r="AK6" i="14"/>
  <c r="AI6" i="14"/>
  <c r="AJ5" i="14"/>
  <c r="AK5" i="14"/>
  <c r="AI5" i="14"/>
  <c r="AJ4" i="14"/>
  <c r="AK4" i="14"/>
  <c r="AI4" i="14"/>
  <c r="W3" i="14"/>
  <c r="X3" i="14"/>
  <c r="Z3" i="14"/>
  <c r="AB3" i="14"/>
  <c r="AC3" i="14"/>
  <c r="W4" i="14"/>
  <c r="X4" i="14"/>
  <c r="Z4" i="14"/>
  <c r="AB4" i="14"/>
  <c r="AC4" i="14"/>
  <c r="W5" i="14"/>
  <c r="X5" i="14"/>
  <c r="Z5" i="14"/>
  <c r="AB5" i="14"/>
  <c r="AC5" i="14"/>
  <c r="W6" i="14"/>
  <c r="X6" i="14"/>
  <c r="Z6" i="14"/>
  <c r="AB6" i="14"/>
  <c r="AC6" i="14"/>
  <c r="W7" i="14"/>
  <c r="X7" i="14"/>
  <c r="Z7" i="14"/>
  <c r="AB7" i="14"/>
  <c r="AC7" i="14"/>
  <c r="W8" i="14"/>
  <c r="X8" i="14"/>
  <c r="Z8" i="14"/>
  <c r="AB8" i="14"/>
  <c r="AC8" i="14"/>
  <c r="W9" i="14"/>
  <c r="X9" i="14"/>
  <c r="Z9" i="14"/>
  <c r="AB9" i="14"/>
  <c r="AC9" i="14"/>
  <c r="W10" i="14"/>
  <c r="X10" i="14"/>
  <c r="Z10" i="14"/>
  <c r="AB10" i="14"/>
  <c r="AC10" i="14"/>
  <c r="W11" i="14"/>
  <c r="X11" i="14"/>
  <c r="Z11" i="14"/>
  <c r="AB11" i="14"/>
  <c r="AC11" i="14"/>
  <c r="W12" i="14"/>
  <c r="X12" i="14"/>
  <c r="Z12" i="14"/>
  <c r="AB12" i="14"/>
  <c r="AC12" i="14"/>
  <c r="W13" i="14"/>
  <c r="X13" i="14"/>
  <c r="Z13" i="14"/>
  <c r="AB13" i="14"/>
  <c r="AC13" i="14"/>
  <c r="W14" i="14"/>
  <c r="X14" i="14"/>
  <c r="Z14" i="14"/>
  <c r="AB14" i="14"/>
  <c r="AC14" i="14"/>
  <c r="AJ3" i="14"/>
  <c r="AK3" i="14"/>
  <c r="AI3" i="14"/>
  <c r="AD3" i="14"/>
  <c r="G20" i="14"/>
  <c r="H20" i="14"/>
  <c r="J20" i="14"/>
  <c r="L20" i="14"/>
  <c r="M20" i="14"/>
  <c r="W39" i="12"/>
  <c r="X39" i="12"/>
  <c r="Z39" i="12"/>
  <c r="AB39" i="12"/>
  <c r="AC39" i="12"/>
  <c r="W40" i="12"/>
  <c r="X40" i="12"/>
  <c r="Z40" i="12"/>
  <c r="AB40" i="12"/>
  <c r="AC40" i="12"/>
  <c r="W41" i="12"/>
  <c r="X41" i="12"/>
  <c r="Z41" i="12"/>
  <c r="AB41" i="12"/>
  <c r="AC41" i="12"/>
  <c r="W42" i="12"/>
  <c r="X42" i="12"/>
  <c r="Z42" i="12"/>
  <c r="AB42" i="12"/>
  <c r="AC42" i="12"/>
  <c r="W43" i="12"/>
  <c r="X43" i="12"/>
  <c r="Z43" i="12"/>
  <c r="AB43" i="12"/>
  <c r="AC43" i="12"/>
  <c r="W44" i="12"/>
  <c r="X44" i="12"/>
  <c r="Z44" i="12"/>
  <c r="AB44" i="12"/>
  <c r="AC44" i="12"/>
  <c r="W45" i="12"/>
  <c r="X45" i="12"/>
  <c r="Z45" i="12"/>
  <c r="AB45" i="12"/>
  <c r="AC45" i="12"/>
  <c r="W46" i="12"/>
  <c r="X46" i="12"/>
  <c r="Z46" i="12"/>
  <c r="AB46" i="12"/>
  <c r="AC46" i="12"/>
  <c r="W47" i="12"/>
  <c r="X47" i="12"/>
  <c r="Z47" i="12"/>
  <c r="AB47" i="12"/>
  <c r="AC47" i="12"/>
  <c r="W48" i="12"/>
  <c r="X48" i="12"/>
  <c r="Z48" i="12"/>
  <c r="AB48" i="12"/>
  <c r="AC48" i="12"/>
  <c r="W49" i="12"/>
  <c r="X49" i="12"/>
  <c r="Z49" i="12"/>
  <c r="AB49" i="12"/>
  <c r="AC49" i="12"/>
  <c r="W50" i="12"/>
  <c r="X50" i="12"/>
  <c r="Z50" i="12"/>
  <c r="AB50" i="12"/>
  <c r="AC50" i="12"/>
  <c r="AD39" i="12"/>
  <c r="W28" i="12"/>
  <c r="X28" i="12"/>
  <c r="Z28" i="12"/>
  <c r="AB28" i="12"/>
  <c r="AC28" i="12"/>
  <c r="W29" i="12"/>
  <c r="X29" i="12"/>
  <c r="Z29" i="12"/>
  <c r="AB29" i="12"/>
  <c r="AC29" i="12"/>
  <c r="W30" i="12"/>
  <c r="X30" i="12"/>
  <c r="Z30" i="12"/>
  <c r="AB30" i="12"/>
  <c r="AC30" i="12"/>
  <c r="W31" i="12"/>
  <c r="X31" i="12"/>
  <c r="Z31" i="12"/>
  <c r="AB31" i="12"/>
  <c r="AC31" i="12"/>
  <c r="W32" i="12"/>
  <c r="X32" i="12"/>
  <c r="Z32" i="12"/>
  <c r="AB32" i="12"/>
  <c r="AC32" i="12"/>
  <c r="W33" i="12"/>
  <c r="X33" i="12"/>
  <c r="Z33" i="12"/>
  <c r="AB33" i="12"/>
  <c r="AC33" i="12"/>
  <c r="W34" i="12"/>
  <c r="X34" i="12"/>
  <c r="Z34" i="12"/>
  <c r="AB34" i="12"/>
  <c r="AC34" i="12"/>
  <c r="W35" i="12"/>
  <c r="X35" i="12"/>
  <c r="Z35" i="12"/>
  <c r="AB35" i="12"/>
  <c r="AC35" i="12"/>
  <c r="W36" i="12"/>
  <c r="X36" i="12"/>
  <c r="Z36" i="12"/>
  <c r="AB36" i="12"/>
  <c r="AC36" i="12"/>
  <c r="W37" i="12"/>
  <c r="X37" i="12"/>
  <c r="Z37" i="12"/>
  <c r="AB37" i="12"/>
  <c r="AC37" i="12"/>
  <c r="W38" i="12"/>
  <c r="X38" i="12"/>
  <c r="Z38" i="12"/>
  <c r="AB38" i="12"/>
  <c r="AC38" i="12"/>
  <c r="AD28" i="12"/>
  <c r="W15" i="12"/>
  <c r="X15" i="12"/>
  <c r="Z15" i="12"/>
  <c r="AB15" i="12"/>
  <c r="AC15" i="12"/>
  <c r="W16" i="12"/>
  <c r="X16" i="12"/>
  <c r="Z16" i="12"/>
  <c r="AB16" i="12"/>
  <c r="AC16" i="12"/>
  <c r="W17" i="12"/>
  <c r="X17" i="12"/>
  <c r="Z17" i="12"/>
  <c r="AB17" i="12"/>
  <c r="AC17" i="12"/>
  <c r="W18" i="12"/>
  <c r="X18" i="12"/>
  <c r="Z18" i="12"/>
  <c r="AB18" i="12"/>
  <c r="AC18" i="12"/>
  <c r="W19" i="12"/>
  <c r="X19" i="12"/>
  <c r="Z19" i="12"/>
  <c r="AB19" i="12"/>
  <c r="AC19" i="12"/>
  <c r="W20" i="12"/>
  <c r="X20" i="12"/>
  <c r="Z20" i="12"/>
  <c r="AB20" i="12"/>
  <c r="AC20" i="12"/>
  <c r="W21" i="12"/>
  <c r="X21" i="12"/>
  <c r="Z21" i="12"/>
  <c r="AB21" i="12"/>
  <c r="AC21" i="12"/>
  <c r="W22" i="12"/>
  <c r="X22" i="12"/>
  <c r="Z22" i="12"/>
  <c r="AB22" i="12"/>
  <c r="AC22" i="12"/>
  <c r="W23" i="12"/>
  <c r="X23" i="12"/>
  <c r="Z23" i="12"/>
  <c r="AB23" i="12"/>
  <c r="AC23" i="12"/>
  <c r="W24" i="12"/>
  <c r="X24" i="12"/>
  <c r="Z24" i="12"/>
  <c r="AB24" i="12"/>
  <c r="AC24" i="12"/>
  <c r="W25" i="12"/>
  <c r="X25" i="12"/>
  <c r="Z25" i="12"/>
  <c r="AB25" i="12"/>
  <c r="AC25" i="12"/>
  <c r="W26" i="12"/>
  <c r="X26" i="12"/>
  <c r="Z26" i="12"/>
  <c r="AB26" i="12"/>
  <c r="AC26" i="12"/>
  <c r="W27" i="12"/>
  <c r="X27" i="12"/>
  <c r="Z27" i="12"/>
  <c r="AB27" i="12"/>
  <c r="AC27" i="12"/>
  <c r="AD15" i="12"/>
  <c r="G40" i="12"/>
  <c r="H40" i="12"/>
  <c r="J40" i="12"/>
  <c r="L40" i="12"/>
  <c r="M40" i="12"/>
  <c r="G42" i="12"/>
  <c r="H42" i="12"/>
  <c r="J42" i="12"/>
  <c r="L42" i="12"/>
  <c r="M42" i="12"/>
  <c r="G43" i="12"/>
  <c r="H43" i="12"/>
  <c r="J43" i="12"/>
  <c r="L43" i="12"/>
  <c r="M43" i="12"/>
  <c r="G44" i="12"/>
  <c r="H44" i="12"/>
  <c r="J44" i="12"/>
  <c r="L44" i="12"/>
  <c r="M44" i="12"/>
  <c r="G45" i="12"/>
  <c r="H45" i="12"/>
  <c r="J45" i="12"/>
  <c r="L45" i="12"/>
  <c r="M45" i="12"/>
  <c r="G46" i="12"/>
  <c r="H46" i="12"/>
  <c r="J46" i="12"/>
  <c r="L46" i="12"/>
  <c r="M46" i="12"/>
  <c r="G47" i="12"/>
  <c r="H47" i="12"/>
  <c r="J47" i="12"/>
  <c r="L47" i="12"/>
  <c r="M47" i="12"/>
  <c r="G48" i="12"/>
  <c r="H48" i="12"/>
  <c r="J48" i="12"/>
  <c r="L48" i="12"/>
  <c r="M48" i="12"/>
  <c r="G49" i="12"/>
  <c r="H49" i="12"/>
  <c r="J49" i="12"/>
  <c r="L49" i="12"/>
  <c r="M49" i="12"/>
  <c r="G50" i="12"/>
  <c r="H50" i="12"/>
  <c r="J50" i="12"/>
  <c r="L50" i="12"/>
  <c r="M50" i="12"/>
  <c r="G51" i="12"/>
  <c r="H51" i="12"/>
  <c r="J51" i="12"/>
  <c r="L51" i="12"/>
  <c r="M51" i="12"/>
  <c r="G52" i="12"/>
  <c r="H52" i="12"/>
  <c r="J52" i="12"/>
  <c r="L52" i="12"/>
  <c r="M52" i="12"/>
  <c r="AJ11" i="12"/>
  <c r="AK11" i="12"/>
  <c r="AI11" i="12"/>
  <c r="G28" i="12"/>
  <c r="H28" i="12"/>
  <c r="J28" i="12"/>
  <c r="L28" i="12"/>
  <c r="M28" i="12"/>
  <c r="G29" i="12"/>
  <c r="H29" i="12"/>
  <c r="J29" i="12"/>
  <c r="L29" i="12"/>
  <c r="M29" i="12"/>
  <c r="G30" i="12"/>
  <c r="H30" i="12"/>
  <c r="J30" i="12"/>
  <c r="L30" i="12"/>
  <c r="M30" i="12"/>
  <c r="G31" i="12"/>
  <c r="H31" i="12"/>
  <c r="J31" i="12"/>
  <c r="L31" i="12"/>
  <c r="M31" i="12"/>
  <c r="G32" i="12"/>
  <c r="H32" i="12"/>
  <c r="J32" i="12"/>
  <c r="L32" i="12"/>
  <c r="M32" i="12"/>
  <c r="G33" i="12"/>
  <c r="H33" i="12"/>
  <c r="J33" i="12"/>
  <c r="L33" i="12"/>
  <c r="M33" i="12"/>
  <c r="G34" i="12"/>
  <c r="H34" i="12"/>
  <c r="J34" i="12"/>
  <c r="L34" i="12"/>
  <c r="M34" i="12"/>
  <c r="G35" i="12"/>
  <c r="H35" i="12"/>
  <c r="J35" i="12"/>
  <c r="L35" i="12"/>
  <c r="M35" i="12"/>
  <c r="G36" i="12"/>
  <c r="H36" i="12"/>
  <c r="J36" i="12"/>
  <c r="L36" i="12"/>
  <c r="M36" i="12"/>
  <c r="G37" i="12"/>
  <c r="H37" i="12"/>
  <c r="J37" i="12"/>
  <c r="L37" i="12"/>
  <c r="M37" i="12"/>
  <c r="G38" i="12"/>
  <c r="H38" i="12"/>
  <c r="J38" i="12"/>
  <c r="L38" i="12"/>
  <c r="M38" i="12"/>
  <c r="G39" i="12"/>
  <c r="H39" i="12"/>
  <c r="J39" i="12"/>
  <c r="L39" i="12"/>
  <c r="M39" i="12"/>
  <c r="AJ10" i="12"/>
  <c r="AK10" i="12"/>
  <c r="AI10" i="12"/>
  <c r="G3" i="12"/>
  <c r="H3" i="12"/>
  <c r="J3" i="12"/>
  <c r="L3" i="12"/>
  <c r="M3" i="12"/>
  <c r="G4" i="12"/>
  <c r="H4" i="12"/>
  <c r="J4" i="12"/>
  <c r="L4" i="12"/>
  <c r="M4" i="12"/>
  <c r="G5" i="12"/>
  <c r="H5" i="12"/>
  <c r="J5" i="12"/>
  <c r="L5" i="12"/>
  <c r="M5" i="12"/>
  <c r="G6" i="12"/>
  <c r="H6" i="12"/>
  <c r="J6" i="12"/>
  <c r="L6" i="12"/>
  <c r="M6" i="12"/>
  <c r="G7" i="12"/>
  <c r="H7" i="12"/>
  <c r="J7" i="12"/>
  <c r="L7" i="12"/>
  <c r="M7" i="12"/>
  <c r="G8" i="12"/>
  <c r="H8" i="12"/>
  <c r="J8" i="12"/>
  <c r="L8" i="12"/>
  <c r="M8" i="12"/>
  <c r="G9" i="12"/>
  <c r="H9" i="12"/>
  <c r="J9" i="12"/>
  <c r="L9" i="12"/>
  <c r="M9" i="12"/>
  <c r="G10" i="12"/>
  <c r="H10" i="12"/>
  <c r="J10" i="12"/>
  <c r="L10" i="12"/>
  <c r="M10" i="12"/>
  <c r="G11" i="12"/>
  <c r="H11" i="12"/>
  <c r="J11" i="12"/>
  <c r="L11" i="12"/>
  <c r="M11" i="12"/>
  <c r="G12" i="12"/>
  <c r="H12" i="12"/>
  <c r="J12" i="12"/>
  <c r="L12" i="12"/>
  <c r="M12" i="12"/>
  <c r="G13" i="12"/>
  <c r="H13" i="12"/>
  <c r="J13" i="12"/>
  <c r="L13" i="12"/>
  <c r="M13" i="12"/>
  <c r="G14" i="12"/>
  <c r="H14" i="12"/>
  <c r="J14" i="12"/>
  <c r="L14" i="12"/>
  <c r="M14" i="12"/>
  <c r="AJ8" i="12"/>
  <c r="AK8" i="12"/>
  <c r="AI8" i="12"/>
  <c r="AJ6" i="12"/>
  <c r="AK6" i="12"/>
  <c r="AI6" i="12"/>
  <c r="AJ5" i="12"/>
  <c r="AK5" i="12"/>
  <c r="AI5" i="12"/>
  <c r="AJ4" i="12"/>
  <c r="AK4" i="12"/>
  <c r="AI4" i="12"/>
  <c r="X3" i="12"/>
  <c r="Z3" i="12"/>
  <c r="AB3" i="12"/>
  <c r="AC3" i="12"/>
  <c r="W4" i="12"/>
  <c r="X4" i="12"/>
  <c r="Z4" i="12"/>
  <c r="AB4" i="12"/>
  <c r="AC4" i="12"/>
  <c r="W5" i="12"/>
  <c r="X5" i="12"/>
  <c r="Z5" i="12"/>
  <c r="AB5" i="12"/>
  <c r="AC5" i="12"/>
  <c r="W6" i="12"/>
  <c r="X6" i="12"/>
  <c r="Z6" i="12"/>
  <c r="AB6" i="12"/>
  <c r="AC6" i="12"/>
  <c r="W7" i="12"/>
  <c r="X7" i="12"/>
  <c r="Z7" i="12"/>
  <c r="AB7" i="12"/>
  <c r="AC7" i="12"/>
  <c r="W8" i="12"/>
  <c r="X8" i="12"/>
  <c r="Z8" i="12"/>
  <c r="AB8" i="12"/>
  <c r="AC8" i="12"/>
  <c r="W9" i="12"/>
  <c r="X9" i="12"/>
  <c r="Z9" i="12"/>
  <c r="AB9" i="12"/>
  <c r="AC9" i="12"/>
  <c r="W10" i="12"/>
  <c r="X10" i="12"/>
  <c r="Z10" i="12"/>
  <c r="AB10" i="12"/>
  <c r="AC10" i="12"/>
  <c r="W11" i="12"/>
  <c r="X11" i="12"/>
  <c r="Z11" i="12"/>
  <c r="AB11" i="12"/>
  <c r="AC11" i="12"/>
  <c r="W12" i="12"/>
  <c r="X12" i="12"/>
  <c r="Z12" i="12"/>
  <c r="AB12" i="12"/>
  <c r="AC12" i="12"/>
  <c r="W13" i="12"/>
  <c r="X13" i="12"/>
  <c r="Z13" i="12"/>
  <c r="AB13" i="12"/>
  <c r="AC13" i="12"/>
  <c r="W14" i="12"/>
  <c r="X14" i="12"/>
  <c r="Z14" i="12"/>
  <c r="AB14" i="12"/>
  <c r="AC14" i="12"/>
  <c r="AJ3" i="12"/>
  <c r="AK3" i="12"/>
  <c r="AI3" i="12"/>
  <c r="AD3" i="12"/>
  <c r="G18" i="12"/>
  <c r="H18" i="12"/>
  <c r="J18" i="12"/>
  <c r="L18" i="12"/>
  <c r="M18" i="12"/>
  <c r="W4" i="11"/>
  <c r="X4" i="11"/>
  <c r="Z4" i="11"/>
  <c r="AB4" i="11"/>
  <c r="AC4" i="11"/>
  <c r="W5" i="11"/>
  <c r="X5" i="11"/>
  <c r="Z5" i="11"/>
  <c r="AB5" i="11"/>
  <c r="AC5" i="11"/>
  <c r="W6" i="11"/>
  <c r="X6" i="11"/>
  <c r="Z6" i="11"/>
  <c r="AB6" i="11"/>
  <c r="AC6" i="11"/>
  <c r="W7" i="11"/>
  <c r="X7" i="11"/>
  <c r="Z7" i="11"/>
  <c r="AB7" i="11"/>
  <c r="AC7" i="11"/>
  <c r="W8" i="11"/>
  <c r="X8" i="11"/>
  <c r="Z8" i="11"/>
  <c r="AB8" i="11"/>
  <c r="AC8" i="11"/>
  <c r="W9" i="11"/>
  <c r="X9" i="11"/>
  <c r="Z9" i="11"/>
  <c r="AB9" i="11"/>
  <c r="AC9" i="11"/>
  <c r="W10" i="11"/>
  <c r="X10" i="11"/>
  <c r="Z10" i="11"/>
  <c r="AB10" i="11"/>
  <c r="AC10" i="11"/>
  <c r="W11" i="11"/>
  <c r="X11" i="11"/>
  <c r="Z11" i="11"/>
  <c r="AB11" i="11"/>
  <c r="AC11" i="11"/>
  <c r="W12" i="11"/>
  <c r="X12" i="11"/>
  <c r="Z12" i="11"/>
  <c r="AB12" i="11"/>
  <c r="AC12" i="11"/>
  <c r="W13" i="11"/>
  <c r="X13" i="11"/>
  <c r="Z13" i="11"/>
  <c r="AB13" i="11"/>
  <c r="AC13" i="11"/>
  <c r="W14" i="11"/>
  <c r="X14" i="11"/>
  <c r="Z14" i="11"/>
  <c r="AB14" i="11"/>
  <c r="AC14" i="11"/>
  <c r="W15" i="11"/>
  <c r="X15" i="11"/>
  <c r="Z15" i="11"/>
  <c r="AB15" i="11"/>
  <c r="AC15" i="11"/>
  <c r="W16" i="11"/>
  <c r="X16" i="11"/>
  <c r="Z16" i="11"/>
  <c r="AB16" i="11"/>
  <c r="AC16" i="11"/>
  <c r="W17" i="11"/>
  <c r="X17" i="11"/>
  <c r="Z17" i="11"/>
  <c r="AB17" i="11"/>
  <c r="AC17" i="11"/>
  <c r="W18" i="11"/>
  <c r="X18" i="11"/>
  <c r="Z18" i="11"/>
  <c r="AB18" i="11"/>
  <c r="AC18" i="11"/>
  <c r="W19" i="11"/>
  <c r="X19" i="11"/>
  <c r="Z19" i="11"/>
  <c r="AB19" i="11"/>
  <c r="AC19" i="11"/>
  <c r="W20" i="11"/>
  <c r="X20" i="11"/>
  <c r="Z20" i="11"/>
  <c r="AB20" i="11"/>
  <c r="AC20" i="11"/>
  <c r="W21" i="11"/>
  <c r="X21" i="11"/>
  <c r="Z21" i="11"/>
  <c r="AB21" i="11"/>
  <c r="AC21" i="11"/>
  <c r="W22" i="11"/>
  <c r="X22" i="11"/>
  <c r="Z22" i="11"/>
  <c r="AB22" i="11"/>
  <c r="AC22" i="11"/>
  <c r="W23" i="11"/>
  <c r="X23" i="11"/>
  <c r="Z23" i="11"/>
  <c r="AB23" i="11"/>
  <c r="AC23" i="11"/>
  <c r="W24" i="11"/>
  <c r="X24" i="11"/>
  <c r="Z24" i="11"/>
  <c r="AB24" i="11"/>
  <c r="AC24" i="11"/>
  <c r="W25" i="11"/>
  <c r="X25" i="11"/>
  <c r="Z25" i="11"/>
  <c r="AB25" i="11"/>
  <c r="AC25" i="11"/>
  <c r="W26" i="11"/>
  <c r="X26" i="11"/>
  <c r="Z26" i="11"/>
  <c r="AB26" i="11"/>
  <c r="AC26" i="11"/>
  <c r="W27" i="11"/>
  <c r="X27" i="11"/>
  <c r="Z27" i="11"/>
  <c r="AB27" i="11"/>
  <c r="AC27" i="11"/>
  <c r="W28" i="11"/>
  <c r="X28" i="11"/>
  <c r="Z28" i="11"/>
  <c r="AB28" i="11"/>
  <c r="AC28" i="11"/>
  <c r="W29" i="11"/>
  <c r="X29" i="11"/>
  <c r="Z29" i="11"/>
  <c r="AB29" i="11"/>
  <c r="AC29" i="11"/>
  <c r="W30" i="11"/>
  <c r="X30" i="11"/>
  <c r="Z30" i="11"/>
  <c r="AB30" i="11"/>
  <c r="AC30" i="11"/>
  <c r="W31" i="11"/>
  <c r="X31" i="11"/>
  <c r="Z31" i="11"/>
  <c r="AB31" i="11"/>
  <c r="AC31" i="11"/>
  <c r="W32" i="11"/>
  <c r="X32" i="11"/>
  <c r="Z32" i="11"/>
  <c r="AB32" i="11"/>
  <c r="AC32" i="11"/>
  <c r="W33" i="11"/>
  <c r="X33" i="11"/>
  <c r="Z33" i="11"/>
  <c r="AB33" i="11"/>
  <c r="AC33" i="11"/>
  <c r="W34" i="11"/>
  <c r="X34" i="11"/>
  <c r="Z34" i="11"/>
  <c r="AB34" i="11"/>
  <c r="AC34" i="11"/>
  <c r="W35" i="11"/>
  <c r="X35" i="11"/>
  <c r="Z35" i="11"/>
  <c r="AB35" i="11"/>
  <c r="AC35" i="11"/>
  <c r="W36" i="11"/>
  <c r="X36" i="11"/>
  <c r="Z36" i="11"/>
  <c r="AB36" i="11"/>
  <c r="AC36" i="11"/>
  <c r="W37" i="11"/>
  <c r="X37" i="11"/>
  <c r="Z37" i="11"/>
  <c r="AB37" i="11"/>
  <c r="AC37" i="11"/>
  <c r="W38" i="11"/>
  <c r="X38" i="11"/>
  <c r="Z38" i="11"/>
  <c r="AB38" i="11"/>
  <c r="AC38" i="11"/>
  <c r="W39" i="11"/>
  <c r="X39" i="11"/>
  <c r="Z39" i="11"/>
  <c r="AB39" i="11"/>
  <c r="AC39" i="11"/>
  <c r="W40" i="11"/>
  <c r="X40" i="11"/>
  <c r="Z40" i="11"/>
  <c r="AB40" i="11"/>
  <c r="AC40" i="11"/>
  <c r="W41" i="11"/>
  <c r="X41" i="11"/>
  <c r="Z41" i="11"/>
  <c r="AB41" i="11"/>
  <c r="AC41" i="11"/>
  <c r="W42" i="11"/>
  <c r="X42" i="11"/>
  <c r="Z42" i="11"/>
  <c r="AB42" i="11"/>
  <c r="AC42" i="11"/>
  <c r="W43" i="11"/>
  <c r="X43" i="11"/>
  <c r="Z43" i="11"/>
  <c r="AB43" i="11"/>
  <c r="AC43" i="11"/>
  <c r="W44" i="11"/>
  <c r="X44" i="11"/>
  <c r="Z44" i="11"/>
  <c r="AB44" i="11"/>
  <c r="AC44" i="11"/>
  <c r="W45" i="11"/>
  <c r="X45" i="11"/>
  <c r="Z45" i="11"/>
  <c r="AB45" i="11"/>
  <c r="AC45" i="11"/>
  <c r="W46" i="11"/>
  <c r="X46" i="11"/>
  <c r="Z46" i="11"/>
  <c r="AB46" i="11"/>
  <c r="AC46" i="11"/>
  <c r="W47" i="11"/>
  <c r="X47" i="11"/>
  <c r="Z47" i="11"/>
  <c r="AB47" i="11"/>
  <c r="AC47" i="11"/>
  <c r="W48" i="11"/>
  <c r="X48" i="11"/>
  <c r="Z48" i="11"/>
  <c r="AB48" i="11"/>
  <c r="AC48" i="11"/>
  <c r="W49" i="11"/>
  <c r="X49" i="11"/>
  <c r="Z49" i="11"/>
  <c r="AB49" i="11"/>
  <c r="AC49" i="11"/>
  <c r="W50" i="11"/>
  <c r="X50" i="11"/>
  <c r="Z50" i="11"/>
  <c r="AB50" i="11"/>
  <c r="AC50" i="11"/>
  <c r="W3" i="11"/>
  <c r="X3" i="11"/>
  <c r="Z3" i="11"/>
  <c r="AB3" i="11"/>
  <c r="AC3" i="11"/>
  <c r="G4" i="11"/>
  <c r="G5" i="11"/>
  <c r="G6" i="11"/>
  <c r="G7" i="11"/>
  <c r="G8" i="11"/>
  <c r="G9" i="11"/>
  <c r="G10" i="11"/>
  <c r="G11" i="11"/>
  <c r="G12" i="11"/>
  <c r="G13" i="11"/>
  <c r="G14" i="11"/>
  <c r="G18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3" i="11"/>
  <c r="H3" i="11"/>
  <c r="H45" i="11"/>
  <c r="J45" i="11"/>
  <c r="L45" i="11"/>
  <c r="M45" i="11"/>
  <c r="H29" i="11"/>
  <c r="J29" i="11"/>
  <c r="L29" i="11"/>
  <c r="M29" i="11"/>
  <c r="H9" i="11"/>
  <c r="J9" i="11"/>
  <c r="L9" i="11"/>
  <c r="M9" i="11"/>
  <c r="H5" i="11"/>
  <c r="J5" i="11"/>
  <c r="L5" i="11"/>
  <c r="M5" i="11"/>
  <c r="H48" i="11"/>
  <c r="J48" i="11"/>
  <c r="L48" i="11"/>
  <c r="M48" i="11"/>
  <c r="H44" i="11"/>
  <c r="J44" i="11"/>
  <c r="L44" i="11"/>
  <c r="M44" i="11"/>
  <c r="H40" i="11"/>
  <c r="J40" i="11"/>
  <c r="L40" i="11"/>
  <c r="M40" i="11"/>
  <c r="H36" i="11"/>
  <c r="J36" i="11"/>
  <c r="L36" i="11"/>
  <c r="M36" i="11"/>
  <c r="H32" i="11"/>
  <c r="J32" i="11"/>
  <c r="L32" i="11"/>
  <c r="M32" i="11"/>
  <c r="H28" i="11"/>
  <c r="J28" i="11"/>
  <c r="L28" i="11"/>
  <c r="M28" i="11"/>
  <c r="H12" i="11"/>
  <c r="J12" i="11"/>
  <c r="L12" i="11"/>
  <c r="M12" i="11"/>
  <c r="H8" i="11"/>
  <c r="J8" i="11"/>
  <c r="L8" i="11"/>
  <c r="M8" i="11"/>
  <c r="H4" i="11"/>
  <c r="J4" i="11"/>
  <c r="L4" i="11"/>
  <c r="M4" i="11"/>
  <c r="H49" i="11"/>
  <c r="J49" i="11"/>
  <c r="L49" i="11"/>
  <c r="M49" i="11"/>
  <c r="H33" i="11"/>
  <c r="J33" i="11"/>
  <c r="L33" i="11"/>
  <c r="M33" i="11"/>
  <c r="H52" i="11"/>
  <c r="J52" i="11"/>
  <c r="L52" i="11"/>
  <c r="M52" i="11"/>
  <c r="H51" i="11"/>
  <c r="J51" i="11"/>
  <c r="L51" i="11"/>
  <c r="M51" i="11"/>
  <c r="H47" i="11"/>
  <c r="J47" i="11"/>
  <c r="L47" i="11"/>
  <c r="M47" i="11"/>
  <c r="H43" i="11"/>
  <c r="J43" i="11"/>
  <c r="L43" i="11"/>
  <c r="M43" i="11"/>
  <c r="H39" i="11"/>
  <c r="J39" i="11"/>
  <c r="L39" i="11"/>
  <c r="M39" i="11"/>
  <c r="H35" i="11"/>
  <c r="J35" i="11"/>
  <c r="L35" i="11"/>
  <c r="M35" i="11"/>
  <c r="H31" i="11"/>
  <c r="J31" i="11"/>
  <c r="H11" i="11"/>
  <c r="J11" i="11"/>
  <c r="L11" i="11"/>
  <c r="M11" i="11"/>
  <c r="H7" i="11"/>
  <c r="J7" i="11"/>
  <c r="L7" i="11"/>
  <c r="M7" i="11"/>
  <c r="H41" i="11"/>
  <c r="J41" i="11"/>
  <c r="L41" i="11"/>
  <c r="M41" i="11"/>
  <c r="H37" i="11"/>
  <c r="J37" i="11"/>
  <c r="L37" i="11"/>
  <c r="M37" i="11"/>
  <c r="H13" i="11"/>
  <c r="J13" i="11"/>
  <c r="L13" i="11"/>
  <c r="M13" i="11"/>
  <c r="H50" i="11"/>
  <c r="J50" i="11"/>
  <c r="L50" i="11"/>
  <c r="M50" i="11"/>
  <c r="H46" i="11"/>
  <c r="J46" i="11"/>
  <c r="L46" i="11"/>
  <c r="M46" i="11"/>
  <c r="H42" i="11"/>
  <c r="J42" i="11"/>
  <c r="L42" i="11"/>
  <c r="M42" i="11"/>
  <c r="H38" i="11"/>
  <c r="J38" i="11"/>
  <c r="L38" i="11"/>
  <c r="M38" i="11"/>
  <c r="H34" i="11"/>
  <c r="J34" i="11"/>
  <c r="L34" i="11"/>
  <c r="M34" i="11"/>
  <c r="H30" i="11"/>
  <c r="J30" i="11"/>
  <c r="L30" i="11"/>
  <c r="M30" i="11"/>
  <c r="H18" i="11"/>
  <c r="J18" i="11"/>
  <c r="L18" i="11"/>
  <c r="M18" i="11"/>
  <c r="H14" i="11"/>
  <c r="J14" i="11"/>
  <c r="L14" i="11"/>
  <c r="M14" i="11"/>
  <c r="H10" i="11"/>
  <c r="J10" i="11"/>
  <c r="L10" i="11"/>
  <c r="M10" i="11"/>
  <c r="H6" i="11"/>
  <c r="J6" i="11"/>
  <c r="AI5" i="11"/>
  <c r="AJ5" i="11"/>
  <c r="AK5" i="11"/>
  <c r="AD28" i="11"/>
  <c r="AJ6" i="11"/>
  <c r="AK6" i="11"/>
  <c r="AI6" i="11"/>
  <c r="AD39" i="11"/>
  <c r="AJ4" i="11"/>
  <c r="AK4" i="11"/>
  <c r="AI4" i="11"/>
  <c r="AD15" i="11"/>
  <c r="AI3" i="11"/>
  <c r="AJ3" i="11"/>
  <c r="AK3" i="11"/>
  <c r="AD3" i="11"/>
  <c r="J3" i="11"/>
  <c r="L3" i="11"/>
  <c r="M3" i="11"/>
  <c r="L31" i="11"/>
  <c r="M31" i="11"/>
  <c r="L6" i="11"/>
  <c r="M6" i="11"/>
  <c r="N6" i="8"/>
  <c r="N6" i="7"/>
  <c r="N7" i="7"/>
  <c r="N8" i="6"/>
  <c r="N9" i="6"/>
  <c r="K43" i="6"/>
  <c r="L43" i="6"/>
  <c r="K19" i="6"/>
  <c r="L19" i="6"/>
  <c r="K20" i="6"/>
  <c r="L20" i="6"/>
  <c r="K21" i="6"/>
  <c r="L21" i="6"/>
  <c r="K22" i="6"/>
  <c r="L22" i="6"/>
  <c r="K23" i="6"/>
  <c r="L23" i="6"/>
  <c r="K24" i="6"/>
  <c r="L24" i="6"/>
  <c r="N19" i="6"/>
  <c r="M43" i="6"/>
  <c r="K44" i="6"/>
  <c r="L44" i="6"/>
  <c r="M44" i="6"/>
  <c r="K45" i="6"/>
  <c r="L45" i="6"/>
  <c r="M45" i="6"/>
  <c r="K46" i="6"/>
  <c r="L46" i="6"/>
  <c r="M46" i="6"/>
  <c r="K47" i="6"/>
  <c r="L47" i="6"/>
  <c r="M47" i="6"/>
  <c r="K48" i="6"/>
  <c r="L48" i="6"/>
  <c r="M48" i="6"/>
  <c r="Y25" i="6"/>
  <c r="K49" i="6"/>
  <c r="L49" i="6"/>
  <c r="M49" i="6"/>
  <c r="K50" i="6"/>
  <c r="L50" i="6"/>
  <c r="M50" i="6"/>
  <c r="K51" i="6"/>
  <c r="L51" i="6"/>
  <c r="M51" i="6"/>
  <c r="K52" i="6"/>
  <c r="L52" i="6"/>
  <c r="M52" i="6"/>
  <c r="K53" i="6"/>
  <c r="L53" i="6"/>
  <c r="M53" i="6"/>
  <c r="K54" i="6"/>
  <c r="L54" i="6"/>
  <c r="M54" i="6"/>
  <c r="Y26" i="6"/>
  <c r="K55" i="6"/>
  <c r="L55" i="6"/>
  <c r="M55" i="6"/>
  <c r="K56" i="6"/>
  <c r="L56" i="6"/>
  <c r="M56" i="6"/>
  <c r="K57" i="6"/>
  <c r="L57" i="6"/>
  <c r="M57" i="6"/>
  <c r="K58" i="6"/>
  <c r="L58" i="6"/>
  <c r="M58" i="6"/>
  <c r="K59" i="6"/>
  <c r="L59" i="6"/>
  <c r="M59" i="6"/>
  <c r="K60" i="6"/>
  <c r="L60" i="6"/>
  <c r="M60" i="6"/>
  <c r="Y27" i="6"/>
  <c r="K61" i="6"/>
  <c r="L61" i="6"/>
  <c r="M61" i="6"/>
  <c r="K62" i="6"/>
  <c r="L62" i="6"/>
  <c r="M62" i="6"/>
  <c r="K63" i="6"/>
  <c r="L63" i="6"/>
  <c r="M63" i="6"/>
  <c r="K64" i="6"/>
  <c r="L64" i="6"/>
  <c r="M64" i="6"/>
  <c r="K65" i="6"/>
  <c r="L65" i="6"/>
  <c r="M65" i="6"/>
  <c r="K66" i="6"/>
  <c r="L66" i="6"/>
  <c r="M66" i="6"/>
  <c r="Y28" i="6"/>
  <c r="W28" i="6"/>
  <c r="W27" i="6"/>
  <c r="W26" i="6"/>
  <c r="W25" i="6"/>
  <c r="M19" i="6"/>
  <c r="M20" i="6"/>
  <c r="M21" i="6"/>
  <c r="M22" i="6"/>
  <c r="M23" i="6"/>
  <c r="M24" i="6"/>
  <c r="Y20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Y21" i="6"/>
  <c r="K31" i="6"/>
  <c r="L31" i="6"/>
  <c r="M31" i="6"/>
  <c r="K32" i="6"/>
  <c r="L32" i="6"/>
  <c r="M32" i="6"/>
  <c r="K33" i="6"/>
  <c r="L33" i="6"/>
  <c r="M33" i="6"/>
  <c r="K34" i="6"/>
  <c r="L34" i="6"/>
  <c r="M34" i="6"/>
  <c r="K36" i="6"/>
  <c r="L36" i="6"/>
  <c r="M36" i="6"/>
  <c r="Y22" i="6"/>
  <c r="K37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Y23" i="6"/>
  <c r="W23" i="6"/>
  <c r="W22" i="6"/>
  <c r="W21" i="6"/>
  <c r="W20" i="6"/>
  <c r="K44" i="7"/>
  <c r="L44" i="7"/>
  <c r="K20" i="7"/>
  <c r="L20" i="7"/>
  <c r="K21" i="7"/>
  <c r="L21" i="7"/>
  <c r="K22" i="7"/>
  <c r="L22" i="7"/>
  <c r="K23" i="7"/>
  <c r="L23" i="7"/>
  <c r="K24" i="7"/>
  <c r="L24" i="7"/>
  <c r="K25" i="7"/>
  <c r="L25" i="7"/>
  <c r="N20" i="7"/>
  <c r="M44" i="7"/>
  <c r="K45" i="7"/>
  <c r="L45" i="7"/>
  <c r="M45" i="7"/>
  <c r="K46" i="7"/>
  <c r="L46" i="7"/>
  <c r="M46" i="7"/>
  <c r="K47" i="7"/>
  <c r="L47" i="7"/>
  <c r="M47" i="7"/>
  <c r="K48" i="7"/>
  <c r="L48" i="7"/>
  <c r="M48" i="7"/>
  <c r="K49" i="7"/>
  <c r="L49" i="7"/>
  <c r="M49" i="7"/>
  <c r="X26" i="7"/>
  <c r="K50" i="7"/>
  <c r="L50" i="7"/>
  <c r="M50" i="7"/>
  <c r="K51" i="7"/>
  <c r="L51" i="7"/>
  <c r="M51" i="7"/>
  <c r="K52" i="7"/>
  <c r="L52" i="7"/>
  <c r="M52" i="7"/>
  <c r="K53" i="7"/>
  <c r="L53" i="7"/>
  <c r="M53" i="7"/>
  <c r="K54" i="7"/>
  <c r="L54" i="7"/>
  <c r="M54" i="7"/>
  <c r="K55" i="7"/>
  <c r="L55" i="7"/>
  <c r="M55" i="7"/>
  <c r="X27" i="7"/>
  <c r="K56" i="7"/>
  <c r="L56" i="7"/>
  <c r="M56" i="7"/>
  <c r="K57" i="7"/>
  <c r="L57" i="7"/>
  <c r="M57" i="7"/>
  <c r="K58" i="7"/>
  <c r="L58" i="7"/>
  <c r="M58" i="7"/>
  <c r="K59" i="7"/>
  <c r="L59" i="7"/>
  <c r="M59" i="7"/>
  <c r="K60" i="7"/>
  <c r="L60" i="7"/>
  <c r="M60" i="7"/>
  <c r="K61" i="7"/>
  <c r="L61" i="7"/>
  <c r="M61" i="7"/>
  <c r="X28" i="7"/>
  <c r="K62" i="7"/>
  <c r="L62" i="7"/>
  <c r="M62" i="7"/>
  <c r="K63" i="7"/>
  <c r="L63" i="7"/>
  <c r="M63" i="7"/>
  <c r="K64" i="7"/>
  <c r="L64" i="7"/>
  <c r="M64" i="7"/>
  <c r="K65" i="7"/>
  <c r="L65" i="7"/>
  <c r="M65" i="7"/>
  <c r="K66" i="7"/>
  <c r="L66" i="7"/>
  <c r="M66" i="7"/>
  <c r="K67" i="7"/>
  <c r="L67" i="7"/>
  <c r="M67" i="7"/>
  <c r="X29" i="7"/>
  <c r="V29" i="7"/>
  <c r="V28" i="7"/>
  <c r="V27" i="7"/>
  <c r="V26" i="7"/>
  <c r="M20" i="7"/>
  <c r="M21" i="7"/>
  <c r="M22" i="7"/>
  <c r="M23" i="7"/>
  <c r="M24" i="7"/>
  <c r="M25" i="7"/>
  <c r="X21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X22" i="7"/>
  <c r="K32" i="7"/>
  <c r="L32" i="7"/>
  <c r="M32" i="7"/>
  <c r="K33" i="7"/>
  <c r="L33" i="7"/>
  <c r="M33" i="7"/>
  <c r="K34" i="7"/>
  <c r="L34" i="7"/>
  <c r="M34" i="7"/>
  <c r="K35" i="7"/>
  <c r="L35" i="7"/>
  <c r="M35" i="7"/>
  <c r="K37" i="7"/>
  <c r="L37" i="7"/>
  <c r="M37" i="7"/>
  <c r="X23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X24" i="7"/>
  <c r="V24" i="7"/>
  <c r="V23" i="7"/>
  <c r="V22" i="7"/>
  <c r="V21" i="7"/>
  <c r="F19" i="8"/>
  <c r="G19" i="8"/>
  <c r="H19" i="8"/>
  <c r="K19" i="8"/>
  <c r="L19" i="8"/>
  <c r="F20" i="8"/>
  <c r="G20" i="8"/>
  <c r="H20" i="8"/>
  <c r="K20" i="8"/>
  <c r="L20" i="8"/>
  <c r="F21" i="8"/>
  <c r="G21" i="8"/>
  <c r="H21" i="8"/>
  <c r="K21" i="8"/>
  <c r="L21" i="8"/>
  <c r="F22" i="8"/>
  <c r="G22" i="8"/>
  <c r="H22" i="8"/>
  <c r="K22" i="8"/>
  <c r="L22" i="8"/>
  <c r="F23" i="8"/>
  <c r="G23" i="8"/>
  <c r="H23" i="8"/>
  <c r="K23" i="8"/>
  <c r="L23" i="8"/>
  <c r="F24" i="8"/>
  <c r="G24" i="8"/>
  <c r="H24" i="8"/>
  <c r="K24" i="8"/>
  <c r="L24" i="8"/>
  <c r="N19" i="8"/>
  <c r="M19" i="8"/>
  <c r="M20" i="8"/>
  <c r="M21" i="8"/>
  <c r="M22" i="8"/>
  <c r="M23" i="8"/>
  <c r="M24" i="8"/>
  <c r="AD20" i="8"/>
  <c r="F25" i="8"/>
  <c r="G25" i="8"/>
  <c r="H25" i="8"/>
  <c r="K25" i="8"/>
  <c r="L25" i="8"/>
  <c r="M25" i="8"/>
  <c r="F26" i="8"/>
  <c r="G26" i="8"/>
  <c r="H26" i="8"/>
  <c r="K26" i="8"/>
  <c r="L26" i="8"/>
  <c r="M26" i="8"/>
  <c r="F27" i="8"/>
  <c r="G27" i="8"/>
  <c r="H27" i="8"/>
  <c r="K27" i="8"/>
  <c r="L27" i="8"/>
  <c r="M27" i="8"/>
  <c r="F28" i="8"/>
  <c r="G28" i="8"/>
  <c r="H28" i="8"/>
  <c r="K28" i="8"/>
  <c r="L28" i="8"/>
  <c r="M28" i="8"/>
  <c r="F29" i="8"/>
  <c r="G29" i="8"/>
  <c r="H29" i="8"/>
  <c r="K29" i="8"/>
  <c r="L29" i="8"/>
  <c r="M29" i="8"/>
  <c r="F30" i="8"/>
  <c r="G30" i="8"/>
  <c r="H30" i="8"/>
  <c r="K30" i="8"/>
  <c r="L30" i="8"/>
  <c r="M30" i="8"/>
  <c r="AD21" i="8"/>
  <c r="F31" i="8"/>
  <c r="G31" i="8"/>
  <c r="H31" i="8"/>
  <c r="K31" i="8"/>
  <c r="L31" i="8"/>
  <c r="M31" i="8"/>
  <c r="P31" i="8"/>
  <c r="P19" i="8"/>
  <c r="P20" i="8"/>
  <c r="P21" i="8"/>
  <c r="P22" i="8"/>
  <c r="P23" i="8"/>
  <c r="P24" i="8"/>
  <c r="R19" i="8"/>
  <c r="Q31" i="8"/>
  <c r="F32" i="8"/>
  <c r="G32" i="8"/>
  <c r="H32" i="8"/>
  <c r="K32" i="8"/>
  <c r="L32" i="8"/>
  <c r="M32" i="8"/>
  <c r="P32" i="8"/>
  <c r="Q32" i="8"/>
  <c r="F33" i="8"/>
  <c r="G33" i="8"/>
  <c r="H33" i="8"/>
  <c r="K33" i="8"/>
  <c r="L33" i="8"/>
  <c r="M33" i="8"/>
  <c r="P33" i="8"/>
  <c r="Q33" i="8"/>
  <c r="F34" i="8"/>
  <c r="G34" i="8"/>
  <c r="H34" i="8"/>
  <c r="K34" i="8"/>
  <c r="L34" i="8"/>
  <c r="M34" i="8"/>
  <c r="P34" i="8"/>
  <c r="Q34" i="8"/>
  <c r="F35" i="8"/>
  <c r="G35" i="8"/>
  <c r="H35" i="8"/>
  <c r="K35" i="8"/>
  <c r="L35" i="8"/>
  <c r="M35" i="8"/>
  <c r="P35" i="8"/>
  <c r="Q35" i="8"/>
  <c r="F36" i="8"/>
  <c r="G36" i="8"/>
  <c r="H36" i="8"/>
  <c r="K36" i="8"/>
  <c r="L36" i="8"/>
  <c r="M36" i="8"/>
  <c r="AD22" i="8"/>
  <c r="F37" i="8"/>
  <c r="G37" i="8"/>
  <c r="H37" i="8"/>
  <c r="K37" i="8"/>
  <c r="L37" i="8"/>
  <c r="M37" i="8"/>
  <c r="F38" i="8"/>
  <c r="G38" i="8"/>
  <c r="H38" i="8"/>
  <c r="K38" i="8"/>
  <c r="L38" i="8"/>
  <c r="M38" i="8"/>
  <c r="F39" i="8"/>
  <c r="G39" i="8"/>
  <c r="H39" i="8"/>
  <c r="K39" i="8"/>
  <c r="L39" i="8"/>
  <c r="M39" i="8"/>
  <c r="F40" i="8"/>
  <c r="G40" i="8"/>
  <c r="H40" i="8"/>
  <c r="K40" i="8"/>
  <c r="L40" i="8"/>
  <c r="M40" i="8"/>
  <c r="F41" i="8"/>
  <c r="G41" i="8"/>
  <c r="H41" i="8"/>
  <c r="K41" i="8"/>
  <c r="L41" i="8"/>
  <c r="M41" i="8"/>
  <c r="F42" i="8"/>
  <c r="G42" i="8"/>
  <c r="H42" i="8"/>
  <c r="K42" i="8"/>
  <c r="L42" i="8"/>
  <c r="M42" i="8"/>
  <c r="AD23" i="8"/>
  <c r="F43" i="8"/>
  <c r="G43" i="8"/>
  <c r="H43" i="8"/>
  <c r="K43" i="8"/>
  <c r="L43" i="8"/>
  <c r="M43" i="8"/>
  <c r="F44" i="8"/>
  <c r="G44" i="8"/>
  <c r="H44" i="8"/>
  <c r="K44" i="8"/>
  <c r="L44" i="8"/>
  <c r="M44" i="8"/>
  <c r="F45" i="8"/>
  <c r="G45" i="8"/>
  <c r="H45" i="8"/>
  <c r="K45" i="8"/>
  <c r="L45" i="8"/>
  <c r="M45" i="8"/>
  <c r="F46" i="8"/>
  <c r="G46" i="8"/>
  <c r="H46" i="8"/>
  <c r="K46" i="8"/>
  <c r="L46" i="8"/>
  <c r="M46" i="8"/>
  <c r="F47" i="8"/>
  <c r="G47" i="8"/>
  <c r="H47" i="8"/>
  <c r="K47" i="8"/>
  <c r="L47" i="8"/>
  <c r="M47" i="8"/>
  <c r="F48" i="8"/>
  <c r="G48" i="8"/>
  <c r="H48" i="8"/>
  <c r="K48" i="8"/>
  <c r="L48" i="8"/>
  <c r="M48" i="8"/>
  <c r="AD25" i="8"/>
  <c r="F49" i="8"/>
  <c r="G49" i="8"/>
  <c r="H49" i="8"/>
  <c r="K49" i="8"/>
  <c r="L49" i="8"/>
  <c r="M49" i="8"/>
  <c r="F50" i="8"/>
  <c r="G50" i="8"/>
  <c r="H50" i="8"/>
  <c r="K50" i="8"/>
  <c r="L50" i="8"/>
  <c r="M50" i="8"/>
  <c r="F51" i="8"/>
  <c r="G51" i="8"/>
  <c r="H51" i="8"/>
  <c r="K51" i="8"/>
  <c r="L51" i="8"/>
  <c r="M51" i="8"/>
  <c r="F52" i="8"/>
  <c r="G52" i="8"/>
  <c r="H52" i="8"/>
  <c r="K52" i="8"/>
  <c r="L52" i="8"/>
  <c r="M52" i="8"/>
  <c r="F53" i="8"/>
  <c r="G53" i="8"/>
  <c r="H53" i="8"/>
  <c r="K53" i="8"/>
  <c r="L53" i="8"/>
  <c r="M53" i="8"/>
  <c r="F54" i="8"/>
  <c r="G54" i="8"/>
  <c r="H54" i="8"/>
  <c r="K54" i="8"/>
  <c r="L54" i="8"/>
  <c r="M54" i="8"/>
  <c r="AD26" i="8"/>
  <c r="F55" i="8"/>
  <c r="G55" i="8"/>
  <c r="H55" i="8"/>
  <c r="K55" i="8"/>
  <c r="L55" i="8"/>
  <c r="M55" i="8"/>
  <c r="F56" i="8"/>
  <c r="G56" i="8"/>
  <c r="H56" i="8"/>
  <c r="K56" i="8"/>
  <c r="L56" i="8"/>
  <c r="M56" i="8"/>
  <c r="F57" i="8"/>
  <c r="G57" i="8"/>
  <c r="H57" i="8"/>
  <c r="K57" i="8"/>
  <c r="L57" i="8"/>
  <c r="M57" i="8"/>
  <c r="F58" i="8"/>
  <c r="G58" i="8"/>
  <c r="H58" i="8"/>
  <c r="K58" i="8"/>
  <c r="L58" i="8"/>
  <c r="M58" i="8"/>
  <c r="F59" i="8"/>
  <c r="G59" i="8"/>
  <c r="H59" i="8"/>
  <c r="K59" i="8"/>
  <c r="L59" i="8"/>
  <c r="M59" i="8"/>
  <c r="F60" i="8"/>
  <c r="G60" i="8"/>
  <c r="H60" i="8"/>
  <c r="K60" i="8"/>
  <c r="L60" i="8"/>
  <c r="M60" i="8"/>
  <c r="AD27" i="8"/>
  <c r="F61" i="8"/>
  <c r="G61" i="8"/>
  <c r="H61" i="8"/>
  <c r="K61" i="8"/>
  <c r="L61" i="8"/>
  <c r="M61" i="8"/>
  <c r="F62" i="8"/>
  <c r="G62" i="8"/>
  <c r="H62" i="8"/>
  <c r="K62" i="8"/>
  <c r="L62" i="8"/>
  <c r="M62" i="8"/>
  <c r="F63" i="8"/>
  <c r="G63" i="8"/>
  <c r="H63" i="8"/>
  <c r="K63" i="8"/>
  <c r="L63" i="8"/>
  <c r="M63" i="8"/>
  <c r="F64" i="8"/>
  <c r="G64" i="8"/>
  <c r="H64" i="8"/>
  <c r="K64" i="8"/>
  <c r="L64" i="8"/>
  <c r="M64" i="8"/>
  <c r="F65" i="8"/>
  <c r="G65" i="8"/>
  <c r="H65" i="8"/>
  <c r="K65" i="8"/>
  <c r="L65" i="8"/>
  <c r="M65" i="8"/>
  <c r="F66" i="8"/>
  <c r="G66" i="8"/>
  <c r="H66" i="8"/>
  <c r="K66" i="8"/>
  <c r="L66" i="8"/>
  <c r="M66" i="8"/>
  <c r="AD28" i="8"/>
  <c r="AB28" i="8"/>
  <c r="AB27" i="8"/>
  <c r="AB26" i="8"/>
  <c r="AB25" i="8"/>
  <c r="AB23" i="8"/>
  <c r="AB22" i="8"/>
  <c r="AB21" i="8"/>
  <c r="AB20" i="8"/>
  <c r="P37" i="8"/>
  <c r="Q37" i="8"/>
  <c r="P38" i="8"/>
  <c r="Q38" i="8"/>
  <c r="P39" i="8"/>
  <c r="Q39" i="8"/>
  <c r="P40" i="8"/>
  <c r="Q40" i="8"/>
  <c r="P41" i="8"/>
  <c r="Q41" i="8"/>
  <c r="P42" i="8"/>
  <c r="Q42" i="8"/>
  <c r="V23" i="8"/>
  <c r="P36" i="8"/>
  <c r="Q36" i="8"/>
  <c r="X22" i="8"/>
  <c r="V22" i="8"/>
  <c r="Q19" i="8"/>
  <c r="Q20" i="8"/>
  <c r="Q21" i="8"/>
  <c r="Q22" i="8"/>
  <c r="Q23" i="8"/>
  <c r="Q24" i="8"/>
  <c r="X20" i="8"/>
  <c r="P25" i="8"/>
  <c r="Q25" i="8"/>
  <c r="P26" i="8"/>
  <c r="Q26" i="8"/>
  <c r="P27" i="8"/>
  <c r="Q27" i="8"/>
  <c r="P28" i="8"/>
  <c r="Q28" i="8"/>
  <c r="P29" i="8"/>
  <c r="Q29" i="8"/>
  <c r="P30" i="8"/>
  <c r="Q30" i="8"/>
  <c r="X21" i="8"/>
  <c r="X23" i="8"/>
  <c r="P43" i="8"/>
  <c r="Q43" i="8"/>
  <c r="P44" i="8"/>
  <c r="Q44" i="8"/>
  <c r="P45" i="8"/>
  <c r="Q45" i="8"/>
  <c r="P46" i="8"/>
  <c r="Q46" i="8"/>
  <c r="P47" i="8"/>
  <c r="Q47" i="8"/>
  <c r="P48" i="8"/>
  <c r="Q48" i="8"/>
  <c r="X25" i="8"/>
  <c r="P49" i="8"/>
  <c r="Q49" i="8"/>
  <c r="P50" i="8"/>
  <c r="Q50" i="8"/>
  <c r="P51" i="8"/>
  <c r="Q51" i="8"/>
  <c r="P52" i="8"/>
  <c r="Q52" i="8"/>
  <c r="P53" i="8"/>
  <c r="Q53" i="8"/>
  <c r="P54" i="8"/>
  <c r="Q54" i="8"/>
  <c r="X26" i="8"/>
  <c r="P55" i="8"/>
  <c r="Q55" i="8"/>
  <c r="P56" i="8"/>
  <c r="Q56" i="8"/>
  <c r="P57" i="8"/>
  <c r="Q57" i="8"/>
  <c r="P58" i="8"/>
  <c r="Q58" i="8"/>
  <c r="P59" i="8"/>
  <c r="Q59" i="8"/>
  <c r="P60" i="8"/>
  <c r="Q60" i="8"/>
  <c r="X27" i="8"/>
  <c r="P61" i="8"/>
  <c r="Q61" i="8"/>
  <c r="P62" i="8"/>
  <c r="Q62" i="8"/>
  <c r="P63" i="8"/>
  <c r="Q63" i="8"/>
  <c r="P64" i="8"/>
  <c r="Q64" i="8"/>
  <c r="P65" i="8"/>
  <c r="Q65" i="8"/>
  <c r="P66" i="8"/>
  <c r="Q66" i="8"/>
  <c r="X28" i="8"/>
  <c r="V28" i="8"/>
  <c r="V27" i="8"/>
  <c r="V26" i="8"/>
  <c r="V25" i="8"/>
  <c r="V21" i="8"/>
  <c r="V20" i="8"/>
  <c r="F18" i="9"/>
  <c r="G18" i="9"/>
  <c r="H18" i="9"/>
  <c r="L18" i="9"/>
  <c r="M18" i="9"/>
  <c r="L4" i="10"/>
  <c r="L3" i="10"/>
  <c r="I25" i="10"/>
  <c r="I26" i="10"/>
  <c r="I24" i="10"/>
  <c r="H25" i="10"/>
  <c r="H26" i="10"/>
  <c r="H24" i="10"/>
  <c r="D12" i="10"/>
  <c r="D11" i="10"/>
  <c r="E9" i="10"/>
  <c r="D9" i="10"/>
  <c r="E8" i="10"/>
  <c r="D8" i="10"/>
  <c r="F30" i="9"/>
  <c r="G30" i="9"/>
  <c r="H30" i="9"/>
  <c r="L30" i="9"/>
  <c r="M30" i="9"/>
  <c r="F19" i="9"/>
  <c r="G19" i="9"/>
  <c r="H19" i="9"/>
  <c r="L19" i="9"/>
  <c r="M19" i="9"/>
  <c r="F20" i="9"/>
  <c r="G20" i="9"/>
  <c r="H20" i="9"/>
  <c r="L20" i="9"/>
  <c r="M20" i="9"/>
  <c r="F21" i="9"/>
  <c r="G21" i="9"/>
  <c r="H21" i="9"/>
  <c r="L21" i="9"/>
  <c r="M21" i="9"/>
  <c r="F22" i="9"/>
  <c r="G22" i="9"/>
  <c r="H22" i="9"/>
  <c r="L22" i="9"/>
  <c r="M22" i="9"/>
  <c r="F23" i="9"/>
  <c r="G23" i="9"/>
  <c r="H23" i="9"/>
  <c r="L23" i="9"/>
  <c r="M23" i="9"/>
  <c r="O18" i="9"/>
  <c r="N30" i="9"/>
  <c r="F31" i="9"/>
  <c r="G31" i="9"/>
  <c r="H31" i="9"/>
  <c r="L31" i="9"/>
  <c r="M31" i="9"/>
  <c r="N31" i="9"/>
  <c r="F32" i="9"/>
  <c r="G32" i="9"/>
  <c r="H32" i="9"/>
  <c r="L32" i="9"/>
  <c r="M32" i="9"/>
  <c r="N32" i="9"/>
  <c r="F33" i="9"/>
  <c r="G33" i="9"/>
  <c r="H33" i="9"/>
  <c r="L33" i="9"/>
  <c r="M33" i="9"/>
  <c r="N33" i="9"/>
  <c r="F35" i="9"/>
  <c r="G35" i="9"/>
  <c r="H35" i="9"/>
  <c r="L35" i="9"/>
  <c r="M35" i="9"/>
  <c r="N35" i="9"/>
  <c r="T21" i="9"/>
  <c r="R21" i="9"/>
  <c r="F60" i="9"/>
  <c r="G60" i="9"/>
  <c r="H60" i="9"/>
  <c r="L60" i="9"/>
  <c r="M60" i="9"/>
  <c r="N60" i="9"/>
  <c r="F61" i="9"/>
  <c r="G61" i="9"/>
  <c r="H61" i="9"/>
  <c r="L61" i="9"/>
  <c r="M61" i="9"/>
  <c r="N61" i="9"/>
  <c r="F62" i="9"/>
  <c r="G62" i="9"/>
  <c r="H62" i="9"/>
  <c r="L62" i="9"/>
  <c r="M62" i="9"/>
  <c r="N62" i="9"/>
  <c r="F63" i="9"/>
  <c r="G63" i="9"/>
  <c r="H63" i="9"/>
  <c r="L63" i="9"/>
  <c r="M63" i="9"/>
  <c r="N63" i="9"/>
  <c r="F64" i="9"/>
  <c r="G64" i="9"/>
  <c r="H64" i="9"/>
  <c r="L64" i="9"/>
  <c r="M64" i="9"/>
  <c r="N64" i="9"/>
  <c r="F65" i="9"/>
  <c r="G65" i="9"/>
  <c r="H65" i="9"/>
  <c r="L65" i="9"/>
  <c r="M65" i="9"/>
  <c r="N65" i="9"/>
  <c r="T27" i="9"/>
  <c r="F54" i="9"/>
  <c r="G54" i="9"/>
  <c r="H54" i="9"/>
  <c r="L54" i="9"/>
  <c r="M54" i="9"/>
  <c r="N54" i="9"/>
  <c r="F55" i="9"/>
  <c r="G55" i="9"/>
  <c r="H55" i="9"/>
  <c r="L55" i="9"/>
  <c r="M55" i="9"/>
  <c r="N55" i="9"/>
  <c r="F56" i="9"/>
  <c r="G56" i="9"/>
  <c r="H56" i="9"/>
  <c r="L56" i="9"/>
  <c r="M56" i="9"/>
  <c r="N56" i="9"/>
  <c r="F57" i="9"/>
  <c r="G57" i="9"/>
  <c r="H57" i="9"/>
  <c r="L57" i="9"/>
  <c r="M57" i="9"/>
  <c r="N57" i="9"/>
  <c r="F58" i="9"/>
  <c r="G58" i="9"/>
  <c r="H58" i="9"/>
  <c r="L58" i="9"/>
  <c r="M58" i="9"/>
  <c r="N58" i="9"/>
  <c r="F59" i="9"/>
  <c r="G59" i="9"/>
  <c r="H59" i="9"/>
  <c r="L59" i="9"/>
  <c r="M59" i="9"/>
  <c r="N59" i="9"/>
  <c r="T26" i="9"/>
  <c r="F48" i="9"/>
  <c r="G48" i="9"/>
  <c r="H48" i="9"/>
  <c r="L48" i="9"/>
  <c r="M48" i="9"/>
  <c r="N48" i="9"/>
  <c r="F49" i="9"/>
  <c r="G49" i="9"/>
  <c r="H49" i="9"/>
  <c r="L49" i="9"/>
  <c r="M49" i="9"/>
  <c r="N49" i="9"/>
  <c r="F50" i="9"/>
  <c r="G50" i="9"/>
  <c r="H50" i="9"/>
  <c r="L50" i="9"/>
  <c r="M50" i="9"/>
  <c r="N50" i="9"/>
  <c r="F51" i="9"/>
  <c r="G51" i="9"/>
  <c r="H51" i="9"/>
  <c r="L51" i="9"/>
  <c r="M51" i="9"/>
  <c r="N51" i="9"/>
  <c r="F52" i="9"/>
  <c r="G52" i="9"/>
  <c r="H52" i="9"/>
  <c r="L52" i="9"/>
  <c r="M52" i="9"/>
  <c r="N52" i="9"/>
  <c r="F53" i="9"/>
  <c r="G53" i="9"/>
  <c r="H53" i="9"/>
  <c r="L53" i="9"/>
  <c r="M53" i="9"/>
  <c r="N53" i="9"/>
  <c r="T25" i="9"/>
  <c r="F42" i="9"/>
  <c r="G42" i="9"/>
  <c r="H42" i="9"/>
  <c r="L42" i="9"/>
  <c r="M42" i="9"/>
  <c r="N42" i="9"/>
  <c r="F43" i="9"/>
  <c r="G43" i="9"/>
  <c r="H43" i="9"/>
  <c r="L43" i="9"/>
  <c r="M43" i="9"/>
  <c r="N43" i="9"/>
  <c r="F44" i="9"/>
  <c r="G44" i="9"/>
  <c r="H44" i="9"/>
  <c r="L44" i="9"/>
  <c r="M44" i="9"/>
  <c r="N44" i="9"/>
  <c r="F45" i="9"/>
  <c r="G45" i="9"/>
  <c r="H45" i="9"/>
  <c r="L45" i="9"/>
  <c r="M45" i="9"/>
  <c r="N45" i="9"/>
  <c r="F46" i="9"/>
  <c r="G46" i="9"/>
  <c r="H46" i="9"/>
  <c r="L46" i="9"/>
  <c r="M46" i="9"/>
  <c r="N46" i="9"/>
  <c r="F47" i="9"/>
  <c r="G47" i="9"/>
  <c r="H47" i="9"/>
  <c r="L47" i="9"/>
  <c r="M47" i="9"/>
  <c r="N47" i="9"/>
  <c r="T24" i="9"/>
  <c r="R27" i="9"/>
  <c r="R26" i="9"/>
  <c r="R25" i="9"/>
  <c r="R24" i="9"/>
  <c r="F36" i="9"/>
  <c r="G36" i="9"/>
  <c r="H36" i="9"/>
  <c r="L36" i="9"/>
  <c r="M36" i="9"/>
  <c r="N36" i="9"/>
  <c r="F37" i="9"/>
  <c r="G37" i="9"/>
  <c r="H37" i="9"/>
  <c r="L37" i="9"/>
  <c r="M37" i="9"/>
  <c r="N37" i="9"/>
  <c r="F38" i="9"/>
  <c r="G38" i="9"/>
  <c r="H38" i="9"/>
  <c r="L38" i="9"/>
  <c r="M38" i="9"/>
  <c r="N38" i="9"/>
  <c r="F40" i="9"/>
  <c r="G40" i="9"/>
  <c r="H40" i="9"/>
  <c r="L40" i="9"/>
  <c r="M40" i="9"/>
  <c r="N40" i="9"/>
  <c r="F41" i="9"/>
  <c r="G41" i="9"/>
  <c r="H41" i="9"/>
  <c r="L41" i="9"/>
  <c r="M41" i="9"/>
  <c r="N41" i="9"/>
  <c r="S22" i="9"/>
  <c r="T22" i="9"/>
  <c r="F24" i="9"/>
  <c r="G24" i="9"/>
  <c r="H24" i="9"/>
  <c r="L24" i="9"/>
  <c r="M24" i="9"/>
  <c r="N24" i="9"/>
  <c r="F25" i="9"/>
  <c r="G25" i="9"/>
  <c r="H25" i="9"/>
  <c r="L25" i="9"/>
  <c r="M25" i="9"/>
  <c r="N25" i="9"/>
  <c r="F26" i="9"/>
  <c r="G26" i="9"/>
  <c r="H26" i="9"/>
  <c r="L26" i="9"/>
  <c r="M26" i="9"/>
  <c r="N26" i="9"/>
  <c r="F27" i="9"/>
  <c r="G27" i="9"/>
  <c r="H27" i="9"/>
  <c r="L27" i="9"/>
  <c r="M27" i="9"/>
  <c r="N27" i="9"/>
  <c r="F28" i="9"/>
  <c r="G28" i="9"/>
  <c r="H28" i="9"/>
  <c r="L28" i="9"/>
  <c r="M28" i="9"/>
  <c r="N28" i="9"/>
  <c r="F29" i="9"/>
  <c r="G29" i="9"/>
  <c r="H29" i="9"/>
  <c r="L29" i="9"/>
  <c r="M29" i="9"/>
  <c r="N29" i="9"/>
  <c r="S20" i="9"/>
  <c r="T20" i="9"/>
  <c r="N18" i="9"/>
  <c r="N19" i="9"/>
  <c r="N20" i="9"/>
  <c r="N21" i="9"/>
  <c r="N22" i="9"/>
  <c r="N23" i="9"/>
  <c r="S19" i="9"/>
  <c r="T19" i="9"/>
  <c r="R22" i="9"/>
  <c r="R20" i="9"/>
  <c r="R19" i="9"/>
  <c r="F34" i="9"/>
  <c r="G34" i="9"/>
  <c r="H34" i="9"/>
  <c r="L34" i="9"/>
  <c r="M34" i="9"/>
  <c r="N34" i="9"/>
  <c r="F39" i="9"/>
  <c r="G39" i="9"/>
  <c r="H39" i="9"/>
  <c r="L39" i="9"/>
  <c r="M39" i="9"/>
  <c r="N39" i="9"/>
  <c r="K35" i="6"/>
  <c r="L35" i="6"/>
  <c r="K36" i="7"/>
  <c r="L36" i="7"/>
  <c r="M36" i="7"/>
  <c r="M35" i="6"/>
  <c r="I18" i="9"/>
  <c r="I61" i="9"/>
  <c r="I62" i="9"/>
  <c r="I63" i="9"/>
  <c r="I64" i="9"/>
  <c r="I65" i="9"/>
  <c r="I60" i="9"/>
  <c r="I55" i="9"/>
  <c r="I56" i="9"/>
  <c r="I57" i="9"/>
  <c r="I58" i="9"/>
  <c r="I59" i="9"/>
  <c r="I54" i="9"/>
  <c r="I49" i="9"/>
  <c r="I50" i="9"/>
  <c r="I51" i="9"/>
  <c r="I52" i="9"/>
  <c r="I53" i="9"/>
  <c r="I48" i="9"/>
  <c r="I43" i="9"/>
  <c r="I44" i="9"/>
  <c r="I45" i="9"/>
  <c r="I46" i="9"/>
  <c r="I47" i="9"/>
  <c r="I42" i="9"/>
  <c r="I37" i="9"/>
  <c r="I38" i="9"/>
  <c r="I39" i="9"/>
  <c r="I40" i="9"/>
  <c r="I41" i="9"/>
  <c r="I36" i="9"/>
  <c r="I31" i="9"/>
  <c r="I32" i="9"/>
  <c r="I33" i="9"/>
  <c r="I34" i="9"/>
  <c r="I35" i="9"/>
  <c r="I30" i="9"/>
  <c r="I25" i="9"/>
  <c r="I26" i="9"/>
  <c r="I27" i="9"/>
  <c r="I28" i="9"/>
  <c r="I29" i="9"/>
  <c r="I24" i="9"/>
  <c r="I19" i="9"/>
  <c r="I20" i="9"/>
  <c r="I21" i="9"/>
  <c r="I22" i="9"/>
  <c r="I23" i="9"/>
  <c r="G8" i="9"/>
  <c r="B8" i="9"/>
  <c r="C8" i="9"/>
  <c r="G7" i="9"/>
  <c r="B7" i="9"/>
  <c r="C7" i="9"/>
  <c r="G6" i="9"/>
  <c r="B6" i="9"/>
  <c r="C6" i="9"/>
  <c r="G5" i="9"/>
  <c r="B5" i="9"/>
  <c r="C5" i="9"/>
  <c r="G4" i="9"/>
  <c r="B4" i="9"/>
  <c r="C4" i="9"/>
  <c r="G3" i="9"/>
  <c r="C3" i="9"/>
  <c r="G8" i="8"/>
  <c r="B8" i="8"/>
  <c r="C8" i="8"/>
  <c r="G7" i="8"/>
  <c r="B7" i="8"/>
  <c r="C7" i="8"/>
  <c r="G6" i="8"/>
  <c r="B6" i="8"/>
  <c r="C6" i="8"/>
  <c r="G5" i="8"/>
  <c r="B5" i="8"/>
  <c r="C5" i="8"/>
  <c r="G4" i="8"/>
  <c r="B4" i="8"/>
  <c r="C4" i="8"/>
  <c r="G3" i="8"/>
  <c r="C3" i="8"/>
  <c r="G8" i="7"/>
  <c r="B8" i="7"/>
  <c r="C8" i="7"/>
  <c r="G7" i="7"/>
  <c r="B7" i="7"/>
  <c r="C7" i="7"/>
  <c r="G6" i="7"/>
  <c r="B6" i="7"/>
  <c r="C6" i="7"/>
  <c r="G5" i="7"/>
  <c r="B5" i="7"/>
  <c r="C5" i="7"/>
  <c r="G4" i="7"/>
  <c r="B4" i="7"/>
  <c r="C4" i="7"/>
  <c r="G3" i="7"/>
  <c r="C3" i="7"/>
  <c r="G8" i="6"/>
  <c r="B8" i="6"/>
  <c r="C8" i="6"/>
  <c r="G7" i="6"/>
  <c r="B7" i="6"/>
  <c r="C7" i="6"/>
  <c r="G6" i="6"/>
  <c r="B6" i="6"/>
  <c r="C6" i="6"/>
  <c r="G5" i="6"/>
  <c r="B5" i="6"/>
  <c r="C5" i="6"/>
  <c r="G4" i="6"/>
  <c r="B4" i="6"/>
  <c r="C4" i="6"/>
  <c r="G3" i="6"/>
  <c r="C3" i="6"/>
  <c r="H56" i="5"/>
  <c r="I56" i="5"/>
  <c r="K56" i="5"/>
  <c r="H57" i="5"/>
  <c r="I57" i="5"/>
  <c r="K57" i="5"/>
  <c r="H58" i="5"/>
  <c r="I58" i="5"/>
  <c r="K58" i="5"/>
  <c r="H59" i="5"/>
  <c r="I59" i="5"/>
  <c r="K59" i="5"/>
  <c r="H60" i="5"/>
  <c r="I60" i="5"/>
  <c r="K60" i="5"/>
  <c r="H61" i="5"/>
  <c r="I61" i="5"/>
  <c r="K61" i="5"/>
  <c r="H62" i="5"/>
  <c r="I62" i="5"/>
  <c r="K62" i="5"/>
  <c r="H63" i="5"/>
  <c r="I63" i="5"/>
  <c r="K63" i="5"/>
  <c r="H64" i="5"/>
  <c r="I64" i="5"/>
  <c r="K64" i="5"/>
  <c r="H65" i="5"/>
  <c r="I65" i="5"/>
  <c r="K65" i="5"/>
  <c r="H66" i="5"/>
  <c r="I66" i="5"/>
  <c r="K66" i="5"/>
  <c r="H67" i="5"/>
  <c r="I67" i="5"/>
  <c r="K67" i="5"/>
  <c r="H68" i="5"/>
  <c r="I68" i="5"/>
  <c r="K68" i="5"/>
  <c r="AD27" i="5"/>
  <c r="AE27" i="5"/>
  <c r="H44" i="5"/>
  <c r="I44" i="5"/>
  <c r="K44" i="5"/>
  <c r="H45" i="5"/>
  <c r="I45" i="5"/>
  <c r="K45" i="5"/>
  <c r="H46" i="5"/>
  <c r="I46" i="5"/>
  <c r="K46" i="5"/>
  <c r="H47" i="5"/>
  <c r="I47" i="5"/>
  <c r="K47" i="5"/>
  <c r="H49" i="5"/>
  <c r="I49" i="5"/>
  <c r="K49" i="5"/>
  <c r="H50" i="5"/>
  <c r="I50" i="5"/>
  <c r="K50" i="5"/>
  <c r="H51" i="5"/>
  <c r="I51" i="5"/>
  <c r="K51" i="5"/>
  <c r="H52" i="5"/>
  <c r="I52" i="5"/>
  <c r="K52" i="5"/>
  <c r="H53" i="5"/>
  <c r="I53" i="5"/>
  <c r="K53" i="5"/>
  <c r="H54" i="5"/>
  <c r="I54" i="5"/>
  <c r="K54" i="5"/>
  <c r="H55" i="5"/>
  <c r="I55" i="5"/>
  <c r="K55" i="5"/>
  <c r="AD26" i="5"/>
  <c r="AE26" i="5"/>
  <c r="AC26" i="5"/>
  <c r="T31" i="5"/>
  <c r="U31" i="5"/>
  <c r="W31" i="5"/>
  <c r="T32" i="5"/>
  <c r="U32" i="5"/>
  <c r="W32" i="5"/>
  <c r="T33" i="5"/>
  <c r="U33" i="5"/>
  <c r="W33" i="5"/>
  <c r="T34" i="5"/>
  <c r="U34" i="5"/>
  <c r="W34" i="5"/>
  <c r="T35" i="5"/>
  <c r="U35" i="5"/>
  <c r="W35" i="5"/>
  <c r="T36" i="5"/>
  <c r="U36" i="5"/>
  <c r="W36" i="5"/>
  <c r="T37" i="5"/>
  <c r="U37" i="5"/>
  <c r="W37" i="5"/>
  <c r="T38" i="5"/>
  <c r="U38" i="5"/>
  <c r="W38" i="5"/>
  <c r="T40" i="5"/>
  <c r="U40" i="5"/>
  <c r="W40" i="5"/>
  <c r="T41" i="5"/>
  <c r="U41" i="5"/>
  <c r="W41" i="5"/>
  <c r="T42" i="5"/>
  <c r="U42" i="5"/>
  <c r="W42" i="5"/>
  <c r="T43" i="5"/>
  <c r="U43" i="5"/>
  <c r="W43" i="5"/>
  <c r="AD20" i="5"/>
  <c r="AE20" i="5"/>
  <c r="AC20" i="5"/>
  <c r="H31" i="5"/>
  <c r="I31" i="5"/>
  <c r="K31" i="5"/>
  <c r="H32" i="5"/>
  <c r="I32" i="5"/>
  <c r="K32" i="5"/>
  <c r="H34" i="5"/>
  <c r="I34" i="5"/>
  <c r="K34" i="5"/>
  <c r="H35" i="5"/>
  <c r="I35" i="5"/>
  <c r="K35" i="5"/>
  <c r="H36" i="5"/>
  <c r="I36" i="5"/>
  <c r="K36" i="5"/>
  <c r="H37" i="5"/>
  <c r="I37" i="5"/>
  <c r="K37" i="5"/>
  <c r="H38" i="5"/>
  <c r="I38" i="5"/>
  <c r="K38" i="5"/>
  <c r="H39" i="5"/>
  <c r="I39" i="5"/>
  <c r="K39" i="5"/>
  <c r="H40" i="5"/>
  <c r="I40" i="5"/>
  <c r="K40" i="5"/>
  <c r="H41" i="5"/>
  <c r="I41" i="5"/>
  <c r="K41" i="5"/>
  <c r="H42" i="5"/>
  <c r="I42" i="5"/>
  <c r="K42" i="5"/>
  <c r="H43" i="5"/>
  <c r="I43" i="5"/>
  <c r="K43" i="5"/>
  <c r="AD25" i="5"/>
  <c r="AE25" i="5"/>
  <c r="H19" i="5"/>
  <c r="I19" i="5"/>
  <c r="K19" i="5"/>
  <c r="H20" i="5"/>
  <c r="I20" i="5"/>
  <c r="K20" i="5"/>
  <c r="H21" i="5"/>
  <c r="I21" i="5"/>
  <c r="K21" i="5"/>
  <c r="H22" i="5"/>
  <c r="I22" i="5"/>
  <c r="K22" i="5"/>
  <c r="H23" i="5"/>
  <c r="I23" i="5"/>
  <c r="K23" i="5"/>
  <c r="H24" i="5"/>
  <c r="I24" i="5"/>
  <c r="K24" i="5"/>
  <c r="H25" i="5"/>
  <c r="I25" i="5"/>
  <c r="K25" i="5"/>
  <c r="H26" i="5"/>
  <c r="I26" i="5"/>
  <c r="K26" i="5"/>
  <c r="H27" i="5"/>
  <c r="I27" i="5"/>
  <c r="K27" i="5"/>
  <c r="H28" i="5"/>
  <c r="I28" i="5"/>
  <c r="K28" i="5"/>
  <c r="H29" i="5"/>
  <c r="I29" i="5"/>
  <c r="K29" i="5"/>
  <c r="H30" i="5"/>
  <c r="I30" i="5"/>
  <c r="K30" i="5"/>
  <c r="AD24" i="5"/>
  <c r="AE24" i="5"/>
  <c r="T57" i="5"/>
  <c r="U57" i="5"/>
  <c r="W57" i="5"/>
  <c r="T58" i="5"/>
  <c r="U58" i="5"/>
  <c r="W58" i="5"/>
  <c r="T59" i="5"/>
  <c r="U59" i="5"/>
  <c r="W59" i="5"/>
  <c r="T60" i="5"/>
  <c r="U60" i="5"/>
  <c r="W60" i="5"/>
  <c r="T61" i="5"/>
  <c r="U61" i="5"/>
  <c r="W61" i="5"/>
  <c r="T63" i="5"/>
  <c r="U63" i="5"/>
  <c r="W63" i="5"/>
  <c r="T64" i="5"/>
  <c r="U64" i="5"/>
  <c r="W64" i="5"/>
  <c r="T65" i="5"/>
  <c r="U65" i="5"/>
  <c r="W65" i="5"/>
  <c r="T66" i="5"/>
  <c r="U66" i="5"/>
  <c r="W66" i="5"/>
  <c r="T67" i="5"/>
  <c r="U67" i="5"/>
  <c r="W67" i="5"/>
  <c r="T68" i="5"/>
  <c r="U68" i="5"/>
  <c r="W68" i="5"/>
  <c r="AD22" i="5"/>
  <c r="AE22" i="5"/>
  <c r="T44" i="5"/>
  <c r="U44" i="5"/>
  <c r="W44" i="5"/>
  <c r="T45" i="5"/>
  <c r="U45" i="5"/>
  <c r="W45" i="5"/>
  <c r="T46" i="5"/>
  <c r="U46" i="5"/>
  <c r="W46" i="5"/>
  <c r="T47" i="5"/>
  <c r="U47" i="5"/>
  <c r="W47" i="5"/>
  <c r="T48" i="5"/>
  <c r="U48" i="5"/>
  <c r="W48" i="5"/>
  <c r="T49" i="5"/>
  <c r="U49" i="5"/>
  <c r="W49" i="5"/>
  <c r="T50" i="5"/>
  <c r="U50" i="5"/>
  <c r="W50" i="5"/>
  <c r="T51" i="5"/>
  <c r="U51" i="5"/>
  <c r="W51" i="5"/>
  <c r="T52" i="5"/>
  <c r="U52" i="5"/>
  <c r="W52" i="5"/>
  <c r="T53" i="5"/>
  <c r="U53" i="5"/>
  <c r="W53" i="5"/>
  <c r="T54" i="5"/>
  <c r="U54" i="5"/>
  <c r="W54" i="5"/>
  <c r="T55" i="5"/>
  <c r="U55" i="5"/>
  <c r="W55" i="5"/>
  <c r="AD21" i="5"/>
  <c r="AE21" i="5"/>
  <c r="T20" i="5"/>
  <c r="U20" i="5"/>
  <c r="W20" i="5"/>
  <c r="T21" i="5"/>
  <c r="U21" i="5"/>
  <c r="W21" i="5"/>
  <c r="T22" i="5"/>
  <c r="U22" i="5"/>
  <c r="W22" i="5"/>
  <c r="T23" i="5"/>
  <c r="U23" i="5"/>
  <c r="W23" i="5"/>
  <c r="T24" i="5"/>
  <c r="U24" i="5"/>
  <c r="W24" i="5"/>
  <c r="T25" i="5"/>
  <c r="U25" i="5"/>
  <c r="W25" i="5"/>
  <c r="T26" i="5"/>
  <c r="U26" i="5"/>
  <c r="W26" i="5"/>
  <c r="T27" i="5"/>
  <c r="U27" i="5"/>
  <c r="W27" i="5"/>
  <c r="T28" i="5"/>
  <c r="U28" i="5"/>
  <c r="W28" i="5"/>
  <c r="T29" i="5"/>
  <c r="U29" i="5"/>
  <c r="W29" i="5"/>
  <c r="T30" i="5"/>
  <c r="U30" i="5"/>
  <c r="W30" i="5"/>
  <c r="AD19" i="5"/>
  <c r="AE19" i="5"/>
  <c r="AC27" i="5"/>
  <c r="AC25" i="5"/>
  <c r="AC24" i="5"/>
  <c r="AC21" i="5"/>
  <c r="AC19" i="5"/>
  <c r="T39" i="5"/>
  <c r="U39" i="5"/>
  <c r="T56" i="5"/>
  <c r="U56" i="5"/>
  <c r="T62" i="5"/>
  <c r="U62" i="5"/>
  <c r="T19" i="5"/>
  <c r="U19" i="5"/>
  <c r="H33" i="5"/>
  <c r="I33" i="5"/>
  <c r="H48" i="5"/>
  <c r="I48" i="5"/>
  <c r="K33" i="5"/>
  <c r="W56" i="5"/>
  <c r="W39" i="5"/>
  <c r="W19" i="5"/>
  <c r="K48" i="5"/>
  <c r="E12" i="4"/>
  <c r="F12" i="4"/>
  <c r="D13" i="5"/>
  <c r="E13" i="5"/>
  <c r="F13" i="5"/>
  <c r="E4" i="5"/>
  <c r="E5" i="5"/>
  <c r="E6" i="5"/>
  <c r="E7" i="5"/>
  <c r="E8" i="5"/>
  <c r="E9" i="5"/>
  <c r="E10" i="5"/>
  <c r="E3" i="5"/>
  <c r="AC22" i="5"/>
  <c r="V38" i="4"/>
  <c r="W38" i="4"/>
  <c r="X38" i="4"/>
  <c r="Y38" i="4"/>
  <c r="Z38" i="4"/>
  <c r="V24" i="4"/>
  <c r="W24" i="4"/>
  <c r="X24" i="4"/>
  <c r="Y24" i="4"/>
  <c r="Z24" i="4"/>
  <c r="V4" i="4"/>
  <c r="V5" i="4"/>
  <c r="V6" i="4"/>
  <c r="V7" i="4"/>
  <c r="V8" i="4"/>
  <c r="V9" i="4"/>
  <c r="V10" i="4"/>
  <c r="V3" i="4"/>
  <c r="N58" i="4"/>
  <c r="N46" i="4"/>
  <c r="N33" i="4"/>
  <c r="N21" i="4"/>
  <c r="F4" i="4"/>
  <c r="F5" i="4"/>
  <c r="F6" i="4"/>
  <c r="F7" i="4"/>
  <c r="F8" i="4"/>
  <c r="F9" i="4"/>
  <c r="F10" i="4"/>
  <c r="F3" i="4"/>
  <c r="AN53" i="3"/>
  <c r="AO53" i="3"/>
  <c r="AP53" i="3"/>
  <c r="AQ53" i="3"/>
  <c r="AS53" i="3"/>
  <c r="AN54" i="3"/>
  <c r="AO54" i="3"/>
  <c r="AP54" i="3"/>
  <c r="AQ54" i="3"/>
  <c r="AS54" i="3"/>
  <c r="AN55" i="3"/>
  <c r="AO55" i="3"/>
  <c r="AP55" i="3"/>
  <c r="AQ55" i="3"/>
  <c r="AS55" i="3"/>
  <c r="AN56" i="3"/>
  <c r="AO56" i="3"/>
  <c r="AP56" i="3"/>
  <c r="AQ56" i="3"/>
  <c r="AS56" i="3"/>
  <c r="AN57" i="3"/>
  <c r="AO57" i="3"/>
  <c r="AP57" i="3"/>
  <c r="AQ57" i="3"/>
  <c r="AS57" i="3"/>
  <c r="AN58" i="3"/>
  <c r="AO58" i="3"/>
  <c r="AP58" i="3"/>
  <c r="AQ58" i="3"/>
  <c r="AS58" i="3"/>
  <c r="AN59" i="3"/>
  <c r="AO59" i="3"/>
  <c r="AP59" i="3"/>
  <c r="AQ59" i="3"/>
  <c r="AS59" i="3"/>
  <c r="AN60" i="3"/>
  <c r="AO60" i="3"/>
  <c r="AP60" i="3"/>
  <c r="AQ60" i="3"/>
  <c r="AS60" i="3"/>
  <c r="I47" i="3"/>
  <c r="J47" i="3"/>
  <c r="K47" i="3"/>
  <c r="L47" i="3"/>
  <c r="N47" i="3"/>
  <c r="I48" i="3"/>
  <c r="J48" i="3"/>
  <c r="K48" i="3"/>
  <c r="L48" i="3"/>
  <c r="N48" i="3"/>
  <c r="I49" i="3"/>
  <c r="J49" i="3"/>
  <c r="K49" i="3"/>
  <c r="L49" i="3"/>
  <c r="N49" i="3"/>
  <c r="I50" i="3"/>
  <c r="J50" i="3"/>
  <c r="K50" i="3"/>
  <c r="L50" i="3"/>
  <c r="N50" i="3"/>
  <c r="I51" i="3"/>
  <c r="J51" i="3"/>
  <c r="K51" i="3"/>
  <c r="L51" i="3"/>
  <c r="N51" i="3"/>
  <c r="AZ35" i="3"/>
  <c r="BA35" i="3"/>
  <c r="AN51" i="3"/>
  <c r="AO51" i="3"/>
  <c r="AP51" i="3"/>
  <c r="AQ51" i="3"/>
  <c r="AS51" i="3"/>
  <c r="AN52" i="3"/>
  <c r="AO52" i="3"/>
  <c r="AP52" i="3"/>
  <c r="AQ52" i="3"/>
  <c r="AS52" i="3"/>
  <c r="X62" i="3"/>
  <c r="Y62" i="3"/>
  <c r="Z62" i="3"/>
  <c r="AA62" i="3"/>
  <c r="AC62" i="3"/>
  <c r="X63" i="3"/>
  <c r="Y63" i="3"/>
  <c r="Z63" i="3"/>
  <c r="AA63" i="3"/>
  <c r="AC63" i="3"/>
  <c r="X64" i="3"/>
  <c r="Y64" i="3"/>
  <c r="Z64" i="3"/>
  <c r="AA64" i="3"/>
  <c r="AC64" i="3"/>
  <c r="X65" i="3"/>
  <c r="Y65" i="3"/>
  <c r="Z65" i="3"/>
  <c r="AA65" i="3"/>
  <c r="AC65" i="3"/>
  <c r="X66" i="3"/>
  <c r="Y66" i="3"/>
  <c r="Z66" i="3"/>
  <c r="AA66" i="3"/>
  <c r="AC66" i="3"/>
  <c r="X67" i="3"/>
  <c r="Y67" i="3"/>
  <c r="Z67" i="3"/>
  <c r="AA67" i="3"/>
  <c r="AC67" i="3"/>
  <c r="I43" i="3"/>
  <c r="J43" i="3"/>
  <c r="K43" i="3"/>
  <c r="L43" i="3"/>
  <c r="N43" i="3"/>
  <c r="I44" i="3"/>
  <c r="J44" i="3"/>
  <c r="K44" i="3"/>
  <c r="L44" i="3"/>
  <c r="N44" i="3"/>
  <c r="I45" i="3"/>
  <c r="J45" i="3"/>
  <c r="K45" i="3"/>
  <c r="L45" i="3"/>
  <c r="N45" i="3"/>
  <c r="I46" i="3"/>
  <c r="J46" i="3"/>
  <c r="K46" i="3"/>
  <c r="L46" i="3"/>
  <c r="N46" i="3"/>
  <c r="AZ34" i="3"/>
  <c r="BA34" i="3"/>
  <c r="AN47" i="3"/>
  <c r="AO47" i="3"/>
  <c r="AP47" i="3"/>
  <c r="AQ47" i="3"/>
  <c r="AS47" i="3"/>
  <c r="AN48" i="3"/>
  <c r="AO48" i="3"/>
  <c r="AP48" i="3"/>
  <c r="AQ48" i="3"/>
  <c r="AS48" i="3"/>
  <c r="AN49" i="3"/>
  <c r="AO49" i="3"/>
  <c r="AP49" i="3"/>
  <c r="AQ49" i="3"/>
  <c r="AS49" i="3"/>
  <c r="AN50" i="3"/>
  <c r="AP50" i="3"/>
  <c r="AQ50" i="3"/>
  <c r="AS50" i="3"/>
  <c r="X55" i="3"/>
  <c r="Y55" i="3"/>
  <c r="Z55" i="3"/>
  <c r="AA55" i="3"/>
  <c r="AC55" i="3"/>
  <c r="X56" i="3"/>
  <c r="Y56" i="3"/>
  <c r="Z56" i="3"/>
  <c r="AA56" i="3"/>
  <c r="AC56" i="3"/>
  <c r="X57" i="3"/>
  <c r="Y57" i="3"/>
  <c r="Z57" i="3"/>
  <c r="AA57" i="3"/>
  <c r="AC57" i="3"/>
  <c r="X58" i="3"/>
  <c r="Y58" i="3"/>
  <c r="Z58" i="3"/>
  <c r="AA58" i="3"/>
  <c r="AC58" i="3"/>
  <c r="X59" i="3"/>
  <c r="Y59" i="3"/>
  <c r="Z59" i="3"/>
  <c r="AA59" i="3"/>
  <c r="AC59" i="3"/>
  <c r="X60" i="3"/>
  <c r="Y60" i="3"/>
  <c r="Z60" i="3"/>
  <c r="AA60" i="3"/>
  <c r="AC60" i="3"/>
  <c r="X61" i="3"/>
  <c r="Y61" i="3"/>
  <c r="Z61" i="3"/>
  <c r="AA61" i="3"/>
  <c r="AC61" i="3"/>
  <c r="I42" i="3"/>
  <c r="J42" i="3"/>
  <c r="K42" i="3"/>
  <c r="L42" i="3"/>
  <c r="N42" i="3"/>
  <c r="AZ33" i="3"/>
  <c r="BA33" i="3"/>
  <c r="AN43" i="3"/>
  <c r="AO43" i="3"/>
  <c r="AP43" i="3"/>
  <c r="AQ43" i="3"/>
  <c r="AS43" i="3"/>
  <c r="AN44" i="3"/>
  <c r="AO44" i="3"/>
  <c r="AP44" i="3"/>
  <c r="AQ44" i="3"/>
  <c r="AS44" i="3"/>
  <c r="AN45" i="3"/>
  <c r="AO45" i="3"/>
  <c r="AP45" i="3"/>
  <c r="AQ45" i="3"/>
  <c r="AS45" i="3"/>
  <c r="AN46" i="3"/>
  <c r="AO46" i="3"/>
  <c r="AP46" i="3"/>
  <c r="AQ46" i="3"/>
  <c r="AS46" i="3"/>
  <c r="X47" i="3"/>
  <c r="Y47" i="3"/>
  <c r="Z47" i="3"/>
  <c r="AA47" i="3"/>
  <c r="AC47" i="3"/>
  <c r="X48" i="3"/>
  <c r="Y48" i="3"/>
  <c r="Z48" i="3"/>
  <c r="AA48" i="3"/>
  <c r="AC48" i="3"/>
  <c r="X49" i="3"/>
  <c r="Y49" i="3"/>
  <c r="Z49" i="3"/>
  <c r="AA49" i="3"/>
  <c r="AC49" i="3"/>
  <c r="X50" i="3"/>
  <c r="Y50" i="3"/>
  <c r="Z50" i="3"/>
  <c r="AA50" i="3"/>
  <c r="AC50" i="3"/>
  <c r="X51" i="3"/>
  <c r="Y51" i="3"/>
  <c r="Z51" i="3"/>
  <c r="AA51" i="3"/>
  <c r="AC51" i="3"/>
  <c r="X52" i="3"/>
  <c r="Y52" i="3"/>
  <c r="Z52" i="3"/>
  <c r="AA52" i="3"/>
  <c r="AC52" i="3"/>
  <c r="X53" i="3"/>
  <c r="Y53" i="3"/>
  <c r="Z53" i="3"/>
  <c r="AA53" i="3"/>
  <c r="AC53" i="3"/>
  <c r="X54" i="3"/>
  <c r="Y54" i="3"/>
  <c r="Z54" i="3"/>
  <c r="AA54" i="3"/>
  <c r="AC54" i="3"/>
  <c r="AZ32" i="3"/>
  <c r="BA32" i="3"/>
  <c r="AN35" i="3"/>
  <c r="AO35" i="3"/>
  <c r="AP35" i="3"/>
  <c r="AQ35" i="3"/>
  <c r="AS35" i="3"/>
  <c r="AN36" i="3"/>
  <c r="AO36" i="3"/>
  <c r="AP36" i="3"/>
  <c r="AQ36" i="3"/>
  <c r="AS36" i="3"/>
  <c r="AN37" i="3"/>
  <c r="AO37" i="3"/>
  <c r="AP37" i="3"/>
  <c r="AQ37" i="3"/>
  <c r="AS37" i="3"/>
  <c r="AN38" i="3"/>
  <c r="AO38" i="3"/>
  <c r="AP38" i="3"/>
  <c r="AQ38" i="3"/>
  <c r="AS38" i="3"/>
  <c r="AN39" i="3"/>
  <c r="AO39" i="3"/>
  <c r="AP39" i="3"/>
  <c r="AQ39" i="3"/>
  <c r="AS39" i="3"/>
  <c r="AN40" i="3"/>
  <c r="AO40" i="3"/>
  <c r="AP40" i="3"/>
  <c r="AQ40" i="3"/>
  <c r="AS40" i="3"/>
  <c r="AN41" i="3"/>
  <c r="AO41" i="3"/>
  <c r="AP41" i="3"/>
  <c r="AQ41" i="3"/>
  <c r="AS41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0" i="3"/>
  <c r="J40" i="3"/>
  <c r="K40" i="3"/>
  <c r="L40" i="3"/>
  <c r="N40" i="3"/>
  <c r="AZ30" i="3"/>
  <c r="BA30" i="3"/>
  <c r="AN31" i="3"/>
  <c r="AO31" i="3"/>
  <c r="AP31" i="3"/>
  <c r="AQ31" i="3"/>
  <c r="AS31" i="3"/>
  <c r="AN32" i="3"/>
  <c r="AO32" i="3"/>
  <c r="AP32" i="3"/>
  <c r="AQ32" i="3"/>
  <c r="AS32" i="3"/>
  <c r="AN33" i="3"/>
  <c r="AO33" i="3"/>
  <c r="AP33" i="3"/>
  <c r="AQ33" i="3"/>
  <c r="AS33" i="3"/>
  <c r="AN34" i="3"/>
  <c r="AO34" i="3"/>
  <c r="AP34" i="3"/>
  <c r="AQ34" i="3"/>
  <c r="AS34" i="3"/>
  <c r="X42" i="3"/>
  <c r="Y42" i="3"/>
  <c r="Z42" i="3"/>
  <c r="AA42" i="3"/>
  <c r="AC42" i="3"/>
  <c r="X43" i="3"/>
  <c r="Y43" i="3"/>
  <c r="Z43" i="3"/>
  <c r="AA43" i="3"/>
  <c r="AC43" i="3"/>
  <c r="X44" i="3"/>
  <c r="Y44" i="3"/>
  <c r="Z44" i="3"/>
  <c r="AA44" i="3"/>
  <c r="AC44" i="3"/>
  <c r="X45" i="3"/>
  <c r="Y45" i="3"/>
  <c r="Z45" i="3"/>
  <c r="AA45" i="3"/>
  <c r="AC45" i="3"/>
  <c r="I32" i="3"/>
  <c r="J32" i="3"/>
  <c r="K32" i="3"/>
  <c r="L32" i="3"/>
  <c r="N32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AZ29" i="3"/>
  <c r="BA29" i="3"/>
  <c r="X34" i="3"/>
  <c r="Y34" i="3"/>
  <c r="Z34" i="3"/>
  <c r="AA34" i="3"/>
  <c r="AC34" i="3"/>
  <c r="X35" i="3"/>
  <c r="Y35" i="3"/>
  <c r="Z35" i="3"/>
  <c r="AA35" i="3"/>
  <c r="AC35" i="3"/>
  <c r="X36" i="3"/>
  <c r="Y36" i="3"/>
  <c r="Z36" i="3"/>
  <c r="AA36" i="3"/>
  <c r="AC36" i="3"/>
  <c r="X37" i="3"/>
  <c r="Y37" i="3"/>
  <c r="Z37" i="3"/>
  <c r="AA37" i="3"/>
  <c r="AC37" i="3"/>
  <c r="X38" i="3"/>
  <c r="Y38" i="3"/>
  <c r="Z38" i="3"/>
  <c r="AA38" i="3"/>
  <c r="AC38" i="3"/>
  <c r="X39" i="3"/>
  <c r="Y39" i="3"/>
  <c r="Z39" i="3"/>
  <c r="AA39" i="3"/>
  <c r="AC39" i="3"/>
  <c r="X40" i="3"/>
  <c r="Y40" i="3"/>
  <c r="Z40" i="3"/>
  <c r="AA40" i="3"/>
  <c r="AC40" i="3"/>
  <c r="X41" i="3"/>
  <c r="Y41" i="3"/>
  <c r="Z41" i="3"/>
  <c r="AA41" i="3"/>
  <c r="AC41" i="3"/>
  <c r="I27" i="3"/>
  <c r="J27" i="3"/>
  <c r="K27" i="3"/>
  <c r="L27" i="3"/>
  <c r="N27" i="3"/>
  <c r="I28" i="3"/>
  <c r="J28" i="3"/>
  <c r="K28" i="3"/>
  <c r="L28" i="3"/>
  <c r="N28" i="3"/>
  <c r="I29" i="3"/>
  <c r="J29" i="3"/>
  <c r="K29" i="3"/>
  <c r="L29" i="3"/>
  <c r="N29" i="3"/>
  <c r="I30" i="3"/>
  <c r="J30" i="3"/>
  <c r="K30" i="3"/>
  <c r="L30" i="3"/>
  <c r="N30" i="3"/>
  <c r="I31" i="3"/>
  <c r="J31" i="3"/>
  <c r="K31" i="3"/>
  <c r="L31" i="3"/>
  <c r="N31" i="3"/>
  <c r="AZ28" i="3"/>
  <c r="BA28" i="3"/>
  <c r="AN27" i="3"/>
  <c r="AO27" i="3"/>
  <c r="AP27" i="3"/>
  <c r="AQ27" i="3"/>
  <c r="AS27" i="3"/>
  <c r="AN28" i="3"/>
  <c r="AO28" i="3"/>
  <c r="AP28" i="3"/>
  <c r="AQ28" i="3"/>
  <c r="AS28" i="3"/>
  <c r="AN29" i="3"/>
  <c r="AO29" i="3"/>
  <c r="AP29" i="3"/>
  <c r="AQ29" i="3"/>
  <c r="AS29" i="3"/>
  <c r="AN30" i="3"/>
  <c r="AO30" i="3"/>
  <c r="AP30" i="3"/>
  <c r="AQ30" i="3"/>
  <c r="AS30" i="3"/>
  <c r="X27" i="3"/>
  <c r="Y27" i="3"/>
  <c r="Z27" i="3"/>
  <c r="AA27" i="3"/>
  <c r="AC27" i="3"/>
  <c r="X28" i="3"/>
  <c r="Y28" i="3"/>
  <c r="Z28" i="3"/>
  <c r="AA28" i="3"/>
  <c r="AC28" i="3"/>
  <c r="X29" i="3"/>
  <c r="Y29" i="3"/>
  <c r="Z29" i="3"/>
  <c r="AA29" i="3"/>
  <c r="AC29" i="3"/>
  <c r="X30" i="3"/>
  <c r="Y30" i="3"/>
  <c r="Z30" i="3"/>
  <c r="AA30" i="3"/>
  <c r="AC30" i="3"/>
  <c r="X31" i="3"/>
  <c r="Y31" i="3"/>
  <c r="Z31" i="3"/>
  <c r="AA31" i="3"/>
  <c r="AC31" i="3"/>
  <c r="X32" i="3"/>
  <c r="Y32" i="3"/>
  <c r="Z32" i="3"/>
  <c r="AA32" i="3"/>
  <c r="AC32" i="3"/>
  <c r="X33" i="3"/>
  <c r="Y33" i="3"/>
  <c r="Z33" i="3"/>
  <c r="AA33" i="3"/>
  <c r="AC33" i="3"/>
  <c r="AZ27" i="3"/>
  <c r="BA27" i="3"/>
  <c r="AY35" i="3"/>
  <c r="AY34" i="3"/>
  <c r="AY33" i="3"/>
  <c r="AY32" i="3"/>
  <c r="AY30" i="3"/>
  <c r="AY29" i="3"/>
  <c r="AY28" i="3"/>
  <c r="AY27" i="3"/>
  <c r="AM10" i="3"/>
  <c r="AL10" i="3"/>
  <c r="AM9" i="3"/>
  <c r="AL9" i="3"/>
  <c r="AN9" i="3"/>
  <c r="AM8" i="3"/>
  <c r="AL8" i="3"/>
  <c r="AM7" i="3"/>
  <c r="AL7" i="3"/>
  <c r="AN7" i="3"/>
  <c r="AM6" i="3"/>
  <c r="AL6" i="3"/>
  <c r="AN6" i="3"/>
  <c r="AM5" i="3"/>
  <c r="AL5" i="3"/>
  <c r="AM4" i="3"/>
  <c r="AL4" i="3"/>
  <c r="W10" i="3"/>
  <c r="V10" i="3"/>
  <c r="W9" i="3"/>
  <c r="V9" i="3"/>
  <c r="X9" i="3"/>
  <c r="W8" i="3"/>
  <c r="V8" i="3"/>
  <c r="W7" i="3"/>
  <c r="V7" i="3"/>
  <c r="W6" i="3"/>
  <c r="V6" i="3"/>
  <c r="X6" i="3"/>
  <c r="W5" i="3"/>
  <c r="V5" i="3"/>
  <c r="W4" i="3"/>
  <c r="V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4" i="3"/>
  <c r="I4" i="3"/>
  <c r="J4" i="3"/>
  <c r="AL41" i="2"/>
  <c r="AM41" i="2"/>
  <c r="AL42" i="2"/>
  <c r="AM42" i="2"/>
  <c r="AL43" i="2"/>
  <c r="AM43" i="2"/>
  <c r="AL48" i="2"/>
  <c r="AM48" i="2"/>
  <c r="L36" i="2"/>
  <c r="M36" i="2"/>
  <c r="L37" i="2"/>
  <c r="M37" i="2"/>
  <c r="L39" i="2"/>
  <c r="M39" i="2"/>
  <c r="AR23" i="2"/>
  <c r="AS23" i="2"/>
  <c r="AT23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L32" i="2"/>
  <c r="M32" i="2"/>
  <c r="L33" i="2"/>
  <c r="M33" i="2"/>
  <c r="AS22" i="2"/>
  <c r="AT22" i="2"/>
  <c r="AR22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L27" i="2"/>
  <c r="M27" i="2"/>
  <c r="L28" i="2"/>
  <c r="M28" i="2"/>
  <c r="L29" i="2"/>
  <c r="M29" i="2"/>
  <c r="L30" i="2"/>
  <c r="M30" i="2"/>
  <c r="AR21" i="2"/>
  <c r="AS21" i="2"/>
  <c r="AT21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L51" i="2"/>
  <c r="M51" i="2"/>
  <c r="L52" i="2"/>
  <c r="M52" i="2"/>
  <c r="L53" i="2"/>
  <c r="M53" i="2"/>
  <c r="L54" i="2"/>
  <c r="M54" i="2"/>
  <c r="AR27" i="2"/>
  <c r="AS27" i="2"/>
  <c r="AT27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L46" i="2"/>
  <c r="M46" i="2"/>
  <c r="L48" i="2"/>
  <c r="M48" i="2"/>
  <c r="L49" i="2"/>
  <c r="M49" i="2"/>
  <c r="L50" i="2"/>
  <c r="M50" i="2"/>
  <c r="AS26" i="2"/>
  <c r="AT26" i="2"/>
  <c r="AR26" i="2"/>
  <c r="AM19" i="2"/>
  <c r="AM20" i="2"/>
  <c r="AM21" i="2"/>
  <c r="AL22" i="2"/>
  <c r="AM22" i="2"/>
  <c r="AL23" i="2"/>
  <c r="AM23" i="2"/>
  <c r="AM24" i="2"/>
  <c r="L20" i="2"/>
  <c r="M20" i="2"/>
  <c r="L21" i="2"/>
  <c r="M21" i="2"/>
  <c r="L22" i="2"/>
  <c r="M22" i="2"/>
  <c r="L23" i="2"/>
  <c r="M23" i="2"/>
  <c r="AR20" i="2"/>
  <c r="AM50" i="2"/>
  <c r="AM51" i="2"/>
  <c r="AM52" i="2"/>
  <c r="AM53" i="2"/>
  <c r="AM54" i="2"/>
  <c r="AM55" i="2"/>
  <c r="AM56" i="2"/>
  <c r="L43" i="2"/>
  <c r="M43" i="2"/>
  <c r="M44" i="2"/>
  <c r="M45" i="2"/>
  <c r="AR25" i="2"/>
  <c r="AT25" i="2"/>
  <c r="AM78" i="2"/>
  <c r="AM77" i="2"/>
  <c r="AM73" i="2"/>
  <c r="AM75" i="2"/>
  <c r="AM47" i="2"/>
  <c r="AL44" i="2"/>
  <c r="AM44" i="2"/>
  <c r="AM40" i="2"/>
  <c r="AS20" i="2"/>
  <c r="AT20" i="2"/>
  <c r="L47" i="2"/>
  <c r="L56" i="2"/>
  <c r="L57" i="2"/>
  <c r="L58" i="2"/>
  <c r="L59" i="2"/>
  <c r="L42" i="2"/>
  <c r="L31" i="2"/>
  <c r="M47" i="2"/>
  <c r="M55" i="2"/>
  <c r="AL72" i="2"/>
  <c r="AM72" i="2"/>
  <c r="AL74" i="2"/>
  <c r="AM74" i="2"/>
  <c r="AL76" i="2"/>
  <c r="AM76" i="2"/>
  <c r="M56" i="2"/>
  <c r="M57" i="2"/>
  <c r="M58" i="2"/>
  <c r="M59" i="2"/>
  <c r="AS28" i="2"/>
  <c r="AT28" i="2"/>
  <c r="M42" i="2"/>
  <c r="M31" i="2"/>
  <c r="M34" i="2"/>
  <c r="M35" i="2"/>
  <c r="M38" i="2"/>
  <c r="M40" i="2"/>
  <c r="AL46" i="2"/>
  <c r="AM46" i="2"/>
  <c r="AM49" i="2"/>
  <c r="AL45" i="2"/>
  <c r="AM45" i="2"/>
  <c r="AR10" i="2"/>
  <c r="AR9" i="2"/>
  <c r="AR8" i="2"/>
  <c r="AR7" i="2"/>
  <c r="AR6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50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19" i="2"/>
  <c r="AN5" i="3"/>
  <c r="AN4" i="3"/>
  <c r="AN8" i="3"/>
  <c r="AN10" i="3"/>
  <c r="X5" i="3"/>
  <c r="X4" i="3"/>
  <c r="X8" i="3"/>
  <c r="X10" i="3"/>
  <c r="X7" i="3"/>
  <c r="AR28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50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19" i="2"/>
  <c r="AF7" i="2"/>
  <c r="AF8" i="2"/>
  <c r="AF9" i="2"/>
  <c r="AF10" i="2"/>
  <c r="AF11" i="2"/>
  <c r="AF12" i="2"/>
  <c r="AF13" i="2"/>
  <c r="AF6" i="2"/>
  <c r="I43" i="2"/>
  <c r="K43" i="2"/>
  <c r="I44" i="2"/>
  <c r="I45" i="2"/>
  <c r="I46" i="2"/>
  <c r="K46" i="2"/>
  <c r="I47" i="2"/>
  <c r="I48" i="2"/>
  <c r="K48" i="2"/>
  <c r="I49" i="2"/>
  <c r="K49" i="2"/>
  <c r="I50" i="2"/>
  <c r="K50" i="2"/>
  <c r="I51" i="2"/>
  <c r="K51" i="2"/>
  <c r="I52" i="2"/>
  <c r="K52" i="2"/>
  <c r="I53" i="2"/>
  <c r="K53" i="2"/>
  <c r="I54" i="2"/>
  <c r="K54" i="2"/>
  <c r="I55" i="2"/>
  <c r="I56" i="2"/>
  <c r="K56" i="2"/>
  <c r="I57" i="2"/>
  <c r="K57" i="2"/>
  <c r="I58" i="2"/>
  <c r="K58" i="2"/>
  <c r="I59" i="2"/>
  <c r="K59" i="2"/>
  <c r="I42" i="2"/>
  <c r="I21" i="2"/>
  <c r="K21" i="2"/>
  <c r="I22" i="2"/>
  <c r="K22" i="2"/>
  <c r="I23" i="2"/>
  <c r="K23" i="2"/>
  <c r="I27" i="2"/>
  <c r="K27" i="2"/>
  <c r="I28" i="2"/>
  <c r="K28" i="2"/>
  <c r="I29" i="2"/>
  <c r="K29" i="2"/>
  <c r="I30" i="2"/>
  <c r="K30" i="2"/>
  <c r="I31" i="2"/>
  <c r="I32" i="2"/>
  <c r="K32" i="2"/>
  <c r="I33" i="2"/>
  <c r="K33" i="2"/>
  <c r="I34" i="2"/>
  <c r="I35" i="2"/>
  <c r="I36" i="2"/>
  <c r="K36" i="2"/>
  <c r="I37" i="2"/>
  <c r="K37" i="2"/>
  <c r="I38" i="2"/>
  <c r="I39" i="2"/>
  <c r="I40" i="2"/>
  <c r="I20" i="2"/>
  <c r="I8" i="2"/>
  <c r="I7" i="2"/>
  <c r="D11" i="2"/>
  <c r="D10" i="2"/>
  <c r="D9" i="2"/>
  <c r="D8" i="2"/>
  <c r="D7" i="2"/>
  <c r="D6" i="2"/>
  <c r="Q28" i="2"/>
  <c r="S27" i="2"/>
  <c r="Q22" i="2"/>
  <c r="S22" i="2"/>
  <c r="S28" i="2"/>
  <c r="Q27" i="2"/>
  <c r="Q26" i="2"/>
  <c r="S26" i="2"/>
  <c r="K20" i="2"/>
  <c r="S29" i="2"/>
  <c r="K42" i="2"/>
  <c r="Q23" i="2"/>
  <c r="S23" i="2"/>
  <c r="S24" i="2"/>
  <c r="I9" i="2"/>
  <c r="I10" i="2"/>
  <c r="I6" i="2"/>
  <c r="J26" i="1"/>
  <c r="H25" i="1"/>
  <c r="J25" i="1"/>
  <c r="H24" i="1"/>
  <c r="J24" i="1"/>
  <c r="J23" i="1"/>
  <c r="H19" i="1"/>
  <c r="J19" i="1"/>
  <c r="H20" i="1"/>
  <c r="J20" i="1"/>
  <c r="H21" i="1"/>
  <c r="J21" i="1"/>
  <c r="H18" i="1"/>
  <c r="J18" i="1"/>
  <c r="G5" i="1"/>
  <c r="G6" i="1"/>
  <c r="G7" i="1"/>
  <c r="G8" i="1"/>
  <c r="G9" i="1"/>
  <c r="G10" i="1"/>
  <c r="G11" i="1"/>
  <c r="Q29" i="2"/>
  <c r="Q24" i="2"/>
  <c r="Q21" i="2"/>
  <c r="R21" i="2"/>
  <c r="S21" i="2"/>
  <c r="AJ11" i="11"/>
  <c r="AK11" i="11"/>
  <c r="AI11" i="11"/>
  <c r="N40" i="11"/>
  <c r="N15" i="11"/>
  <c r="N3" i="11"/>
  <c r="AI10" i="11"/>
  <c r="AJ10" i="11"/>
  <c r="AK10" i="11"/>
  <c r="AI8" i="11"/>
  <c r="AJ8" i="11"/>
  <c r="AK8" i="11"/>
  <c r="N28" i="11"/>
</calcChain>
</file>

<file path=xl/sharedStrings.xml><?xml version="1.0" encoding="utf-8"?>
<sst xmlns="http://schemas.openxmlformats.org/spreadsheetml/2006/main" count="2638" uniqueCount="491">
  <si>
    <t>[Cort] ng/ml</t>
  </si>
  <si>
    <t>Abs 1</t>
  </si>
  <si>
    <t>Abs 2</t>
  </si>
  <si>
    <t>Avg abs</t>
  </si>
  <si>
    <t>Treatment</t>
  </si>
  <si>
    <t>Time</t>
  </si>
  <si>
    <t>Fish ID</t>
  </si>
  <si>
    <t>Abs</t>
  </si>
  <si>
    <t>[cort] ng/ml</t>
  </si>
  <si>
    <t>TFM</t>
  </si>
  <si>
    <t>0h</t>
  </si>
  <si>
    <t>1h</t>
  </si>
  <si>
    <t>4h</t>
  </si>
  <si>
    <t>24h</t>
  </si>
  <si>
    <t>F9</t>
  </si>
  <si>
    <t>F26</t>
  </si>
  <si>
    <t>F33</t>
  </si>
  <si>
    <t>F50</t>
  </si>
  <si>
    <t>Control</t>
  </si>
  <si>
    <t>DF</t>
  </si>
  <si>
    <t>Actual [cort] ng/ml</t>
  </si>
  <si>
    <t>F8</t>
  </si>
  <si>
    <t>F30</t>
  </si>
  <si>
    <t>F89</t>
  </si>
  <si>
    <t>F64</t>
  </si>
  <si>
    <t>Plasma cortisol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</si>
  <si>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</si>
  <si>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</si>
  <si>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</si>
  <si>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</si>
  <si>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</si>
  <si>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</si>
  <si>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</si>
  <si>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</si>
  <si>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</si>
  <si>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</si>
  <si>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</si>
  <si>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</si>
  <si>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</si>
  <si>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</si>
  <si>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</si>
  <si>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</si>
  <si>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</si>
  <si>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</si>
  <si>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</si>
  <si>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</si>
  <si>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</si>
  <si>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</si>
  <si>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</si>
  <si>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</si>
  <si>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</si>
  <si>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</si>
  <si>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</si>
  <si>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</si>
  <si>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</si>
  <si>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</si>
  <si>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</si>
  <si>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</si>
  <si>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</si>
  <si>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</si>
  <si>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</si>
  <si>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day 2 Tank 12</t>
  </si>
  <si>
    <t>Tank 15</t>
  </si>
  <si>
    <t>Day of Exp/Tank#</t>
  </si>
  <si>
    <t>Cort</t>
  </si>
  <si>
    <t>N</t>
  </si>
  <si>
    <t>SEM</t>
  </si>
  <si>
    <t>F2</t>
  </si>
  <si>
    <t>F3</t>
  </si>
  <si>
    <t>F4</t>
  </si>
  <si>
    <t>F11</t>
  </si>
  <si>
    <t>F12</t>
  </si>
  <si>
    <t>F17</t>
  </si>
  <si>
    <t>F18</t>
  </si>
  <si>
    <t>F20</t>
  </si>
  <si>
    <t>F25</t>
  </si>
  <si>
    <t>F27</t>
  </si>
  <si>
    <t>F28</t>
  </si>
  <si>
    <t>F34</t>
  </si>
  <si>
    <t>F35</t>
  </si>
  <si>
    <t>F36</t>
  </si>
  <si>
    <t>F37</t>
  </si>
  <si>
    <t>F41</t>
  </si>
  <si>
    <t>F49</t>
  </si>
  <si>
    <t>F51</t>
  </si>
  <si>
    <t>F52</t>
  </si>
  <si>
    <t>F57</t>
  </si>
  <si>
    <t>F58</t>
  </si>
  <si>
    <t>F59</t>
  </si>
  <si>
    <t>F60</t>
  </si>
  <si>
    <t>F6</t>
  </si>
  <si>
    <t>F7</t>
  </si>
  <si>
    <t>F13</t>
  </si>
  <si>
    <t>F14</t>
  </si>
  <si>
    <t>F15</t>
  </si>
  <si>
    <t>F16</t>
  </si>
  <si>
    <t>F29</t>
  </si>
  <si>
    <t>F31</t>
  </si>
  <si>
    <t>F32</t>
  </si>
  <si>
    <t>F38</t>
  </si>
  <si>
    <t>F39</t>
  </si>
  <si>
    <t>F40</t>
  </si>
  <si>
    <t>F45</t>
  </si>
  <si>
    <t>F46</t>
  </si>
  <si>
    <t>F47</t>
  </si>
  <si>
    <t>F48</t>
  </si>
  <si>
    <t>F54</t>
  </si>
  <si>
    <t>F55</t>
  </si>
  <si>
    <t>F56</t>
  </si>
  <si>
    <t>F61</t>
  </si>
  <si>
    <t>F62</t>
  </si>
  <si>
    <t>F63</t>
  </si>
  <si>
    <t>Tank 15/14</t>
  </si>
  <si>
    <t>Day 1 Tank 11/12</t>
  </si>
  <si>
    <t>F21</t>
  </si>
  <si>
    <t>F22</t>
  </si>
  <si>
    <t>F23</t>
  </si>
  <si>
    <t>F24</t>
  </si>
  <si>
    <t>F42</t>
  </si>
  <si>
    <t>F43</t>
  </si>
  <si>
    <t>F44</t>
  </si>
  <si>
    <t>Plasma lactate</t>
  </si>
  <si>
    <t>[Lac] mM</t>
  </si>
  <si>
    <t>ABSi 1</t>
  </si>
  <si>
    <t>Absi 2</t>
  </si>
  <si>
    <t>Absf 1</t>
  </si>
  <si>
    <t>Absf 2</t>
  </si>
  <si>
    <t>Diff1</t>
  </si>
  <si>
    <t>Diff2</t>
  </si>
  <si>
    <t>Avg diff</t>
  </si>
  <si>
    <t>PLATE 1</t>
  </si>
  <si>
    <t>PLATE 2</t>
  </si>
  <si>
    <t>Time (h)</t>
  </si>
  <si>
    <t>Absi1</t>
  </si>
  <si>
    <t>Absi2</t>
  </si>
  <si>
    <t>Absf1</t>
  </si>
  <si>
    <t>Abdf2</t>
  </si>
  <si>
    <t>Avg Diff</t>
  </si>
  <si>
    <t>Actual [Lac]</t>
  </si>
  <si>
    <t>Sample ID</t>
  </si>
  <si>
    <t>[Lac]mM</t>
  </si>
  <si>
    <t>[Gly] mM</t>
  </si>
  <si>
    <t xml:space="preserve">[BG] </t>
  </si>
  <si>
    <t>[BG] mM</t>
  </si>
  <si>
    <t>Sample</t>
  </si>
  <si>
    <t>BG</t>
  </si>
  <si>
    <t>Tank#</t>
  </si>
  <si>
    <t>Avg Abs</t>
  </si>
  <si>
    <t>GLYCOGEN</t>
  </si>
  <si>
    <t>Abs1</t>
  </si>
  <si>
    <t>Abs2</t>
  </si>
  <si>
    <t>[Glc] mM</t>
  </si>
  <si>
    <t>Abs3</t>
  </si>
  <si>
    <t>Abs4</t>
  </si>
  <si>
    <t>std</t>
  </si>
  <si>
    <t>Conc</t>
  </si>
  <si>
    <t>Avg</t>
  </si>
  <si>
    <t>[BG] umol/g</t>
  </si>
  <si>
    <t>[Gly]-BG</t>
  </si>
  <si>
    <t>Actual Gly</t>
  </si>
  <si>
    <t>[Gly] umol/g</t>
  </si>
  <si>
    <t>Conc (mM)</t>
  </si>
  <si>
    <t>Conc [mg/dL)</t>
  </si>
  <si>
    <t>Actual conc (mg/dL)</t>
  </si>
  <si>
    <t>certified std</t>
  </si>
  <si>
    <t>GLC mM</t>
  </si>
  <si>
    <t>outlier removed</t>
  </si>
  <si>
    <t xml:space="preserve">outlier removed </t>
  </si>
  <si>
    <t>MC2R</t>
  </si>
  <si>
    <t>[cDNA]</t>
  </si>
  <si>
    <t>Log[cDNA]</t>
  </si>
  <si>
    <t>CT1</t>
  </si>
  <si>
    <t>CT2</t>
  </si>
  <si>
    <t>CT3</t>
  </si>
  <si>
    <t>Average CT</t>
  </si>
  <si>
    <t>cDNA ctrl</t>
  </si>
  <si>
    <t>N/A</t>
  </si>
  <si>
    <t>neg ctrl</t>
  </si>
  <si>
    <t>StAR</t>
  </si>
  <si>
    <t>P450scc</t>
  </si>
  <si>
    <t>n/a</t>
  </si>
  <si>
    <t>EF1a</t>
  </si>
  <si>
    <t>AVG CT</t>
  </si>
  <si>
    <t>EF1a Log</t>
  </si>
  <si>
    <t>EF1a antilog</t>
  </si>
  <si>
    <t>MC2R log</t>
  </si>
  <si>
    <t>MC2R antilog</t>
  </si>
  <si>
    <t>Normalized MC2R</t>
  </si>
  <si>
    <t xml:space="preserve">Control </t>
  </si>
  <si>
    <t>outlier not included</t>
  </si>
  <si>
    <t>Normalized actin</t>
  </si>
  <si>
    <t>Total RNA</t>
  </si>
  <si>
    <t>ng/ml</t>
  </si>
  <si>
    <t>% change from control 0h</t>
  </si>
  <si>
    <t>avg control 0h</t>
  </si>
  <si>
    <t>StAR log</t>
  </si>
  <si>
    <t>StAR antilog</t>
  </si>
  <si>
    <t>Normalized StAR</t>
  </si>
  <si>
    <t>outleir not included</t>
  </si>
  <si>
    <t>P450scc log</t>
  </si>
  <si>
    <t>P450scc antilog</t>
  </si>
  <si>
    <t>Normalized P450</t>
  </si>
  <si>
    <t>Vol RNA</t>
  </si>
  <si>
    <t>RNA</t>
  </si>
  <si>
    <t>ng</t>
  </si>
  <si>
    <t>ul</t>
  </si>
  <si>
    <t>Normalized to RNA</t>
  </si>
  <si>
    <t>%control</t>
  </si>
  <si>
    <t>pH</t>
  </si>
  <si>
    <t>Ctrl</t>
  </si>
  <si>
    <t>% TFM left over after 1h of drip being off</t>
  </si>
  <si>
    <t>P450 normalized to EF1a</t>
  </si>
  <si>
    <t>AVG control</t>
  </si>
  <si>
    <t>% control</t>
  </si>
  <si>
    <t>StAR normalized to EF1a</t>
  </si>
  <si>
    <t>Normalized to EF1a</t>
  </si>
  <si>
    <t>LACTATE DEHYDROGENASE</t>
  </si>
  <si>
    <t>Blank</t>
  </si>
  <si>
    <t>Vmax</t>
  </si>
  <si>
    <t>Vmax adjusted (OD/min)</t>
  </si>
  <si>
    <t>umol/min/ml</t>
  </si>
  <si>
    <t>[Protein] mg/ml</t>
  </si>
  <si>
    <t>no BG</t>
  </si>
  <si>
    <t>umol/min/ml with DF</t>
  </si>
  <si>
    <t>umol/min/mg</t>
  </si>
  <si>
    <t>Activity with DF2 in tissue (umol/min/mg prot)</t>
  </si>
  <si>
    <t>LDH</t>
  </si>
  <si>
    <t>HEXOKINASE</t>
  </si>
  <si>
    <t>Wells</t>
  </si>
  <si>
    <t>Value</t>
  </si>
  <si>
    <t>R</t>
  </si>
  <si>
    <t>Result</t>
  </si>
  <si>
    <t>MeanResult (ug/ml)</t>
  </si>
  <si>
    <t>SD</t>
  </si>
  <si>
    <t>CV</t>
  </si>
  <si>
    <t>Protein (mg/ml)</t>
  </si>
  <si>
    <t>A3</t>
  </si>
  <si>
    <t>A4</t>
  </si>
  <si>
    <t>B3</t>
  </si>
  <si>
    <t>B4</t>
  </si>
  <si>
    <t>C3</t>
  </si>
  <si>
    <t>C4</t>
  </si>
  <si>
    <t>D3</t>
  </si>
  <si>
    <t>D4</t>
  </si>
  <si>
    <t>E3</t>
  </si>
  <si>
    <t>E4</t>
  </si>
  <si>
    <t>G3</t>
  </si>
  <si>
    <t>G4</t>
  </si>
  <si>
    <t>H3</t>
  </si>
  <si>
    <t>H4</t>
  </si>
  <si>
    <t>A5</t>
  </si>
  <si>
    <t>A6</t>
  </si>
  <si>
    <t>B5</t>
  </si>
  <si>
    <t>B6</t>
  </si>
  <si>
    <t>C5</t>
  </si>
  <si>
    <t>C6</t>
  </si>
  <si>
    <t>D5</t>
  </si>
  <si>
    <t>D6</t>
  </si>
  <si>
    <t>E5</t>
  </si>
  <si>
    <t>E6</t>
  </si>
  <si>
    <t>F5</t>
  </si>
  <si>
    <t>G5</t>
  </si>
  <si>
    <t>G6</t>
  </si>
  <si>
    <t>H5</t>
  </si>
  <si>
    <t>H6</t>
  </si>
  <si>
    <t>A7</t>
  </si>
  <si>
    <t>A8</t>
  </si>
  <si>
    <t>B7</t>
  </si>
  <si>
    <t>B8</t>
  </si>
  <si>
    <t>C7</t>
  </si>
  <si>
    <t>C8</t>
  </si>
  <si>
    <t>D7</t>
  </si>
  <si>
    <t>D8</t>
  </si>
  <si>
    <t>E7</t>
  </si>
  <si>
    <t>E8</t>
  </si>
  <si>
    <t>G7</t>
  </si>
  <si>
    <t>G8</t>
  </si>
  <si>
    <t>H7</t>
  </si>
  <si>
    <t>H8</t>
  </si>
  <si>
    <t>A9</t>
  </si>
  <si>
    <t>A10</t>
  </si>
  <si>
    <t>B9</t>
  </si>
  <si>
    <t>B10</t>
  </si>
  <si>
    <t>C9</t>
  </si>
  <si>
    <t>C10</t>
  </si>
  <si>
    <t>D9</t>
  </si>
  <si>
    <t>D10</t>
  </si>
  <si>
    <t>E9</t>
  </si>
  <si>
    <t>E10</t>
  </si>
  <si>
    <t>F10</t>
  </si>
  <si>
    <t>G9</t>
  </si>
  <si>
    <t>G10</t>
  </si>
  <si>
    <t>H9</t>
  </si>
  <si>
    <t>H10</t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</si>
  <si>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</si>
  <si>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</si>
  <si>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</si>
  <si>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</si>
  <si>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</si>
  <si>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</si>
  <si>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</si>
  <si>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</si>
  <si>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</si>
  <si>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</si>
  <si>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G11</t>
  </si>
  <si>
    <t>G12</t>
  </si>
  <si>
    <t>H11</t>
  </si>
  <si>
    <t>H12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</si>
  <si>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</si>
  <si>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</si>
  <si>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</si>
  <si>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</si>
  <si>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</si>
  <si>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</si>
  <si>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</si>
  <si>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</si>
  <si>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</si>
  <si>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</si>
  <si>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</si>
  <si>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G1</t>
  </si>
  <si>
    <t>G2</t>
  </si>
  <si>
    <t>H1</t>
  </si>
  <si>
    <t>H2</t>
  </si>
  <si>
    <t>PROTEIN</t>
  </si>
  <si>
    <t>GLUCOKINASE</t>
  </si>
  <si>
    <t>GK</t>
  </si>
  <si>
    <t>HK</t>
  </si>
  <si>
    <t>AspAT</t>
  </si>
  <si>
    <t>AlaAT</t>
  </si>
  <si>
    <t>PEPCK</t>
  </si>
  <si>
    <t>PYRUVATE KINASE</t>
  </si>
  <si>
    <t>Alanine Aminotransferase (AlaAT)</t>
  </si>
  <si>
    <t>Aspartate Aminotransferase (AspAT)</t>
  </si>
  <si>
    <t>PK</t>
  </si>
  <si>
    <t>Tissue wt (mg)</t>
  </si>
  <si>
    <t>mg/ml</t>
  </si>
  <si>
    <t>Protein(mg/g ww)</t>
  </si>
  <si>
    <t>[Gly] umol/mg prot</t>
  </si>
  <si>
    <t>Protein (mg/g ww)</t>
  </si>
  <si>
    <t>Protein(mg/ml)</t>
  </si>
  <si>
    <t>elminated</t>
  </si>
  <si>
    <t>eliminated</t>
  </si>
  <si>
    <t>BG (umol/mg prot)</t>
  </si>
  <si>
    <t>[BG] umol/mg prot</t>
  </si>
  <si>
    <t>outlier eliminated</t>
  </si>
  <si>
    <t>outlier elliminated</t>
  </si>
  <si>
    <t>Glycogen (umol/mg protein)</t>
  </si>
  <si>
    <t>ng/ul</t>
  </si>
  <si>
    <t>Well</t>
  </si>
  <si>
    <t>Fluor</t>
  </si>
  <si>
    <t>Target</t>
  </si>
  <si>
    <t>Content</t>
  </si>
  <si>
    <t>Cq</t>
  </si>
  <si>
    <t>Cq Mean</t>
  </si>
  <si>
    <t>Cq Std. Dev</t>
  </si>
  <si>
    <t>Set Point</t>
  </si>
  <si>
    <t>60 C</t>
  </si>
  <si>
    <t>A01</t>
  </si>
  <si>
    <t>SYBR</t>
  </si>
  <si>
    <t>Unkn</t>
  </si>
  <si>
    <t>cDNA DF</t>
  </si>
  <si>
    <t xml:space="preserve">log [cDNA] </t>
  </si>
  <si>
    <t>Avg CT</t>
  </si>
  <si>
    <t>Efficiency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</si>
  <si>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</si>
  <si>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</si>
  <si>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</si>
  <si>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</si>
  <si>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</si>
  <si>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</si>
  <si>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</si>
  <si>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</si>
  <si>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</si>
  <si>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</si>
  <si>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</si>
  <si>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</si>
  <si>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</si>
  <si>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</si>
  <si>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</si>
  <si>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</si>
  <si>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</si>
  <si>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58.7 C</t>
  </si>
  <si>
    <t>C01</t>
  </si>
  <si>
    <t>efficiency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</si>
  <si>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</si>
  <si>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</si>
  <si>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</si>
  <si>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</si>
  <si>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</si>
  <si>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</si>
  <si>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</si>
  <si>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</si>
  <si>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</si>
  <si>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</si>
  <si>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</si>
  <si>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</si>
  <si>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</si>
  <si>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</si>
  <si>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</si>
  <si>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</si>
  <si>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</si>
  <si>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55 C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</si>
  <si>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</si>
  <si>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</si>
  <si>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</si>
  <si>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</si>
  <si>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</si>
  <si>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</si>
  <si>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</si>
  <si>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</si>
  <si>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</si>
  <si>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</si>
  <si>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</si>
  <si>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</si>
  <si>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</si>
  <si>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</si>
  <si>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</si>
  <si>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</si>
  <si>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</si>
  <si>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</si>
  <si>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</si>
  <si>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</si>
  <si>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</si>
  <si>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</si>
  <si>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</si>
  <si>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</si>
  <si>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</si>
  <si>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</si>
  <si>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</si>
  <si>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</si>
  <si>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</si>
  <si>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</si>
  <si>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</si>
  <si>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</si>
  <si>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</si>
  <si>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</si>
  <si>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</si>
  <si>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</si>
  <si>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Ta =52</t>
  </si>
  <si>
    <t>52 C</t>
  </si>
  <si>
    <t>18S RNA</t>
  </si>
  <si>
    <t>18s RNA</t>
  </si>
  <si>
    <t>Normalized 18s RNA</t>
  </si>
  <si>
    <t>18s RNA log</t>
  </si>
  <si>
    <t>18s RNA antilog</t>
  </si>
  <si>
    <t>NOT NORMALIZED</t>
  </si>
  <si>
    <t>Plate 1 stds</t>
  </si>
  <si>
    <t>Lof [cprt]</t>
  </si>
  <si>
    <t>Plate 2 stds</t>
  </si>
  <si>
    <t>[TFM] mg/L</t>
  </si>
  <si>
    <t>In vitro challenge</t>
  </si>
  <si>
    <t>log[cort]</t>
  </si>
  <si>
    <t>antilog</t>
  </si>
  <si>
    <t>C</t>
  </si>
  <si>
    <t>c</t>
  </si>
  <si>
    <t>ACTH</t>
  </si>
  <si>
    <t>8BR</t>
  </si>
  <si>
    <t>7.6 mg/L</t>
  </si>
  <si>
    <t>[TFM]</t>
  </si>
  <si>
    <t>Challenge</t>
  </si>
  <si>
    <t>Media protein (ug/ml)</t>
  </si>
  <si>
    <t>[Cort] ng/ug prot</t>
  </si>
  <si>
    <t>[Cort] ng/mg prot</t>
  </si>
  <si>
    <t>Tissue weight (mg)</t>
  </si>
  <si>
    <t>[Cort] ng/g ww</t>
  </si>
  <si>
    <t>Media cortisol</t>
  </si>
  <si>
    <t>Log cortisol</t>
  </si>
  <si>
    <t>Basal</t>
  </si>
  <si>
    <t>Log data</t>
  </si>
  <si>
    <t>FISH ID</t>
  </si>
  <si>
    <t>WT (g)</t>
  </si>
  <si>
    <t>L(cm)</t>
  </si>
  <si>
    <t>F19</t>
  </si>
  <si>
    <t>F53</t>
  </si>
  <si>
    <t>avg</t>
  </si>
  <si>
    <t>sem</t>
  </si>
  <si>
    <t>STRESS</t>
  </si>
  <si>
    <t>IN VITRO</t>
  </si>
  <si>
    <t>BG (umol/g ww)</t>
  </si>
  <si>
    <t>Glycogen</t>
  </si>
  <si>
    <t>Gly (umol/g ww)</t>
  </si>
  <si>
    <t>geometric mean</t>
  </si>
  <si>
    <t>control</t>
  </si>
  <si>
    <t>MC2R norm</t>
  </si>
  <si>
    <t>MC2R %ctrl</t>
  </si>
  <si>
    <t>StAR %ctrl</t>
  </si>
  <si>
    <t>P450scc %ctrl</t>
  </si>
  <si>
    <t>GM</t>
  </si>
  <si>
    <t>StAR norm</t>
  </si>
  <si>
    <t>P450scc norm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</si>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</sst>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4" borderId="0" xfId="0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4" borderId="0" xfId="0" applyNumberFormat="1" applyFill="1" applyAlignment="1">
      <alignment horizontal="center"/>
    </xf>
    <xf numFmtId="164" fontId="0" fillId="4" borderId="0" xfId="0" applyNumberFormat="1" applyFill="1"/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0" fillId="6" borderId="0" xfId="0" applyFill="1"/>
    <xf numFmtId="164" fontId="0" fillId="6" borderId="0" xfId="0" applyNumberFormat="1" applyFill="1"/>
    <xf numFmtId="2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2" borderId="0" xfId="0" applyFont="1" applyFill="1"/>
    <xf numFmtId="0" fontId="7" fillId="0" borderId="0" xfId="0" applyFont="1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dispRSqr val="1"/>
            <c:dispEq val="1"/>
            <c:trendlineLbl>
              <c:layout>
                <c:manualLayout>
                  <c:x val="0.163458442694663"/>
                  <c:y val="-0.629544012222353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'Trial ELISA- March 13, 2015'!$D$6:$D$11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25.0</c:v>
                </c:pt>
              </c:numCache>
            </c:numRef>
          </c:xVal>
          <c:yVal>
            <c:numRef>
              <c:f>'Trial ELISA- March 13, 2015'!$G$6:$G$11</c:f>
              <c:numCache>
                <c:formatCode>General</c:formatCode>
                <c:ptCount val="6"/>
                <c:pt idx="0">
                  <c:v>1.1088</c:v>
                </c:pt>
                <c:pt idx="1">
                  <c:v>1.082</c:v>
                </c:pt>
                <c:pt idx="2">
                  <c:v>0.592</c:v>
                </c:pt>
                <c:pt idx="3">
                  <c:v>0.45</c:v>
                </c:pt>
                <c:pt idx="4">
                  <c:v>0.274</c:v>
                </c:pt>
                <c:pt idx="5">
                  <c:v>0.1675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615-47FD-8CDC-8C5DCF70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6986608"/>
        <c:axId val="-1804715968"/>
      </c:scatterChart>
      <c:valAx>
        <c:axId val="-104698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4715968"/>
        <c:crosses val="autoZero"/>
        <c:crossBetween val="midCat"/>
      </c:valAx>
      <c:valAx>
        <c:axId val="-18047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98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3 std curve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4932705329642"/>
                  <c:y val="-0.123132594918964"/>
                </c:manualLayout>
              </c:layout>
              <c:numFmt formatCode="General" sourceLinked="0"/>
            </c:trendlineLbl>
          </c:trendline>
          <c:xVal>
            <c:numRef>
              <c:f>'Plasma lactate'!$AN$4:$AN$10</c:f>
              <c:numCache>
                <c:formatCode>General</c:formatCode>
                <c:ptCount val="7"/>
                <c:pt idx="0">
                  <c:v>-0.000499999999999986</c:v>
                </c:pt>
                <c:pt idx="1">
                  <c:v>0.0102</c:v>
                </c:pt>
                <c:pt idx="2">
                  <c:v>0.0157</c:v>
                </c:pt>
                <c:pt idx="3">
                  <c:v>0.0327</c:v>
                </c:pt>
                <c:pt idx="4">
                  <c:v>0.0831</c:v>
                </c:pt>
                <c:pt idx="5">
                  <c:v>0.1453</c:v>
                </c:pt>
                <c:pt idx="6">
                  <c:v>0.2401</c:v>
                </c:pt>
              </c:numCache>
            </c:numRef>
          </c:xVal>
          <c:yVal>
            <c:numRef>
              <c:f>'Plasma lactate'!$AG$4:$AG$10</c:f>
              <c:numCache>
                <c:formatCode>General</c:formatCode>
                <c:ptCount val="7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29-4124-8C39-7F10D543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5536352"/>
        <c:axId val="-1745525744"/>
      </c:scatterChart>
      <c:valAx>
        <c:axId val="-17455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45525744"/>
        <c:crosses val="autoZero"/>
        <c:crossBetween val="midCat"/>
      </c:valAx>
      <c:valAx>
        <c:axId val="-174552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553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cat>
            <c:strRef>
              <c:f>'Plasma lactate'!$AX$32:$AX$35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'Plasma lactate'!$AY$27:$AY$30</c:f>
              <c:numCache>
                <c:formatCode>General</c:formatCode>
                <c:ptCount val="4"/>
                <c:pt idx="0">
                  <c:v>4.914697336363636</c:v>
                </c:pt>
                <c:pt idx="1">
                  <c:v>16.29017646923077</c:v>
                </c:pt>
                <c:pt idx="2">
                  <c:v>8.951823475</c:v>
                </c:pt>
                <c:pt idx="3">
                  <c:v>6.125161112499999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B5-4085-9DAA-6F89B89CF285}"/>
            </c:ext>
          </c:extLst>
        </c:ser>
        <c:ser>
          <c:idx val="1"/>
          <c:order val="1"/>
          <c:tx>
            <c:v>TFM</c:v>
          </c:tx>
          <c:invertIfNegative val="0"/>
          <c:cat>
            <c:strRef>
              <c:f>'Plasma lactate'!$AX$32:$AX$35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'Plasma lactate'!$AY$32:$AY$35</c:f>
              <c:numCache>
                <c:formatCode>General</c:formatCode>
                <c:ptCount val="4"/>
                <c:pt idx="0">
                  <c:v>5.9685556125</c:v>
                </c:pt>
                <c:pt idx="1">
                  <c:v>16.4532524875</c:v>
                </c:pt>
                <c:pt idx="2">
                  <c:v>7.0764562</c:v>
                </c:pt>
                <c:pt idx="3">
                  <c:v>6.594071746153846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B5-4085-9DAA-6F89B89C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5469280"/>
        <c:axId val="-1745465360"/>
      </c:barChart>
      <c:catAx>
        <c:axId val="-17454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45465360"/>
        <c:crosses val="autoZero"/>
        <c:auto val="1"/>
        <c:lblAlgn val="ctr"/>
        <c:lblOffset val="100"/>
        <c:noMultiLvlLbl val="0"/>
      </c:catAx>
      <c:valAx>
        <c:axId val="-174546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546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Glc Std curve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20374287253463"/>
                  <c:y val="-0.182173897050559"/>
                </c:manualLayout>
              </c:layout>
              <c:numFmt formatCode="General" sourceLinked="0"/>
            </c:trendlineLbl>
          </c:trendline>
          <c:xVal>
            <c:numRef>
              <c:f>'Plasma glucose'!$E$3:$E$10</c:f>
              <c:numCache>
                <c:formatCode>General</c:formatCode>
                <c:ptCount val="8"/>
                <c:pt idx="0">
                  <c:v>0.045</c:v>
                </c:pt>
                <c:pt idx="1">
                  <c:v>0.08515</c:v>
                </c:pt>
                <c:pt idx="2">
                  <c:v>0.12365</c:v>
                </c:pt>
                <c:pt idx="3">
                  <c:v>0.19925</c:v>
                </c:pt>
                <c:pt idx="4">
                  <c:v>0.3734</c:v>
                </c:pt>
                <c:pt idx="5">
                  <c:v>0.50955</c:v>
                </c:pt>
                <c:pt idx="6">
                  <c:v>0.65865</c:v>
                </c:pt>
                <c:pt idx="7">
                  <c:v>0.7951</c:v>
                </c:pt>
              </c:numCache>
            </c:numRef>
          </c:xVal>
          <c:yVal>
            <c:numRef>
              <c:f>'Plasma glucose'!$B$3:$B$10</c:f>
              <c:numCache>
                <c:formatCode>General</c:formatCode>
                <c:ptCount val="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AC-466F-A4A0-B334F326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585808"/>
        <c:axId val="-701495824"/>
      </c:scatterChart>
      <c:valAx>
        <c:axId val="-131258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1495824"/>
        <c:crosses val="autoZero"/>
        <c:crossBetween val="midCat"/>
      </c:valAx>
      <c:valAx>
        <c:axId val="-70149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1258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'Plasma glucose'!$AE$19:$AE$22</c:f>
                <c:numCache>
                  <c:formatCode>General</c:formatCode>
                  <c:ptCount val="4"/>
                  <c:pt idx="0">
                    <c:v>0.14608159491975</c:v>
                  </c:pt>
                  <c:pt idx="1">
                    <c:v>0.173366316624207</c:v>
                  </c:pt>
                  <c:pt idx="2">
                    <c:v>0.488031806455061</c:v>
                  </c:pt>
                  <c:pt idx="3">
                    <c:v>0.214556202464773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'Plasma glucose'!$AB$24:$AB$27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'Plasma glucose'!$AC$19:$AC$22</c:f>
              <c:numCache>
                <c:formatCode>General</c:formatCode>
                <c:ptCount val="4"/>
                <c:pt idx="0">
                  <c:v>2.515503545454545</c:v>
                </c:pt>
                <c:pt idx="1">
                  <c:v>3.313162375000001</c:v>
                </c:pt>
                <c:pt idx="2">
                  <c:v>4.978778249999999</c:v>
                </c:pt>
                <c:pt idx="3">
                  <c:v>2.411745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5C-4B6A-BDCF-5234A7574F9C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'Plasma glucose'!$AE$24:$AE$27</c:f>
                <c:numCache>
                  <c:formatCode>General</c:formatCode>
                  <c:ptCount val="4"/>
                  <c:pt idx="0">
                    <c:v>0.284921879276883</c:v>
                  </c:pt>
                  <c:pt idx="1">
                    <c:v>0.400576366500898</c:v>
                  </c:pt>
                  <c:pt idx="2">
                    <c:v>0.554341859445873</c:v>
                  </c:pt>
                  <c:pt idx="3">
                    <c:v>0.621816012237384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'Plasma glucose'!$AC$24:$AC$27</c:f>
              <c:numCache>
                <c:formatCode>General</c:formatCode>
                <c:ptCount val="4"/>
                <c:pt idx="0">
                  <c:v>2.7215195</c:v>
                </c:pt>
                <c:pt idx="1">
                  <c:v>3.956159125</c:v>
                </c:pt>
                <c:pt idx="2">
                  <c:v>3.60604909090909</c:v>
                </c:pt>
                <c:pt idx="3">
                  <c:v>3.880341346153846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5C-4B6A-BDCF-5234A757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1620800"/>
        <c:axId val="-1848069920"/>
      </c:barChart>
      <c:catAx>
        <c:axId val="-17816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48069920"/>
        <c:crosses val="autoZero"/>
        <c:auto val="1"/>
        <c:lblAlgn val="ctr"/>
        <c:lblOffset val="100"/>
        <c:noMultiLvlLbl val="0"/>
      </c:catAx>
      <c:valAx>
        <c:axId val="-18480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816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P450scc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9638888888889"/>
                  <c:y val="0.00155657626130067"/>
                </c:manualLayout>
              </c:layout>
              <c:numFmt formatCode="General" sourceLinked="0"/>
            </c:trendlineLbl>
          </c:trendline>
          <c:xVal>
            <c:numRef>
              <c:f>'HK EF1a'!$C$3:$C$8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EF1a'!$G$3:$G$8</c:f>
              <c:numCache>
                <c:formatCode>General</c:formatCode>
                <c:ptCount val="6"/>
                <c:pt idx="0">
                  <c:v>16.15333333333334</c:v>
                </c:pt>
                <c:pt idx="1">
                  <c:v>18.62</c:v>
                </c:pt>
                <c:pt idx="2">
                  <c:v>19.68333333333333</c:v>
                </c:pt>
                <c:pt idx="3">
                  <c:v>22.03333333333333</c:v>
                </c:pt>
                <c:pt idx="4">
                  <c:v>23.99</c:v>
                </c:pt>
                <c:pt idx="5">
                  <c:v>24.97666666666667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DB-4166-901B-EF71EF66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761456"/>
        <c:axId val="-1838103680"/>
      </c:scatterChart>
      <c:valAx>
        <c:axId val="-183776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38103680"/>
        <c:crosses val="autoZero"/>
        <c:crossBetween val="midCat"/>
      </c:valAx>
      <c:valAx>
        <c:axId val="-18381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776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29628361672"/>
          <c:y val="0.0514005540974045"/>
          <c:w val="0.776109779755791"/>
          <c:h val="0.832619568387285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 EF1a'!$T$19:$T$22</c:f>
                <c:numCache>
                  <c:formatCode>General</c:formatCode>
                  <c:ptCount val="4"/>
                  <c:pt idx="0">
                    <c:v>5.7128996074436</c:v>
                  </c:pt>
                  <c:pt idx="1">
                    <c:v>11.43542210119055</c:v>
                  </c:pt>
                  <c:pt idx="2">
                    <c:v>13.1977549482432</c:v>
                  </c:pt>
                  <c:pt idx="3">
                    <c:v>16.42936006778775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'HK EF1a'!$Q$19:$Q$22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'HK EF1a'!$R$19:$R$22</c:f>
              <c:numCache>
                <c:formatCode>General</c:formatCode>
                <c:ptCount val="4"/>
                <c:pt idx="0">
                  <c:v>100.0</c:v>
                </c:pt>
                <c:pt idx="1">
                  <c:v>101.6680658293526</c:v>
                </c:pt>
                <c:pt idx="2">
                  <c:v>132.9796183311131</c:v>
                </c:pt>
                <c:pt idx="3">
                  <c:v>147.557465373025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8F-4362-AD78-8BC3D71B7CF4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'HK EF1a'!$T$24:$T$27</c:f>
                <c:numCache>
                  <c:formatCode>General</c:formatCode>
                  <c:ptCount val="4"/>
                  <c:pt idx="0">
                    <c:v>11.98098134059798</c:v>
                  </c:pt>
                  <c:pt idx="1">
                    <c:v>10.1009811001358</c:v>
                  </c:pt>
                  <c:pt idx="2">
                    <c:v>16.68229664932934</c:v>
                  </c:pt>
                  <c:pt idx="3">
                    <c:v>12.35457359226982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'HK EF1a'!$Q$19:$Q$22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'HK EF1a'!$R$24:$R$27</c:f>
              <c:numCache>
                <c:formatCode>General</c:formatCode>
                <c:ptCount val="4"/>
                <c:pt idx="0">
                  <c:v>92.15534630103097</c:v>
                </c:pt>
                <c:pt idx="1">
                  <c:v>102.562083702937</c:v>
                </c:pt>
                <c:pt idx="2">
                  <c:v>123.0263152693256</c:v>
                </c:pt>
                <c:pt idx="3">
                  <c:v>138.9437723967849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8F-4362-AD78-8BC3D71B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7392208"/>
        <c:axId val="-1837388080"/>
      </c:barChart>
      <c:catAx>
        <c:axId val="-183739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37388080"/>
        <c:crosses val="autoZero"/>
        <c:auto val="1"/>
        <c:lblAlgn val="ctr"/>
        <c:lblOffset val="100"/>
        <c:noMultiLvlLbl val="0"/>
      </c:catAx>
      <c:valAx>
        <c:axId val="-183738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739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MC2R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397676393392"/>
          <c:y val="0.0745487022455526"/>
          <c:w val="0.920594410992744"/>
          <c:h val="0.8326195683872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5759803921569"/>
                  <c:y val="-0.0126698745990085"/>
                </c:manualLayout>
              </c:layout>
              <c:numFmt formatCode="General" sourceLinked="0"/>
            </c:trendlineLbl>
          </c:trendline>
          <c:xVal>
            <c:numRef>
              <c:f>'HK MC2R'!$C$3:$C$8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MC2R'!$G$3:$G$8</c:f>
              <c:numCache>
                <c:formatCode>General</c:formatCode>
                <c:ptCount val="6"/>
                <c:pt idx="0">
                  <c:v>26.93333333333333</c:v>
                </c:pt>
                <c:pt idx="1">
                  <c:v>28.85666666666667</c:v>
                </c:pt>
                <c:pt idx="2">
                  <c:v>29.83</c:v>
                </c:pt>
                <c:pt idx="3">
                  <c:v>32.09333333333333</c:v>
                </c:pt>
                <c:pt idx="4">
                  <c:v>33.79666666666667</c:v>
                </c:pt>
                <c:pt idx="5">
                  <c:v>35.95333333333334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F5-45A3-8134-55854A58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7600128"/>
        <c:axId val="-1803957504"/>
      </c:scatterChart>
      <c:valAx>
        <c:axId val="-17476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3957504"/>
        <c:crosses val="autoZero"/>
        <c:crossBetween val="midCat"/>
      </c:valAx>
      <c:valAx>
        <c:axId val="-18039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76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7777996500437"/>
                  <c:y val="-0.0148895450568679"/>
                </c:manualLayout>
              </c:layout>
              <c:numFmt formatCode="General" sourceLinked="0"/>
            </c:trendlineLbl>
          </c:trendline>
          <c:xVal>
            <c:numRef>
              <c:f>'HK StAR'!$C$3:$C$8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StAR'!$G$3:$G$8</c:f>
              <c:numCache>
                <c:formatCode>General</c:formatCode>
                <c:ptCount val="6"/>
                <c:pt idx="0">
                  <c:v>21.54333333333333</c:v>
                </c:pt>
                <c:pt idx="1">
                  <c:v>23.77666666666667</c:v>
                </c:pt>
                <c:pt idx="2">
                  <c:v>24.54666666666667</c:v>
                </c:pt>
                <c:pt idx="3">
                  <c:v>26.86999999999999</c:v>
                </c:pt>
                <c:pt idx="4">
                  <c:v>29.16666666666667</c:v>
                </c:pt>
                <c:pt idx="5">
                  <c:v>30.18666666666667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12-46EB-A628-1FC2B953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8952240"/>
        <c:axId val="-778451744"/>
      </c:scatterChart>
      <c:valAx>
        <c:axId val="-174895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78451744"/>
        <c:crosses val="autoZero"/>
        <c:crossBetween val="midCat"/>
      </c:valAx>
      <c:valAx>
        <c:axId val="-7784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895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P450scc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582239720035"/>
                  <c:y val="-0.00150554097404491"/>
                </c:manualLayout>
              </c:layout>
              <c:numFmt formatCode="General" sourceLinked="0"/>
            </c:trendlineLbl>
          </c:trendline>
          <c:xVal>
            <c:numRef>
              <c:f>'HK P450scc'!$C$3:$C$8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P450scc'!$G$3:$G$8</c:f>
              <c:numCache>
                <c:formatCode>General</c:formatCode>
                <c:ptCount val="6"/>
                <c:pt idx="0">
                  <c:v>25.9</c:v>
                </c:pt>
                <c:pt idx="1">
                  <c:v>28.5</c:v>
                </c:pt>
                <c:pt idx="2">
                  <c:v>29.34</c:v>
                </c:pt>
                <c:pt idx="3">
                  <c:v>31.64333333333333</c:v>
                </c:pt>
                <c:pt idx="4">
                  <c:v>34.05</c:v>
                </c:pt>
                <c:pt idx="5">
                  <c:v>34.52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69-46DF-8DBC-5C8EA471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891888"/>
        <c:axId val="-1745310640"/>
      </c:scatterChart>
      <c:valAx>
        <c:axId val="-177889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45310640"/>
        <c:crosses val="autoZero"/>
        <c:crossBetween val="midCat"/>
      </c:valAx>
      <c:valAx>
        <c:axId val="-174531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889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C</c:v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82818897637795"/>
                  <c:y val="-0.00518664333624964"/>
                </c:manualLayout>
              </c:layout>
              <c:numFmt formatCode="General" sourceLinked="0"/>
            </c:trendlineLbl>
          </c:trendline>
          <c:xVal>
            <c:numRef>
              <c:f>'HK 18sRNA gradient'!$N$3:$N$8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18sRNA gradient'!$Q$3:$Q$8</c:f>
              <c:numCache>
                <c:formatCode>General</c:formatCode>
                <c:ptCount val="6"/>
                <c:pt idx="0">
                  <c:v>9.885</c:v>
                </c:pt>
                <c:pt idx="1">
                  <c:v>12.965</c:v>
                </c:pt>
                <c:pt idx="2">
                  <c:v>13.98</c:v>
                </c:pt>
                <c:pt idx="3">
                  <c:v>16.425</c:v>
                </c:pt>
                <c:pt idx="4">
                  <c:v>18.485</c:v>
                </c:pt>
                <c:pt idx="5">
                  <c:v>19.41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FD-4BB5-814D-56C1C85E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754512"/>
        <c:axId val="-1809035744"/>
      </c:scatterChart>
      <c:valAx>
        <c:axId val="-179775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9035744"/>
        <c:crosses val="autoZero"/>
        <c:crossBetween val="midCat"/>
      </c:valAx>
      <c:valAx>
        <c:axId val="-18090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775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TFM</c:v>
          </c:tx>
          <c:xVal>
            <c:strRef>
              <c:f>'Trial ELISA- March 13, 2015'!$E$18:$E$21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xVal>
          <c:yVal>
            <c:numRef>
              <c:f>'Trial ELISA- March 13, 2015'!$J$18:$J$21</c:f>
              <c:numCache>
                <c:formatCode>General</c:formatCode>
                <c:ptCount val="4"/>
                <c:pt idx="0">
                  <c:v>16.19188191881918</c:v>
                </c:pt>
                <c:pt idx="1">
                  <c:v>28.77490774907749</c:v>
                </c:pt>
                <c:pt idx="2">
                  <c:v>25.93357933579336</c:v>
                </c:pt>
                <c:pt idx="3">
                  <c:v>23.31365313653136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8-46E3-9E49-9B5400A00CA9}"/>
            </c:ext>
          </c:extLst>
        </c:ser>
        <c:ser>
          <c:idx val="1"/>
          <c:order val="1"/>
          <c:tx>
            <c:v>Control</c:v>
          </c:tx>
          <c:xVal>
            <c:strRef>
              <c:f>'Trial ELISA- March 13, 2015'!$E$23:$E$26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xVal>
          <c:yVal>
            <c:numRef>
              <c:f>'Trial ELISA- March 13, 2015'!$J$23:$J$26</c:f>
              <c:numCache>
                <c:formatCode>General</c:formatCode>
                <c:ptCount val="4"/>
                <c:pt idx="0">
                  <c:v>0.0001</c:v>
                </c:pt>
                <c:pt idx="1">
                  <c:v>25.63837638376384</c:v>
                </c:pt>
                <c:pt idx="2">
                  <c:v>18.84870848708487</c:v>
                </c:pt>
                <c:pt idx="3">
                  <c:v>0.0001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8-46E3-9E49-9B5400A0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509360"/>
        <c:axId val="-1781969680"/>
      </c:scatterChart>
      <c:valAx>
        <c:axId val="-183850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781969680"/>
        <c:crosses val="autoZero"/>
        <c:crossBetween val="midCat"/>
      </c:valAx>
      <c:valAx>
        <c:axId val="-178196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850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58.7 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4860673665792"/>
                  <c:y val="-0.0307895888013998"/>
                </c:manualLayout>
              </c:layout>
              <c:numFmt formatCode="General" sourceLinked="0"/>
            </c:trendlineLbl>
          </c:trendline>
          <c:xVal>
            <c:numRef>
              <c:f>'HK 18sRNA gradient'!$N$27:$N$32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18sRNA gradient'!$Q$27:$Q$32</c:f>
              <c:numCache>
                <c:formatCode>General</c:formatCode>
                <c:ptCount val="6"/>
                <c:pt idx="0">
                  <c:v>9.710000000000001</c:v>
                </c:pt>
                <c:pt idx="1">
                  <c:v>12.795</c:v>
                </c:pt>
                <c:pt idx="2">
                  <c:v>14.135</c:v>
                </c:pt>
                <c:pt idx="3">
                  <c:v>16.22</c:v>
                </c:pt>
                <c:pt idx="4">
                  <c:v>18.215</c:v>
                </c:pt>
                <c:pt idx="5">
                  <c:v>19.215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5A-4BDB-9833-3753AF62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439936"/>
        <c:axId val="-1838427024"/>
      </c:scatterChart>
      <c:valAx>
        <c:axId val="-18384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38427024"/>
        <c:crosses val="autoZero"/>
        <c:crossBetween val="midCat"/>
      </c:valAx>
      <c:valAx>
        <c:axId val="-183842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84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52 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55 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4485564304462"/>
                  <c:y val="-0.076473461650627"/>
                </c:manualLayout>
              </c:layout>
              <c:numFmt formatCode="General" sourceLinked="0"/>
            </c:trendlineLbl>
          </c:trendline>
          <c:xVal>
            <c:numRef>
              <c:f>'HK 18sRNA gradient'!$N$87:$N$92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18sRNA gradient'!$Q$87:$Q$92</c:f>
              <c:numCache>
                <c:formatCode>General</c:formatCode>
                <c:ptCount val="6"/>
                <c:pt idx="0">
                  <c:v>7.84</c:v>
                </c:pt>
                <c:pt idx="1">
                  <c:v>9.925</c:v>
                </c:pt>
                <c:pt idx="2">
                  <c:v>11.295</c:v>
                </c:pt>
                <c:pt idx="3">
                  <c:v>13.685</c:v>
                </c:pt>
                <c:pt idx="4">
                  <c:v>15.89</c:v>
                </c:pt>
                <c:pt idx="5">
                  <c:v>18.39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B6-4DF9-B4D2-B0CD9E3F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743568"/>
        <c:axId val="-1802217376"/>
      </c:scatterChart>
      <c:valAx>
        <c:axId val="-13127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2217376"/>
        <c:crosses val="autoZero"/>
        <c:crossBetween val="midCat"/>
      </c:valAx>
      <c:valAx>
        <c:axId val="-18022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1274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715277777777778"/>
                  <c:y val="-0.47023221055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'HK 18sRNA gradient'!$N$51:$N$56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18sRNA gradient'!$Q$51:$Q$56</c:f>
              <c:numCache>
                <c:formatCode>General</c:formatCode>
                <c:ptCount val="6"/>
                <c:pt idx="0">
                  <c:v>9.585</c:v>
                </c:pt>
                <c:pt idx="1">
                  <c:v>12.855</c:v>
                </c:pt>
                <c:pt idx="2">
                  <c:v>13.82</c:v>
                </c:pt>
                <c:pt idx="3">
                  <c:v>15.95</c:v>
                </c:pt>
                <c:pt idx="4">
                  <c:v>17.925</c:v>
                </c:pt>
                <c:pt idx="5">
                  <c:v>19.125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59-4A74-92C6-66EDF4D3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858464"/>
        <c:axId val="-1809151872"/>
      </c:scatterChart>
      <c:valAx>
        <c:axId val="-18088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151872"/>
        <c:crosses val="autoZero"/>
        <c:crossBetween val="midCat"/>
      </c:valAx>
      <c:valAx>
        <c:axId val="-1809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8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55 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6513560804899"/>
                  <c:y val="-0.015369276757072"/>
                </c:manualLayout>
              </c:layout>
              <c:numFmt formatCode="General" sourceLinked="0"/>
            </c:trendlineLbl>
          </c:trendline>
          <c:xVal>
            <c:numRef>
              <c:f>'HK 18sRNA samples'!$D$3:$D$8</c:f>
              <c:numCache>
                <c:formatCode>General</c:formatCode>
                <c:ptCount val="6"/>
                <c:pt idx="0">
                  <c:v>0.0</c:v>
                </c:pt>
                <c:pt idx="1">
                  <c:v>-0.602059991327962</c:v>
                </c:pt>
                <c:pt idx="2">
                  <c:v>-1.204119982655925</c:v>
                </c:pt>
                <c:pt idx="3">
                  <c:v>-1.806179973983887</c:v>
                </c:pt>
                <c:pt idx="4">
                  <c:v>-2.40823996531185</c:v>
                </c:pt>
                <c:pt idx="5">
                  <c:v>-3.010299956639812</c:v>
                </c:pt>
              </c:numCache>
            </c:numRef>
          </c:xVal>
          <c:yVal>
            <c:numRef>
              <c:f>'HK 18sRNA samples'!$G$3:$G$8</c:f>
              <c:numCache>
                <c:formatCode>General</c:formatCode>
                <c:ptCount val="6"/>
                <c:pt idx="0">
                  <c:v>9.585</c:v>
                </c:pt>
                <c:pt idx="1">
                  <c:v>12.855</c:v>
                </c:pt>
                <c:pt idx="2">
                  <c:v>13.82</c:v>
                </c:pt>
                <c:pt idx="3">
                  <c:v>15.95</c:v>
                </c:pt>
                <c:pt idx="4">
                  <c:v>17.925</c:v>
                </c:pt>
                <c:pt idx="5">
                  <c:v>19.125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F-45E0-A4E8-C0E41C1A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0058208"/>
        <c:axId val="-1837206320"/>
      </c:scatterChart>
      <c:valAx>
        <c:axId val="-5100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37206320"/>
        <c:crosses val="autoZero"/>
        <c:crossBetween val="midCat"/>
      </c:valAx>
      <c:valAx>
        <c:axId val="-183720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1005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18s</a:t>
            </a:r>
            <a:r>
              <a:rPr lang="en-US" baseline="0"/>
              <a:t> RNA not normalized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 18sRNA samples'!$J$70:$J$73</c:f>
                <c:numCache>
                  <c:formatCode>General</c:formatCode>
                  <c:ptCount val="4"/>
                  <c:pt idx="0">
                    <c:v>30.01590805418643</c:v>
                  </c:pt>
                  <c:pt idx="1">
                    <c:v>25.53601074823843</c:v>
                  </c:pt>
                  <c:pt idx="2">
                    <c:v>28.06878855408721</c:v>
                  </c:pt>
                  <c:pt idx="3">
                    <c:v>26.1709333209486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'HK 18sRNA samples'!$G$70:$G$73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'HK 18sRNA samples'!$H$70:$H$73</c:f>
              <c:numCache>
                <c:formatCode>General</c:formatCode>
                <c:ptCount val="4"/>
                <c:pt idx="0">
                  <c:v>1572.573918879039</c:v>
                </c:pt>
                <c:pt idx="1">
                  <c:v>1528.821344422447</c:v>
                </c:pt>
                <c:pt idx="2">
                  <c:v>1358.544905834298</c:v>
                </c:pt>
                <c:pt idx="3">
                  <c:v>1392.372337823615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2A-417F-BB62-3B49161ACF15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'HK 18sRNA samples'!$J$75:$J$78</c:f>
                <c:numCache>
                  <c:formatCode>General</c:formatCode>
                  <c:ptCount val="4"/>
                  <c:pt idx="0">
                    <c:v>27.86693349603567</c:v>
                  </c:pt>
                  <c:pt idx="1">
                    <c:v>27.56433093836381</c:v>
                  </c:pt>
                  <c:pt idx="2">
                    <c:v>27.69595156455096</c:v>
                  </c:pt>
                  <c:pt idx="3">
                    <c:v>25.50090122896323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'HK 18sRNA samples'!$G$70:$G$73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'HK 18sRNA samples'!$H$75:$H$78</c:f>
              <c:numCache>
                <c:formatCode>General</c:formatCode>
                <c:ptCount val="4"/>
                <c:pt idx="0">
                  <c:v>1458.458094741571</c:v>
                </c:pt>
                <c:pt idx="1">
                  <c:v>1456.670846440691</c:v>
                </c:pt>
                <c:pt idx="2">
                  <c:v>1474.329755995232</c:v>
                </c:pt>
                <c:pt idx="3">
                  <c:v>1542.407970074885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2A-417F-BB62-3B49161A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9972656"/>
        <c:axId val="-1747409344"/>
      </c:barChart>
      <c:catAx>
        <c:axId val="-174997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47409344"/>
        <c:crosses val="autoZero"/>
        <c:auto val="1"/>
        <c:lblAlgn val="ctr"/>
        <c:lblOffset val="100"/>
        <c:noMultiLvlLbl val="0"/>
      </c:catAx>
      <c:valAx>
        <c:axId val="-174740934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997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18s RNA normalized to total 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 18sRNA samples'!$Q$70:$Q$73</c:f>
                <c:numCache>
                  <c:formatCode>General</c:formatCode>
                  <c:ptCount val="4"/>
                  <c:pt idx="0">
                    <c:v>1.143368806680613</c:v>
                  </c:pt>
                  <c:pt idx="1">
                    <c:v>0.396882891120413</c:v>
                  </c:pt>
                  <c:pt idx="2">
                    <c:v>0.838542543270525</c:v>
                  </c:pt>
                  <c:pt idx="3">
                    <c:v>0.98989518172445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'HK 18sRNA samples'!$N$70:$N$73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'HK 18sRNA samples'!$O$70:$O$73</c:f>
              <c:numCache>
                <c:formatCode>General</c:formatCode>
                <c:ptCount val="4"/>
                <c:pt idx="0">
                  <c:v>6.77110512201536</c:v>
                </c:pt>
                <c:pt idx="1">
                  <c:v>5.248078365549003</c:v>
                </c:pt>
                <c:pt idx="2">
                  <c:v>5.354137301070673</c:v>
                </c:pt>
                <c:pt idx="3">
                  <c:v>5.166714329693688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6F-4171-9A8F-C489702B3C96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'HK 18sRNA samples'!$Q$75:$Q$78</c:f>
                <c:numCache>
                  <c:formatCode>General</c:formatCode>
                  <c:ptCount val="4"/>
                  <c:pt idx="0">
                    <c:v>0.418105432398286</c:v>
                  </c:pt>
                  <c:pt idx="1">
                    <c:v>0.180639790587587</c:v>
                  </c:pt>
                  <c:pt idx="2">
                    <c:v>0.540525305339755</c:v>
                  </c:pt>
                  <c:pt idx="3">
                    <c:v>0.266956757362633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'HK 18sRNA samples'!$N$70:$N$73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'HK 18sRNA samples'!$O$75:$O$78</c:f>
              <c:numCache>
                <c:formatCode>General</c:formatCode>
                <c:ptCount val="4"/>
                <c:pt idx="0">
                  <c:v>3.925993746435667</c:v>
                </c:pt>
                <c:pt idx="1">
                  <c:v>3.671750747363906</c:v>
                </c:pt>
                <c:pt idx="2">
                  <c:v>4.764356572503658</c:v>
                </c:pt>
                <c:pt idx="3">
                  <c:v>5.144799557005121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6F-4171-9A8F-C489702B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2040624"/>
        <c:axId val="-1846676096"/>
      </c:barChart>
      <c:catAx>
        <c:axId val="-131204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46676096"/>
        <c:crosses val="autoZero"/>
        <c:auto val="1"/>
        <c:lblAlgn val="ctr"/>
        <c:lblOffset val="100"/>
        <c:noMultiLvlLbl val="0"/>
      </c:catAx>
      <c:valAx>
        <c:axId val="-18466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1204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Normalization!$W$3:$W$6</c:f>
                <c:numCache>
                  <c:formatCode>General</c:formatCode>
                  <c:ptCount val="4"/>
                  <c:pt idx="0">
                    <c:v>1.99212499328721</c:v>
                  </c:pt>
                  <c:pt idx="1">
                    <c:v>1.801192618298603</c:v>
                  </c:pt>
                  <c:pt idx="2">
                    <c:v>2.222370637228859</c:v>
                  </c:pt>
                  <c:pt idx="3">
                    <c:v>3.636872237675712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Normalization!$V$3:$V$6</c:f>
              <c:numCache>
                <c:formatCode>General</c:formatCode>
                <c:ptCount val="4"/>
                <c:pt idx="0">
                  <c:v>37.66359900680282</c:v>
                </c:pt>
                <c:pt idx="1">
                  <c:v>40.46205323882205</c:v>
                </c:pt>
                <c:pt idx="2">
                  <c:v>44.57169122149836</c:v>
                </c:pt>
                <c:pt idx="3">
                  <c:v>50.43238282103153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9A-45E1-8730-40972844EC0C}"/>
            </c:ext>
          </c:extLst>
        </c:ser>
        <c:ser>
          <c:idx val="1"/>
          <c:order val="1"/>
          <c:tx>
            <c:v>TFM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Normalization!$W$8:$W$11</c:f>
                <c:numCache>
                  <c:formatCode>General</c:formatCode>
                  <c:ptCount val="4"/>
                  <c:pt idx="0">
                    <c:v>1.236597775520527</c:v>
                  </c:pt>
                  <c:pt idx="1">
                    <c:v>2.464664691304971</c:v>
                  </c:pt>
                  <c:pt idx="2">
                    <c:v>1.233208058817913</c:v>
                  </c:pt>
                  <c:pt idx="3">
                    <c:v>2.350920142415624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Normalization!$V$8:$V$11</c:f>
              <c:numCache>
                <c:formatCode>General</c:formatCode>
                <c:ptCount val="4"/>
                <c:pt idx="0">
                  <c:v>42.32787151883236</c:v>
                </c:pt>
                <c:pt idx="1">
                  <c:v>46.34895753668803</c:v>
                </c:pt>
                <c:pt idx="2">
                  <c:v>44.81794049957103</c:v>
                </c:pt>
                <c:pt idx="3">
                  <c:v>48.31779641925635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9A-45E1-8730-40972844E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1193104"/>
        <c:axId val="-1043847904"/>
      </c:barChart>
      <c:catAx>
        <c:axId val="-70119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847904"/>
        <c:crosses val="autoZero"/>
        <c:auto val="1"/>
        <c:lblAlgn val="ctr"/>
        <c:lblOffset val="100"/>
        <c:noMultiLvlLbl val="0"/>
      </c:catAx>
      <c:valAx>
        <c:axId val="-1043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1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LDH'!$AK$3:$AK$6</c:f>
                <c:numCache>
                  <c:formatCode>General</c:formatCode>
                  <c:ptCount val="4"/>
                  <c:pt idx="0">
                    <c:v>2.57481883851361</c:v>
                  </c:pt>
                  <c:pt idx="1">
                    <c:v>3.109653512127936</c:v>
                  </c:pt>
                  <c:pt idx="2">
                    <c:v>5.198518166817726</c:v>
                  </c:pt>
                  <c:pt idx="3">
                    <c:v>7.328809000826982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LDH'!$AH$3:$AH$6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LDH'!$AI$3:$AI$6</c:f>
              <c:numCache>
                <c:formatCode>0.00</c:formatCode>
                <c:ptCount val="4"/>
                <c:pt idx="0">
                  <c:v>143.3757295475564</c:v>
                </c:pt>
                <c:pt idx="1">
                  <c:v>145.0478786049189</c:v>
                </c:pt>
                <c:pt idx="2">
                  <c:v>149.7751683671875</c:v>
                </c:pt>
                <c:pt idx="3">
                  <c:v>135.6809066879061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B-4660-AFE6-28F6645E8D98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LDH'!$AK$8:$AK$11</c:f>
                <c:numCache>
                  <c:formatCode>General</c:formatCode>
                  <c:ptCount val="4"/>
                  <c:pt idx="0">
                    <c:v>4.15834360450941</c:v>
                  </c:pt>
                  <c:pt idx="1">
                    <c:v>4.597052775120423</c:v>
                  </c:pt>
                  <c:pt idx="2">
                    <c:v>3.307319206844307</c:v>
                  </c:pt>
                  <c:pt idx="3">
                    <c:v>2.351536088983288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'Liver LDH'!$AI$8:$AI$11</c:f>
              <c:numCache>
                <c:formatCode>0.000</c:formatCode>
                <c:ptCount val="4"/>
                <c:pt idx="0">
                  <c:v>143.527598584989</c:v>
                </c:pt>
                <c:pt idx="1">
                  <c:v>143.5237326587425</c:v>
                </c:pt>
                <c:pt idx="2">
                  <c:v>144.8500245752844</c:v>
                </c:pt>
                <c:pt idx="3">
                  <c:v>133.4262490262607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B-4660-AFE6-28F6645E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7612720"/>
        <c:axId val="-1746768656"/>
      </c:barChart>
      <c:catAx>
        <c:axId val="-174761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46768656"/>
        <c:crosses val="autoZero"/>
        <c:auto val="1"/>
        <c:lblAlgn val="ctr"/>
        <c:lblOffset val="100"/>
        <c:noMultiLvlLbl val="0"/>
      </c:catAx>
      <c:valAx>
        <c:axId val="-1746768656"/>
        <c:scaling>
          <c:orientation val="minMax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74761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HK'!$AK$3:$AK$6</c:f>
                <c:numCache>
                  <c:formatCode>General</c:formatCode>
                  <c:ptCount val="4"/>
                  <c:pt idx="0">
                    <c:v>0.100436128596289</c:v>
                  </c:pt>
                  <c:pt idx="1">
                    <c:v>0.118164710809055</c:v>
                  </c:pt>
                  <c:pt idx="2">
                    <c:v>0.115042172064088</c:v>
                  </c:pt>
                  <c:pt idx="3">
                    <c:v>0.122856184767953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HK'!$AH$8:$AH$11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HK'!$AI$3:$AI$6</c:f>
              <c:numCache>
                <c:formatCode>0.00</c:formatCode>
                <c:ptCount val="4"/>
                <c:pt idx="0">
                  <c:v>3.546070267625109</c:v>
                </c:pt>
                <c:pt idx="1">
                  <c:v>3.655284851806506</c:v>
                </c:pt>
                <c:pt idx="2">
                  <c:v>3.753203887153213</c:v>
                </c:pt>
                <c:pt idx="3">
                  <c:v>3.389832626962657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75-402B-B84C-B5F7CF4BC147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HK'!$AK$8:$AK$11</c:f>
                <c:numCache>
                  <c:formatCode>General</c:formatCode>
                  <c:ptCount val="4"/>
                  <c:pt idx="0">
                    <c:v>0.177180466640899</c:v>
                  </c:pt>
                  <c:pt idx="1">
                    <c:v>0.21444034558166</c:v>
                  </c:pt>
                  <c:pt idx="2">
                    <c:v>0.134707771400935</c:v>
                  </c:pt>
                  <c:pt idx="3">
                    <c:v>0.102901460982836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HK'!$AH$8:$AH$11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HK'!$AI$8:$AI$11</c:f>
              <c:numCache>
                <c:formatCode>0.000</c:formatCode>
                <c:ptCount val="4"/>
                <c:pt idx="0">
                  <c:v>3.838668543871893</c:v>
                </c:pt>
                <c:pt idx="1">
                  <c:v>3.883839441911348</c:v>
                </c:pt>
                <c:pt idx="2">
                  <c:v>3.68473126434718</c:v>
                </c:pt>
                <c:pt idx="3">
                  <c:v>3.425850388765288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75-402B-B84C-B5F7CF4B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2152800"/>
        <c:axId val="-1847717616"/>
      </c:barChart>
      <c:catAx>
        <c:axId val="-13121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47717616"/>
        <c:crosses val="autoZero"/>
        <c:auto val="1"/>
        <c:lblAlgn val="ctr"/>
        <c:lblOffset val="100"/>
        <c:noMultiLvlLbl val="0"/>
      </c:catAx>
      <c:valAx>
        <c:axId val="-1847717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3121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GK'!$AK$3:$AK$6</c:f>
                <c:numCache>
                  <c:formatCode>General</c:formatCode>
                  <c:ptCount val="4"/>
                  <c:pt idx="0">
                    <c:v>0.142677502286082</c:v>
                  </c:pt>
                  <c:pt idx="1">
                    <c:v>0.165792581879366</c:v>
                  </c:pt>
                  <c:pt idx="2">
                    <c:v>0.20294893769047</c:v>
                  </c:pt>
                  <c:pt idx="3">
                    <c:v>0.131755284403537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GK'!$AH$8:$AH$11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GK'!$AI$3:$AI$6</c:f>
              <c:numCache>
                <c:formatCode>0.00</c:formatCode>
                <c:ptCount val="4"/>
                <c:pt idx="0">
                  <c:v>3.294584175812333</c:v>
                </c:pt>
                <c:pt idx="1">
                  <c:v>3.510812559839041</c:v>
                </c:pt>
                <c:pt idx="2">
                  <c:v>3.942204220921786</c:v>
                </c:pt>
                <c:pt idx="3">
                  <c:v>3.477930200324064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31-4532-A83D-46914ABE7863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GK'!$AK$8:$AK$11</c:f>
                <c:numCache>
                  <c:formatCode>General</c:formatCode>
                  <c:ptCount val="4"/>
                  <c:pt idx="0">
                    <c:v>0.187081149281527</c:v>
                  </c:pt>
                  <c:pt idx="1">
                    <c:v>0.207560614293841</c:v>
                  </c:pt>
                  <c:pt idx="2">
                    <c:v>0.155269955723302</c:v>
                  </c:pt>
                  <c:pt idx="3">
                    <c:v>0.0728463394734427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GK'!$AH$8:$AH$11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GK'!$AI$8:$AI$11</c:f>
              <c:numCache>
                <c:formatCode>0.000</c:formatCode>
                <c:ptCount val="4"/>
                <c:pt idx="0">
                  <c:v>3.546505393802773</c:v>
                </c:pt>
                <c:pt idx="1">
                  <c:v>3.756274809830585</c:v>
                </c:pt>
                <c:pt idx="2">
                  <c:v>3.650777432734388</c:v>
                </c:pt>
                <c:pt idx="3">
                  <c:v>3.394339620835384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31-4532-A83D-46914ABE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2001600"/>
        <c:axId val="-1043833600"/>
      </c:barChart>
      <c:catAx>
        <c:axId val="-13120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43833600"/>
        <c:crosses val="autoZero"/>
        <c:auto val="1"/>
        <c:lblAlgn val="ctr"/>
        <c:lblOffset val="100"/>
        <c:noMultiLvlLbl val="0"/>
      </c:catAx>
      <c:valAx>
        <c:axId val="-1043833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3120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</a:t>
            </a:r>
            <a:r>
              <a:rPr lang="en-US" baseline="0"/>
              <a:t> curve for Day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94509446649747"/>
                  <c:y val="-0.300990813648294"/>
                </c:manualLayout>
              </c:layout>
              <c:numFmt formatCode="General" sourceLinked="0"/>
            </c:trendlineLbl>
          </c:trendline>
          <c:xVal>
            <c:numRef>
              <c:f>'Plasma cortisol'!$F$6:$F$10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xVal>
          <c:yVal>
            <c:numRef>
              <c:f>'Plasma cortisol'!$I$6:$I$10</c:f>
              <c:numCache>
                <c:formatCode>General</c:formatCode>
                <c:ptCount val="5"/>
                <c:pt idx="0">
                  <c:v>1.3668</c:v>
                </c:pt>
                <c:pt idx="1">
                  <c:v>1.1088</c:v>
                </c:pt>
                <c:pt idx="2">
                  <c:v>1.082</c:v>
                </c:pt>
                <c:pt idx="3">
                  <c:v>0.73745</c:v>
                </c:pt>
                <c:pt idx="4">
                  <c:v>0.6695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3B-4496-A83F-F9297A52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5687920"/>
        <c:axId val="-1745681632"/>
      </c:scatterChart>
      <c:valAx>
        <c:axId val="-17456879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1745681632"/>
        <c:crosses val="autoZero"/>
        <c:crossBetween val="midCat"/>
      </c:valAx>
      <c:valAx>
        <c:axId val="-1745681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174568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PK'!$AK$3:$AK$6</c:f>
                <c:numCache>
                  <c:formatCode>General</c:formatCode>
                  <c:ptCount val="4"/>
                  <c:pt idx="0">
                    <c:v>1.319617496310314</c:v>
                  </c:pt>
                  <c:pt idx="1">
                    <c:v>0.859677443217062</c:v>
                  </c:pt>
                  <c:pt idx="2">
                    <c:v>1.093053677770615</c:v>
                  </c:pt>
                  <c:pt idx="3">
                    <c:v>1.018983050258103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PK'!$AH$8:$AH$11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PK'!$AI$3:$AI$6</c:f>
              <c:numCache>
                <c:formatCode>0.00</c:formatCode>
                <c:ptCount val="4"/>
                <c:pt idx="0">
                  <c:v>13.38078486274493</c:v>
                </c:pt>
                <c:pt idx="1">
                  <c:v>13.48194582303208</c:v>
                </c:pt>
                <c:pt idx="2">
                  <c:v>12.9307649877886</c:v>
                </c:pt>
                <c:pt idx="3">
                  <c:v>12.95056217570985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B6-44A8-9027-721762D75D29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PK'!$AK$8:$AK$11</c:f>
                <c:numCache>
                  <c:formatCode>General</c:formatCode>
                  <c:ptCount val="4"/>
                  <c:pt idx="0">
                    <c:v>1.121183443264316</c:v>
                  </c:pt>
                  <c:pt idx="1">
                    <c:v>1.08316862544678</c:v>
                  </c:pt>
                  <c:pt idx="2">
                    <c:v>1.189985326699956</c:v>
                  </c:pt>
                  <c:pt idx="3">
                    <c:v>1.126744120773246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PK'!$AH$8:$AH$11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PK'!$AI$8:$AI$11</c:f>
              <c:numCache>
                <c:formatCode>0.000</c:formatCode>
                <c:ptCount val="4"/>
                <c:pt idx="0">
                  <c:v>13.2673448947534</c:v>
                </c:pt>
                <c:pt idx="1">
                  <c:v>13.9893754512774</c:v>
                </c:pt>
                <c:pt idx="2">
                  <c:v>13.0010815579985</c:v>
                </c:pt>
                <c:pt idx="3">
                  <c:v>13.64968028109493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B6-44A8-9027-721762D7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1683904"/>
        <c:axId val="-1810556352"/>
      </c:barChart>
      <c:catAx>
        <c:axId val="-7016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10556352"/>
        <c:crosses val="autoZero"/>
        <c:auto val="1"/>
        <c:lblAlgn val="ctr"/>
        <c:lblOffset val="100"/>
        <c:noMultiLvlLbl val="0"/>
      </c:catAx>
      <c:valAx>
        <c:axId val="-1810556352"/>
        <c:scaling>
          <c:orientation val="minMax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016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PEPCK'!$AK$3:$AK$6</c:f>
                <c:numCache>
                  <c:formatCode>General</c:formatCode>
                  <c:ptCount val="4"/>
                  <c:pt idx="0">
                    <c:v>0.0432628570853018</c:v>
                  </c:pt>
                  <c:pt idx="1">
                    <c:v>0.0380688813599165</c:v>
                  </c:pt>
                  <c:pt idx="2">
                    <c:v>0.0365319553001216</c:v>
                  </c:pt>
                  <c:pt idx="3">
                    <c:v>0.0439171933836043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PEPCK'!$AH$8:$AH$11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PEPCK'!$AI$3:$AI$6</c:f>
              <c:numCache>
                <c:formatCode>0.00</c:formatCode>
                <c:ptCount val="4"/>
                <c:pt idx="0">
                  <c:v>1.28511405069578</c:v>
                </c:pt>
                <c:pt idx="1">
                  <c:v>1.346898568124414</c:v>
                </c:pt>
                <c:pt idx="2">
                  <c:v>1.339414699511483</c:v>
                </c:pt>
                <c:pt idx="3">
                  <c:v>1.296632025881627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97-47F1-BD59-F63EB9985758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PEPCK'!$AK$8:$AK$11</c:f>
                <c:numCache>
                  <c:formatCode>General</c:formatCode>
                  <c:ptCount val="4"/>
                  <c:pt idx="0">
                    <c:v>0.0603735837308889</c:v>
                  </c:pt>
                  <c:pt idx="1">
                    <c:v>0.0440098789810428</c:v>
                  </c:pt>
                  <c:pt idx="2">
                    <c:v>0.0542939188102573</c:v>
                  </c:pt>
                  <c:pt idx="3">
                    <c:v>0.0318470585954963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PEPCK'!$AH$8:$AH$11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PEPCK'!$AI$8:$AI$11</c:f>
              <c:numCache>
                <c:formatCode>0.000</c:formatCode>
                <c:ptCount val="4"/>
                <c:pt idx="0">
                  <c:v>1.314747408908244</c:v>
                </c:pt>
                <c:pt idx="1">
                  <c:v>1.368579133517935</c:v>
                </c:pt>
                <c:pt idx="2">
                  <c:v>1.366680315216693</c:v>
                </c:pt>
                <c:pt idx="3">
                  <c:v>1.329547570256717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97-47F1-BD59-F63EB998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6093840"/>
        <c:axId val="-718399792"/>
      </c:barChart>
      <c:catAx>
        <c:axId val="-179609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18399792"/>
        <c:crosses val="autoZero"/>
        <c:auto val="1"/>
        <c:lblAlgn val="ctr"/>
        <c:lblOffset val="100"/>
        <c:noMultiLvlLbl val="0"/>
      </c:catAx>
      <c:valAx>
        <c:axId val="-718399792"/>
        <c:scaling>
          <c:orientation val="minMax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79609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AlaAT'!$AK$3:$AK$6</c:f>
                <c:numCache>
                  <c:formatCode>General</c:formatCode>
                  <c:ptCount val="4"/>
                  <c:pt idx="0">
                    <c:v>1.854571975059853</c:v>
                  </c:pt>
                  <c:pt idx="1">
                    <c:v>1.621379247995581</c:v>
                  </c:pt>
                  <c:pt idx="2">
                    <c:v>1.122478480460181</c:v>
                  </c:pt>
                  <c:pt idx="3">
                    <c:v>1.883292647986015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AlaAT'!$AH$8:$AH$11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AlaAT'!$AI$3:$AI$6</c:f>
              <c:numCache>
                <c:formatCode>0.00</c:formatCode>
                <c:ptCount val="4"/>
                <c:pt idx="0">
                  <c:v>19.31557206977797</c:v>
                </c:pt>
                <c:pt idx="1">
                  <c:v>19.5612514199719</c:v>
                </c:pt>
                <c:pt idx="2">
                  <c:v>17.3403022804636</c:v>
                </c:pt>
                <c:pt idx="3">
                  <c:v>20.19281454732454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A5-477A-81AA-027750E366B9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AlaAT'!$AK$8:$AK$11</c:f>
                <c:numCache>
                  <c:formatCode>General</c:formatCode>
                  <c:ptCount val="4"/>
                  <c:pt idx="0">
                    <c:v>1.267288345890484</c:v>
                  </c:pt>
                  <c:pt idx="1">
                    <c:v>0.791225505323925</c:v>
                  </c:pt>
                  <c:pt idx="2">
                    <c:v>1.489437049776884</c:v>
                  </c:pt>
                  <c:pt idx="3">
                    <c:v>0.878080555574529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AlaAT'!$AH$8:$AH$11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AlaAT'!$AI$8:$AI$11</c:f>
              <c:numCache>
                <c:formatCode>0.000</c:formatCode>
                <c:ptCount val="4"/>
                <c:pt idx="0">
                  <c:v>20.3817479140779</c:v>
                </c:pt>
                <c:pt idx="1">
                  <c:v>21.80086606532178</c:v>
                </c:pt>
                <c:pt idx="2">
                  <c:v>18.88924151055828</c:v>
                </c:pt>
                <c:pt idx="3">
                  <c:v>19.51430152214362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A5-477A-81AA-027750E3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1405872"/>
        <c:axId val="-701401808"/>
      </c:barChart>
      <c:catAx>
        <c:axId val="-70140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1401808"/>
        <c:crosses val="autoZero"/>
        <c:auto val="1"/>
        <c:lblAlgn val="ctr"/>
        <c:lblOffset val="100"/>
        <c:noMultiLvlLbl val="0"/>
      </c:catAx>
      <c:valAx>
        <c:axId val="-701401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0140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AspAT'!$AK$3:$AK$6</c:f>
                <c:numCache>
                  <c:formatCode>General</c:formatCode>
                  <c:ptCount val="4"/>
                  <c:pt idx="0">
                    <c:v>1.087863558957288</c:v>
                  </c:pt>
                  <c:pt idx="1">
                    <c:v>0.873533548542333</c:v>
                  </c:pt>
                  <c:pt idx="2">
                    <c:v>1.102918441982564</c:v>
                  </c:pt>
                  <c:pt idx="3">
                    <c:v>0.880860632939143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AspAT'!$AH$8:$AH$11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AspAT'!$AI$3:$AI$6</c:f>
              <c:numCache>
                <c:formatCode>0.00</c:formatCode>
                <c:ptCount val="4"/>
                <c:pt idx="0">
                  <c:v>16.06147655197092</c:v>
                </c:pt>
                <c:pt idx="1">
                  <c:v>15.05667567794583</c:v>
                </c:pt>
                <c:pt idx="2">
                  <c:v>14.10546295923181</c:v>
                </c:pt>
                <c:pt idx="3">
                  <c:v>13.45284414157073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DA-4430-BF53-198936A9B5AA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AspAT'!$AK$8:$AK$11</c:f>
                <c:numCache>
                  <c:formatCode>General</c:formatCode>
                  <c:ptCount val="4"/>
                  <c:pt idx="0">
                    <c:v>1.469689627987535</c:v>
                  </c:pt>
                  <c:pt idx="1">
                    <c:v>1.182040681595095</c:v>
                  </c:pt>
                  <c:pt idx="2">
                    <c:v>1.063789963677091</c:v>
                  </c:pt>
                  <c:pt idx="3">
                    <c:v>0.648085936225989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AspAT'!$AH$8:$AH$11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AspAT'!$AI$8:$AI$11</c:f>
              <c:numCache>
                <c:formatCode>0.000</c:formatCode>
                <c:ptCount val="4"/>
                <c:pt idx="0">
                  <c:v>16.25729820752198</c:v>
                </c:pt>
                <c:pt idx="1">
                  <c:v>16.004526953659</c:v>
                </c:pt>
                <c:pt idx="2">
                  <c:v>14.91192845677712</c:v>
                </c:pt>
                <c:pt idx="3">
                  <c:v>12.89219408010016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DA-4430-BF53-198936A9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4249984"/>
        <c:axId val="-1044245920"/>
      </c:barChart>
      <c:catAx>
        <c:axId val="-10442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44245920"/>
        <c:crosses val="autoZero"/>
        <c:auto val="1"/>
        <c:lblAlgn val="ctr"/>
        <c:lblOffset val="100"/>
        <c:noMultiLvlLbl val="0"/>
      </c:catAx>
      <c:valAx>
        <c:axId val="-1044245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0442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protein-raw data'!$T$3:$T$6</c:f>
                <c:numCache>
                  <c:formatCode>General</c:formatCode>
                  <c:ptCount val="4"/>
                  <c:pt idx="0">
                    <c:v>0.277337035686971</c:v>
                  </c:pt>
                  <c:pt idx="1">
                    <c:v>0.385128962688959</c:v>
                  </c:pt>
                  <c:pt idx="2">
                    <c:v>0.456835483435361</c:v>
                  </c:pt>
                  <c:pt idx="3">
                    <c:v>0.742380896514585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'Liver protein-raw data'!$Q$3:$Q$6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24.0</c:v>
                </c:pt>
              </c:numCache>
            </c:numRef>
          </c:cat>
          <c:val>
            <c:numRef>
              <c:f>'Liver protein-raw data'!$R$3:$R$6</c:f>
              <c:numCache>
                <c:formatCode>0.00</c:formatCode>
                <c:ptCount val="4"/>
                <c:pt idx="0">
                  <c:v>18.64445</c:v>
                </c:pt>
                <c:pt idx="1">
                  <c:v>19.01958076923077</c:v>
                </c:pt>
                <c:pt idx="2">
                  <c:v>18.30337727272727</c:v>
                </c:pt>
                <c:pt idx="3">
                  <c:v>19.94404583333333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2B-44D6-8402-066D089B6A2E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protein-raw data'!$T$8:$T$11</c:f>
                <c:numCache>
                  <c:formatCode>General</c:formatCode>
                  <c:ptCount val="4"/>
                  <c:pt idx="0">
                    <c:v>0.478941130220465</c:v>
                  </c:pt>
                  <c:pt idx="1">
                    <c:v>0.539867152802474</c:v>
                  </c:pt>
                  <c:pt idx="2">
                    <c:v>0.590448060894128</c:v>
                  </c:pt>
                  <c:pt idx="3">
                    <c:v>0.324327971491384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'Liver protein-raw data'!$R$8:$R$11</c:f>
              <c:numCache>
                <c:formatCode>0.000</c:formatCode>
                <c:ptCount val="4"/>
                <c:pt idx="0">
                  <c:v>19.0660625</c:v>
                </c:pt>
                <c:pt idx="1">
                  <c:v>18.46790384615385</c:v>
                </c:pt>
                <c:pt idx="2">
                  <c:v>19.57745</c:v>
                </c:pt>
                <c:pt idx="3">
                  <c:v>19.29704615384615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2B-44D6-8402-066D089B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8211296"/>
        <c:axId val="-1317071936"/>
      </c:barChart>
      <c:catAx>
        <c:axId val="-17482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17071936"/>
        <c:crosses val="autoZero"/>
        <c:auto val="1"/>
        <c:lblAlgn val="ctr"/>
        <c:lblOffset val="100"/>
        <c:noMultiLvlLbl val="0"/>
      </c:catAx>
      <c:valAx>
        <c:axId val="-1317071936"/>
        <c:scaling>
          <c:orientation val="minMax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7482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BG Std Curve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8020122484689"/>
                  <c:y val="-0.000330271216097988"/>
                </c:manualLayout>
              </c:layout>
              <c:numFmt formatCode="General" sourceLinked="0"/>
            </c:trendlineLbl>
          </c:trendline>
          <c:xVal>
            <c:numRef>
              <c:f>'Liver GLY and BG'!$F$3:$F$10</c:f>
              <c:numCache>
                <c:formatCode>General</c:formatCode>
                <c:ptCount val="8"/>
                <c:pt idx="0">
                  <c:v>0.04585</c:v>
                </c:pt>
                <c:pt idx="1">
                  <c:v>0.08805</c:v>
                </c:pt>
                <c:pt idx="2">
                  <c:v>0.1214</c:v>
                </c:pt>
                <c:pt idx="3">
                  <c:v>0.198225</c:v>
                </c:pt>
                <c:pt idx="4">
                  <c:v>0.3451</c:v>
                </c:pt>
                <c:pt idx="5">
                  <c:v>0.48865</c:v>
                </c:pt>
                <c:pt idx="6">
                  <c:v>0.646575</c:v>
                </c:pt>
                <c:pt idx="7">
                  <c:v>0.761875</c:v>
                </c:pt>
              </c:numCache>
            </c:numRef>
          </c:xVal>
          <c:yVal>
            <c:numRef>
              <c:f>'Liver GLY and BG'!$A$3:$A$10</c:f>
              <c:numCache>
                <c:formatCode>General</c:formatCode>
                <c:ptCount val="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0C-4759-8ADF-E7E043FF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9220864"/>
        <c:axId val="-1311876576"/>
      </c:scatterChart>
      <c:valAx>
        <c:axId val="-5092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11876576"/>
        <c:crosses val="autoZero"/>
        <c:crossBetween val="midCat"/>
      </c:valAx>
      <c:valAx>
        <c:axId val="-13118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0922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Glycogen STD curve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'Liver GLY and BG'!$V$3:$V$10</c:f>
              <c:numCache>
                <c:formatCode>General</c:formatCode>
                <c:ptCount val="8"/>
                <c:pt idx="0">
                  <c:v>0.0455333333333333</c:v>
                </c:pt>
                <c:pt idx="1">
                  <c:v>0.0868</c:v>
                </c:pt>
                <c:pt idx="2">
                  <c:v>0.1246</c:v>
                </c:pt>
                <c:pt idx="3">
                  <c:v>0.202</c:v>
                </c:pt>
                <c:pt idx="4">
                  <c:v>0.352</c:v>
                </c:pt>
                <c:pt idx="5">
                  <c:v>0.501333333333333</c:v>
                </c:pt>
                <c:pt idx="6">
                  <c:v>0.645666666666667</c:v>
                </c:pt>
                <c:pt idx="7">
                  <c:v>0.7884</c:v>
                </c:pt>
              </c:numCache>
            </c:numRef>
          </c:xVal>
          <c:yVal>
            <c:numRef>
              <c:f>'Liver GLY and BG'!$R$3:$R$10</c:f>
              <c:numCache>
                <c:formatCode>General</c:formatCode>
                <c:ptCount val="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84-4660-B576-1C48D65A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280368"/>
        <c:axId val="-702372736"/>
      </c:scatterChart>
      <c:valAx>
        <c:axId val="-184828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2372736"/>
        <c:crosses val="autoZero"/>
        <c:crossBetween val="midCat"/>
      </c:valAx>
      <c:valAx>
        <c:axId val="-7023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828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Liver glycogen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both"/>
            <c:errValType val="cust"/>
            <c:noEndCap val="0"/>
            <c:plus>
              <c:numRef>
                <c:f>'Liver GLY and BG'!$BM$28:$BM$31</c:f>
                <c:numCache>
                  <c:formatCode>General</c:formatCode>
                  <c:ptCount val="4"/>
                  <c:pt idx="0">
                    <c:v>195.8202262235422</c:v>
                  </c:pt>
                  <c:pt idx="1">
                    <c:v>331.3732449827385</c:v>
                  </c:pt>
                  <c:pt idx="2">
                    <c:v>304.821873680858</c:v>
                  </c:pt>
                  <c:pt idx="3">
                    <c:v>160.5037104739184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'Liver GLY and BG'!$BJ$28:$BJ$31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'Liver GLY and BG'!$BK$28:$BK$31</c:f>
              <c:numCache>
                <c:formatCode>General</c:formatCode>
                <c:ptCount val="4"/>
                <c:pt idx="0">
                  <c:v>1907.268920715248</c:v>
                </c:pt>
                <c:pt idx="1">
                  <c:v>1856.511948697951</c:v>
                </c:pt>
                <c:pt idx="2">
                  <c:v>1842.761939213538</c:v>
                </c:pt>
                <c:pt idx="3">
                  <c:v>1267.866559048032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65-40C3-9554-81D43AFF379B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both"/>
            <c:errValType val="cust"/>
            <c:noEndCap val="0"/>
            <c:plus>
              <c:numRef>
                <c:f>'Liver GLY and BG'!$BM$23:$BM$26</c:f>
                <c:numCache>
                  <c:formatCode>General</c:formatCode>
                  <c:ptCount val="4"/>
                  <c:pt idx="0">
                    <c:v>405.6016595728944</c:v>
                  </c:pt>
                  <c:pt idx="1">
                    <c:v>368.5378729253421</c:v>
                  </c:pt>
                  <c:pt idx="2">
                    <c:v>419.6968768572041</c:v>
                  </c:pt>
                  <c:pt idx="3">
                    <c:v>345.522892537677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'Liver GLY and BG'!$BJ$28:$BJ$31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'Liver GLY and BG'!$BK$23:$BK$26</c:f>
              <c:numCache>
                <c:formatCode>General</c:formatCode>
                <c:ptCount val="4"/>
                <c:pt idx="0">
                  <c:v>1634.479940112803</c:v>
                </c:pt>
                <c:pt idx="1">
                  <c:v>1432.203883734556</c:v>
                </c:pt>
                <c:pt idx="2">
                  <c:v>1209.677395029486</c:v>
                </c:pt>
                <c:pt idx="3">
                  <c:v>1449.053408295254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65-40C3-9554-81D43AFF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6004208"/>
        <c:axId val="-1796000080"/>
      </c:barChart>
      <c:catAx>
        <c:axId val="-179600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6000080"/>
        <c:crosses val="autoZero"/>
        <c:auto val="1"/>
        <c:lblAlgn val="ctr"/>
        <c:lblOffset val="100"/>
        <c:noMultiLvlLbl val="0"/>
      </c:catAx>
      <c:valAx>
        <c:axId val="-179600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600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'Liver GLY and BG'!$BU$28:$BU$31</c:f>
                <c:numCache>
                  <c:formatCode>General</c:formatCode>
                  <c:ptCount val="4"/>
                  <c:pt idx="0">
                    <c:v>18.36795462851344</c:v>
                  </c:pt>
                  <c:pt idx="1">
                    <c:v>20.6660459732606</c:v>
                  </c:pt>
                  <c:pt idx="2">
                    <c:v>21.3178545332387</c:v>
                  </c:pt>
                  <c:pt idx="3">
                    <c:v>26.16119088838307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'Liver GLY and BG'!$BR$28:$BR$31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'Liver GLY and BG'!$BS$28:$BS$31</c:f>
              <c:numCache>
                <c:formatCode>0.00</c:formatCode>
                <c:ptCount val="4"/>
                <c:pt idx="0">
                  <c:v>181.4131919416685</c:v>
                </c:pt>
                <c:pt idx="1">
                  <c:v>193.4270995708985</c:v>
                </c:pt>
                <c:pt idx="2">
                  <c:v>191.2953489490337</c:v>
                </c:pt>
                <c:pt idx="3">
                  <c:v>167.479301907204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9C-4FC4-B147-34AD25A51F4D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'Liver GLY and BG'!$BU$23:$BU$26</c:f>
                <c:numCache>
                  <c:formatCode>General</c:formatCode>
                  <c:ptCount val="4"/>
                  <c:pt idx="0">
                    <c:v>12.31404045616841</c:v>
                  </c:pt>
                  <c:pt idx="1">
                    <c:v>24.65220772559954</c:v>
                  </c:pt>
                  <c:pt idx="2">
                    <c:v>15.91452779212985</c:v>
                  </c:pt>
                  <c:pt idx="3">
                    <c:v>21.65255900200596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'Liver GLY and BG'!$BR$28:$BR$31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'Liver GLY and BG'!$BS$23:$BS$26</c:f>
              <c:numCache>
                <c:formatCode>General</c:formatCode>
                <c:ptCount val="4"/>
                <c:pt idx="0">
                  <c:v>161.7629884033273</c:v>
                </c:pt>
                <c:pt idx="1">
                  <c:v>170.3641753716047</c:v>
                </c:pt>
                <c:pt idx="2">
                  <c:v>175.3309420804014</c:v>
                </c:pt>
                <c:pt idx="3">
                  <c:v>187.7696674787448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9C-4FC4-B147-34AD25A5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78073472"/>
        <c:axId val="-1746248336"/>
      </c:barChart>
      <c:catAx>
        <c:axId val="-7780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46248336"/>
        <c:crosses val="autoZero"/>
        <c:auto val="1"/>
        <c:lblAlgn val="ctr"/>
        <c:lblOffset val="100"/>
        <c:noMultiLvlLbl val="0"/>
      </c:catAx>
      <c:valAx>
        <c:axId val="-1746248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780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1 std - samples 1-14C no DF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6448404475756"/>
                  <c:y val="-0.538970014923009"/>
                </c:manualLayout>
              </c:layout>
              <c:numFmt formatCode="General" sourceLinked="0"/>
            </c:trendlineLbl>
          </c:trendline>
          <c:xVal>
            <c:numRef>
              <c:f>'In vitro media cortisol'!$G$4:$G$10</c:f>
              <c:numCache>
                <c:formatCode>General</c:formatCode>
                <c:ptCount val="7"/>
                <c:pt idx="0">
                  <c:v>1.4603</c:v>
                </c:pt>
                <c:pt idx="1">
                  <c:v>1.17745</c:v>
                </c:pt>
                <c:pt idx="2">
                  <c:v>0.7967</c:v>
                </c:pt>
                <c:pt idx="3">
                  <c:v>0.6347</c:v>
                </c:pt>
                <c:pt idx="4">
                  <c:v>0.42945</c:v>
                </c:pt>
                <c:pt idx="5">
                  <c:v>0.2628</c:v>
                </c:pt>
                <c:pt idx="6">
                  <c:v>0.1862</c:v>
                </c:pt>
              </c:numCache>
            </c:numRef>
          </c:xVal>
          <c:yVal>
            <c:numRef>
              <c:f>'In vitro media cortisol'!$D$4:$D$10</c:f>
              <c:numCache>
                <c:formatCode>General</c:formatCode>
                <c:ptCount val="7"/>
                <c:pt idx="0">
                  <c:v>-0.301029995663981</c:v>
                </c:pt>
                <c:pt idx="1">
                  <c:v>0.0</c:v>
                </c:pt>
                <c:pt idx="2">
                  <c:v>0.301029995663981</c:v>
                </c:pt>
                <c:pt idx="3">
                  <c:v>0.477121254719662</c:v>
                </c:pt>
                <c:pt idx="4">
                  <c:v>0.698970004336019</c:v>
                </c:pt>
                <c:pt idx="5">
                  <c:v>1.0</c:v>
                </c:pt>
                <c:pt idx="6">
                  <c:v>1.397940008672038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E6-441F-93C1-5A9E3D3D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632752"/>
        <c:axId val="-1781866304"/>
      </c:scatterChart>
      <c:valAx>
        <c:axId val="-50863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81866304"/>
        <c:crosses val="autoZero"/>
        <c:crossBetween val="midCat"/>
      </c:valAx>
      <c:valAx>
        <c:axId val="-17818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0863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'Plasma cortisol'!$S$26:$S$29</c:f>
                <c:numCache>
                  <c:formatCode>General</c:formatCode>
                  <c:ptCount val="4"/>
                  <c:pt idx="0">
                    <c:v>0.877120849673202</c:v>
                  </c:pt>
                  <c:pt idx="1">
                    <c:v>0.655080745429268</c:v>
                  </c:pt>
                  <c:pt idx="2">
                    <c:v>4.462934732695156</c:v>
                  </c:pt>
                  <c:pt idx="3">
                    <c:v>4.598874145525419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'Plasma cortisol'!$P$21:$P$24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'Plasma cortisol'!$Q$26:$Q$29</c:f>
              <c:numCache>
                <c:formatCode>General</c:formatCode>
                <c:ptCount val="4"/>
                <c:pt idx="0">
                  <c:v>0.877130849673202</c:v>
                </c:pt>
                <c:pt idx="1">
                  <c:v>22.5656862745098</c:v>
                </c:pt>
                <c:pt idx="2">
                  <c:v>12.7421568627451</c:v>
                </c:pt>
                <c:pt idx="3">
                  <c:v>21.24607843137255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3F-4CFB-BDEE-3AE1021EFB7C}"/>
            </c:ext>
          </c:extLst>
        </c:ser>
        <c:ser>
          <c:idx val="0"/>
          <c:order val="0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'Plasma cortisol'!$S$21:$S$24</c:f>
                <c:numCache>
                  <c:formatCode>General</c:formatCode>
                  <c:ptCount val="4"/>
                  <c:pt idx="0">
                    <c:v>5.458737720946793</c:v>
                  </c:pt>
                  <c:pt idx="1">
                    <c:v>6.41314092298331</c:v>
                  </c:pt>
                  <c:pt idx="2">
                    <c:v>7.287905777669695</c:v>
                  </c:pt>
                  <c:pt idx="3">
                    <c:v>6.710896001688085</c:v>
                  </c:pt>
                </c:numCache>
              </c:numRef>
            </c:plus>
            <c:minus>
              <c:numRef>
                <c:f>'Plasma cortisol'!$S$21:$S$24</c:f>
                <c:numCache>
                  <c:formatCode>General</c:formatCode>
                  <c:ptCount val="4"/>
                  <c:pt idx="0">
                    <c:v>5.458737720946793</c:v>
                  </c:pt>
                  <c:pt idx="1">
                    <c:v>6.41314092298331</c:v>
                  </c:pt>
                  <c:pt idx="2">
                    <c:v>7.287905777669695</c:v>
                  </c:pt>
                  <c:pt idx="3">
                    <c:v>6.710896001688085</c:v>
                  </c:pt>
                </c:numCache>
              </c:numRef>
            </c:minus>
          </c:errBars>
          <c:val>
            <c:numRef>
              <c:f>'Plasma cortisol'!$Q$21:$Q$24</c:f>
              <c:numCache>
                <c:formatCode>General</c:formatCode>
                <c:ptCount val="4"/>
                <c:pt idx="0">
                  <c:v>20.28039215686275</c:v>
                </c:pt>
                <c:pt idx="1">
                  <c:v>15.65882552941176</c:v>
                </c:pt>
                <c:pt idx="2">
                  <c:v>12.14608343137255</c:v>
                </c:pt>
                <c:pt idx="3">
                  <c:v>10.880006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3F-4CFB-BDEE-3AE1021E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0767824"/>
        <c:axId val="-1808906640"/>
      </c:barChart>
      <c:catAx>
        <c:axId val="-181076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8906640"/>
        <c:crosses val="autoZero"/>
        <c:auto val="1"/>
        <c:lblAlgn val="ctr"/>
        <c:lblOffset val="100"/>
        <c:noMultiLvlLbl val="0"/>
      </c:catAx>
      <c:valAx>
        <c:axId val="-180890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1076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2 std - 14A-16B and A and B diluted 10x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89254155730534"/>
                  <c:y val="-0.432812408865559"/>
                </c:manualLayout>
              </c:layout>
              <c:numFmt formatCode="General" sourceLinked="0"/>
            </c:trendlineLbl>
          </c:trendline>
          <c:xVal>
            <c:numRef>
              <c:f>'In vitro media cortisol'!$P$4:$P$10</c:f>
              <c:numCache>
                <c:formatCode>General</c:formatCode>
                <c:ptCount val="7"/>
                <c:pt idx="0">
                  <c:v>1.35105</c:v>
                </c:pt>
                <c:pt idx="1">
                  <c:v>1.1193</c:v>
                </c:pt>
                <c:pt idx="2">
                  <c:v>0.8017</c:v>
                </c:pt>
                <c:pt idx="3">
                  <c:v>0.65165</c:v>
                </c:pt>
                <c:pt idx="4">
                  <c:v>0.46335</c:v>
                </c:pt>
                <c:pt idx="5">
                  <c:v>0.32225</c:v>
                </c:pt>
                <c:pt idx="6">
                  <c:v>0.224</c:v>
                </c:pt>
              </c:numCache>
            </c:numRef>
          </c:xVal>
          <c:yVal>
            <c:numRef>
              <c:f>'In vitro media cortisol'!$M$4:$M$10</c:f>
              <c:numCache>
                <c:formatCode>General</c:formatCode>
                <c:ptCount val="7"/>
                <c:pt idx="0">
                  <c:v>-0.301029995663981</c:v>
                </c:pt>
                <c:pt idx="1">
                  <c:v>0.0</c:v>
                </c:pt>
                <c:pt idx="2">
                  <c:v>0.301029995663981</c:v>
                </c:pt>
                <c:pt idx="3">
                  <c:v>0.477121254719662</c:v>
                </c:pt>
                <c:pt idx="4">
                  <c:v>0.698970004336019</c:v>
                </c:pt>
                <c:pt idx="5">
                  <c:v>1.0</c:v>
                </c:pt>
                <c:pt idx="6">
                  <c:v>1.397940008672038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18-4CA1-AC34-AF28270F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1549904"/>
        <c:axId val="-1046112800"/>
      </c:scatterChart>
      <c:valAx>
        <c:axId val="-70154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46112800"/>
        <c:crosses val="autoZero"/>
        <c:crossBetween val="midCat"/>
      </c:valAx>
      <c:valAx>
        <c:axId val="-10461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154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</a:t>
            </a:r>
            <a:r>
              <a:rPr lang="en-US" baseline="0"/>
              <a:t> cortisol (ng/mg protein)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'In vitro media cortisol'!$W$31:$W$33</c:f>
                <c:numCache>
                  <c:formatCode>General</c:formatCode>
                  <c:ptCount val="3"/>
                  <c:pt idx="0">
                    <c:v>4.064208058948227</c:v>
                  </c:pt>
                  <c:pt idx="1">
                    <c:v>76.34659452410497</c:v>
                  </c:pt>
                  <c:pt idx="2">
                    <c:v>55.82136548453326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'In vitro media cortisol'!$T$31:$T$33</c:f>
              <c:strCache>
                <c:ptCount val="3"/>
                <c:pt idx="0">
                  <c:v>C</c:v>
                </c:pt>
                <c:pt idx="1">
                  <c:v>ACTH</c:v>
                </c:pt>
                <c:pt idx="2">
                  <c:v>8BR</c:v>
                </c:pt>
              </c:strCache>
            </c:strRef>
          </c:cat>
          <c:val>
            <c:numRef>
              <c:f>'In vitro media cortisol'!$U$31:$U$33</c:f>
              <c:numCache>
                <c:formatCode>0.000</c:formatCode>
                <c:ptCount val="3"/>
                <c:pt idx="0">
                  <c:v>84.23128607602115</c:v>
                </c:pt>
                <c:pt idx="1">
                  <c:v>751.5323025853691</c:v>
                </c:pt>
                <c:pt idx="2">
                  <c:v>453.0907659300177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13-498D-BEED-4C01CD468D3B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'In vitro media cortisol'!$W$35:$W$37</c:f>
                <c:numCache>
                  <c:formatCode>General</c:formatCode>
                  <c:ptCount val="3"/>
                  <c:pt idx="0">
                    <c:v>9.264578470163427</c:v>
                  </c:pt>
                  <c:pt idx="1">
                    <c:v>89.20242438371612</c:v>
                  </c:pt>
                  <c:pt idx="2">
                    <c:v>109.3631200466117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'In vitro media cortisol'!$U$35:$U$37</c:f>
              <c:numCache>
                <c:formatCode>0.000</c:formatCode>
                <c:ptCount val="3"/>
                <c:pt idx="0">
                  <c:v>68.37503517141002</c:v>
                </c:pt>
                <c:pt idx="1">
                  <c:v>947.1467441374634</c:v>
                </c:pt>
                <c:pt idx="2">
                  <c:v>697.4046969102623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13-498D-BEED-4C01CD46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0953520"/>
        <c:axId val="-700949456"/>
      </c:barChart>
      <c:catAx>
        <c:axId val="-7009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0949456"/>
        <c:crosses val="autoZero"/>
        <c:auto val="1"/>
        <c:lblAlgn val="ctr"/>
        <c:lblOffset val="100"/>
        <c:noMultiLvlLbl val="0"/>
      </c:catAx>
      <c:valAx>
        <c:axId val="-7009494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70095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 cortisol (ng/g wet weight)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'In vitro media cortisol'!$AD$31:$AD$33</c:f>
                <c:numCache>
                  <c:formatCode>General</c:formatCode>
                  <c:ptCount val="3"/>
                  <c:pt idx="0">
                    <c:v>14.08876546825458</c:v>
                  </c:pt>
                  <c:pt idx="1">
                    <c:v>122.8596491715504</c:v>
                  </c:pt>
                  <c:pt idx="2">
                    <c:v>206.7242217422772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'In vitro media cortisol'!$AA$35:$AA$37</c:f>
              <c:strCache>
                <c:ptCount val="3"/>
                <c:pt idx="0">
                  <c:v>C</c:v>
                </c:pt>
                <c:pt idx="1">
                  <c:v>ACTH</c:v>
                </c:pt>
                <c:pt idx="2">
                  <c:v>8BR</c:v>
                </c:pt>
              </c:strCache>
            </c:strRef>
          </c:cat>
          <c:val>
            <c:numRef>
              <c:f>'In vitro media cortisol'!$AB$31:$AB$33</c:f>
              <c:numCache>
                <c:formatCode>0.000</c:formatCode>
                <c:ptCount val="3"/>
                <c:pt idx="0">
                  <c:v>173.9114820677196</c:v>
                </c:pt>
                <c:pt idx="1">
                  <c:v>1859.310018201041</c:v>
                </c:pt>
                <c:pt idx="2">
                  <c:v>1579.56442019942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7B-42CB-AFCC-EA4D09DEAD60}"/>
            </c:ext>
          </c:extLst>
        </c:ser>
        <c:ser>
          <c:idx val="1"/>
          <c:order val="1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'In vitro media cortisol'!$AD$35:$AD$37</c:f>
                <c:numCache>
                  <c:formatCode>General</c:formatCode>
                  <c:ptCount val="3"/>
                  <c:pt idx="0">
                    <c:v>14.36853848631006</c:v>
                  </c:pt>
                  <c:pt idx="1">
                    <c:v>232.0923821162765</c:v>
                  </c:pt>
                  <c:pt idx="2">
                    <c:v>184.250749763006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'In vitro media cortisol'!$AA$35:$AA$37</c:f>
              <c:strCache>
                <c:ptCount val="3"/>
                <c:pt idx="0">
                  <c:v>C</c:v>
                </c:pt>
                <c:pt idx="1">
                  <c:v>ACTH</c:v>
                </c:pt>
                <c:pt idx="2">
                  <c:v>8BR</c:v>
                </c:pt>
              </c:strCache>
            </c:strRef>
          </c:cat>
          <c:val>
            <c:numRef>
              <c:f>'In vitro media cortisol'!$AB$35:$AB$37</c:f>
              <c:numCache>
                <c:formatCode>0.000</c:formatCode>
                <c:ptCount val="3"/>
                <c:pt idx="0">
                  <c:v>213.6114257357871</c:v>
                </c:pt>
                <c:pt idx="1">
                  <c:v>2369.560038352924</c:v>
                </c:pt>
                <c:pt idx="2">
                  <c:v>1643.082910714904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7B-42CB-AFCC-EA4D09DE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1866992"/>
        <c:axId val="-701428592"/>
      </c:barChart>
      <c:catAx>
        <c:axId val="-70186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1428592"/>
        <c:crosses val="autoZero"/>
        <c:auto val="1"/>
        <c:lblAlgn val="ctr"/>
        <c:lblOffset val="100"/>
        <c:noMultiLvlLbl val="0"/>
      </c:catAx>
      <c:valAx>
        <c:axId val="-7014285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70186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00398512685914261"/>
                  <c:y val="-0.402902449693788"/>
                </c:manualLayout>
              </c:layout>
              <c:numFmt formatCode="General" sourceLinked="0"/>
            </c:trendlineLbl>
          </c:trendline>
          <c:xVal>
            <c:numRef>
              <c:f>'Plasma cortisol'!$AC$7:$AC$13</c:f>
              <c:numCache>
                <c:formatCode>General</c:formatCode>
                <c:ptCount val="7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</c:numCache>
            </c:numRef>
          </c:xVal>
          <c:yVal>
            <c:numRef>
              <c:f>'Plasma cortisol'!$AF$7:$AF$13</c:f>
              <c:numCache>
                <c:formatCode>General</c:formatCode>
                <c:ptCount val="7"/>
                <c:pt idx="0">
                  <c:v>1.431</c:v>
                </c:pt>
                <c:pt idx="1">
                  <c:v>1.07565</c:v>
                </c:pt>
                <c:pt idx="2">
                  <c:v>0.8476</c:v>
                </c:pt>
                <c:pt idx="3">
                  <c:v>0.61825</c:v>
                </c:pt>
                <c:pt idx="4">
                  <c:v>0.55305</c:v>
                </c:pt>
                <c:pt idx="5">
                  <c:v>0.3204</c:v>
                </c:pt>
                <c:pt idx="6">
                  <c:v>0.2183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47-4767-BEDA-DE8CC972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914176"/>
        <c:axId val="-1043570208"/>
      </c:scatterChart>
      <c:valAx>
        <c:axId val="-10439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43570208"/>
        <c:crosses val="autoZero"/>
        <c:crossBetween val="midCat"/>
      </c:valAx>
      <c:valAx>
        <c:axId val="-10435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391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852189413823272"/>
                  <c:y val="-0.388235272674249"/>
                </c:manualLayout>
              </c:layout>
              <c:numFmt formatCode="General" sourceLinked="0"/>
            </c:trendlineLbl>
          </c:trendline>
          <c:xVal>
            <c:numRef>
              <c:f>'Plasma cortisol'!$AO$6:$AO$10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xVal>
          <c:yVal>
            <c:numRef>
              <c:f>'Plasma cortisol'!$AR$6:$AR$10</c:f>
              <c:numCache>
                <c:formatCode>General</c:formatCode>
                <c:ptCount val="5"/>
                <c:pt idx="0">
                  <c:v>1.8871</c:v>
                </c:pt>
                <c:pt idx="1">
                  <c:v>1.431</c:v>
                </c:pt>
                <c:pt idx="2">
                  <c:v>1.07565</c:v>
                </c:pt>
                <c:pt idx="3">
                  <c:v>0.8476</c:v>
                </c:pt>
                <c:pt idx="4">
                  <c:v>0.5494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13-493A-AAA2-28D17994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4087008"/>
        <c:axId val="-702047568"/>
      </c:scatterChart>
      <c:valAx>
        <c:axId val="-10440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2047568"/>
        <c:crosses val="autoZero"/>
        <c:crossBetween val="midCat"/>
      </c:valAx>
      <c:valAx>
        <c:axId val="-70204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408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TFM</c:v>
          </c:tx>
          <c:invertIfNegative val="0"/>
          <c:errBars>
            <c:errBarType val="plus"/>
            <c:errValType val="cust"/>
            <c:noEndCap val="0"/>
            <c:plus>
              <c:numRef>
                <c:f>'Plasma cortisol'!$AT$20:$AT$23</c:f>
                <c:numCache>
                  <c:formatCode>General</c:formatCode>
                  <c:ptCount val="4"/>
                  <c:pt idx="0">
                    <c:v>6.117000519577629</c:v>
                  </c:pt>
                  <c:pt idx="1">
                    <c:v>2.966947945239863</c:v>
                  </c:pt>
                  <c:pt idx="2">
                    <c:v>4.392041602121825</c:v>
                  </c:pt>
                  <c:pt idx="3">
                    <c:v>6.568360353734503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'Plasma cortisol'!$AQ$20:$AQ$23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'Plasma cortisol'!$AR$20:$AR$23</c:f>
              <c:numCache>
                <c:formatCode>General</c:formatCode>
                <c:ptCount val="4"/>
                <c:pt idx="0">
                  <c:v>16.50860635686518</c:v>
                </c:pt>
                <c:pt idx="1">
                  <c:v>31.69610010621273</c:v>
                </c:pt>
                <c:pt idx="2">
                  <c:v>26.17094520706693</c:v>
                </c:pt>
                <c:pt idx="3">
                  <c:v>22.80859812746539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C4-42C3-9C45-F68CF43980F3}"/>
            </c:ext>
          </c:extLst>
        </c:ser>
        <c:ser>
          <c:idx val="1"/>
          <c:order val="1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'Plasma cortisol'!$AT$25:$AT$28</c:f>
                <c:numCache>
                  <c:formatCode>General</c:formatCode>
                  <c:ptCount val="4"/>
                  <c:pt idx="0">
                    <c:v>1.755521739130434</c:v>
                  </c:pt>
                  <c:pt idx="1">
                    <c:v>1.448783198369716</c:v>
                  </c:pt>
                  <c:pt idx="2">
                    <c:v>3.896993330136254</c:v>
                  </c:pt>
                  <c:pt idx="3">
                    <c:v>5.537905245697001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'Plasma cortisol'!$AQ$20:$AQ$23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'Plasma cortisol'!$AR$25:$AR$28</c:f>
              <c:numCache>
                <c:formatCode>General</c:formatCode>
                <c:ptCount val="4"/>
                <c:pt idx="0">
                  <c:v>1.765521739130435</c:v>
                </c:pt>
                <c:pt idx="1">
                  <c:v>33.45612939532172</c:v>
                </c:pt>
                <c:pt idx="2">
                  <c:v>17.51718615767562</c:v>
                </c:pt>
                <c:pt idx="3">
                  <c:v>15.27675027127822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C4-42C3-9C45-F68CF439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8868656"/>
        <c:axId val="-508939616"/>
      </c:barChart>
      <c:catAx>
        <c:axId val="-183886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08939616"/>
        <c:crosses val="autoZero"/>
        <c:auto val="1"/>
        <c:lblAlgn val="ctr"/>
        <c:lblOffset val="100"/>
        <c:noMultiLvlLbl val="0"/>
      </c:catAx>
      <c:valAx>
        <c:axId val="-5089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886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1 curve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8373092252357"/>
                  <c:y val="-0.117099326640301"/>
                </c:manualLayout>
              </c:layout>
              <c:numFmt formatCode="General" sourceLinked="0"/>
            </c:trendlineLbl>
          </c:trendline>
          <c:xVal>
            <c:numRef>
              <c:f>'Plasma lactate'!$J$4:$J$10</c:f>
              <c:numCache>
                <c:formatCode>General</c:formatCode>
                <c:ptCount val="7"/>
                <c:pt idx="0">
                  <c:v>-0.000549999999999995</c:v>
                </c:pt>
                <c:pt idx="1">
                  <c:v>0.00849999999999999</c:v>
                </c:pt>
                <c:pt idx="2">
                  <c:v>0.0169</c:v>
                </c:pt>
                <c:pt idx="3">
                  <c:v>0.0334</c:v>
                </c:pt>
                <c:pt idx="4">
                  <c:v>0.07815</c:v>
                </c:pt>
                <c:pt idx="5">
                  <c:v>0.146</c:v>
                </c:pt>
                <c:pt idx="6">
                  <c:v>0.24665</c:v>
                </c:pt>
              </c:numCache>
            </c:numRef>
          </c:xVal>
          <c:yVal>
            <c:numRef>
              <c:f>'Plasma lactate'!$C$4:$C$10</c:f>
              <c:numCache>
                <c:formatCode>General</c:formatCode>
                <c:ptCount val="7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7-4F39-A73F-1D420191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5882976"/>
        <c:axId val="-1312555840"/>
      </c:scatterChart>
      <c:valAx>
        <c:axId val="-18158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12555840"/>
        <c:crosses val="autoZero"/>
        <c:crossBetween val="midCat"/>
      </c:valAx>
      <c:valAx>
        <c:axId val="-1312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1588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2 std curve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9614609677207"/>
                  <c:y val="-0.122562302662596"/>
                </c:manualLayout>
              </c:layout>
              <c:numFmt formatCode="General" sourceLinked="0"/>
            </c:trendlineLbl>
          </c:trendline>
          <c:xVal>
            <c:numRef>
              <c:f>'Plasma lactate'!$X$4:$X$10</c:f>
              <c:numCache>
                <c:formatCode>General</c:formatCode>
                <c:ptCount val="7"/>
                <c:pt idx="0">
                  <c:v>0.000750000000000007</c:v>
                </c:pt>
                <c:pt idx="1">
                  <c:v>0.00929999999999999</c:v>
                </c:pt>
                <c:pt idx="2">
                  <c:v>0.0176</c:v>
                </c:pt>
                <c:pt idx="3">
                  <c:v>0.02855</c:v>
                </c:pt>
                <c:pt idx="4">
                  <c:v>0.07355</c:v>
                </c:pt>
                <c:pt idx="5">
                  <c:v>0.1236</c:v>
                </c:pt>
                <c:pt idx="6">
                  <c:v>0.20115</c:v>
                </c:pt>
              </c:numCache>
            </c:numRef>
          </c:xVal>
          <c:yVal>
            <c:numRef>
              <c:f>'Plasma lactate'!$Q$4:$Q$10</c:f>
              <c:numCache>
                <c:formatCode>General</c:formatCode>
                <c:ptCount val="7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8-447F-9448-A95FEDA0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5608192"/>
        <c:axId val="-1745597344"/>
      </c:scatterChart>
      <c:valAx>
        <c:axId val="-17456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45597344"/>
        <c:crosses val="autoZero"/>
        <c:crossBetween val="midCat"/>
      </c:valAx>
      <c:valAx>
        <c:axId val="-17455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456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4762</xdr:rowOff>
    </xdr:from>
    <xdr:to>
      <xdr:col>16</xdr:col>
      <xdr:colOff>504825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15</xdr:row>
      <xdr:rowOff>61912</xdr:rowOff>
    </xdr:from>
    <xdr:to>
      <xdr:col>18</xdr:col>
      <xdr:colOff>47625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138112</xdr:rowOff>
    </xdr:from>
    <xdr:to>
      <xdr:col>15</xdr:col>
      <xdr:colOff>542925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78</xdr:row>
      <xdr:rowOff>80962</xdr:rowOff>
    </xdr:from>
    <xdr:to>
      <xdr:col>10</xdr:col>
      <xdr:colOff>333375</xdr:colOff>
      <xdr:row>92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1066800</xdr:colOff>
      <xdr:row>78</xdr:row>
      <xdr:rowOff>166687</xdr:rowOff>
    </xdr:from>
    <xdr:to>
      <xdr:col>17</xdr:col>
      <xdr:colOff>495300</xdr:colOff>
      <xdr:row>93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825500</xdr:colOff>
      <xdr:row>12</xdr:row>
      <xdr:rowOff>88900</xdr:rowOff>
    </xdr:from>
    <xdr:to>
      <xdr:col>24</xdr:col>
      <xdr:colOff>565150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180975</xdr:colOff>
      <xdr:row>11</xdr:row>
      <xdr:rowOff>147637</xdr:rowOff>
    </xdr:from>
    <xdr:to>
      <xdr:col>39</xdr:col>
      <xdr:colOff>409575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152400</xdr:colOff>
      <xdr:row>13</xdr:row>
      <xdr:rowOff>52387</xdr:rowOff>
    </xdr:from>
    <xdr:to>
      <xdr:col>38</xdr:col>
      <xdr:colOff>381000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266700</xdr:colOff>
      <xdr:row>11</xdr:row>
      <xdr:rowOff>185737</xdr:rowOff>
    </xdr:from>
    <xdr:to>
      <xdr:col>38</xdr:col>
      <xdr:colOff>495300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266700</xdr:colOff>
      <xdr:row>13</xdr:row>
      <xdr:rowOff>61912</xdr:rowOff>
    </xdr:from>
    <xdr:to>
      <xdr:col>38</xdr:col>
      <xdr:colOff>495300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361950</xdr:colOff>
      <xdr:row>11</xdr:row>
      <xdr:rowOff>128587</xdr:rowOff>
    </xdr:from>
    <xdr:to>
      <xdr:col>38</xdr:col>
      <xdr:colOff>590550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12</xdr:row>
      <xdr:rowOff>33337</xdr:rowOff>
    </xdr:from>
    <xdr:to>
      <xdr:col>38</xdr:col>
      <xdr:colOff>304800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438150</xdr:colOff>
      <xdr:row>11</xdr:row>
      <xdr:rowOff>157162</xdr:rowOff>
    </xdr:from>
    <xdr:to>
      <xdr:col>39</xdr:col>
      <xdr:colOff>57150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11</xdr:row>
      <xdr:rowOff>166687</xdr:rowOff>
    </xdr:from>
    <xdr:to>
      <xdr:col>23</xdr:col>
      <xdr:colOff>552450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23812</xdr:rowOff>
    </xdr:from>
    <xdr:to>
      <xdr:col>17</xdr:col>
      <xdr:colOff>171450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17</xdr:row>
      <xdr:rowOff>128587</xdr:rowOff>
    </xdr:from>
    <xdr:to>
      <xdr:col>27</xdr:col>
      <xdr:colOff>9525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14287</xdr:rowOff>
    </xdr:from>
    <xdr:to>
      <xdr:col>39</xdr:col>
      <xdr:colOff>142875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247650</xdr:colOff>
      <xdr:row>1</xdr:row>
      <xdr:rowOff>90487</xdr:rowOff>
    </xdr:from>
    <xdr:to>
      <xdr:col>51</xdr:col>
      <xdr:colOff>552450</xdr:colOff>
      <xdr:row>15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523875</xdr:colOff>
      <xdr:row>17</xdr:row>
      <xdr:rowOff>109537</xdr:rowOff>
    </xdr:from>
    <xdr:to>
      <xdr:col>54</xdr:col>
      <xdr:colOff>219075</xdr:colOff>
      <xdr:row>31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71437</xdr:rowOff>
    </xdr:from>
    <xdr:to>
      <xdr:col>18</xdr:col>
      <xdr:colOff>19050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0</xdr:row>
      <xdr:rowOff>109537</xdr:rowOff>
    </xdr:from>
    <xdr:to>
      <xdr:col>32</xdr:col>
      <xdr:colOff>381000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171450</xdr:colOff>
      <xdr:row>32</xdr:row>
      <xdr:rowOff>61912</xdr:rowOff>
    </xdr:from>
    <xdr:to>
      <xdr:col>67</xdr:col>
      <xdr:colOff>200025</xdr:colOff>
      <xdr:row>46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38100</xdr:colOff>
      <xdr:row>31</xdr:row>
      <xdr:rowOff>185737</xdr:rowOff>
    </xdr:from>
    <xdr:to>
      <xdr:col>75</xdr:col>
      <xdr:colOff>171450</xdr:colOff>
      <xdr:row>46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10</xdr:row>
      <xdr:rowOff>33337</xdr:rowOff>
    </xdr:from>
    <xdr:to>
      <xdr:col>8</xdr:col>
      <xdr:colOff>371476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90487</xdr:rowOff>
    </xdr:from>
    <xdr:to>
      <xdr:col>14</xdr:col>
      <xdr:colOff>171450</xdr:colOff>
      <xdr:row>24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37</xdr:row>
      <xdr:rowOff>147637</xdr:rowOff>
    </xdr:from>
    <xdr:to>
      <xdr:col>23</xdr:col>
      <xdr:colOff>228600</xdr:colOff>
      <xdr:row>52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85725</xdr:colOff>
      <xdr:row>37</xdr:row>
      <xdr:rowOff>185737</xdr:rowOff>
    </xdr:from>
    <xdr:to>
      <xdr:col>31</xdr:col>
      <xdr:colOff>390525</xdr:colOff>
      <xdr:row>52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10</xdr:row>
      <xdr:rowOff>166687</xdr:rowOff>
    </xdr:from>
    <xdr:to>
      <xdr:col>9</xdr:col>
      <xdr:colOff>114300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323849</xdr:colOff>
      <xdr:row>10</xdr:row>
      <xdr:rowOff>138112</xdr:rowOff>
    </xdr:from>
    <xdr:to>
      <xdr:col>23</xdr:col>
      <xdr:colOff>238124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247650</xdr:colOff>
      <xdr:row>10</xdr:row>
      <xdr:rowOff>166687</xdr:rowOff>
    </xdr:from>
    <xdr:to>
      <xdr:col>39</xdr:col>
      <xdr:colOff>152400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447675</xdr:colOff>
      <xdr:row>35</xdr:row>
      <xdr:rowOff>61912</xdr:rowOff>
    </xdr:from>
    <xdr:to>
      <xdr:col>55</xdr:col>
      <xdr:colOff>66675</xdr:colOff>
      <xdr:row>49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0</xdr:row>
      <xdr:rowOff>52387</xdr:rowOff>
    </xdr:from>
    <xdr:to>
      <xdr:col>15</xdr:col>
      <xdr:colOff>200025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28</xdr:row>
      <xdr:rowOff>61912</xdr:rowOff>
    </xdr:from>
    <xdr:to>
      <xdr:col>33</xdr:col>
      <xdr:colOff>152400</xdr:colOff>
      <xdr:row>42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0</xdr:row>
      <xdr:rowOff>33337</xdr:rowOff>
    </xdr:from>
    <xdr:to>
      <xdr:col>12</xdr:col>
      <xdr:colOff>704851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27</xdr:row>
      <xdr:rowOff>176212</xdr:rowOff>
    </xdr:from>
    <xdr:to>
      <xdr:col>24</xdr:col>
      <xdr:colOff>238125</xdr:colOff>
      <xdr:row>42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100012</xdr:rowOff>
    </xdr:from>
    <xdr:to>
      <xdr:col>12</xdr:col>
      <xdr:colOff>142875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276226</xdr:colOff>
      <xdr:row>0</xdr:row>
      <xdr:rowOff>23812</xdr:rowOff>
    </xdr:from>
    <xdr:to>
      <xdr:col>12</xdr:col>
      <xdr:colOff>800101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0</xdr:row>
      <xdr:rowOff>33337</xdr:rowOff>
    </xdr:from>
    <xdr:to>
      <xdr:col>12</xdr:col>
      <xdr:colOff>561976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8</xdr:row>
      <xdr:rowOff>185737</xdr:rowOff>
    </xdr:from>
    <xdr:to>
      <xdr:col>19</xdr:col>
      <xdr:colOff>304800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33</xdr:row>
      <xdr:rowOff>42862</xdr:rowOff>
    </xdr:from>
    <xdr:to>
      <xdr:col>19</xdr:col>
      <xdr:colOff>180975</xdr:colOff>
      <xdr:row>47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93</xdr:row>
      <xdr:rowOff>42862</xdr:rowOff>
    </xdr:from>
    <xdr:to>
      <xdr:col>19</xdr:col>
      <xdr:colOff>171450</xdr:colOff>
      <xdr:row>107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</xdr:colOff>
      <xdr:row>56</xdr:row>
      <xdr:rowOff>165100</xdr:rowOff>
    </xdr:from>
    <xdr:to>
      <xdr:col>18</xdr:col>
      <xdr:colOff>412750</xdr:colOff>
      <xdr:row>71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bistrian/Box%20Sync/PostDoc/MPW%20lab/My%20experiments/Experiment%20O1/Excel%20sheets/qPCR%20Relative%20Standard%20Cur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bistrian/Box%20Sync/PhD/Write-up/F:/Real-Time%20Data/Trout%20gene%20grad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s RNA gradi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6"/>
  <sheetViews>
    <sheetView topLeftCell="C1" workbookViewId="0">
      <selection activeCell="F24" sqref="F24"/>
    </sheetView>
  </sheetViews>
  <sheetFormatPr baseColWidth="10" defaultColWidth="8.796875" defaultRowHeight="15" x14ac:dyDescent="0.2"/>
  <cols>
    <col min="4" max="4" width="11.796875" bestFit="1" customWidth="1"/>
    <col min="8" max="8" width="11.3984375" bestFit="1" customWidth="1"/>
    <col min="10" max="10" width="17.796875" bestFit="1" customWidth="1"/>
  </cols>
  <sheetData>
    <row r="4" spans="4:7" x14ac:dyDescent="0.2">
      <c r="D4" t="s">
        <v>0</v>
      </c>
      <c r="E4" t="s">
        <v>1</v>
      </c>
      <c r="F4" t="s">
        <v>2</v>
      </c>
      <c r="G4" t="s">
        <v>3</v>
      </c>
    </row>
    <row r="5" spans="4:7" x14ac:dyDescent="0.2">
      <c r="D5">
        <v>0</v>
      </c>
      <c r="E5">
        <v>1.2709999999999999</v>
      </c>
      <c r="F5">
        <v>1.1359999999999999</v>
      </c>
      <c r="G5">
        <f>AVERAGE(E5:F5)</f>
        <v>1.2035</v>
      </c>
    </row>
    <row r="6" spans="4:7" x14ac:dyDescent="0.2">
      <c r="D6">
        <v>0.5</v>
      </c>
      <c r="E6">
        <v>1.113</v>
      </c>
      <c r="F6">
        <v>1.1046</v>
      </c>
      <c r="G6">
        <f t="shared" ref="G6:G11" si="0">AVERAGE(E6:F6)</f>
        <v>1.1088</v>
      </c>
    </row>
    <row r="7" spans="4:7" x14ac:dyDescent="0.2">
      <c r="D7">
        <v>1</v>
      </c>
      <c r="E7">
        <v>1.135</v>
      </c>
      <c r="F7">
        <v>1.0289999999999999</v>
      </c>
      <c r="G7">
        <f t="shared" si="0"/>
        <v>1.0819999999999999</v>
      </c>
    </row>
    <row r="8" spans="4:7" x14ac:dyDescent="0.2">
      <c r="D8">
        <v>3</v>
      </c>
      <c r="E8">
        <v>0.59199999999999997</v>
      </c>
      <c r="G8">
        <f t="shared" si="0"/>
        <v>0.59199999999999997</v>
      </c>
    </row>
    <row r="9" spans="4:7" x14ac:dyDescent="0.2">
      <c r="D9">
        <v>5</v>
      </c>
      <c r="E9">
        <v>0.40799999999999997</v>
      </c>
      <c r="F9">
        <v>0.49199999999999999</v>
      </c>
      <c r="G9">
        <f t="shared" si="0"/>
        <v>0.44999999999999996</v>
      </c>
    </row>
    <row r="10" spans="4:7" x14ac:dyDescent="0.2">
      <c r="D10">
        <v>10</v>
      </c>
      <c r="E10">
        <v>0.29399999999999998</v>
      </c>
      <c r="F10">
        <v>0.254</v>
      </c>
      <c r="G10">
        <f t="shared" si="0"/>
        <v>0.27400000000000002</v>
      </c>
    </row>
    <row r="11" spans="4:7" x14ac:dyDescent="0.2">
      <c r="D11">
        <v>25</v>
      </c>
      <c r="E11">
        <v>0.155</v>
      </c>
      <c r="F11">
        <v>0.18</v>
      </c>
      <c r="G11">
        <f t="shared" si="0"/>
        <v>0.16749999999999998</v>
      </c>
    </row>
    <row r="17" spans="4:10" x14ac:dyDescent="0.2"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19</v>
      </c>
      <c r="J17" t="s">
        <v>20</v>
      </c>
    </row>
    <row r="18" spans="4:10" x14ac:dyDescent="0.2">
      <c r="D18" t="s">
        <v>9</v>
      </c>
      <c r="E18" t="s">
        <v>10</v>
      </c>
      <c r="F18" t="s">
        <v>14</v>
      </c>
      <c r="G18">
        <v>0.51400000000000001</v>
      </c>
      <c r="H18">
        <f>EXP(LN((G18-0.9528)/(-0.271)))</f>
        <v>1.6191881918819186</v>
      </c>
      <c r="I18">
        <v>10</v>
      </c>
      <c r="J18">
        <f>I18*H18</f>
        <v>16.191881918819185</v>
      </c>
    </row>
    <row r="19" spans="4:10" x14ac:dyDescent="0.2">
      <c r="E19" t="s">
        <v>11</v>
      </c>
      <c r="F19" t="s">
        <v>15</v>
      </c>
      <c r="G19">
        <v>0.17299999999999999</v>
      </c>
      <c r="H19">
        <f>EXP(LN((G19-0.9528)/(-0.271)))</f>
        <v>2.877490774907749</v>
      </c>
      <c r="I19">
        <v>10</v>
      </c>
      <c r="J19">
        <f>I19*H19</f>
        <v>28.774907749077489</v>
      </c>
    </row>
    <row r="20" spans="4:10" x14ac:dyDescent="0.2">
      <c r="E20" t="s">
        <v>12</v>
      </c>
      <c r="F20" t="s">
        <v>16</v>
      </c>
      <c r="G20">
        <v>0.25</v>
      </c>
      <c r="H20">
        <f>EXP(LN((G20-0.9528)/(-0.271)))</f>
        <v>2.5933579335793358</v>
      </c>
      <c r="I20">
        <v>10</v>
      </c>
      <c r="J20">
        <f>I20*H20</f>
        <v>25.933579335793358</v>
      </c>
    </row>
    <row r="21" spans="4:10" x14ac:dyDescent="0.2">
      <c r="E21" t="s">
        <v>13</v>
      </c>
      <c r="F21" t="s">
        <v>17</v>
      </c>
      <c r="G21">
        <v>0.32100000000000001</v>
      </c>
      <c r="H21">
        <f>EXP(LN((G21-0.9528)/(-0.271)))</f>
        <v>2.3313653136531363</v>
      </c>
      <c r="I21">
        <v>10</v>
      </c>
      <c r="J21">
        <f>I21*H21</f>
        <v>23.313653136531364</v>
      </c>
    </row>
    <row r="23" spans="4:10" x14ac:dyDescent="0.2">
      <c r="D23" t="s">
        <v>18</v>
      </c>
      <c r="E23" t="s">
        <v>10</v>
      </c>
      <c r="F23" t="s">
        <v>21</v>
      </c>
      <c r="G23">
        <v>1.272</v>
      </c>
      <c r="H23">
        <v>1.0000000000000001E-5</v>
      </c>
      <c r="I23">
        <v>10</v>
      </c>
      <c r="J23">
        <f>I23*H23</f>
        <v>1E-4</v>
      </c>
    </row>
    <row r="24" spans="4:10" x14ac:dyDescent="0.2">
      <c r="E24" t="s">
        <v>11</v>
      </c>
      <c r="F24" t="s">
        <v>22</v>
      </c>
      <c r="G24">
        <v>0.25800000000000001</v>
      </c>
      <c r="H24">
        <f>EXP(LN((G24-0.9528)/(-0.271)))</f>
        <v>2.5638376383763837</v>
      </c>
      <c r="I24">
        <v>10</v>
      </c>
      <c r="J24">
        <f>I24*H24</f>
        <v>25.638376383763838</v>
      </c>
    </row>
    <row r="25" spans="4:10" x14ac:dyDescent="0.2">
      <c r="E25" t="s">
        <v>12</v>
      </c>
      <c r="F25" t="s">
        <v>23</v>
      </c>
      <c r="G25">
        <v>0.442</v>
      </c>
      <c r="H25">
        <f>EXP(LN((G25-0.9528)/(-0.271)))</f>
        <v>1.8848708487084866</v>
      </c>
      <c r="I25">
        <v>10</v>
      </c>
      <c r="J25">
        <f>I25*H25</f>
        <v>18.848708487084867</v>
      </c>
    </row>
    <row r="26" spans="4:10" x14ac:dyDescent="0.2">
      <c r="E26" t="s">
        <v>13</v>
      </c>
      <c r="F26" t="s">
        <v>24</v>
      </c>
      <c r="G26">
        <v>1.5089999999999999</v>
      </c>
      <c r="H26">
        <v>1.0000000000000001E-5</v>
      </c>
      <c r="I26">
        <v>10</v>
      </c>
      <c r="J26">
        <f>I26*H26</f>
        <v>1E-4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I19" sqref="I19"/>
    </sheetView>
  </sheetViews>
  <sheetFormatPr baseColWidth="10" defaultColWidth="8.796875" defaultRowHeight="15" x14ac:dyDescent="0.2"/>
  <cols>
    <col min="1" max="1" width="10.3984375" bestFit="1" customWidth="1"/>
    <col min="3" max="3" width="12" bestFit="1" customWidth="1"/>
    <col min="6" max="6" width="10.3984375" bestFit="1" customWidth="1"/>
    <col min="8" max="8" width="11.3984375" bestFit="1" customWidth="1"/>
    <col min="9" max="9" width="17.3984375" bestFit="1" customWidth="1"/>
    <col min="13" max="13" width="19.19921875" bestFit="1" customWidth="1"/>
    <col min="14" max="14" width="23.3984375" bestFit="1" customWidth="1"/>
    <col min="15" max="15" width="13.3984375" bestFit="1" customWidth="1"/>
    <col min="17" max="17" width="11.3984375" bestFit="1" customWidth="1"/>
  </cols>
  <sheetData>
    <row r="1" spans="3:10" x14ac:dyDescent="0.2">
      <c r="C1" t="s">
        <v>401</v>
      </c>
    </row>
    <row r="2" spans="3:10" x14ac:dyDescent="0.2">
      <c r="C2" s="3" t="s">
        <v>360</v>
      </c>
      <c r="D2" s="3" t="s">
        <v>361</v>
      </c>
      <c r="E2" s="3" t="s">
        <v>171</v>
      </c>
      <c r="F2" s="3" t="s">
        <v>172</v>
      </c>
      <c r="G2" s="3" t="s">
        <v>362</v>
      </c>
      <c r="J2" s="3" t="s">
        <v>363</v>
      </c>
    </row>
    <row r="3" spans="3:10" x14ac:dyDescent="0.2">
      <c r="C3">
        <v>1</v>
      </c>
      <c r="D3">
        <v>0</v>
      </c>
      <c r="E3">
        <v>9.51</v>
      </c>
      <c r="F3">
        <v>9.66</v>
      </c>
      <c r="G3">
        <v>9.5850000000000009</v>
      </c>
      <c r="J3">
        <v>110.86</v>
      </c>
    </row>
    <row r="4" spans="3:10" x14ac:dyDescent="0.2">
      <c r="C4">
        <v>0.25</v>
      </c>
      <c r="D4">
        <v>-0.6020599913279624</v>
      </c>
      <c r="E4">
        <v>13.14</v>
      </c>
      <c r="F4">
        <v>12.57</v>
      </c>
      <c r="G4">
        <v>12.855</v>
      </c>
    </row>
    <row r="5" spans="3:10" x14ac:dyDescent="0.2">
      <c r="C5">
        <v>6.25E-2</v>
      </c>
      <c r="D5">
        <v>-1.2041199826559248</v>
      </c>
      <c r="E5">
        <v>13.94</v>
      </c>
      <c r="F5">
        <v>13.7</v>
      </c>
      <c r="G5">
        <v>13.82</v>
      </c>
    </row>
    <row r="6" spans="3:10" x14ac:dyDescent="0.2">
      <c r="C6">
        <v>1.5625E-2</v>
      </c>
      <c r="D6">
        <v>-1.8061799739838871</v>
      </c>
      <c r="E6">
        <v>16.059999999999999</v>
      </c>
      <c r="F6">
        <v>15.84</v>
      </c>
      <c r="G6">
        <v>15.95</v>
      </c>
    </row>
    <row r="7" spans="3:10" x14ac:dyDescent="0.2">
      <c r="C7">
        <v>3.90625E-3</v>
      </c>
      <c r="D7">
        <v>-2.4082399653118496</v>
      </c>
      <c r="E7">
        <v>17.84</v>
      </c>
      <c r="F7">
        <v>18.010000000000002</v>
      </c>
      <c r="G7">
        <v>17.925000000000001</v>
      </c>
    </row>
    <row r="8" spans="3:10" x14ac:dyDescent="0.2">
      <c r="C8">
        <v>9.765625E-4</v>
      </c>
      <c r="D8">
        <v>-3.0102999566398121</v>
      </c>
      <c r="E8">
        <v>19.079999999999998</v>
      </c>
      <c r="F8">
        <v>19.170000000000002</v>
      </c>
      <c r="G8">
        <v>19.125</v>
      </c>
    </row>
    <row r="17" spans="1:25" x14ac:dyDescent="0.2">
      <c r="I17" t="s">
        <v>445</v>
      </c>
      <c r="J17" s="3" t="s">
        <v>203</v>
      </c>
      <c r="K17" s="3" t="s">
        <v>202</v>
      </c>
      <c r="L17" s="3" t="s">
        <v>191</v>
      </c>
    </row>
    <row r="18" spans="1:25" s="3" customFormat="1" x14ac:dyDescent="0.2">
      <c r="A18" s="3" t="s">
        <v>4</v>
      </c>
      <c r="B18" s="3" t="s">
        <v>5</v>
      </c>
      <c r="C18" s="3" t="s">
        <v>139</v>
      </c>
      <c r="D18" s="3" t="s">
        <v>171</v>
      </c>
      <c r="E18" s="3" t="s">
        <v>172</v>
      </c>
      <c r="F18" s="3" t="s">
        <v>182</v>
      </c>
      <c r="G18" s="3" t="s">
        <v>440</v>
      </c>
      <c r="H18" s="3" t="s">
        <v>443</v>
      </c>
      <c r="I18" s="3" t="s">
        <v>444</v>
      </c>
      <c r="J18" s="3" t="s">
        <v>347</v>
      </c>
      <c r="K18" s="3" t="s">
        <v>205</v>
      </c>
      <c r="L18" s="3" t="s">
        <v>204</v>
      </c>
      <c r="M18" s="3" t="s">
        <v>442</v>
      </c>
      <c r="N18" s="3" t="s">
        <v>193</v>
      </c>
      <c r="O18" s="3" t="s">
        <v>194</v>
      </c>
      <c r="P18" s="3" t="s">
        <v>213</v>
      </c>
      <c r="Q18" s="3" t="s">
        <v>212</v>
      </c>
      <c r="R18" s="3" t="s">
        <v>5</v>
      </c>
      <c r="T18" s="3" t="s">
        <v>215</v>
      </c>
      <c r="Y18" s="3" t="s">
        <v>206</v>
      </c>
    </row>
    <row r="19" spans="1:25" x14ac:dyDescent="0.2">
      <c r="A19" t="s">
        <v>188</v>
      </c>
      <c r="B19" t="s">
        <v>10</v>
      </c>
      <c r="C19">
        <v>1</v>
      </c>
      <c r="D19">
        <v>9.5399999999999991</v>
      </c>
      <c r="E19">
        <v>8.94</v>
      </c>
      <c r="F19">
        <f>AVERAGE(D19:E19)</f>
        <v>9.2399999999999984</v>
      </c>
      <c r="G19">
        <f>(F19-10.231)/(-3.0865)</f>
        <v>0.32107565203304761</v>
      </c>
      <c r="H19">
        <f>(G19-10.231)/(-3.0865)</f>
        <v>3.2107320097090399</v>
      </c>
      <c r="I19">
        <f>10^H19</f>
        <v>1624.5459870711295</v>
      </c>
      <c r="J19" s="4">
        <v>929.4</v>
      </c>
      <c r="K19" s="4">
        <v>350</v>
      </c>
      <c r="L19" s="4">
        <f>(J19/1000)*K19</f>
        <v>325.29000000000002</v>
      </c>
      <c r="M19">
        <f>I19/L19</f>
        <v>4.9941467216057349</v>
      </c>
    </row>
    <row r="20" spans="1:25" x14ac:dyDescent="0.2">
      <c r="C20">
        <v>2</v>
      </c>
      <c r="D20">
        <v>9.25</v>
      </c>
      <c r="E20">
        <v>8.94</v>
      </c>
      <c r="F20">
        <f t="shared" ref="F20:F66" si="0">AVERAGE(D20:E20)</f>
        <v>9.0949999999999989</v>
      </c>
      <c r="G20">
        <f t="shared" ref="G20:H66" si="1">(F20-10.231)/(-3.0865)</f>
        <v>0.36805443058480514</v>
      </c>
      <c r="H20">
        <f t="shared" si="1"/>
        <v>3.1955112811972115</v>
      </c>
      <c r="I20">
        <f t="shared" ref="I20:I66" si="2">10^H20</f>
        <v>1568.5966428865588</v>
      </c>
      <c r="J20" s="4">
        <v>752.8</v>
      </c>
      <c r="K20" s="4">
        <v>175</v>
      </c>
      <c r="L20" s="4">
        <f t="shared" ref="L20:L66" si="3">(J20/1000)*K20</f>
        <v>131.73999999999998</v>
      </c>
      <c r="M20">
        <f t="shared" ref="M20:M66" si="4">I20/L20</f>
        <v>11.906760610950046</v>
      </c>
    </row>
    <row r="21" spans="1:25" x14ac:dyDescent="0.2">
      <c r="C21">
        <v>3</v>
      </c>
      <c r="D21">
        <v>9.23</v>
      </c>
      <c r="E21">
        <v>8.59</v>
      </c>
      <c r="F21">
        <f t="shared" si="0"/>
        <v>8.91</v>
      </c>
      <c r="G21">
        <f t="shared" si="1"/>
        <v>0.42799287218532311</v>
      </c>
      <c r="H21">
        <f t="shared" si="1"/>
        <v>3.1760917310269488</v>
      </c>
      <c r="I21">
        <f t="shared" si="2"/>
        <v>1500.0016301318947</v>
      </c>
      <c r="J21" s="4">
        <v>1329</v>
      </c>
      <c r="K21" s="4">
        <v>225</v>
      </c>
      <c r="L21" s="4">
        <f t="shared" si="3"/>
        <v>299.02499999999998</v>
      </c>
      <c r="M21">
        <f t="shared" si="4"/>
        <v>5.0163084361906023</v>
      </c>
    </row>
    <row r="22" spans="1:25" x14ac:dyDescent="0.2">
      <c r="C22">
        <v>4</v>
      </c>
      <c r="D22">
        <v>9.2799999999999994</v>
      </c>
      <c r="E22">
        <v>9.15</v>
      </c>
      <c r="F22">
        <f t="shared" si="0"/>
        <v>9.2149999999999999</v>
      </c>
      <c r="G22">
        <f t="shared" si="1"/>
        <v>0.32917544143852262</v>
      </c>
      <c r="H22">
        <f t="shared" si="1"/>
        <v>3.208107746172518</v>
      </c>
      <c r="I22">
        <f t="shared" si="2"/>
        <v>1614.7591203646402</v>
      </c>
      <c r="J22" s="4">
        <v>884.9</v>
      </c>
      <c r="K22" s="4">
        <v>225</v>
      </c>
      <c r="L22" s="4">
        <f t="shared" si="3"/>
        <v>199.10249999999999</v>
      </c>
      <c r="M22">
        <f t="shared" si="4"/>
        <v>8.1101900798063316</v>
      </c>
    </row>
    <row r="23" spans="1:25" x14ac:dyDescent="0.2">
      <c r="C23">
        <v>5</v>
      </c>
      <c r="D23">
        <v>8.82</v>
      </c>
      <c r="E23">
        <v>8.84</v>
      </c>
      <c r="F23">
        <f t="shared" si="0"/>
        <v>8.83</v>
      </c>
      <c r="G23">
        <f t="shared" si="1"/>
        <v>0.45391219828284457</v>
      </c>
      <c r="H23">
        <f t="shared" si="1"/>
        <v>3.1676940877100774</v>
      </c>
      <c r="I23">
        <f t="shared" si="2"/>
        <v>1471.275786754275</v>
      </c>
      <c r="J23" s="4">
        <v>1224</v>
      </c>
      <c r="K23" s="4">
        <v>250</v>
      </c>
      <c r="L23" s="4">
        <f t="shared" si="3"/>
        <v>306</v>
      </c>
      <c r="M23">
        <f t="shared" si="4"/>
        <v>4.8080908063865193</v>
      </c>
    </row>
    <row r="24" spans="1:25" x14ac:dyDescent="0.2">
      <c r="C24">
        <v>6</v>
      </c>
      <c r="D24">
        <v>9.25</v>
      </c>
      <c r="E24">
        <v>9.39</v>
      </c>
      <c r="F24">
        <f t="shared" si="0"/>
        <v>9.32</v>
      </c>
      <c r="G24">
        <f t="shared" si="1"/>
        <v>0.29515632593552554</v>
      </c>
      <c r="H24">
        <f t="shared" si="1"/>
        <v>3.2191296530259108</v>
      </c>
      <c r="I24">
        <f t="shared" si="2"/>
        <v>1656.2643460657355</v>
      </c>
      <c r="J24" s="4">
        <v>1040</v>
      </c>
      <c r="K24" s="4">
        <v>275</v>
      </c>
      <c r="L24" s="4">
        <f t="shared" si="3"/>
        <v>286</v>
      </c>
      <c r="M24">
        <f t="shared" si="4"/>
        <v>5.7911340771529209</v>
      </c>
    </row>
    <row r="25" spans="1:25" x14ac:dyDescent="0.2">
      <c r="B25" t="s">
        <v>11</v>
      </c>
      <c r="C25">
        <v>7</v>
      </c>
      <c r="D25">
        <v>9.19</v>
      </c>
      <c r="E25">
        <v>8.9700000000000006</v>
      </c>
      <c r="F25">
        <f t="shared" si="0"/>
        <v>9.08</v>
      </c>
      <c r="G25">
        <f t="shared" si="1"/>
        <v>0.37291430422809002</v>
      </c>
      <c r="H25">
        <f t="shared" si="1"/>
        <v>3.1939367230752991</v>
      </c>
      <c r="I25">
        <f t="shared" si="2"/>
        <v>1562.9199078332458</v>
      </c>
      <c r="J25" s="4">
        <v>942.6</v>
      </c>
      <c r="K25" s="4">
        <v>275</v>
      </c>
      <c r="L25" s="4">
        <f t="shared" si="3"/>
        <v>259.21499999999997</v>
      </c>
      <c r="M25">
        <f t="shared" si="4"/>
        <v>6.0294346694182277</v>
      </c>
    </row>
    <row r="26" spans="1:25" x14ac:dyDescent="0.2">
      <c r="C26">
        <v>8</v>
      </c>
      <c r="D26">
        <v>9.07</v>
      </c>
      <c r="E26">
        <v>9.0299999999999994</v>
      </c>
      <c r="F26">
        <f t="shared" si="0"/>
        <v>9.0500000000000007</v>
      </c>
      <c r="G26">
        <f t="shared" si="1"/>
        <v>0.38263405151466034</v>
      </c>
      <c r="H26">
        <f t="shared" si="1"/>
        <v>3.1907876068314724</v>
      </c>
      <c r="I26">
        <f t="shared" si="2"/>
        <v>1551.6279955145417</v>
      </c>
      <c r="J26" s="4">
        <v>1035</v>
      </c>
      <c r="K26" s="4">
        <v>275</v>
      </c>
      <c r="L26" s="4">
        <f t="shared" si="3"/>
        <v>284.625</v>
      </c>
      <c r="M26">
        <f t="shared" si="4"/>
        <v>5.4514817585051967</v>
      </c>
    </row>
    <row r="27" spans="1:25" x14ac:dyDescent="0.2">
      <c r="C27">
        <v>9</v>
      </c>
      <c r="D27">
        <v>8.82</v>
      </c>
      <c r="E27">
        <v>8.74</v>
      </c>
      <c r="F27">
        <f t="shared" si="0"/>
        <v>8.7800000000000011</v>
      </c>
      <c r="G27">
        <f t="shared" si="1"/>
        <v>0.47011177709379515</v>
      </c>
      <c r="H27">
        <f t="shared" si="1"/>
        <v>3.1624455606370336</v>
      </c>
      <c r="I27">
        <f t="shared" si="2"/>
        <v>1453.6021633160976</v>
      </c>
      <c r="J27" s="4">
        <v>796.2</v>
      </c>
      <c r="K27" s="4">
        <v>425</v>
      </c>
      <c r="L27" s="4">
        <f t="shared" si="3"/>
        <v>338.38499999999999</v>
      </c>
      <c r="M27">
        <f t="shared" si="4"/>
        <v>4.2957050794689415</v>
      </c>
    </row>
    <row r="28" spans="1:25" x14ac:dyDescent="0.2">
      <c r="C28">
        <v>10</v>
      </c>
      <c r="D28">
        <v>9.1</v>
      </c>
      <c r="E28">
        <v>9.31</v>
      </c>
      <c r="F28">
        <f t="shared" si="0"/>
        <v>9.2050000000000001</v>
      </c>
      <c r="G28">
        <f t="shared" si="1"/>
        <v>0.33241535720071269</v>
      </c>
      <c r="H28">
        <f t="shared" si="1"/>
        <v>3.2070580407579095</v>
      </c>
      <c r="I28">
        <f t="shared" si="2"/>
        <v>1610.8609023397948</v>
      </c>
      <c r="J28" s="4">
        <v>1071</v>
      </c>
      <c r="K28" s="4">
        <v>225</v>
      </c>
      <c r="L28" s="4">
        <f t="shared" si="3"/>
        <v>240.97499999999999</v>
      </c>
      <c r="M28">
        <f t="shared" si="4"/>
        <v>6.6847635743948333</v>
      </c>
    </row>
    <row r="29" spans="1:25" x14ac:dyDescent="0.2">
      <c r="C29">
        <v>11</v>
      </c>
      <c r="D29">
        <v>8.85</v>
      </c>
      <c r="E29">
        <v>8.7200000000000006</v>
      </c>
      <c r="F29">
        <f t="shared" si="0"/>
        <v>8.7850000000000001</v>
      </c>
      <c r="G29">
        <f t="shared" si="1"/>
        <v>0.46849181921270039</v>
      </c>
      <c r="H29">
        <f t="shared" si="1"/>
        <v>3.1629704133443384</v>
      </c>
      <c r="I29">
        <f t="shared" si="2"/>
        <v>1455.3599296563802</v>
      </c>
      <c r="J29" s="4">
        <v>968.9</v>
      </c>
      <c r="K29" s="4">
        <v>325</v>
      </c>
      <c r="L29" s="4">
        <f t="shared" si="3"/>
        <v>314.89249999999998</v>
      </c>
      <c r="M29">
        <f t="shared" si="4"/>
        <v>4.6217675227462713</v>
      </c>
    </row>
    <row r="30" spans="1:25" x14ac:dyDescent="0.2">
      <c r="C30">
        <v>12</v>
      </c>
      <c r="D30">
        <v>8.8699999999999992</v>
      </c>
      <c r="E30">
        <v>9.16</v>
      </c>
      <c r="F30">
        <f t="shared" si="0"/>
        <v>9.0150000000000006</v>
      </c>
      <c r="G30">
        <f t="shared" si="1"/>
        <v>0.39397375668232604</v>
      </c>
      <c r="H30">
        <f t="shared" si="1"/>
        <v>3.1871136378803411</v>
      </c>
      <c r="I30">
        <f t="shared" si="2"/>
        <v>1538.557167874621</v>
      </c>
      <c r="J30" s="4">
        <v>1270</v>
      </c>
      <c r="K30" s="4">
        <v>275</v>
      </c>
      <c r="L30" s="4">
        <f t="shared" si="3"/>
        <v>349.25</v>
      </c>
      <c r="M30">
        <f t="shared" si="4"/>
        <v>4.4053175887605471</v>
      </c>
    </row>
    <row r="31" spans="1:25" x14ac:dyDescent="0.2">
      <c r="B31" t="s">
        <v>12</v>
      </c>
      <c r="C31">
        <v>13</v>
      </c>
      <c r="D31">
        <v>8.76</v>
      </c>
      <c r="E31">
        <v>8.39</v>
      </c>
      <c r="F31">
        <f t="shared" si="0"/>
        <v>8.5749999999999993</v>
      </c>
      <c r="G31">
        <f t="shared" si="1"/>
        <v>0.53653005021869449</v>
      </c>
      <c r="H31">
        <f t="shared" si="1"/>
        <v>3.1409265996375524</v>
      </c>
      <c r="I31">
        <f t="shared" si="2"/>
        <v>1383.3325613744414</v>
      </c>
      <c r="J31" s="4">
        <v>1046</v>
      </c>
      <c r="K31" s="4">
        <v>275</v>
      </c>
      <c r="L31" s="4">
        <f t="shared" si="3"/>
        <v>287.65000000000003</v>
      </c>
      <c r="M31">
        <f t="shared" si="4"/>
        <v>4.8090824313382274</v>
      </c>
    </row>
    <row r="32" spans="1:25" x14ac:dyDescent="0.2">
      <c r="C32">
        <v>14</v>
      </c>
      <c r="D32">
        <v>8.7200000000000006</v>
      </c>
      <c r="E32">
        <v>8.35</v>
      </c>
      <c r="F32">
        <f t="shared" si="0"/>
        <v>8.5350000000000001</v>
      </c>
      <c r="G32">
        <f t="shared" si="1"/>
        <v>0.54948971326745499</v>
      </c>
      <c r="H32">
        <f t="shared" si="1"/>
        <v>3.1367277779791172</v>
      </c>
      <c r="I32">
        <f t="shared" si="2"/>
        <v>1370.0227470288887</v>
      </c>
      <c r="J32" s="4">
        <v>943.7</v>
      </c>
      <c r="K32" s="4">
        <v>375</v>
      </c>
      <c r="L32" s="4">
        <f t="shared" si="3"/>
        <v>353.88750000000005</v>
      </c>
      <c r="M32">
        <f t="shared" si="4"/>
        <v>3.8713510565614455</v>
      </c>
    </row>
    <row r="33" spans="1:13" x14ac:dyDescent="0.2">
      <c r="C33">
        <v>15</v>
      </c>
      <c r="D33">
        <v>8.5299999999999994</v>
      </c>
      <c r="E33">
        <v>8.43</v>
      </c>
      <c r="F33">
        <f t="shared" si="0"/>
        <v>8.48</v>
      </c>
      <c r="G33">
        <f t="shared" si="1"/>
        <v>0.56730924995950083</v>
      </c>
      <c r="H33">
        <f t="shared" si="1"/>
        <v>3.1309543981987686</v>
      </c>
      <c r="I33">
        <f t="shared" si="2"/>
        <v>1351.9306002868327</v>
      </c>
      <c r="J33" s="4">
        <v>1156</v>
      </c>
      <c r="K33" s="4">
        <v>275</v>
      </c>
      <c r="L33" s="4">
        <f t="shared" si="3"/>
        <v>317.89999999999998</v>
      </c>
      <c r="M33">
        <f t="shared" si="4"/>
        <v>4.252691413296108</v>
      </c>
    </row>
    <row r="34" spans="1:13" x14ac:dyDescent="0.2">
      <c r="C34">
        <v>16</v>
      </c>
      <c r="D34">
        <v>8.2799999999999994</v>
      </c>
      <c r="E34">
        <v>8.2799999999999994</v>
      </c>
      <c r="F34">
        <f t="shared" si="0"/>
        <v>8.2799999999999994</v>
      </c>
      <c r="G34">
        <f t="shared" si="1"/>
        <v>0.63210756520330491</v>
      </c>
      <c r="H34">
        <f t="shared" si="1"/>
        <v>3.1099602899065917</v>
      </c>
      <c r="I34">
        <f t="shared" si="2"/>
        <v>1288.1317648607805</v>
      </c>
      <c r="J34" s="4">
        <v>961.8</v>
      </c>
      <c r="K34" s="4">
        <v>375</v>
      </c>
      <c r="L34" s="4">
        <f t="shared" si="3"/>
        <v>360.67500000000001</v>
      </c>
      <c r="M34">
        <f t="shared" si="4"/>
        <v>3.571447327540807</v>
      </c>
    </row>
    <row r="35" spans="1:13" x14ac:dyDescent="0.2">
      <c r="C35" s="4">
        <v>17</v>
      </c>
      <c r="D35">
        <v>8.19</v>
      </c>
      <c r="E35">
        <v>8.36</v>
      </c>
      <c r="F35">
        <f t="shared" si="0"/>
        <v>8.2749999999999986</v>
      </c>
      <c r="G35">
        <f t="shared" si="1"/>
        <v>0.63372752308440017</v>
      </c>
      <c r="H35">
        <f t="shared" si="1"/>
        <v>3.1094354371992869</v>
      </c>
      <c r="I35">
        <f t="shared" si="2"/>
        <v>1286.5759747005723</v>
      </c>
      <c r="J35" s="4">
        <v>581.79999999999995</v>
      </c>
      <c r="K35" s="4">
        <v>250</v>
      </c>
      <c r="L35" s="4">
        <f t="shared" si="3"/>
        <v>145.44999999999999</v>
      </c>
      <c r="M35">
        <f t="shared" si="4"/>
        <v>8.8454862475116691</v>
      </c>
    </row>
    <row r="36" spans="1:13" x14ac:dyDescent="0.2">
      <c r="C36" s="4">
        <v>18</v>
      </c>
      <c r="D36">
        <v>8.67</v>
      </c>
      <c r="E36">
        <v>8.99</v>
      </c>
      <c r="F36">
        <f t="shared" si="0"/>
        <v>8.83</v>
      </c>
      <c r="G36">
        <f t="shared" si="1"/>
        <v>0.45391219828284457</v>
      </c>
      <c r="H36">
        <f t="shared" si="1"/>
        <v>3.1676940877100774</v>
      </c>
      <c r="I36">
        <f t="shared" si="2"/>
        <v>1471.275786754275</v>
      </c>
      <c r="J36" s="4">
        <v>965.2</v>
      </c>
      <c r="K36" s="4">
        <v>225</v>
      </c>
      <c r="L36" s="4">
        <f t="shared" si="3"/>
        <v>217.17000000000002</v>
      </c>
      <c r="M36">
        <f t="shared" si="4"/>
        <v>6.774765330175784</v>
      </c>
    </row>
    <row r="37" spans="1:13" x14ac:dyDescent="0.2">
      <c r="B37" t="s">
        <v>13</v>
      </c>
      <c r="C37" s="4">
        <v>19</v>
      </c>
      <c r="D37">
        <v>8.69</v>
      </c>
      <c r="E37">
        <v>8.5</v>
      </c>
      <c r="F37">
        <f t="shared" si="0"/>
        <v>8.5949999999999989</v>
      </c>
      <c r="G37">
        <f t="shared" si="1"/>
        <v>0.53005021869431423</v>
      </c>
      <c r="H37">
        <f t="shared" si="1"/>
        <v>3.1430260104667704</v>
      </c>
      <c r="I37">
        <f t="shared" si="2"/>
        <v>1390.03587979442</v>
      </c>
      <c r="J37" s="4">
        <v>1847.7</v>
      </c>
      <c r="K37" s="4">
        <v>225</v>
      </c>
      <c r="L37" s="4">
        <f t="shared" si="3"/>
        <v>415.73250000000002</v>
      </c>
      <c r="M37">
        <f t="shared" si="4"/>
        <v>3.3435824232996456</v>
      </c>
    </row>
    <row r="38" spans="1:13" x14ac:dyDescent="0.2">
      <c r="C38" s="4">
        <v>20</v>
      </c>
      <c r="D38">
        <v>8.7100000000000009</v>
      </c>
      <c r="E38">
        <v>8.51</v>
      </c>
      <c r="F38">
        <f t="shared" si="0"/>
        <v>8.61</v>
      </c>
      <c r="G38">
        <f t="shared" si="1"/>
        <v>0.5251903450510288</v>
      </c>
      <c r="H38">
        <f t="shared" si="1"/>
        <v>3.1446005685886838</v>
      </c>
      <c r="I38">
        <f t="shared" si="2"/>
        <v>1395.084676834274</v>
      </c>
      <c r="J38" s="4">
        <v>961.2</v>
      </c>
      <c r="K38" s="4">
        <v>325</v>
      </c>
      <c r="L38" s="4">
        <f t="shared" si="3"/>
        <v>312.39000000000004</v>
      </c>
      <c r="M38">
        <f t="shared" si="4"/>
        <v>4.465842942585466</v>
      </c>
    </row>
    <row r="39" spans="1:13" x14ac:dyDescent="0.2">
      <c r="C39" s="4">
        <v>21</v>
      </c>
      <c r="D39">
        <v>8.5299999999999994</v>
      </c>
      <c r="E39">
        <v>8.68</v>
      </c>
      <c r="F39">
        <f t="shared" si="0"/>
        <v>8.6050000000000004</v>
      </c>
      <c r="G39">
        <f t="shared" si="1"/>
        <v>0.52681030293212361</v>
      </c>
      <c r="H39">
        <f t="shared" si="1"/>
        <v>3.144075715881379</v>
      </c>
      <c r="I39">
        <f t="shared" si="2"/>
        <v>1393.399710224425</v>
      </c>
      <c r="J39" s="4">
        <v>1005</v>
      </c>
      <c r="K39" s="4">
        <v>325</v>
      </c>
      <c r="L39" s="4">
        <f t="shared" si="3"/>
        <v>326.62499999999994</v>
      </c>
      <c r="M39">
        <f t="shared" si="4"/>
        <v>4.2660534564850368</v>
      </c>
    </row>
    <row r="40" spans="1:13" x14ac:dyDescent="0.2">
      <c r="C40" s="4">
        <v>22</v>
      </c>
      <c r="D40">
        <v>8.32</v>
      </c>
      <c r="E40">
        <v>8.33</v>
      </c>
      <c r="F40">
        <f t="shared" si="0"/>
        <v>8.3249999999999993</v>
      </c>
      <c r="G40">
        <f t="shared" si="1"/>
        <v>0.61752794427344904</v>
      </c>
      <c r="H40">
        <f t="shared" si="1"/>
        <v>3.1146839642723312</v>
      </c>
      <c r="I40">
        <f t="shared" si="2"/>
        <v>1302.2188100480323</v>
      </c>
      <c r="J40" s="4">
        <v>576.6</v>
      </c>
      <c r="K40" s="4">
        <v>225</v>
      </c>
      <c r="L40" s="4">
        <f t="shared" si="3"/>
        <v>129.73500000000001</v>
      </c>
      <c r="M40">
        <f t="shared" si="4"/>
        <v>10.037528886175913</v>
      </c>
    </row>
    <row r="41" spans="1:13" x14ac:dyDescent="0.2">
      <c r="C41" s="4">
        <v>23</v>
      </c>
      <c r="D41">
        <v>8.49</v>
      </c>
      <c r="E41">
        <v>8.59</v>
      </c>
      <c r="F41">
        <f t="shared" si="0"/>
        <v>8.5399999999999991</v>
      </c>
      <c r="G41">
        <f t="shared" si="1"/>
        <v>0.54786975538636018</v>
      </c>
      <c r="H41">
        <f t="shared" si="1"/>
        <v>3.1372526306864215</v>
      </c>
      <c r="I41">
        <f t="shared" si="2"/>
        <v>1371.6794450793739</v>
      </c>
      <c r="J41" s="4">
        <v>948.8</v>
      </c>
      <c r="K41" s="4">
        <v>325</v>
      </c>
      <c r="L41" s="4">
        <f t="shared" si="3"/>
        <v>308.36</v>
      </c>
      <c r="M41">
        <f t="shared" si="4"/>
        <v>4.4483053738467175</v>
      </c>
    </row>
    <row r="42" spans="1:13" x14ac:dyDescent="0.2">
      <c r="C42">
        <v>24</v>
      </c>
      <c r="D42">
        <v>8.9</v>
      </c>
      <c r="E42">
        <v>8.93</v>
      </c>
      <c r="F42">
        <f t="shared" si="0"/>
        <v>8.9149999999999991</v>
      </c>
      <c r="G42">
        <f t="shared" si="1"/>
        <v>0.4263729143042283</v>
      </c>
      <c r="H42">
        <f t="shared" si="1"/>
        <v>3.176616583734253</v>
      </c>
      <c r="I42">
        <f t="shared" si="2"/>
        <v>1501.8155049611655</v>
      </c>
      <c r="J42" s="4">
        <v>1041</v>
      </c>
      <c r="K42" s="4">
        <v>325</v>
      </c>
      <c r="L42" s="4">
        <f t="shared" si="3"/>
        <v>338.32499999999999</v>
      </c>
      <c r="M42">
        <f t="shared" si="4"/>
        <v>4.4389728957693508</v>
      </c>
    </row>
    <row r="43" spans="1:13" x14ac:dyDescent="0.2">
      <c r="A43" t="s">
        <v>9</v>
      </c>
      <c r="B43" t="s">
        <v>10</v>
      </c>
      <c r="C43">
        <v>25</v>
      </c>
      <c r="D43">
        <v>9.02</v>
      </c>
      <c r="E43">
        <v>8.9499999999999993</v>
      </c>
      <c r="F43">
        <f t="shared" si="0"/>
        <v>8.9849999999999994</v>
      </c>
      <c r="G43">
        <f t="shared" si="1"/>
        <v>0.40369350396889697</v>
      </c>
      <c r="H43">
        <f t="shared" si="1"/>
        <v>3.1839645216365144</v>
      </c>
      <c r="I43">
        <f t="shared" si="2"/>
        <v>1527.441273483694</v>
      </c>
      <c r="J43" s="4">
        <v>1245</v>
      </c>
      <c r="K43" s="4">
        <v>400</v>
      </c>
      <c r="L43" s="4">
        <f t="shared" si="3"/>
        <v>498.00000000000006</v>
      </c>
      <c r="M43">
        <f t="shared" si="4"/>
        <v>3.0671511515736825</v>
      </c>
    </row>
    <row r="44" spans="1:13" x14ac:dyDescent="0.2">
      <c r="C44">
        <v>26</v>
      </c>
      <c r="D44">
        <v>9.06</v>
      </c>
      <c r="E44">
        <v>8.89</v>
      </c>
      <c r="F44">
        <f t="shared" si="0"/>
        <v>8.9750000000000014</v>
      </c>
      <c r="G44">
        <f t="shared" si="1"/>
        <v>0.40693341973108649</v>
      </c>
      <c r="H44">
        <f t="shared" si="1"/>
        <v>3.1829148162219063</v>
      </c>
      <c r="I44">
        <f t="shared" si="2"/>
        <v>1523.7538509888516</v>
      </c>
      <c r="J44" s="4">
        <v>935.2</v>
      </c>
      <c r="K44" s="4">
        <v>300</v>
      </c>
      <c r="L44" s="4">
        <f t="shared" si="3"/>
        <v>280.56</v>
      </c>
      <c r="M44">
        <f t="shared" si="4"/>
        <v>5.4311158076306372</v>
      </c>
    </row>
    <row r="45" spans="1:13" x14ac:dyDescent="0.2">
      <c r="C45">
        <v>27</v>
      </c>
      <c r="D45">
        <v>8.56</v>
      </c>
      <c r="E45">
        <v>8.56</v>
      </c>
      <c r="F45">
        <f t="shared" si="0"/>
        <v>8.56</v>
      </c>
      <c r="G45">
        <f t="shared" si="1"/>
        <v>0.54138992386197937</v>
      </c>
      <c r="H45">
        <f t="shared" si="1"/>
        <v>3.1393520415156391</v>
      </c>
      <c r="I45">
        <f t="shared" si="2"/>
        <v>1378.3262951190845</v>
      </c>
      <c r="J45" s="4">
        <v>1189</v>
      </c>
      <c r="K45" s="4">
        <v>300</v>
      </c>
      <c r="L45" s="4">
        <f t="shared" si="3"/>
        <v>356.70000000000005</v>
      </c>
      <c r="M45">
        <f t="shared" si="4"/>
        <v>3.8641051166781173</v>
      </c>
    </row>
    <row r="46" spans="1:13" x14ac:dyDescent="0.2">
      <c r="C46">
        <v>28</v>
      </c>
      <c r="D46">
        <v>8.67</v>
      </c>
      <c r="E46">
        <v>8.7799999999999994</v>
      </c>
      <c r="F46">
        <f t="shared" si="0"/>
        <v>8.7249999999999996</v>
      </c>
      <c r="G46">
        <f t="shared" si="1"/>
        <v>0.48793131378584165</v>
      </c>
      <c r="H46">
        <f t="shared" si="1"/>
        <v>3.1566721808566851</v>
      </c>
      <c r="I46">
        <f t="shared" si="2"/>
        <v>1434.4062895977115</v>
      </c>
      <c r="J46" s="4">
        <v>1068</v>
      </c>
      <c r="K46" s="4">
        <v>300</v>
      </c>
      <c r="L46" s="4">
        <f t="shared" si="3"/>
        <v>320.40000000000003</v>
      </c>
      <c r="M46">
        <f t="shared" si="4"/>
        <v>4.4769235006170769</v>
      </c>
    </row>
    <row r="47" spans="1:13" x14ac:dyDescent="0.2">
      <c r="C47">
        <v>29</v>
      </c>
      <c r="D47">
        <v>8.93</v>
      </c>
      <c r="E47">
        <v>8.23</v>
      </c>
      <c r="F47">
        <f t="shared" si="0"/>
        <v>8.58</v>
      </c>
      <c r="G47">
        <f t="shared" si="1"/>
        <v>0.53491009233759912</v>
      </c>
      <c r="H47">
        <f t="shared" si="1"/>
        <v>3.1414514523448571</v>
      </c>
      <c r="I47">
        <f t="shared" si="2"/>
        <v>1385.0053542989192</v>
      </c>
      <c r="J47" s="4">
        <v>1355</v>
      </c>
      <c r="K47" s="4">
        <v>400</v>
      </c>
      <c r="L47" s="4">
        <f t="shared" si="3"/>
        <v>542</v>
      </c>
      <c r="M47">
        <f t="shared" si="4"/>
        <v>2.5553604322858288</v>
      </c>
    </row>
    <row r="48" spans="1:13" x14ac:dyDescent="0.2">
      <c r="C48">
        <v>30</v>
      </c>
      <c r="D48">
        <v>8.92</v>
      </c>
      <c r="E48">
        <v>8.91</v>
      </c>
      <c r="F48">
        <f t="shared" si="0"/>
        <v>8.9149999999999991</v>
      </c>
      <c r="G48">
        <f t="shared" si="1"/>
        <v>0.4263729143042283</v>
      </c>
      <c r="H48">
        <f t="shared" si="1"/>
        <v>3.176616583734253</v>
      </c>
      <c r="I48">
        <f t="shared" si="2"/>
        <v>1501.8155049611655</v>
      </c>
      <c r="J48" s="4">
        <v>721.8</v>
      </c>
      <c r="K48" s="4">
        <v>500</v>
      </c>
      <c r="L48" s="4">
        <f t="shared" si="3"/>
        <v>360.9</v>
      </c>
      <c r="M48">
        <f t="shared" si="4"/>
        <v>4.1613064698286664</v>
      </c>
    </row>
    <row r="49" spans="2:13" x14ac:dyDescent="0.2">
      <c r="B49" t="s">
        <v>11</v>
      </c>
      <c r="C49">
        <v>31</v>
      </c>
      <c r="D49">
        <v>8.8000000000000007</v>
      </c>
      <c r="E49">
        <v>8.6</v>
      </c>
      <c r="F49">
        <f t="shared" si="0"/>
        <v>8.6999999999999993</v>
      </c>
      <c r="G49">
        <f t="shared" si="1"/>
        <v>0.49603110319131721</v>
      </c>
      <c r="H49">
        <f t="shared" si="1"/>
        <v>3.1540479173201628</v>
      </c>
      <c r="I49">
        <f t="shared" si="2"/>
        <v>1425.7648948505202</v>
      </c>
      <c r="J49" s="4">
        <v>873.4</v>
      </c>
      <c r="K49" s="4">
        <v>500</v>
      </c>
      <c r="L49" s="4">
        <f t="shared" si="3"/>
        <v>436.7</v>
      </c>
      <c r="M49">
        <f t="shared" si="4"/>
        <v>3.2648612201752241</v>
      </c>
    </row>
    <row r="50" spans="2:13" x14ac:dyDescent="0.2">
      <c r="C50">
        <v>32</v>
      </c>
      <c r="D50">
        <v>8.56</v>
      </c>
      <c r="E50">
        <v>8.42</v>
      </c>
      <c r="F50">
        <f t="shared" si="0"/>
        <v>8.49</v>
      </c>
      <c r="G50">
        <f t="shared" si="1"/>
        <v>0.56406933419731076</v>
      </c>
      <c r="H50">
        <f t="shared" si="1"/>
        <v>3.1320041036133772</v>
      </c>
      <c r="I50">
        <f t="shared" si="2"/>
        <v>1355.2022174865072</v>
      </c>
      <c r="J50" s="4">
        <v>1032</v>
      </c>
      <c r="K50" s="4">
        <v>400</v>
      </c>
      <c r="L50" s="4">
        <f t="shared" si="3"/>
        <v>412.8</v>
      </c>
      <c r="M50">
        <f t="shared" si="4"/>
        <v>3.2829511082521976</v>
      </c>
    </row>
    <row r="51" spans="2:13" x14ac:dyDescent="0.2">
      <c r="C51">
        <v>33</v>
      </c>
      <c r="D51">
        <v>8.9600000000000009</v>
      </c>
      <c r="E51">
        <v>8.5399999999999991</v>
      </c>
      <c r="F51">
        <f t="shared" si="0"/>
        <v>8.75</v>
      </c>
      <c r="G51">
        <f t="shared" si="1"/>
        <v>0.47983152438036608</v>
      </c>
      <c r="H51">
        <f t="shared" si="1"/>
        <v>3.1592964443932074</v>
      </c>
      <c r="I51">
        <f t="shared" si="2"/>
        <v>1443.1000588306572</v>
      </c>
      <c r="J51" s="4">
        <v>915.4</v>
      </c>
      <c r="K51" s="4">
        <v>400</v>
      </c>
      <c r="L51" s="4">
        <f t="shared" si="3"/>
        <v>366.15999999999997</v>
      </c>
      <c r="M51">
        <f t="shared" si="4"/>
        <v>3.9411734182615725</v>
      </c>
    </row>
    <row r="52" spans="2:13" x14ac:dyDescent="0.2">
      <c r="C52">
        <v>34</v>
      </c>
      <c r="D52">
        <v>8.91</v>
      </c>
      <c r="E52">
        <v>8.65</v>
      </c>
      <c r="F52">
        <f t="shared" si="0"/>
        <v>8.7800000000000011</v>
      </c>
      <c r="G52">
        <f t="shared" si="1"/>
        <v>0.47011177709379515</v>
      </c>
      <c r="H52">
        <f t="shared" si="1"/>
        <v>3.1624455606370336</v>
      </c>
      <c r="I52">
        <f t="shared" si="2"/>
        <v>1453.6021633160976</v>
      </c>
      <c r="J52" s="4">
        <v>840.9</v>
      </c>
      <c r="K52" s="4">
        <v>500</v>
      </c>
      <c r="L52" s="4">
        <f t="shared" si="3"/>
        <v>420.45</v>
      </c>
      <c r="M52">
        <f t="shared" si="4"/>
        <v>3.4572533317067373</v>
      </c>
    </row>
    <row r="53" spans="2:13" x14ac:dyDescent="0.2">
      <c r="C53">
        <v>35</v>
      </c>
      <c r="D53">
        <v>9.0500000000000007</v>
      </c>
      <c r="E53">
        <v>8.8800000000000008</v>
      </c>
      <c r="F53">
        <f t="shared" si="0"/>
        <v>8.9649999999999999</v>
      </c>
      <c r="G53">
        <f t="shared" si="1"/>
        <v>0.41017333549327717</v>
      </c>
      <c r="H53">
        <f t="shared" si="1"/>
        <v>3.1818651108072968</v>
      </c>
      <c r="I53">
        <f t="shared" si="2"/>
        <v>1520.0753303646641</v>
      </c>
      <c r="J53" s="4">
        <v>1034</v>
      </c>
      <c r="K53" s="4">
        <v>400</v>
      </c>
      <c r="L53" s="4">
        <f t="shared" si="3"/>
        <v>413.6</v>
      </c>
      <c r="M53">
        <f t="shared" si="4"/>
        <v>3.6752304892762671</v>
      </c>
    </row>
    <row r="54" spans="2:13" x14ac:dyDescent="0.2">
      <c r="C54">
        <v>36</v>
      </c>
      <c r="D54">
        <v>8.91</v>
      </c>
      <c r="E54">
        <v>9.14</v>
      </c>
      <c r="F54">
        <f t="shared" si="0"/>
        <v>9.0250000000000004</v>
      </c>
      <c r="G54">
        <f t="shared" si="1"/>
        <v>0.39073384092013591</v>
      </c>
      <c r="H54">
        <f t="shared" si="1"/>
        <v>3.1881633432949501</v>
      </c>
      <c r="I54">
        <f t="shared" si="2"/>
        <v>1542.2804137957023</v>
      </c>
      <c r="J54" s="4">
        <v>874.5</v>
      </c>
      <c r="K54" s="4">
        <v>400</v>
      </c>
      <c r="L54" s="4">
        <f t="shared" si="3"/>
        <v>349.8</v>
      </c>
      <c r="M54">
        <f t="shared" si="4"/>
        <v>4.409034916511442</v>
      </c>
    </row>
    <row r="55" spans="2:13" x14ac:dyDescent="0.2">
      <c r="B55" t="s">
        <v>12</v>
      </c>
      <c r="C55">
        <v>37</v>
      </c>
      <c r="D55">
        <v>8.93</v>
      </c>
      <c r="E55">
        <v>8.44</v>
      </c>
      <c r="F55">
        <f t="shared" si="0"/>
        <v>8.6849999999999987</v>
      </c>
      <c r="G55">
        <f t="shared" si="1"/>
        <v>0.50089097683460271</v>
      </c>
      <c r="H55">
        <f t="shared" si="1"/>
        <v>3.1524733591982494</v>
      </c>
      <c r="I55">
        <f t="shared" si="2"/>
        <v>1420.6050664184686</v>
      </c>
      <c r="J55" s="4">
        <v>786.6</v>
      </c>
      <c r="K55" s="4">
        <v>300</v>
      </c>
      <c r="L55" s="4">
        <f t="shared" si="3"/>
        <v>235.98000000000002</v>
      </c>
      <c r="M55">
        <f t="shared" si="4"/>
        <v>6.0200231647532352</v>
      </c>
    </row>
    <row r="56" spans="2:13" x14ac:dyDescent="0.2">
      <c r="C56">
        <v>38</v>
      </c>
      <c r="D56">
        <v>8.66</v>
      </c>
      <c r="E56">
        <v>8.7100000000000009</v>
      </c>
      <c r="F56">
        <f t="shared" si="0"/>
        <v>8.6850000000000005</v>
      </c>
      <c r="G56">
        <f t="shared" si="1"/>
        <v>0.50089097683460204</v>
      </c>
      <c r="H56">
        <f t="shared" si="1"/>
        <v>3.1524733591982494</v>
      </c>
      <c r="I56">
        <f t="shared" si="2"/>
        <v>1420.6050664184686</v>
      </c>
      <c r="J56" s="4">
        <v>1115</v>
      </c>
      <c r="K56" s="4">
        <v>400</v>
      </c>
      <c r="L56" s="4">
        <f t="shared" si="3"/>
        <v>446</v>
      </c>
      <c r="M56">
        <f t="shared" si="4"/>
        <v>3.185213153404638</v>
      </c>
    </row>
    <row r="57" spans="2:13" x14ac:dyDescent="0.2">
      <c r="C57">
        <v>39</v>
      </c>
      <c r="D57">
        <v>8.9600000000000009</v>
      </c>
      <c r="E57">
        <v>8.69</v>
      </c>
      <c r="F57">
        <f t="shared" si="0"/>
        <v>8.8249999999999993</v>
      </c>
      <c r="G57">
        <f t="shared" si="1"/>
        <v>0.45553215616393994</v>
      </c>
      <c r="H57">
        <f t="shared" si="1"/>
        <v>3.1671692350027731</v>
      </c>
      <c r="I57">
        <f t="shared" si="2"/>
        <v>1469.4987974318894</v>
      </c>
      <c r="J57" s="4">
        <v>915.1</v>
      </c>
      <c r="K57" s="4">
        <v>500</v>
      </c>
      <c r="L57" s="4">
        <f t="shared" si="3"/>
        <v>457.55</v>
      </c>
      <c r="M57">
        <f t="shared" si="4"/>
        <v>3.2116682273672592</v>
      </c>
    </row>
    <row r="58" spans="2:13" x14ac:dyDescent="0.2">
      <c r="C58">
        <v>40</v>
      </c>
      <c r="D58">
        <v>8.9600000000000009</v>
      </c>
      <c r="E58">
        <v>8.99</v>
      </c>
      <c r="F58">
        <f t="shared" si="0"/>
        <v>8.9750000000000014</v>
      </c>
      <c r="G58">
        <f t="shared" si="1"/>
        <v>0.40693341973108649</v>
      </c>
      <c r="H58">
        <f t="shared" si="1"/>
        <v>3.1829148162219063</v>
      </c>
      <c r="I58">
        <f t="shared" si="2"/>
        <v>1523.7538509888516</v>
      </c>
      <c r="J58" s="4">
        <v>897.9</v>
      </c>
      <c r="K58" s="4">
        <v>300</v>
      </c>
      <c r="L58" s="4">
        <f t="shared" si="3"/>
        <v>269.37</v>
      </c>
      <c r="M58">
        <f t="shared" si="4"/>
        <v>5.6567318223590286</v>
      </c>
    </row>
    <row r="59" spans="2:13" x14ac:dyDescent="0.2">
      <c r="C59">
        <v>41</v>
      </c>
      <c r="D59">
        <v>8.7899999999999991</v>
      </c>
      <c r="E59">
        <v>8.61</v>
      </c>
      <c r="F59">
        <f t="shared" si="0"/>
        <v>8.6999999999999993</v>
      </c>
      <c r="G59">
        <f t="shared" si="1"/>
        <v>0.49603110319131721</v>
      </c>
      <c r="H59">
        <f t="shared" si="1"/>
        <v>3.1540479173201628</v>
      </c>
      <c r="I59">
        <f t="shared" si="2"/>
        <v>1425.7648948505202</v>
      </c>
      <c r="J59" s="4">
        <v>1045</v>
      </c>
      <c r="K59" s="4">
        <v>300</v>
      </c>
      <c r="L59" s="4">
        <f t="shared" si="3"/>
        <v>313.5</v>
      </c>
      <c r="M59">
        <f t="shared" si="4"/>
        <v>4.5478944014370661</v>
      </c>
    </row>
    <row r="60" spans="2:13" x14ac:dyDescent="0.2">
      <c r="C60">
        <v>42</v>
      </c>
      <c r="D60">
        <v>8.99</v>
      </c>
      <c r="E60">
        <v>9.2899999999999991</v>
      </c>
      <c r="F60">
        <f t="shared" si="0"/>
        <v>9.14</v>
      </c>
      <c r="G60">
        <f t="shared" si="1"/>
        <v>0.35347480965494876</v>
      </c>
      <c r="H60">
        <f t="shared" si="1"/>
        <v>3.2002349555629515</v>
      </c>
      <c r="I60">
        <f t="shared" si="2"/>
        <v>1585.7508598631941</v>
      </c>
      <c r="J60" s="4">
        <v>886.2</v>
      </c>
      <c r="K60" s="4">
        <v>300</v>
      </c>
      <c r="L60" s="4">
        <f t="shared" si="3"/>
        <v>265.86</v>
      </c>
      <c r="M60">
        <f t="shared" si="4"/>
        <v>5.9646086657007222</v>
      </c>
    </row>
    <row r="61" spans="2:13" x14ac:dyDescent="0.2">
      <c r="B61" t="s">
        <v>13</v>
      </c>
      <c r="C61">
        <v>43</v>
      </c>
      <c r="D61">
        <v>9.19</v>
      </c>
      <c r="E61">
        <v>9.01</v>
      </c>
      <c r="F61">
        <f t="shared" si="0"/>
        <v>9.1</v>
      </c>
      <c r="G61">
        <f t="shared" si="1"/>
        <v>0.36643447270370977</v>
      </c>
      <c r="H61">
        <f t="shared" si="1"/>
        <v>3.1960361339045167</v>
      </c>
      <c r="I61">
        <f t="shared" si="2"/>
        <v>1570.4934661370553</v>
      </c>
      <c r="J61" s="4">
        <v>1028</v>
      </c>
      <c r="K61" s="4">
        <v>300</v>
      </c>
      <c r="L61" s="4">
        <f t="shared" si="3"/>
        <v>308.40000000000003</v>
      </c>
      <c r="M61">
        <f t="shared" si="4"/>
        <v>5.0923912650358467</v>
      </c>
    </row>
    <row r="62" spans="2:13" x14ac:dyDescent="0.2">
      <c r="C62">
        <v>44</v>
      </c>
      <c r="D62">
        <v>9.3000000000000007</v>
      </c>
      <c r="E62">
        <v>9.17</v>
      </c>
      <c r="F62">
        <f t="shared" si="0"/>
        <v>9.2349999999999994</v>
      </c>
      <c r="G62">
        <f t="shared" si="1"/>
        <v>0.32269560991414237</v>
      </c>
      <c r="H62">
        <f t="shared" si="1"/>
        <v>3.2102071570017361</v>
      </c>
      <c r="I62">
        <f t="shared" si="2"/>
        <v>1622.5838798314553</v>
      </c>
      <c r="J62" s="4">
        <v>933.5</v>
      </c>
      <c r="K62" s="4">
        <v>300</v>
      </c>
      <c r="L62" s="4">
        <f t="shared" si="3"/>
        <v>280.05</v>
      </c>
      <c r="M62">
        <f t="shared" si="4"/>
        <v>5.7939078015763448</v>
      </c>
    </row>
    <row r="63" spans="2:13" x14ac:dyDescent="0.2">
      <c r="C63">
        <v>45</v>
      </c>
      <c r="D63">
        <v>8.91</v>
      </c>
      <c r="E63">
        <v>8.94</v>
      </c>
      <c r="F63">
        <f t="shared" si="0"/>
        <v>8.9250000000000007</v>
      </c>
      <c r="G63">
        <f t="shared" si="1"/>
        <v>0.42313299854203762</v>
      </c>
      <c r="H63">
        <f t="shared" si="1"/>
        <v>3.1776662891488621</v>
      </c>
      <c r="I63">
        <f t="shared" si="2"/>
        <v>1505.4498375487465</v>
      </c>
      <c r="J63" s="4">
        <v>893.5</v>
      </c>
      <c r="K63" s="4">
        <v>300</v>
      </c>
      <c r="L63" s="4">
        <f t="shared" si="3"/>
        <v>268.05</v>
      </c>
      <c r="M63">
        <f t="shared" si="4"/>
        <v>5.6163023225097799</v>
      </c>
    </row>
    <row r="64" spans="2:13" x14ac:dyDescent="0.2">
      <c r="C64">
        <v>46</v>
      </c>
      <c r="D64">
        <v>9.2100000000000009</v>
      </c>
      <c r="E64">
        <v>9.08</v>
      </c>
      <c r="F64">
        <f t="shared" si="0"/>
        <v>9.1449999999999996</v>
      </c>
      <c r="G64">
        <f t="shared" si="1"/>
        <v>0.35185485177385395</v>
      </c>
      <c r="H64">
        <f t="shared" si="1"/>
        <v>3.2007598082702562</v>
      </c>
      <c r="I64">
        <f t="shared" si="2"/>
        <v>1587.668426826071</v>
      </c>
      <c r="J64" s="4">
        <v>943.7</v>
      </c>
      <c r="K64" s="4">
        <v>300</v>
      </c>
      <c r="L64" s="4">
        <f t="shared" si="3"/>
        <v>283.11</v>
      </c>
      <c r="M64">
        <f t="shared" si="4"/>
        <v>5.6079560129492814</v>
      </c>
    </row>
    <row r="65" spans="3:17" x14ac:dyDescent="0.2">
      <c r="C65">
        <v>47</v>
      </c>
      <c r="D65">
        <v>9.1300000000000008</v>
      </c>
      <c r="E65">
        <v>8.7799999999999994</v>
      </c>
      <c r="F65">
        <f t="shared" si="0"/>
        <v>8.9550000000000001</v>
      </c>
      <c r="G65">
        <f t="shared" si="1"/>
        <v>0.4134132512554673</v>
      </c>
      <c r="H65">
        <f t="shared" si="1"/>
        <v>3.1808154053926887</v>
      </c>
      <c r="I65">
        <f t="shared" si="2"/>
        <v>1516.4056901209788</v>
      </c>
      <c r="J65" s="4">
        <v>1097</v>
      </c>
      <c r="K65" s="4">
        <v>300</v>
      </c>
      <c r="L65" s="4">
        <f t="shared" si="3"/>
        <v>329.09999999999997</v>
      </c>
      <c r="M65">
        <f t="shared" si="4"/>
        <v>4.6077353087845001</v>
      </c>
    </row>
    <row r="66" spans="3:17" x14ac:dyDescent="0.2">
      <c r="C66">
        <v>48</v>
      </c>
      <c r="D66">
        <v>8.92</v>
      </c>
      <c r="E66">
        <v>8.6300000000000008</v>
      </c>
      <c r="F66">
        <f t="shared" si="0"/>
        <v>8.7750000000000004</v>
      </c>
      <c r="G66">
        <f t="shared" si="1"/>
        <v>0.47173173497489052</v>
      </c>
      <c r="H66">
        <f t="shared" si="1"/>
        <v>3.1619207079297293</v>
      </c>
      <c r="I66">
        <f t="shared" si="2"/>
        <v>1451.8465199850077</v>
      </c>
      <c r="J66" s="4">
        <v>1166</v>
      </c>
      <c r="K66" s="4">
        <v>300</v>
      </c>
      <c r="L66" s="4">
        <f t="shared" si="3"/>
        <v>349.79999999999995</v>
      </c>
      <c r="M66">
        <f t="shared" si="4"/>
        <v>4.1505046311749796</v>
      </c>
    </row>
    <row r="69" spans="3:17" x14ac:dyDescent="0.2">
      <c r="F69" s="3" t="s">
        <v>4</v>
      </c>
      <c r="G69" s="3" t="s">
        <v>5</v>
      </c>
      <c r="H69" s="3" t="s">
        <v>441</v>
      </c>
      <c r="I69" s="3" t="s">
        <v>65</v>
      </c>
      <c r="J69" s="3" t="s">
        <v>66</v>
      </c>
      <c r="M69" s="3" t="s">
        <v>4</v>
      </c>
      <c r="N69" s="3" t="s">
        <v>5</v>
      </c>
      <c r="O69" s="3" t="s">
        <v>441</v>
      </c>
      <c r="P69" s="3" t="s">
        <v>65</v>
      </c>
      <c r="Q69" s="3" t="s">
        <v>66</v>
      </c>
    </row>
    <row r="70" spans="3:17" x14ac:dyDescent="0.2">
      <c r="F70" t="s">
        <v>18</v>
      </c>
      <c r="G70" t="s">
        <v>10</v>
      </c>
      <c r="H70">
        <f>AVERAGE(I19:I24)</f>
        <v>1572.5739188790387</v>
      </c>
      <c r="I70">
        <v>6</v>
      </c>
      <c r="J70">
        <f>STDEV(I19:I24)/SQRT(6)</f>
        <v>30.015908054186429</v>
      </c>
      <c r="M70" t="s">
        <v>18</v>
      </c>
      <c r="N70" t="s">
        <v>10</v>
      </c>
      <c r="O70">
        <f>AVERAGE(M19:M24)</f>
        <v>6.7711051220153591</v>
      </c>
      <c r="P70">
        <v>6</v>
      </c>
      <c r="Q70">
        <f>STDEV(M19:M24)/SQRT(6)</f>
        <v>1.1433688066806129</v>
      </c>
    </row>
    <row r="71" spans="3:17" x14ac:dyDescent="0.2">
      <c r="G71" t="s">
        <v>11</v>
      </c>
      <c r="H71">
        <f>AVERAGE(I25:I30)</f>
        <v>1528.8213444224468</v>
      </c>
      <c r="I71">
        <v>6</v>
      </c>
      <c r="J71">
        <f>STDEV(I25:I30)/SQRT(6)</f>
        <v>25.536010748238432</v>
      </c>
      <c r="N71" t="s">
        <v>11</v>
      </c>
      <c r="O71">
        <f>AVERAGE(M25:M30)</f>
        <v>5.2480783655490031</v>
      </c>
      <c r="P71">
        <v>6</v>
      </c>
      <c r="Q71">
        <f>STDEV(M25:M30)/SQRT(6)</f>
        <v>0.39688289112041325</v>
      </c>
    </row>
    <row r="72" spans="3:17" x14ac:dyDescent="0.2">
      <c r="G72" t="s">
        <v>12</v>
      </c>
      <c r="H72">
        <f>AVERAGE(I31:I36)</f>
        <v>1358.5449058342983</v>
      </c>
      <c r="I72">
        <v>6</v>
      </c>
      <c r="J72">
        <f>STDEV(I31:I36)/SQRT(6)</f>
        <v>28.068788554087213</v>
      </c>
      <c r="N72" t="s">
        <v>12</v>
      </c>
      <c r="O72">
        <f>AVERAGE(M31:M36)</f>
        <v>5.354137301070673</v>
      </c>
      <c r="P72">
        <v>6</v>
      </c>
      <c r="Q72">
        <f>STDEV(M31:M36)/SQRT(6)</f>
        <v>0.8385425432705248</v>
      </c>
    </row>
    <row r="73" spans="3:17" x14ac:dyDescent="0.2">
      <c r="G73" t="s">
        <v>13</v>
      </c>
      <c r="H73">
        <f>AVERAGE(I37:I42)</f>
        <v>1392.3723378236152</v>
      </c>
      <c r="I73">
        <v>6</v>
      </c>
      <c r="J73">
        <f>STDEV(I37:I42)/SQRT(6)</f>
        <v>26.170933320948595</v>
      </c>
      <c r="N73" t="s">
        <v>13</v>
      </c>
      <c r="O73">
        <f>AVERAGE(M37:M42)</f>
        <v>5.1667143296936882</v>
      </c>
      <c r="P73">
        <v>6</v>
      </c>
      <c r="Q73">
        <f>STDEV(M37:M42)/SQRT(6)</f>
        <v>0.9898951817244499</v>
      </c>
    </row>
    <row r="75" spans="3:17" x14ac:dyDescent="0.2">
      <c r="F75" t="s">
        <v>9</v>
      </c>
      <c r="G75" t="s">
        <v>10</v>
      </c>
      <c r="H75">
        <f>AVERAGE(I43:I48)</f>
        <v>1458.4580947415709</v>
      </c>
      <c r="I75">
        <v>6</v>
      </c>
      <c r="J75">
        <f>STDEV(I43:I48)/SQRT(6)</f>
        <v>27.866933496035674</v>
      </c>
      <c r="M75" t="s">
        <v>9</v>
      </c>
      <c r="N75" t="s">
        <v>10</v>
      </c>
      <c r="O75">
        <f>AVERAGE(M43:M48)</f>
        <v>3.9259937464356676</v>
      </c>
      <c r="P75">
        <v>6</v>
      </c>
      <c r="Q75">
        <f>STDEV(M43:M48)/SQRT(6)</f>
        <v>0.41810543239828624</v>
      </c>
    </row>
    <row r="76" spans="3:17" x14ac:dyDescent="0.2">
      <c r="G76" t="s">
        <v>11</v>
      </c>
      <c r="H76">
        <f>AVERAGE(I49:I54)</f>
        <v>1456.6708464406913</v>
      </c>
      <c r="I76">
        <v>6</v>
      </c>
      <c r="J76">
        <f>STDEV(I49:I54)/SQRT(6)</f>
        <v>27.56433093836381</v>
      </c>
      <c r="N76" t="s">
        <v>11</v>
      </c>
      <c r="O76">
        <f>AVERAGE(M49:M54)</f>
        <v>3.6717507473639066</v>
      </c>
      <c r="P76">
        <v>6</v>
      </c>
      <c r="Q76">
        <f>STDEV(M49:M54)/SQRT(6)</f>
        <v>0.18063979058758747</v>
      </c>
    </row>
    <row r="77" spans="3:17" x14ac:dyDescent="0.2">
      <c r="G77" t="s">
        <v>12</v>
      </c>
      <c r="H77">
        <f>AVERAGE(I55:I60)</f>
        <v>1474.3297559952323</v>
      </c>
      <c r="I77">
        <v>6</v>
      </c>
      <c r="J77">
        <f>STDEV(I55:I60)/SQRT(6)</f>
        <v>27.695951564550963</v>
      </c>
      <c r="N77" t="s">
        <v>12</v>
      </c>
      <c r="O77">
        <f>AVERAGE(M55:M60)</f>
        <v>4.7643565725036581</v>
      </c>
      <c r="P77">
        <v>6</v>
      </c>
      <c r="Q77">
        <f>STDEV(M55:M60)/SQRT(6)</f>
        <v>0.5405253053397554</v>
      </c>
    </row>
    <row r="78" spans="3:17" x14ac:dyDescent="0.2">
      <c r="G78" t="s">
        <v>13</v>
      </c>
      <c r="H78">
        <f>AVERAGE(I61:I66)</f>
        <v>1542.4079700748855</v>
      </c>
      <c r="I78">
        <v>6</v>
      </c>
      <c r="J78">
        <f>STDEV(I61:I66)/SQRT(6)</f>
        <v>25.500901228963226</v>
      </c>
      <c r="N78" t="s">
        <v>13</v>
      </c>
      <c r="O78">
        <f>AVERAGE(M61:M66)</f>
        <v>5.144799557005121</v>
      </c>
      <c r="P78">
        <v>6</v>
      </c>
      <c r="Q78">
        <f>STDEV(M61:M66)/SQRT(6)</f>
        <v>0.26695675736263347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topLeftCell="D1" workbookViewId="0">
      <selection activeCell="P45" sqref="P45:P50"/>
    </sheetView>
  </sheetViews>
  <sheetFormatPr baseColWidth="10" defaultColWidth="11.3984375" defaultRowHeight="15" x14ac:dyDescent="0.2"/>
  <cols>
    <col min="1" max="4" width="11.3984375" style="44"/>
    <col min="5" max="5" width="13.19921875" style="44" bestFit="1" customWidth="1"/>
    <col min="6" max="6" width="13.3984375" style="44" bestFit="1" customWidth="1"/>
    <col min="7" max="17" width="13.3984375" style="44" customWidth="1"/>
    <col min="18" max="16384" width="11.3984375" style="44"/>
  </cols>
  <sheetData>
    <row r="1" spans="1:40" x14ac:dyDescent="0.2">
      <c r="I1" s="44">
        <f>AVERAGE(H3:H8)</f>
        <v>1.9404826173674814E-2</v>
      </c>
      <c r="M1" s="44">
        <f>AVERAGE(L3:L8)</f>
        <v>1.5970318887026224E-2</v>
      </c>
      <c r="Q1" s="44">
        <f>AVERAGE(P3:P8)</f>
        <v>1.3993583571618151E-2</v>
      </c>
      <c r="T1" s="44" t="s">
        <v>487</v>
      </c>
      <c r="Z1" s="44" t="s">
        <v>168</v>
      </c>
      <c r="AF1" s="44" t="s">
        <v>178</v>
      </c>
      <c r="AK1" s="44" t="s">
        <v>179</v>
      </c>
    </row>
    <row r="2" spans="1:40" x14ac:dyDescent="0.2">
      <c r="A2" s="45" t="s">
        <v>4</v>
      </c>
      <c r="B2" s="45" t="s">
        <v>5</v>
      </c>
      <c r="C2" s="45" t="s">
        <v>139</v>
      </c>
      <c r="D2" s="45" t="s">
        <v>184</v>
      </c>
      <c r="E2" s="45" t="s">
        <v>444</v>
      </c>
      <c r="F2" s="45" t="s">
        <v>481</v>
      </c>
      <c r="G2" s="45" t="s">
        <v>186</v>
      </c>
      <c r="H2" s="45" t="s">
        <v>483</v>
      </c>
      <c r="I2" s="45" t="s">
        <v>484</v>
      </c>
      <c r="J2" s="45"/>
      <c r="K2" s="45" t="s">
        <v>196</v>
      </c>
      <c r="L2" s="45" t="s">
        <v>488</v>
      </c>
      <c r="M2" s="45" t="s">
        <v>485</v>
      </c>
      <c r="N2" s="45"/>
      <c r="O2" s="45" t="s">
        <v>200</v>
      </c>
      <c r="P2" s="45" t="s">
        <v>489</v>
      </c>
      <c r="Q2" s="45" t="s">
        <v>486</v>
      </c>
      <c r="R2" s="45" t="s">
        <v>4</v>
      </c>
      <c r="S2" s="45" t="s">
        <v>5</v>
      </c>
      <c r="T2" s="45" t="s">
        <v>4</v>
      </c>
      <c r="U2" s="45" t="s">
        <v>5</v>
      </c>
      <c r="V2" s="45" t="s">
        <v>156</v>
      </c>
      <c r="W2" s="45" t="s">
        <v>66</v>
      </c>
      <c r="Z2" s="45" t="s">
        <v>4</v>
      </c>
      <c r="AA2" s="45" t="s">
        <v>5</v>
      </c>
      <c r="AB2" s="45" t="s">
        <v>156</v>
      </c>
      <c r="AC2" s="45" t="s">
        <v>66</v>
      </c>
      <c r="AF2" s="45" t="s">
        <v>4</v>
      </c>
      <c r="AG2" s="45" t="s">
        <v>5</v>
      </c>
      <c r="AH2" s="45" t="s">
        <v>156</v>
      </c>
      <c r="AI2" s="45" t="s">
        <v>66</v>
      </c>
      <c r="AK2" s="45" t="s">
        <v>4</v>
      </c>
      <c r="AL2" s="45" t="s">
        <v>5</v>
      </c>
      <c r="AM2" s="45" t="s">
        <v>156</v>
      </c>
      <c r="AN2" s="45" t="s">
        <v>66</v>
      </c>
    </row>
    <row r="3" spans="1:40" x14ac:dyDescent="0.2">
      <c r="A3" s="44" t="s">
        <v>188</v>
      </c>
      <c r="B3" s="44" t="s">
        <v>10</v>
      </c>
      <c r="C3" s="44">
        <v>1</v>
      </c>
      <c r="D3" s="44">
        <v>0.95454247572596496</v>
      </c>
      <c r="E3" s="44">
        <v>1624.5459870711295</v>
      </c>
      <c r="F3" s="44">
        <f>SQRT(D3*E3)</f>
        <v>39.37890486579785</v>
      </c>
      <c r="G3" s="44">
        <v>0.67275194869922716</v>
      </c>
      <c r="H3" s="44">
        <f>G3/F3</f>
        <v>1.7084069528899952E-2</v>
      </c>
      <c r="I3" s="44">
        <f>H3/I$1*100</f>
        <v>88.040312116151426</v>
      </c>
      <c r="K3" s="44">
        <v>0.4284434036810964</v>
      </c>
      <c r="L3" s="44">
        <f>K3/F3</f>
        <v>1.0880023330796499E-2</v>
      </c>
      <c r="M3" s="44">
        <f>L3/M$1*100</f>
        <v>68.126525260776617</v>
      </c>
      <c r="O3" s="44">
        <v>0.46184191386152218</v>
      </c>
      <c r="P3" s="44">
        <f>O3/F3</f>
        <v>1.1728155352096911E-2</v>
      </c>
      <c r="Q3" s="44">
        <f>P3/Q$1*100</f>
        <v>83.810950154926772</v>
      </c>
      <c r="R3" s="44" t="s">
        <v>188</v>
      </c>
      <c r="S3" s="44" t="s">
        <v>10</v>
      </c>
      <c r="T3" s="44" t="s">
        <v>482</v>
      </c>
      <c r="U3" s="44">
        <v>0</v>
      </c>
      <c r="V3" s="44">
        <f>AVERAGE(F3:F8)</f>
        <v>37.663599006802826</v>
      </c>
      <c r="W3" s="44">
        <f>STDEV(F3:F8)/SQRT(6)</f>
        <v>1.9921249932872103</v>
      </c>
      <c r="Z3" s="44" t="s">
        <v>482</v>
      </c>
      <c r="AA3" s="44">
        <v>0</v>
      </c>
      <c r="AB3" s="44">
        <f>AVERAGE(I3:I8)</f>
        <v>99.999999999999986</v>
      </c>
      <c r="AC3" s="44">
        <f>STDEV(I3:I8)/SQRT(6)</f>
        <v>35.713463734073947</v>
      </c>
      <c r="AF3" s="44" t="s">
        <v>482</v>
      </c>
      <c r="AG3" s="44">
        <v>0</v>
      </c>
      <c r="AH3" s="44">
        <f>AVERAGE(M3:M8)</f>
        <v>99.999999999999986</v>
      </c>
      <c r="AI3" s="44">
        <f>STDEV(M3:M8)/SQRT(6)</f>
        <v>33.44648454117425</v>
      </c>
      <c r="AK3" s="44" t="s">
        <v>482</v>
      </c>
      <c r="AL3" s="44">
        <v>0</v>
      </c>
      <c r="AM3" s="44">
        <f>AVERAGE(Q3:Q8)</f>
        <v>100</v>
      </c>
      <c r="AN3" s="44">
        <f>STDEV(Q3:Q8)/SQRT(6)</f>
        <v>33.097207800009805</v>
      </c>
    </row>
    <row r="4" spans="1:40" x14ac:dyDescent="0.2">
      <c r="C4" s="44">
        <v>2</v>
      </c>
      <c r="D4" s="44">
        <v>0.58113631774063701</v>
      </c>
      <c r="E4" s="44">
        <v>1568.5966428865588</v>
      </c>
      <c r="F4" s="44">
        <f t="shared" ref="F4:F50" si="0">SQRT(D4*E4)</f>
        <v>30.19219231966138</v>
      </c>
      <c r="G4" s="44">
        <v>0.46621572707069886</v>
      </c>
      <c r="H4" s="44">
        <f t="shared" ref="H4:H50" si="1">G4/F4</f>
        <v>1.5441599011248206E-2</v>
      </c>
      <c r="I4" s="44">
        <f t="shared" ref="I4:I50" si="2">H4/I$1*100</f>
        <v>79.576074905513735</v>
      </c>
      <c r="K4" s="44">
        <v>0.3067382743225523</v>
      </c>
      <c r="L4" s="44">
        <f t="shared" ref="L4:L50" si="3">K4/F4</f>
        <v>1.0159523067253451E-2</v>
      </c>
      <c r="M4" s="44">
        <f t="shared" ref="M4:M50" si="4">L4/M$1*100</f>
        <v>63.615029475126647</v>
      </c>
      <c r="O4" s="44">
        <v>0.3087513050360392</v>
      </c>
      <c r="P4" s="44">
        <f t="shared" ref="P4:P50" si="5">O4/F4</f>
        <v>1.0226196950758626E-2</v>
      </c>
      <c r="Q4" s="44">
        <f t="shared" ref="Q4:Q50" si="6">P4/Q$1*100</f>
        <v>73.077756661985021</v>
      </c>
      <c r="U4" s="44">
        <v>1</v>
      </c>
      <c r="V4" s="44">
        <f>AVERAGE(F9:F14)</f>
        <v>40.462053238822058</v>
      </c>
      <c r="W4" s="44">
        <f>STDEV(F9:F14)/SQRT(6)</f>
        <v>1.8011926182986027</v>
      </c>
      <c r="AA4" s="44">
        <v>1</v>
      </c>
      <c r="AB4" s="44">
        <f>AVERAGE(I9:I14)</f>
        <v>180.34064806461541</v>
      </c>
      <c r="AC4" s="44">
        <f>STDEV(I9:I14)/SQRT(6)</f>
        <v>65.331576034746618</v>
      </c>
      <c r="AG4" s="44">
        <v>1</v>
      </c>
      <c r="AH4" s="44">
        <f>AVERAGE(M9:M14)</f>
        <v>127.62043156842816</v>
      </c>
      <c r="AI4" s="44">
        <f>STDEV(M9:M14)/SQRT(6)</f>
        <v>36.710987096300116</v>
      </c>
      <c r="AL4" s="44">
        <v>1</v>
      </c>
      <c r="AM4" s="44">
        <f>AVERAGE(Q9:Q14)</f>
        <v>108.18036879290572</v>
      </c>
      <c r="AN4" s="44">
        <f>STDEV(Q9:Q14)/SQRT(6)</f>
        <v>43.979590494265423</v>
      </c>
    </row>
    <row r="5" spans="1:40" x14ac:dyDescent="0.2">
      <c r="C5" s="44">
        <v>3</v>
      </c>
      <c r="D5" s="44">
        <v>1.1277051970614604</v>
      </c>
      <c r="E5" s="44">
        <v>1500.0016301318947</v>
      </c>
      <c r="F5" s="44">
        <f t="shared" si="0"/>
        <v>41.128574420959453</v>
      </c>
      <c r="G5" s="44">
        <v>0.70225156275908529</v>
      </c>
      <c r="H5" s="44">
        <f t="shared" si="1"/>
        <v>1.7074541791101135E-2</v>
      </c>
      <c r="I5" s="44">
        <f t="shared" si="2"/>
        <v>87.991212280298527</v>
      </c>
      <c r="K5" s="44">
        <v>0.76062016226621509</v>
      </c>
      <c r="L5" s="44">
        <f t="shared" si="3"/>
        <v>1.8493715694619287E-2</v>
      </c>
      <c r="M5" s="44">
        <f t="shared" si="4"/>
        <v>115.80054115038988</v>
      </c>
      <c r="O5" s="44">
        <v>0.70447798729283206</v>
      </c>
      <c r="P5" s="44">
        <f t="shared" si="5"/>
        <v>1.7128675068636086E-2</v>
      </c>
      <c r="Q5" s="44">
        <f t="shared" si="6"/>
        <v>122.40377871024076</v>
      </c>
      <c r="U5" s="44">
        <v>4</v>
      </c>
      <c r="V5" s="44">
        <f>AVERAGE(F15:F18,F20)</f>
        <v>44.571691221498362</v>
      </c>
      <c r="W5" s="44">
        <f>STDEV(F15:F18,F20)/SQRT(5)</f>
        <v>2.2223706372288592</v>
      </c>
      <c r="AA5" s="44">
        <v>4</v>
      </c>
      <c r="AB5" s="44">
        <f>AVERAGE(I15:I20)</f>
        <v>310.83130689288902</v>
      </c>
      <c r="AC5" s="44">
        <f>STDEV(I15:I20)/SQRT(6)</f>
        <v>58.153243344013077</v>
      </c>
      <c r="AG5" s="44">
        <v>4</v>
      </c>
      <c r="AH5" s="44">
        <f>AVERAGE(M15:M20)</f>
        <v>337.55588734641879</v>
      </c>
      <c r="AI5" s="44">
        <f>STDEV(M15:M20)/SQRT(6)</f>
        <v>70.876038262201419</v>
      </c>
      <c r="AL5" s="44">
        <v>4</v>
      </c>
      <c r="AM5" s="44">
        <f>AVERAGE(Q15:Q20)</f>
        <v>281.59087323117183</v>
      </c>
      <c r="AN5" s="44">
        <f>STDEV(Q15:Q20)/SQRT(6)</f>
        <v>47.175745059450655</v>
      </c>
    </row>
    <row r="6" spans="1:40" x14ac:dyDescent="0.2">
      <c r="C6" s="44">
        <v>4</v>
      </c>
      <c r="D6" s="44">
        <v>0.69190393003126893</v>
      </c>
      <c r="E6" s="44">
        <v>1614.7591203646402</v>
      </c>
      <c r="F6" s="44">
        <f t="shared" si="0"/>
        <v>33.425412210384621</v>
      </c>
      <c r="G6" s="44">
        <v>0.21533142835767463</v>
      </c>
      <c r="H6" s="44">
        <f t="shared" si="1"/>
        <v>6.4421472801096938E-3</v>
      </c>
      <c r="I6" s="44">
        <f t="shared" si="2"/>
        <v>33.19868584470656</v>
      </c>
      <c r="K6" s="44">
        <v>0.25101095465284912</v>
      </c>
      <c r="L6" s="44">
        <f t="shared" si="3"/>
        <v>7.509584416579459E-3</v>
      </c>
      <c r="M6" s="44">
        <f t="shared" si="4"/>
        <v>47.022131929250364</v>
      </c>
      <c r="O6" s="44">
        <v>0.1710900161145866</v>
      </c>
      <c r="P6" s="44">
        <f t="shared" si="5"/>
        <v>5.1185611425738015E-3</v>
      </c>
      <c r="Q6" s="44">
        <f t="shared" si="6"/>
        <v>36.577915273649346</v>
      </c>
      <c r="U6" s="44">
        <v>24</v>
      </c>
      <c r="V6" s="44">
        <f>AVERAGE(F21:F23,F25:F26)</f>
        <v>50.432382821031531</v>
      </c>
      <c r="W6" s="44">
        <f>STDEV((F21:F23,F25:F26))/SQRT(5)</f>
        <v>3.6368722376757123</v>
      </c>
      <c r="AA6" s="44">
        <v>24</v>
      </c>
      <c r="AB6" s="44">
        <f>AVERAGE(M21:M26)</f>
        <v>207.37631625683034</v>
      </c>
      <c r="AC6" s="44">
        <f>STDEV((I21:I26))/SQRT(6)</f>
        <v>43.278413663879448</v>
      </c>
      <c r="AG6" s="44">
        <v>24</v>
      </c>
      <c r="AH6" s="44">
        <f>AVERAGE(M21:M26)</f>
        <v>207.37631625683034</v>
      </c>
      <c r="AI6" s="44">
        <f>STDEV((M21:M26))/SQRT(6)</f>
        <v>58.290686367230485</v>
      </c>
      <c r="AL6" s="44">
        <v>24</v>
      </c>
      <c r="AM6" s="44">
        <f>AVERAGE(Q21:Q26)</f>
        <v>262.54129440207277</v>
      </c>
      <c r="AN6" s="44">
        <f>STDEV((Q21:Q26))/SQRT(6)</f>
        <v>72.192599452413077</v>
      </c>
    </row>
    <row r="7" spans="1:40" x14ac:dyDescent="0.2">
      <c r="C7" s="44">
        <v>5</v>
      </c>
      <c r="D7" s="44">
        <v>1.023534228494841</v>
      </c>
      <c r="E7" s="44">
        <v>1471.275786754275</v>
      </c>
      <c r="F7" s="44">
        <f t="shared" si="0"/>
        <v>38.805941907118772</v>
      </c>
      <c r="G7" s="44">
        <v>2.0452298439420478</v>
      </c>
      <c r="H7" s="44">
        <f t="shared" si="1"/>
        <v>5.2704038181504875E-2</v>
      </c>
      <c r="I7" s="44">
        <f t="shared" si="2"/>
        <v>271.60273279337486</v>
      </c>
      <c r="K7" s="44">
        <v>1.6053361643631623</v>
      </c>
      <c r="L7" s="44">
        <f t="shared" si="3"/>
        <v>4.1368308188614554E-2</v>
      </c>
      <c r="M7" s="44">
        <f t="shared" si="4"/>
        <v>259.03244939098141</v>
      </c>
      <c r="O7" s="44">
        <v>1.3639985519480593</v>
      </c>
      <c r="P7" s="44">
        <f t="shared" si="5"/>
        <v>3.5149219034877749E-2</v>
      </c>
      <c r="Q7" s="44">
        <f t="shared" si="6"/>
        <v>251.18097058545854</v>
      </c>
    </row>
    <row r="8" spans="1:40" x14ac:dyDescent="0.2">
      <c r="C8" s="44">
        <v>6</v>
      </c>
      <c r="D8" s="44">
        <v>1.1189949459517483</v>
      </c>
      <c r="E8" s="44">
        <v>1656.2643460657355</v>
      </c>
      <c r="F8" s="44">
        <f t="shared" si="0"/>
        <v>43.050568316894903</v>
      </c>
      <c r="G8" s="44">
        <v>0.33073862790676906</v>
      </c>
      <c r="H8" s="44">
        <f t="shared" si="1"/>
        <v>7.6825612491850182E-3</v>
      </c>
      <c r="I8" s="44">
        <f t="shared" si="2"/>
        <v>39.590982059954847</v>
      </c>
      <c r="K8" s="44">
        <v>0.31903737043519076</v>
      </c>
      <c r="L8" s="44">
        <f t="shared" si="3"/>
        <v>7.4107586242940886E-3</v>
      </c>
      <c r="M8" s="44">
        <f t="shared" si="4"/>
        <v>46.403322793475041</v>
      </c>
      <c r="O8" s="44">
        <v>0.19849299190219466</v>
      </c>
      <c r="P8" s="44">
        <f t="shared" si="5"/>
        <v>4.6106938807657372E-3</v>
      </c>
      <c r="Q8" s="44">
        <f t="shared" si="6"/>
        <v>32.948628613739565</v>
      </c>
      <c r="T8" s="44" t="s">
        <v>9</v>
      </c>
      <c r="U8" s="44">
        <v>0</v>
      </c>
      <c r="V8" s="44">
        <f>AVERAGE(F27:F32)</f>
        <v>42.32787151883236</v>
      </c>
      <c r="W8" s="44">
        <f>STDEV(F27:F32)/SQRT(6)</f>
        <v>1.2365977755205269</v>
      </c>
      <c r="Z8" s="44" t="s">
        <v>9</v>
      </c>
      <c r="AA8" s="44">
        <v>0</v>
      </c>
      <c r="AB8" s="44">
        <f>AVERAGE(I27:I32)</f>
        <v>170.1492988283145</v>
      </c>
      <c r="AC8" s="44">
        <f>STDEV(I27:I32)/SQRT(6)</f>
        <v>46.805043886882842</v>
      </c>
      <c r="AF8" s="44" t="s">
        <v>9</v>
      </c>
      <c r="AG8" s="44">
        <v>0</v>
      </c>
      <c r="AH8" s="44">
        <f>AVERAGE(M27:M32)</f>
        <v>155.10557380040314</v>
      </c>
      <c r="AI8" s="44">
        <f>STDEV(M27:M32)/SQRT(6)</f>
        <v>21.777783605571145</v>
      </c>
      <c r="AK8" s="44" t="s">
        <v>9</v>
      </c>
      <c r="AL8" s="44">
        <v>0</v>
      </c>
      <c r="AM8" s="44">
        <f>AVERAGE(Q27:Q32)</f>
        <v>171.60072660033211</v>
      </c>
      <c r="AN8" s="44">
        <f>STDEV(Q27:Q32)/SQRT(6)</f>
        <v>37.905556169982439</v>
      </c>
    </row>
    <row r="9" spans="1:40" x14ac:dyDescent="0.2">
      <c r="B9" s="44" t="s">
        <v>11</v>
      </c>
      <c r="C9" s="44">
        <v>7</v>
      </c>
      <c r="D9" s="44">
        <v>0.82059685683385919</v>
      </c>
      <c r="E9" s="44">
        <v>1562.9199078332458</v>
      </c>
      <c r="F9" s="44">
        <f t="shared" si="0"/>
        <v>35.81238841310401</v>
      </c>
      <c r="G9" s="44">
        <v>7.5687482424815739E-2</v>
      </c>
      <c r="H9" s="44">
        <f t="shared" si="1"/>
        <v>2.113444139825121E-3</v>
      </c>
      <c r="I9" s="44">
        <f t="shared" si="2"/>
        <v>10.891332501047005</v>
      </c>
      <c r="K9" s="44">
        <v>0.2153305677621892</v>
      </c>
      <c r="L9" s="44">
        <f t="shared" si="3"/>
        <v>6.0127396497073118E-3</v>
      </c>
      <c r="M9" s="44">
        <f t="shared" si="4"/>
        <v>37.649465187522765</v>
      </c>
      <c r="O9" s="44">
        <v>0.12465052295309959</v>
      </c>
      <c r="P9" s="44">
        <f t="shared" si="5"/>
        <v>3.4806537200263656E-3</v>
      </c>
      <c r="Q9" s="44">
        <f t="shared" si="6"/>
        <v>24.873212084757494</v>
      </c>
      <c r="S9" s="44" t="s">
        <v>11</v>
      </c>
      <c r="U9" s="44">
        <v>1</v>
      </c>
      <c r="V9" s="44">
        <f>AVERAGE(F33:F38)</f>
        <v>46.348957536688026</v>
      </c>
      <c r="W9" s="44">
        <f>STDEV(F33:F38)/SQRT(6)</f>
        <v>2.4646646913049706</v>
      </c>
      <c r="AA9" s="44">
        <v>1</v>
      </c>
      <c r="AB9" s="44">
        <f>AVERAGE(I33:I38)</f>
        <v>199.28427196933634</v>
      </c>
      <c r="AC9" s="44">
        <f>STDEV(I33:I38)/SQRT(6)</f>
        <v>35.758367384788293</v>
      </c>
      <c r="AG9" s="44">
        <v>1</v>
      </c>
      <c r="AH9" s="44">
        <f>AVERAGE(M33:M38)</f>
        <v>208.9509390033509</v>
      </c>
      <c r="AI9" s="44">
        <f>STDEV(M33:M38)/SQRT(6)</f>
        <v>32.094363539418453</v>
      </c>
      <c r="AL9" s="44">
        <v>1</v>
      </c>
      <c r="AM9" s="44">
        <f>AVERAGE(Q33:Q38)</f>
        <v>184.06485965525781</v>
      </c>
      <c r="AN9" s="44">
        <f>STDEV(Q33:Q38)/SQRT(6)</f>
        <v>42.718327181241079</v>
      </c>
    </row>
    <row r="10" spans="1:40" x14ac:dyDescent="0.2">
      <c r="C10" s="44">
        <v>8</v>
      </c>
      <c r="D10" s="44">
        <v>1.4120557118581174</v>
      </c>
      <c r="E10" s="44">
        <v>1551.6279955145417</v>
      </c>
      <c r="F10" s="44">
        <f t="shared" si="0"/>
        <v>46.807960580923307</v>
      </c>
      <c r="G10" s="44">
        <v>1.5809408517007979</v>
      </c>
      <c r="H10" s="44">
        <f t="shared" si="1"/>
        <v>3.3775042366300273E-2</v>
      </c>
      <c r="I10" s="44">
        <f t="shared" si="2"/>
        <v>174.05485658057859</v>
      </c>
      <c r="K10" s="44">
        <v>1.0376458940869868</v>
      </c>
      <c r="L10" s="44">
        <f t="shared" si="3"/>
        <v>2.2168150058430057E-2</v>
      </c>
      <c r="M10" s="44">
        <f t="shared" si="4"/>
        <v>138.80843717177592</v>
      </c>
      <c r="O10" s="44">
        <v>0.66435285344659512</v>
      </c>
      <c r="P10" s="44">
        <f t="shared" si="5"/>
        <v>1.4193159565199122E-2</v>
      </c>
      <c r="Q10" s="44">
        <f t="shared" si="6"/>
        <v>101.42619646039599</v>
      </c>
      <c r="U10" s="44">
        <v>4</v>
      </c>
      <c r="V10" s="44">
        <f>AVERAGE(F39:F44)</f>
        <v>44.81794049957103</v>
      </c>
      <c r="W10" s="44">
        <f>STDEV(F39:F44)/SQRT(6)</f>
        <v>1.2332080588179133</v>
      </c>
      <c r="AA10" s="44">
        <v>4</v>
      </c>
      <c r="AB10" s="44">
        <f>AVERAGE(I39:I44)</f>
        <v>200.2863729599031</v>
      </c>
      <c r="AC10" s="44">
        <f>STDEV(I39:I44)/SQRT(6)</f>
        <v>58.347363098028637</v>
      </c>
      <c r="AG10" s="44">
        <v>4</v>
      </c>
      <c r="AH10" s="44">
        <f>AVERAGE(M39:M44)</f>
        <v>179.42728404931015</v>
      </c>
      <c r="AI10" s="44">
        <f>STDEV(M39:M44)/SQRT(6)</f>
        <v>29.929895329002814</v>
      </c>
      <c r="AL10" s="44">
        <v>4</v>
      </c>
      <c r="AM10" s="44">
        <f>AVERAGE(Q39:Q44)</f>
        <v>220.36179033373375</v>
      </c>
      <c r="AN10" s="44">
        <f>STDEV(Q39:Q44)/SQRT(6)</f>
        <v>54.152047327024114</v>
      </c>
    </row>
    <row r="11" spans="1:40" x14ac:dyDescent="0.2">
      <c r="C11" s="44">
        <v>9</v>
      </c>
      <c r="D11" s="44">
        <v>0.95825035114054813</v>
      </c>
      <c r="E11" s="44">
        <v>1453.6021633160976</v>
      </c>
      <c r="F11" s="44">
        <f t="shared" si="0"/>
        <v>37.321773583476855</v>
      </c>
      <c r="G11" s="44">
        <v>2.3999936811262801</v>
      </c>
      <c r="H11" s="44">
        <f t="shared" si="1"/>
        <v>6.4305456324530316E-2</v>
      </c>
      <c r="I11" s="44">
        <f t="shared" si="2"/>
        <v>331.38898410627911</v>
      </c>
      <c r="K11" s="44">
        <v>1.7711280342054814</v>
      </c>
      <c r="L11" s="44">
        <f t="shared" si="3"/>
        <v>4.7455623464518246E-2</v>
      </c>
      <c r="M11" s="44">
        <f t="shared" si="4"/>
        <v>297.148878492775</v>
      </c>
      <c r="O11" s="44">
        <v>1.6714952026898982</v>
      </c>
      <c r="P11" s="44">
        <f t="shared" si="5"/>
        <v>4.4786060312790296E-2</v>
      </c>
      <c r="Q11" s="44">
        <f t="shared" si="6"/>
        <v>320.04711361874155</v>
      </c>
      <c r="U11" s="44">
        <v>24</v>
      </c>
      <c r="V11" s="44">
        <f>AVERAGE(F45:F50)</f>
        <v>48.317796419256354</v>
      </c>
      <c r="W11" s="44">
        <f>STDEV(F45:F50)/SQRT(6)</f>
        <v>2.3509201424156245</v>
      </c>
      <c r="AA11" s="44">
        <v>24</v>
      </c>
      <c r="AB11" s="44">
        <f>AVERAGE(I45:I50)</f>
        <v>209.14139655132877</v>
      </c>
      <c r="AC11" s="44">
        <f>STDEV(I45:I50)/SQRT(6)</f>
        <v>42.413956311374321</v>
      </c>
      <c r="AG11" s="44">
        <v>24</v>
      </c>
      <c r="AH11" s="44">
        <f>AVERAGE(M45:M50)</f>
        <v>190.62341732892449</v>
      </c>
      <c r="AI11" s="44">
        <f>STDEV(M45:M50)/SQRT(6)</f>
        <v>25.069477395202068</v>
      </c>
      <c r="AL11" s="44">
        <v>24</v>
      </c>
      <c r="AM11" s="44">
        <f>AVERAGE(Q45:Q50)</f>
        <v>228.37021368778201</v>
      </c>
      <c r="AN11" s="44">
        <f>STDEV(Q45:Q50)/SQRT(6)</f>
        <v>30.435126329248902</v>
      </c>
    </row>
    <row r="12" spans="1:40" s="46" customFormat="1" x14ac:dyDescent="0.2">
      <c r="C12" s="46">
        <v>10</v>
      </c>
      <c r="D12" s="46">
        <v>1.2186251893022586</v>
      </c>
      <c r="E12" s="46">
        <v>1610.8609023397948</v>
      </c>
      <c r="F12" s="46">
        <f t="shared" si="0"/>
        <v>44.306158398730979</v>
      </c>
      <c r="G12" s="46">
        <v>3.5590863860190236</v>
      </c>
      <c r="H12" s="46">
        <f t="shared" si="1"/>
        <v>8.0329383423162301E-2</v>
      </c>
      <c r="I12" s="46">
        <f t="shared" si="2"/>
        <v>413.96600363336222</v>
      </c>
      <c r="K12" s="46">
        <v>0.57990931117988931</v>
      </c>
      <c r="L12" s="46">
        <f t="shared" si="3"/>
        <v>1.308868410483765E-2</v>
      </c>
      <c r="M12" s="46">
        <f t="shared" si="4"/>
        <v>81.956310311815244</v>
      </c>
      <c r="O12" s="46">
        <v>0.3027744759193044</v>
      </c>
      <c r="P12" s="46">
        <f t="shared" si="5"/>
        <v>6.8336882921444277E-3</v>
      </c>
      <c r="Q12" s="46">
        <f t="shared" si="6"/>
        <v>48.83444085048054</v>
      </c>
    </row>
    <row r="13" spans="1:40" x14ac:dyDescent="0.2">
      <c r="C13" s="44">
        <v>11</v>
      </c>
      <c r="D13" s="44">
        <v>0.95454247572596496</v>
      </c>
      <c r="E13" s="44">
        <v>1455.3599296563802</v>
      </c>
      <c r="F13" s="44">
        <f t="shared" si="0"/>
        <v>37.272011889976739</v>
      </c>
      <c r="G13" s="44">
        <v>0.50602046178230808</v>
      </c>
      <c r="H13" s="44">
        <f t="shared" si="1"/>
        <v>1.3576419305618113E-2</v>
      </c>
      <c r="I13" s="44">
        <f t="shared" si="2"/>
        <v>69.964137705269962</v>
      </c>
      <c r="K13" s="44">
        <v>0.54455574291473818</v>
      </c>
      <c r="L13" s="44">
        <f t="shared" si="3"/>
        <v>1.4610312545569378E-2</v>
      </c>
      <c r="M13" s="44">
        <f t="shared" si="4"/>
        <v>91.484162895697267</v>
      </c>
      <c r="O13" s="44">
        <v>0.30515119668052609</v>
      </c>
      <c r="P13" s="44">
        <f t="shared" si="5"/>
        <v>8.1871404629645962E-3</v>
      </c>
      <c r="Q13" s="44">
        <f t="shared" si="6"/>
        <v>58.506389168031205</v>
      </c>
    </row>
    <row r="14" spans="1:40" x14ac:dyDescent="0.2">
      <c r="C14" s="44">
        <v>12</v>
      </c>
      <c r="D14" s="44">
        <v>1.1060555508718575</v>
      </c>
      <c r="E14" s="44">
        <v>1538.557167874621</v>
      </c>
      <c r="F14" s="44">
        <f t="shared" si="0"/>
        <v>41.252026566720438</v>
      </c>
      <c r="G14" s="44">
        <v>0.65462800140126864</v>
      </c>
      <c r="H14" s="44">
        <f t="shared" si="1"/>
        <v>1.586899010506751E-2</v>
      </c>
      <c r="I14" s="44">
        <f t="shared" si="2"/>
        <v>81.778573861155593</v>
      </c>
      <c r="K14" s="44">
        <v>0.78184262587525177</v>
      </c>
      <c r="L14" s="44">
        <f t="shared" si="3"/>
        <v>1.8952829495799694E-2</v>
      </c>
      <c r="M14" s="44">
        <f t="shared" si="4"/>
        <v>118.67533535098266</v>
      </c>
      <c r="O14" s="44">
        <v>0.5506798838882625</v>
      </c>
      <c r="P14" s="44">
        <f t="shared" si="5"/>
        <v>1.3349159537595098E-2</v>
      </c>
      <c r="Q14" s="44">
        <f t="shared" si="6"/>
        <v>95.394860575027579</v>
      </c>
    </row>
    <row r="15" spans="1:40" x14ac:dyDescent="0.2">
      <c r="B15" s="44" t="s">
        <v>12</v>
      </c>
      <c r="C15" s="44">
        <v>13</v>
      </c>
      <c r="D15" s="44">
        <v>1.1060555508718575</v>
      </c>
      <c r="E15" s="44">
        <v>1383.3325613744414</v>
      </c>
      <c r="F15" s="44">
        <f t="shared" si="0"/>
        <v>39.115759716640881</v>
      </c>
      <c r="G15" s="44">
        <v>0.69137767328895838</v>
      </c>
      <c r="H15" s="44">
        <f t="shared" si="1"/>
        <v>1.7675169248849536E-2</v>
      </c>
      <c r="I15" s="44">
        <f t="shared" si="2"/>
        <v>91.086460093253578</v>
      </c>
      <c r="K15" s="44">
        <v>0.703105765266133</v>
      </c>
      <c r="L15" s="44">
        <f t="shared" si="3"/>
        <v>1.7974999600148714E-2</v>
      </c>
      <c r="M15" s="44">
        <f t="shared" si="4"/>
        <v>112.55254029242352</v>
      </c>
      <c r="O15" s="44">
        <v>0.60722118722302953</v>
      </c>
      <c r="P15" s="44">
        <f t="shared" si="5"/>
        <v>1.552369662820844E-2</v>
      </c>
      <c r="Q15" s="44">
        <f t="shared" si="6"/>
        <v>110.93439038513102</v>
      </c>
      <c r="S15" s="44" t="s">
        <v>12</v>
      </c>
    </row>
    <row r="16" spans="1:40" x14ac:dyDescent="0.2">
      <c r="C16" s="44">
        <v>14</v>
      </c>
      <c r="D16" s="44">
        <v>1.2424782445717988</v>
      </c>
      <c r="E16" s="44">
        <v>1370.0227470288887</v>
      </c>
      <c r="F16" s="44">
        <f t="shared" si="0"/>
        <v>41.258010831254182</v>
      </c>
      <c r="G16" s="44">
        <v>3.8180065185515919</v>
      </c>
      <c r="H16" s="44">
        <f t="shared" si="1"/>
        <v>9.2539762378930232E-2</v>
      </c>
      <c r="I16" s="44">
        <f t="shared" si="2"/>
        <v>476.8904475138898</v>
      </c>
      <c r="K16" s="44">
        <v>2.0890990106144947</v>
      </c>
      <c r="L16" s="44">
        <f t="shared" si="3"/>
        <v>5.0634991084735945E-2</v>
      </c>
      <c r="M16" s="44">
        <f t="shared" si="4"/>
        <v>317.05685680371852</v>
      </c>
      <c r="O16" s="44">
        <v>1.3586763037897551</v>
      </c>
      <c r="P16" s="44">
        <f t="shared" si="5"/>
        <v>3.2931212058350548E-2</v>
      </c>
      <c r="Q16" s="44">
        <f t="shared" si="6"/>
        <v>235.33079921816298</v>
      </c>
    </row>
    <row r="17" spans="1:19" x14ac:dyDescent="0.2">
      <c r="C17" s="44">
        <v>15</v>
      </c>
      <c r="D17" s="44">
        <v>1.7544485021070528</v>
      </c>
      <c r="E17" s="44">
        <v>1351.9306002868327</v>
      </c>
      <c r="F17" s="44">
        <f t="shared" si="0"/>
        <v>48.702080208405086</v>
      </c>
      <c r="G17" s="44">
        <v>2.0855174393574054</v>
      </c>
      <c r="H17" s="44">
        <f t="shared" si="1"/>
        <v>4.2821937593488735E-2</v>
      </c>
      <c r="I17" s="44">
        <f t="shared" si="2"/>
        <v>220.67673892169307</v>
      </c>
      <c r="K17" s="44">
        <v>1.9010013015203775</v>
      </c>
      <c r="L17" s="44">
        <f t="shared" si="3"/>
        <v>3.903326702649345E-2</v>
      </c>
      <c r="M17" s="44">
        <f t="shared" si="4"/>
        <v>244.41131891363062</v>
      </c>
      <c r="O17" s="44">
        <v>1.6978400239352363</v>
      </c>
      <c r="P17" s="44">
        <f t="shared" si="5"/>
        <v>3.4861755733428E-2</v>
      </c>
      <c r="Q17" s="44">
        <f t="shared" si="6"/>
        <v>249.12671979273964</v>
      </c>
    </row>
    <row r="18" spans="1:19" x14ac:dyDescent="0.2">
      <c r="C18" s="44">
        <v>16</v>
      </c>
      <c r="D18" s="44">
        <v>2.0016465494723308</v>
      </c>
      <c r="E18" s="44">
        <v>1288.1317648607805</v>
      </c>
      <c r="F18" s="44">
        <f t="shared" si="0"/>
        <v>50.777795367653425</v>
      </c>
      <c r="G18" s="44">
        <v>3.5729987989291474</v>
      </c>
      <c r="H18" s="44">
        <f t="shared" si="1"/>
        <v>7.0365378667172823E-2</v>
      </c>
      <c r="I18" s="44">
        <f t="shared" si="2"/>
        <v>362.61792833080187</v>
      </c>
      <c r="K18" s="44">
        <v>2.3321961143451961</v>
      </c>
      <c r="L18" s="44">
        <f t="shared" si="3"/>
        <v>4.5929448048287191E-2</v>
      </c>
      <c r="M18" s="44">
        <f t="shared" si="4"/>
        <v>287.59255449556991</v>
      </c>
      <c r="O18" s="44">
        <v>2.3856942212605636</v>
      </c>
      <c r="P18" s="44">
        <f t="shared" si="5"/>
        <v>4.6983020904848176E-2</v>
      </c>
      <c r="Q18" s="44">
        <f t="shared" si="6"/>
        <v>335.74688473751178</v>
      </c>
    </row>
    <row r="19" spans="1:19" s="47" customFormat="1" x14ac:dyDescent="0.2">
      <c r="C19" s="47">
        <v>17</v>
      </c>
      <c r="D19" s="47">
        <v>2.6054391022778978</v>
      </c>
      <c r="E19" s="47">
        <v>1286.5759747005723</v>
      </c>
      <c r="F19" s="47">
        <f t="shared" si="0"/>
        <v>57.89728277334067</v>
      </c>
      <c r="G19" s="47">
        <v>4.8249977995665247</v>
      </c>
      <c r="H19" s="44">
        <f t="shared" si="1"/>
        <v>8.3337206315116374E-2</v>
      </c>
      <c r="I19" s="47">
        <f t="shared" si="2"/>
        <v>429.46638928502335</v>
      </c>
      <c r="K19" s="47">
        <v>4.1730554685045167</v>
      </c>
      <c r="L19" s="44">
        <f t="shared" si="3"/>
        <v>7.2076879407992497E-2</v>
      </c>
      <c r="M19" s="44">
        <f t="shared" si="4"/>
        <v>451.31772206843942</v>
      </c>
      <c r="O19" s="47">
        <v>2.4327883055355497</v>
      </c>
      <c r="P19" s="44">
        <f t="shared" si="5"/>
        <v>4.2019041119072155E-2</v>
      </c>
      <c r="Q19" s="44">
        <f t="shared" si="6"/>
        <v>300.27362829558086</v>
      </c>
    </row>
    <row r="20" spans="1:19" s="47" customFormat="1" x14ac:dyDescent="0.2">
      <c r="C20" s="47">
        <v>18</v>
      </c>
      <c r="D20" s="47">
        <v>1.257013605722521</v>
      </c>
      <c r="E20" s="47">
        <v>1471.275786754275</v>
      </c>
      <c r="F20" s="47">
        <f t="shared" si="0"/>
        <v>43.004809983538237</v>
      </c>
      <c r="G20" s="47">
        <v>2.3720676766040274</v>
      </c>
      <c r="H20" s="44">
        <f t="shared" si="1"/>
        <v>5.5158194572003189E-2</v>
      </c>
      <c r="I20" s="47">
        <f t="shared" si="2"/>
        <v>284.24987721267246</v>
      </c>
      <c r="K20" s="47">
        <v>4.2059961890858766</v>
      </c>
      <c r="L20" s="44">
        <f t="shared" si="3"/>
        <v>9.7802924619266665E-2</v>
      </c>
      <c r="M20" s="44">
        <f t="shared" si="4"/>
        <v>612.40433150473052</v>
      </c>
      <c r="O20" s="47">
        <v>2.7570039044205137</v>
      </c>
      <c r="P20" s="44">
        <f t="shared" si="5"/>
        <v>6.4109198610012783E-2</v>
      </c>
      <c r="Q20" s="44">
        <f t="shared" si="6"/>
        <v>458.13281695790454</v>
      </c>
    </row>
    <row r="21" spans="1:19" s="47" customFormat="1" x14ac:dyDescent="0.2">
      <c r="B21" s="47" t="s">
        <v>13</v>
      </c>
      <c r="C21" s="47">
        <v>19</v>
      </c>
      <c r="D21" s="47">
        <v>2.9154731874340318</v>
      </c>
      <c r="E21" s="47">
        <v>1390.03587979442</v>
      </c>
      <c r="F21" s="47">
        <f t="shared" si="0"/>
        <v>63.660131456916631</v>
      </c>
      <c r="G21" s="47">
        <v>5.0760226502598451</v>
      </c>
      <c r="H21" s="44">
        <f t="shared" si="1"/>
        <v>7.9736289167029961E-2</v>
      </c>
      <c r="I21" s="47">
        <f t="shared" si="2"/>
        <v>410.90957709893161</v>
      </c>
      <c r="K21" s="47">
        <v>4.9610995408411283</v>
      </c>
      <c r="L21" s="44">
        <f t="shared" si="3"/>
        <v>7.7931028844931929E-2</v>
      </c>
      <c r="M21" s="44">
        <f t="shared" si="4"/>
        <v>487.974156284635</v>
      </c>
      <c r="O21" s="47">
        <v>5.3172362259133727</v>
      </c>
      <c r="P21" s="44">
        <f t="shared" si="5"/>
        <v>8.3525373011708703E-2</v>
      </c>
      <c r="Q21" s="44">
        <f t="shared" si="6"/>
        <v>596.88336861127732</v>
      </c>
      <c r="S21" s="47" t="s">
        <v>13</v>
      </c>
    </row>
    <row r="22" spans="1:19" s="47" customFormat="1" x14ac:dyDescent="0.2">
      <c r="C22" s="47">
        <v>20</v>
      </c>
      <c r="D22" s="47">
        <v>1.9255291947717545</v>
      </c>
      <c r="E22" s="47">
        <v>1395.084676834274</v>
      </c>
      <c r="F22" s="47">
        <f t="shared" si="0"/>
        <v>51.829299381943351</v>
      </c>
      <c r="G22" s="47">
        <v>2.0532246153521445</v>
      </c>
      <c r="H22" s="44">
        <f t="shared" si="1"/>
        <v>3.9615133521705696E-2</v>
      </c>
      <c r="I22" s="47">
        <f t="shared" si="2"/>
        <v>204.15093218123647</v>
      </c>
      <c r="K22" s="47">
        <v>1.8494002124941968</v>
      </c>
      <c r="L22" s="44">
        <f t="shared" si="3"/>
        <v>3.5682523872558922E-2</v>
      </c>
      <c r="M22" s="44">
        <f t="shared" si="4"/>
        <v>223.43025286455779</v>
      </c>
      <c r="O22" s="47">
        <v>2.2763544170034322</v>
      </c>
      <c r="P22" s="44">
        <f t="shared" si="5"/>
        <v>4.3920223582965975E-2</v>
      </c>
      <c r="Q22" s="44">
        <f t="shared" si="6"/>
        <v>313.85972976961506</v>
      </c>
    </row>
    <row r="23" spans="1:19" s="47" customFormat="1" x14ac:dyDescent="0.2">
      <c r="C23" s="47">
        <v>21</v>
      </c>
      <c r="D23" s="47">
        <v>1.5141152859952485</v>
      </c>
      <c r="E23" s="47">
        <v>1393.399710224425</v>
      </c>
      <c r="F23" s="47">
        <f t="shared" si="0"/>
        <v>45.932208751073048</v>
      </c>
      <c r="G23" s="47">
        <v>1.0454794152236404</v>
      </c>
      <c r="H23" s="44">
        <f t="shared" si="1"/>
        <v>2.2761357305710155E-2</v>
      </c>
      <c r="I23" s="47">
        <f t="shared" si="2"/>
        <v>117.29740375922005</v>
      </c>
      <c r="K23" s="47">
        <v>0.89014792130833897</v>
      </c>
      <c r="L23" s="44">
        <f t="shared" si="3"/>
        <v>1.937960192884353E-2</v>
      </c>
      <c r="M23" s="44">
        <f t="shared" si="4"/>
        <v>121.34762033203292</v>
      </c>
      <c r="O23" s="47">
        <v>0.84989841601563065</v>
      </c>
      <c r="P23" s="44">
        <f t="shared" si="5"/>
        <v>1.8503321288588712E-2</v>
      </c>
      <c r="Q23" s="44">
        <f t="shared" si="6"/>
        <v>132.22718250754033</v>
      </c>
    </row>
    <row r="24" spans="1:19" s="47" customFormat="1" x14ac:dyDescent="0.2">
      <c r="C24" s="47">
        <v>22</v>
      </c>
      <c r="D24" s="47">
        <v>4.1168105670854098</v>
      </c>
      <c r="E24" s="47">
        <v>1302.2188100480323</v>
      </c>
      <c r="F24" s="47">
        <f t="shared" si="0"/>
        <v>73.218769163808858</v>
      </c>
      <c r="G24" s="47">
        <v>1.7772390571602241</v>
      </c>
      <c r="H24" s="44">
        <f t="shared" si="1"/>
        <v>2.4272998268846775E-2</v>
      </c>
      <c r="I24" s="47">
        <f t="shared" si="2"/>
        <v>125.08742954768786</v>
      </c>
      <c r="K24" s="47">
        <v>1.4897938385871834</v>
      </c>
      <c r="L24" s="44">
        <f t="shared" si="3"/>
        <v>2.0347157642791547E-2</v>
      </c>
      <c r="M24" s="44">
        <f t="shared" si="4"/>
        <v>127.40608241279969</v>
      </c>
      <c r="O24" s="47">
        <v>1.4807099030774422</v>
      </c>
      <c r="P24" s="44">
        <f t="shared" si="5"/>
        <v>2.0223091974746539E-2</v>
      </c>
      <c r="Q24" s="44">
        <f t="shared" si="6"/>
        <v>144.51689141131158</v>
      </c>
    </row>
    <row r="25" spans="1:19" s="47" customFormat="1" x14ac:dyDescent="0.2">
      <c r="C25" s="47">
        <v>23</v>
      </c>
      <c r="D25" s="47">
        <v>1.6942873526169688</v>
      </c>
      <c r="E25" s="47">
        <v>1371.6794450793739</v>
      </c>
      <c r="F25" s="47">
        <f t="shared" si="0"/>
        <v>48.208081642424283</v>
      </c>
      <c r="G25" s="47">
        <v>1.93651715534418</v>
      </c>
      <c r="H25" s="44">
        <f t="shared" si="1"/>
        <v>4.0169969211967103E-2</v>
      </c>
      <c r="I25" s="47">
        <f t="shared" si="2"/>
        <v>207.010198661109</v>
      </c>
      <c r="K25" s="47">
        <v>0.95918415870488372</v>
      </c>
      <c r="L25" s="44">
        <f t="shared" si="3"/>
        <v>1.9896750213366267E-2</v>
      </c>
      <c r="M25" s="44">
        <f t="shared" si="4"/>
        <v>124.58580416656395</v>
      </c>
      <c r="O25" s="47">
        <v>1.1174306828867087</v>
      </c>
      <c r="P25" s="44">
        <f t="shared" si="5"/>
        <v>2.3179322736280435E-2</v>
      </c>
      <c r="Q25" s="44">
        <f t="shared" si="6"/>
        <v>165.64250763680604</v>
      </c>
    </row>
    <row r="26" spans="1:19" x14ac:dyDescent="0.2">
      <c r="C26" s="44">
        <v>24</v>
      </c>
      <c r="D26" s="44">
        <v>1.2045337290720455</v>
      </c>
      <c r="E26" s="44">
        <v>1501.8155049611655</v>
      </c>
      <c r="F26" s="44">
        <f t="shared" si="0"/>
        <v>42.532192872800358</v>
      </c>
      <c r="G26" s="44">
        <v>1.715918990666824</v>
      </c>
      <c r="H26" s="44">
        <f t="shared" si="1"/>
        <v>4.034400473539107E-2</v>
      </c>
      <c r="I26" s="44">
        <f t="shared" si="2"/>
        <v>207.90706587273115</v>
      </c>
      <c r="K26" s="44">
        <v>1.0835029991939955</v>
      </c>
      <c r="L26" s="44">
        <f t="shared" si="3"/>
        <v>2.5474891511810656E-2</v>
      </c>
      <c r="M26" s="44">
        <f t="shared" si="4"/>
        <v>159.51398148039263</v>
      </c>
      <c r="O26" s="44">
        <v>1.3219975303822671</v>
      </c>
      <c r="P26" s="44">
        <f t="shared" si="5"/>
        <v>3.1082280058682184E-2</v>
      </c>
      <c r="Q26" s="44">
        <f t="shared" si="6"/>
        <v>222.11808647588606</v>
      </c>
    </row>
    <row r="27" spans="1:19" x14ac:dyDescent="0.2">
      <c r="A27" s="44" t="s">
        <v>9</v>
      </c>
      <c r="B27" s="44" t="s">
        <v>10</v>
      </c>
      <c r="C27" s="44">
        <v>25</v>
      </c>
      <c r="D27" s="44">
        <v>1.2865964511407153</v>
      </c>
      <c r="E27" s="44">
        <v>1527.441273483694</v>
      </c>
      <c r="F27" s="44">
        <f t="shared" si="0"/>
        <v>44.330582240592953</v>
      </c>
      <c r="G27" s="44">
        <v>0.31561150744732108</v>
      </c>
      <c r="H27" s="44">
        <f t="shared" si="1"/>
        <v>7.1194983574639275E-3</v>
      </c>
      <c r="I27" s="44">
        <f t="shared" si="2"/>
        <v>36.689317872491216</v>
      </c>
      <c r="K27" s="44">
        <v>0.49747709776111115</v>
      </c>
      <c r="L27" s="44">
        <f t="shared" si="3"/>
        <v>1.1221984296555836E-2</v>
      </c>
      <c r="M27" s="44">
        <f t="shared" si="4"/>
        <v>70.267753423960855</v>
      </c>
      <c r="O27" s="44">
        <v>0.37248466215568665</v>
      </c>
      <c r="P27" s="44">
        <f t="shared" si="5"/>
        <v>8.4024310832219833E-3</v>
      </c>
      <c r="Q27" s="44">
        <f t="shared" si="6"/>
        <v>60.044884430202941</v>
      </c>
      <c r="R27" s="44" t="s">
        <v>9</v>
      </c>
      <c r="S27" s="44" t="s">
        <v>10</v>
      </c>
    </row>
    <row r="28" spans="1:19" x14ac:dyDescent="0.2">
      <c r="C28" s="44">
        <v>26</v>
      </c>
      <c r="D28" s="44">
        <v>1.3478671550600352</v>
      </c>
      <c r="E28" s="44">
        <v>1523.7538509888516</v>
      </c>
      <c r="F28" s="44">
        <f t="shared" si="0"/>
        <v>45.319066276172506</v>
      </c>
      <c r="G28" s="44">
        <v>0.98990772559700035</v>
      </c>
      <c r="H28" s="44">
        <f t="shared" si="1"/>
        <v>2.1843074161425651E-2</v>
      </c>
      <c r="I28" s="44">
        <f t="shared" si="2"/>
        <v>112.56516273801329</v>
      </c>
      <c r="K28" s="44">
        <v>0.98983058110707167</v>
      </c>
      <c r="L28" s="44">
        <f t="shared" si="3"/>
        <v>2.1841371909012541E-2</v>
      </c>
      <c r="M28" s="44">
        <f t="shared" si="4"/>
        <v>136.76227797026505</v>
      </c>
      <c r="O28" s="44">
        <v>1.0830221198107663</v>
      </c>
      <c r="P28" s="44">
        <f t="shared" si="5"/>
        <v>2.3897714776621268E-2</v>
      </c>
      <c r="Q28" s="44">
        <f t="shared" si="6"/>
        <v>170.77623222325067</v>
      </c>
    </row>
    <row r="29" spans="1:19" x14ac:dyDescent="0.2">
      <c r="C29" s="44">
        <v>27</v>
      </c>
      <c r="D29" s="44">
        <v>1.4285749063200446</v>
      </c>
      <c r="E29" s="44">
        <v>1378.3262951190845</v>
      </c>
      <c r="F29" s="44">
        <f t="shared" si="0"/>
        <v>44.373892751574097</v>
      </c>
      <c r="G29" s="44">
        <v>1.4173401066526359</v>
      </c>
      <c r="H29" s="44">
        <f t="shared" si="1"/>
        <v>3.1940855732166026E-2</v>
      </c>
      <c r="I29" s="44">
        <f t="shared" si="2"/>
        <v>164.60263774739695</v>
      </c>
      <c r="K29" s="44">
        <v>1.1860400877383972</v>
      </c>
      <c r="L29" s="44">
        <f t="shared" si="3"/>
        <v>2.6728330876409849E-2</v>
      </c>
      <c r="M29" s="44">
        <f t="shared" si="4"/>
        <v>167.36253712581214</v>
      </c>
      <c r="O29" s="44">
        <v>1.1529324362043774</v>
      </c>
      <c r="P29" s="44">
        <f t="shared" si="5"/>
        <v>2.5982224337608488E-2</v>
      </c>
      <c r="Q29" s="44">
        <f t="shared" si="6"/>
        <v>185.67241339313364</v>
      </c>
    </row>
    <row r="30" spans="1:19" x14ac:dyDescent="0.2">
      <c r="C30" s="44">
        <v>28</v>
      </c>
      <c r="D30" s="44">
        <v>1.2281109617320989</v>
      </c>
      <c r="E30" s="44">
        <v>1434.4062895977115</v>
      </c>
      <c r="F30" s="44">
        <f t="shared" si="0"/>
        <v>41.971539021489512</v>
      </c>
      <c r="G30" s="44">
        <v>2.8383552891339527</v>
      </c>
      <c r="H30" s="44">
        <f t="shared" si="1"/>
        <v>6.7625713883894253E-2</v>
      </c>
      <c r="I30" s="44">
        <f t="shared" si="2"/>
        <v>348.49945718986845</v>
      </c>
      <c r="K30" s="44">
        <v>1.5253528790472952</v>
      </c>
      <c r="L30" s="44">
        <f t="shared" si="3"/>
        <v>3.6342552944420542E-2</v>
      </c>
      <c r="M30" s="44">
        <f t="shared" si="4"/>
        <v>227.56310128499732</v>
      </c>
      <c r="O30" s="44">
        <v>1.8216255723794212</v>
      </c>
      <c r="P30" s="44">
        <f t="shared" si="5"/>
        <v>4.3401448096691074E-2</v>
      </c>
      <c r="Q30" s="44">
        <f t="shared" si="6"/>
        <v>310.15249149415939</v>
      </c>
    </row>
    <row r="31" spans="1:19" x14ac:dyDescent="0.2">
      <c r="C31" s="44">
        <v>29</v>
      </c>
      <c r="D31" s="44">
        <v>1</v>
      </c>
      <c r="E31" s="44">
        <v>1385.0053542989192</v>
      </c>
      <c r="F31" s="44">
        <f t="shared" si="0"/>
        <v>37.215660068026729</v>
      </c>
      <c r="G31" s="44">
        <v>0.72169400989870025</v>
      </c>
      <c r="H31" s="44">
        <f t="shared" si="1"/>
        <v>1.9392213078567234E-2</v>
      </c>
      <c r="I31" s="44">
        <f t="shared" si="2"/>
        <v>99.935000215953025</v>
      </c>
      <c r="K31" s="44">
        <v>0.83588097870997347</v>
      </c>
      <c r="L31" s="44">
        <f t="shared" si="3"/>
        <v>2.2460463610804206E-2</v>
      </c>
      <c r="M31" s="44">
        <f t="shared" si="4"/>
        <v>140.63879231021724</v>
      </c>
      <c r="O31" s="44">
        <v>0.41233861425725843</v>
      </c>
      <c r="P31" s="44">
        <f t="shared" si="5"/>
        <v>1.1079707131447949E-2</v>
      </c>
      <c r="Q31" s="44">
        <f t="shared" si="6"/>
        <v>79.177053359797426</v>
      </c>
    </row>
    <row r="32" spans="1:19" x14ac:dyDescent="0.2">
      <c r="C32" s="44">
        <v>30</v>
      </c>
      <c r="D32" s="44">
        <v>1.1060555508718575</v>
      </c>
      <c r="E32" s="44">
        <v>1501.8155049611655</v>
      </c>
      <c r="F32" s="44">
        <f t="shared" si="0"/>
        <v>40.756488755138349</v>
      </c>
      <c r="G32" s="44">
        <v>2.0452298439420424</v>
      </c>
      <c r="H32" s="44">
        <f t="shared" si="1"/>
        <v>5.0181698826648587E-2</v>
      </c>
      <c r="I32" s="44">
        <f t="shared" si="2"/>
        <v>258.60421720616404</v>
      </c>
      <c r="K32" s="44">
        <v>1.2239346726154421</v>
      </c>
      <c r="L32" s="44">
        <f t="shared" si="3"/>
        <v>3.0030424847654114E-2</v>
      </c>
      <c r="M32" s="44">
        <f t="shared" si="4"/>
        <v>188.03898068716629</v>
      </c>
      <c r="O32" s="44">
        <v>1.2762903050167917</v>
      </c>
      <c r="P32" s="44">
        <f t="shared" si="5"/>
        <v>3.1315021092337948E-2</v>
      </c>
      <c r="Q32" s="44">
        <f t="shared" si="6"/>
        <v>223.78128470144856</v>
      </c>
    </row>
    <row r="33" spans="2:19" x14ac:dyDescent="0.2">
      <c r="B33" s="44" t="s">
        <v>11</v>
      </c>
      <c r="C33" s="44">
        <v>31</v>
      </c>
      <c r="D33" s="44">
        <v>1.3795881686679095</v>
      </c>
      <c r="E33" s="44">
        <v>1425.7648948505202</v>
      </c>
      <c r="F33" s="44">
        <f t="shared" si="0"/>
        <v>44.350517248819365</v>
      </c>
      <c r="G33" s="44">
        <v>1.6631907215947945</v>
      </c>
      <c r="H33" s="44">
        <f t="shared" si="1"/>
        <v>3.7501044514628962E-2</v>
      </c>
      <c r="I33" s="44">
        <f t="shared" si="2"/>
        <v>193.25627644891782</v>
      </c>
      <c r="K33" s="44">
        <v>2.1900162028544448</v>
      </c>
      <c r="L33" s="44">
        <f t="shared" si="3"/>
        <v>4.9379721786959409E-2</v>
      </c>
      <c r="M33" s="44">
        <f t="shared" si="4"/>
        <v>309.19684281992591</v>
      </c>
      <c r="O33" s="44">
        <v>2.129979587628084</v>
      </c>
      <c r="P33" s="44">
        <f t="shared" si="5"/>
        <v>4.8026037118761793E-2</v>
      </c>
      <c r="Q33" s="44">
        <f t="shared" si="6"/>
        <v>343.20041662643456</v>
      </c>
      <c r="S33" s="44" t="s">
        <v>11</v>
      </c>
    </row>
    <row r="34" spans="2:19" x14ac:dyDescent="0.2">
      <c r="C34" s="44">
        <v>32</v>
      </c>
      <c r="D34" s="44">
        <v>1.3117799583651353</v>
      </c>
      <c r="E34" s="44">
        <v>1355.2022174865072</v>
      </c>
      <c r="F34" s="44">
        <f t="shared" si="0"/>
        <v>42.163101266756804</v>
      </c>
      <c r="G34" s="44">
        <v>1.6310615465393976</v>
      </c>
      <c r="H34" s="44">
        <f t="shared" si="1"/>
        <v>3.8684572470607054E-2</v>
      </c>
      <c r="I34" s="44">
        <f t="shared" si="2"/>
        <v>199.35541872097642</v>
      </c>
      <c r="K34" s="44">
        <v>1.0540922172672142</v>
      </c>
      <c r="L34" s="44">
        <f t="shared" si="3"/>
        <v>2.5000348304509225E-2</v>
      </c>
      <c r="M34" s="44">
        <f t="shared" si="4"/>
        <v>156.54257426768547</v>
      </c>
      <c r="O34" s="44">
        <v>0.97834428902931403</v>
      </c>
      <c r="P34" s="44">
        <f t="shared" si="5"/>
        <v>2.3203802842669038E-2</v>
      </c>
      <c r="Q34" s="44">
        <f t="shared" si="6"/>
        <v>165.81744571655753</v>
      </c>
    </row>
    <row r="35" spans="2:19" x14ac:dyDescent="0.2">
      <c r="C35" s="44">
        <v>33</v>
      </c>
      <c r="D35" s="44">
        <v>1.3689324056117544</v>
      </c>
      <c r="E35" s="44">
        <v>1443.1000588306572</v>
      </c>
      <c r="F35" s="44">
        <f t="shared" si="0"/>
        <v>44.446669561098901</v>
      </c>
      <c r="G35" s="44">
        <v>1.7565593419019367</v>
      </c>
      <c r="H35" s="44">
        <f t="shared" si="1"/>
        <v>3.9520606588695495E-2</v>
      </c>
      <c r="I35" s="44">
        <f t="shared" si="2"/>
        <v>203.66380113371162</v>
      </c>
      <c r="K35" s="44">
        <v>1.8787125566740226</v>
      </c>
      <c r="L35" s="44">
        <f t="shared" si="3"/>
        <v>4.2268916326597614E-2</v>
      </c>
      <c r="M35" s="44">
        <f t="shared" si="4"/>
        <v>264.67171147681671</v>
      </c>
      <c r="O35" s="44">
        <v>0.79524799132718083</v>
      </c>
      <c r="P35" s="44">
        <f t="shared" si="5"/>
        <v>1.7892184030436478E-2</v>
      </c>
      <c r="Q35" s="44">
        <f t="shared" si="6"/>
        <v>127.85991478784237</v>
      </c>
    </row>
    <row r="36" spans="2:19" x14ac:dyDescent="0.2">
      <c r="C36" s="44">
        <v>34</v>
      </c>
      <c r="D36" s="44">
        <v>1.257013605722521</v>
      </c>
      <c r="E36" s="44">
        <v>1453.6021633160976</v>
      </c>
      <c r="F36" s="44">
        <f t="shared" si="0"/>
        <v>42.745733080578049</v>
      </c>
      <c r="G36" s="44">
        <v>2.8273034044314165</v>
      </c>
      <c r="H36" s="44">
        <f t="shared" si="1"/>
        <v>6.6142353883644825E-2</v>
      </c>
      <c r="I36" s="44">
        <f t="shared" si="2"/>
        <v>340.85517330413182</v>
      </c>
      <c r="K36" s="44">
        <v>1.555632900865725</v>
      </c>
      <c r="L36" s="44">
        <f t="shared" si="3"/>
        <v>3.6392706096144659E-2</v>
      </c>
      <c r="M36" s="44">
        <f t="shared" si="4"/>
        <v>227.87714104887993</v>
      </c>
      <c r="O36" s="44">
        <v>1.4865101849640514</v>
      </c>
      <c r="P36" s="44">
        <f t="shared" si="5"/>
        <v>3.4775639059971164E-2</v>
      </c>
      <c r="Q36" s="44">
        <f t="shared" si="6"/>
        <v>248.51131864823586</v>
      </c>
    </row>
    <row r="37" spans="2:19" x14ac:dyDescent="0.2">
      <c r="C37" s="44">
        <v>35</v>
      </c>
      <c r="D37" s="44">
        <v>2.2398323724412945</v>
      </c>
      <c r="E37" s="44">
        <v>1520.0753303646641</v>
      </c>
      <c r="F37" s="44">
        <f t="shared" si="0"/>
        <v>58.349926593785618</v>
      </c>
      <c r="G37" s="44">
        <v>0.7273472186482618</v>
      </c>
      <c r="H37" s="44">
        <f t="shared" si="1"/>
        <v>1.2465263644834228E-2</v>
      </c>
      <c r="I37" s="44">
        <f t="shared" si="2"/>
        <v>64.237955719206539</v>
      </c>
      <c r="K37" s="44">
        <v>0.81961075566515174</v>
      </c>
      <c r="L37" s="44">
        <f t="shared" si="3"/>
        <v>1.4046474494664436E-2</v>
      </c>
      <c r="M37" s="44">
        <f t="shared" si="4"/>
        <v>87.953625685429131</v>
      </c>
      <c r="O37" s="44">
        <v>0.29807642466989648</v>
      </c>
      <c r="P37" s="44">
        <f t="shared" si="5"/>
        <v>5.1084284431926292E-3</v>
      </c>
      <c r="Q37" s="44">
        <f t="shared" si="6"/>
        <v>36.505505662992341</v>
      </c>
    </row>
    <row r="38" spans="2:19" x14ac:dyDescent="0.2">
      <c r="C38" s="44">
        <v>36</v>
      </c>
      <c r="D38" s="44">
        <v>1.3742499592461594</v>
      </c>
      <c r="E38" s="44">
        <v>1542.2804137957023</v>
      </c>
      <c r="F38" s="44">
        <f t="shared" si="0"/>
        <v>46.037797469089391</v>
      </c>
      <c r="G38" s="44">
        <v>1.7361202530362785</v>
      </c>
      <c r="H38" s="44">
        <f t="shared" si="1"/>
        <v>3.7710758300327919E-2</v>
      </c>
      <c r="I38" s="44">
        <f t="shared" si="2"/>
        <v>194.33700648907381</v>
      </c>
      <c r="K38" s="44">
        <v>1.5253528790472952</v>
      </c>
      <c r="L38" s="44">
        <f t="shared" si="3"/>
        <v>3.3132620648749424E-2</v>
      </c>
      <c r="M38" s="44">
        <f t="shared" si="4"/>
        <v>207.46373872136834</v>
      </c>
      <c r="O38" s="44">
        <v>1.1756915546320845</v>
      </c>
      <c r="P38" s="44">
        <f t="shared" si="5"/>
        <v>2.553752827600984E-2</v>
      </c>
      <c r="Q38" s="44">
        <f t="shared" si="6"/>
        <v>182.49455648948401</v>
      </c>
    </row>
    <row r="39" spans="2:19" x14ac:dyDescent="0.2">
      <c r="B39" s="44" t="s">
        <v>12</v>
      </c>
      <c r="C39" s="44">
        <v>37</v>
      </c>
      <c r="D39" s="44">
        <v>1.4285749063200446</v>
      </c>
      <c r="E39" s="44">
        <v>1420.6050664184686</v>
      </c>
      <c r="F39" s="44">
        <f t="shared" si="0"/>
        <v>45.049314641585219</v>
      </c>
      <c r="G39" s="44">
        <v>0.88746895234221779</v>
      </c>
      <c r="H39" s="44">
        <f t="shared" si="1"/>
        <v>1.9699943482003417E-2</v>
      </c>
      <c r="I39" s="44">
        <f t="shared" si="2"/>
        <v>101.5208448954259</v>
      </c>
      <c r="K39" s="44">
        <v>1.1767512026866556</v>
      </c>
      <c r="L39" s="44">
        <f t="shared" si="3"/>
        <v>2.6121400781542441E-2</v>
      </c>
      <c r="M39" s="44">
        <f t="shared" si="4"/>
        <v>163.56217409511237</v>
      </c>
      <c r="O39" s="44">
        <v>1.0703938428799813</v>
      </c>
      <c r="P39" s="44">
        <f t="shared" si="5"/>
        <v>2.3760491172753515E-2</v>
      </c>
      <c r="Q39" s="44">
        <f t="shared" si="6"/>
        <v>169.79561419095427</v>
      </c>
      <c r="S39" s="44" t="s">
        <v>12</v>
      </c>
    </row>
    <row r="40" spans="2:19" x14ac:dyDescent="0.2">
      <c r="C40" s="44">
        <v>38</v>
      </c>
      <c r="D40" s="44">
        <v>1.2915941746270867</v>
      </c>
      <c r="E40" s="44">
        <v>1420.6050664184686</v>
      </c>
      <c r="F40" s="44">
        <f t="shared" si="0"/>
        <v>42.835093419202664</v>
      </c>
      <c r="G40" s="44">
        <v>0.64198203279400323</v>
      </c>
      <c r="H40" s="44">
        <f t="shared" si="1"/>
        <v>1.4987291530131397E-2</v>
      </c>
      <c r="I40" s="44">
        <f t="shared" si="2"/>
        <v>77.234866192533175</v>
      </c>
      <c r="K40" s="44">
        <v>0.76361630333125186</v>
      </c>
      <c r="L40" s="44">
        <f t="shared" si="3"/>
        <v>1.7826885443161616E-2</v>
      </c>
      <c r="M40" s="44">
        <f t="shared" si="4"/>
        <v>111.62510635679045</v>
      </c>
      <c r="O40" s="44">
        <v>0.44067503337476982</v>
      </c>
      <c r="P40" s="44">
        <f t="shared" si="5"/>
        <v>1.0287710337459387E-2</v>
      </c>
      <c r="Q40" s="44">
        <f t="shared" si="6"/>
        <v>73.517339463530746</v>
      </c>
    </row>
    <row r="41" spans="2:19" x14ac:dyDescent="0.2">
      <c r="C41" s="44">
        <v>39</v>
      </c>
      <c r="D41" s="44">
        <v>1.1017757547002685</v>
      </c>
      <c r="E41" s="44">
        <v>1469.4987974318894</v>
      </c>
      <c r="F41" s="44">
        <f t="shared" si="0"/>
        <v>40.237521625612786</v>
      </c>
      <c r="G41" s="44">
        <v>1.4228804669190485</v>
      </c>
      <c r="H41" s="44">
        <f t="shared" si="1"/>
        <v>3.5362030498750412E-2</v>
      </c>
      <c r="I41" s="44">
        <f t="shared" si="2"/>
        <v>182.23317324389967</v>
      </c>
      <c r="K41" s="44">
        <v>1.2143490029552835</v>
      </c>
      <c r="L41" s="44">
        <f t="shared" si="3"/>
        <v>3.0179517870263212E-2</v>
      </c>
      <c r="M41" s="44">
        <f t="shared" si="4"/>
        <v>188.97254390317832</v>
      </c>
      <c r="O41" s="44">
        <v>1.2663497060669042</v>
      </c>
      <c r="P41" s="44">
        <f t="shared" si="5"/>
        <v>3.1471861459300768E-2</v>
      </c>
      <c r="Q41" s="44">
        <f t="shared" si="6"/>
        <v>224.90208671874547</v>
      </c>
    </row>
    <row r="42" spans="2:19" x14ac:dyDescent="0.2">
      <c r="C42" s="44">
        <v>40</v>
      </c>
      <c r="D42" s="44">
        <v>1.5024204526430289</v>
      </c>
      <c r="E42" s="44">
        <v>1523.7538509888516</v>
      </c>
      <c r="F42" s="44">
        <f t="shared" si="0"/>
        <v>47.846828008962405</v>
      </c>
      <c r="G42" s="44">
        <v>0.89442071746362917</v>
      </c>
      <c r="H42" s="44">
        <f t="shared" si="1"/>
        <v>1.8693417195724892E-2</v>
      </c>
      <c r="I42" s="44">
        <f t="shared" si="2"/>
        <v>96.333855446151631</v>
      </c>
      <c r="K42" s="44">
        <v>0.6760005851658738</v>
      </c>
      <c r="L42" s="44">
        <f t="shared" si="3"/>
        <v>1.4128430520812144E-2</v>
      </c>
      <c r="M42" s="44">
        <f t="shared" si="4"/>
        <v>88.466802828149099</v>
      </c>
      <c r="O42" s="44">
        <v>0.68814503103763547</v>
      </c>
      <c r="P42" s="44">
        <f t="shared" si="5"/>
        <v>1.4382249768129581E-2</v>
      </c>
      <c r="Q42" s="44">
        <f t="shared" si="6"/>
        <v>102.77746007319901</v>
      </c>
    </row>
    <row r="43" spans="2:19" x14ac:dyDescent="0.2">
      <c r="C43" s="44">
        <v>41</v>
      </c>
      <c r="D43" s="44">
        <v>1.6298580599339807</v>
      </c>
      <c r="E43" s="44">
        <v>1425.7648948505202</v>
      </c>
      <c r="F43" s="44">
        <f t="shared" si="0"/>
        <v>48.205750750745963</v>
      </c>
      <c r="G43" s="44">
        <v>2.9283398949066251</v>
      </c>
      <c r="H43" s="44">
        <f t="shared" si="1"/>
        <v>6.0746692029504598E-2</v>
      </c>
      <c r="I43" s="44">
        <f t="shared" si="2"/>
        <v>313.04940062753792</v>
      </c>
      <c r="K43" s="44">
        <v>1.9850130216930706</v>
      </c>
      <c r="L43" s="44">
        <f t="shared" si="3"/>
        <v>4.117792982743565E-2</v>
      </c>
      <c r="M43" s="44">
        <f t="shared" si="4"/>
        <v>257.84037324944887</v>
      </c>
      <c r="O43" s="44">
        <v>2.3303831397832484</v>
      </c>
      <c r="P43" s="44">
        <f t="shared" si="5"/>
        <v>4.8342430176698092E-2</v>
      </c>
      <c r="Q43" s="44">
        <f t="shared" si="6"/>
        <v>345.46140328733543</v>
      </c>
    </row>
    <row r="44" spans="2:19" x14ac:dyDescent="0.2">
      <c r="C44" s="44">
        <v>42</v>
      </c>
      <c r="D44" s="44">
        <v>1.2618964160352912</v>
      </c>
      <c r="E44" s="44">
        <v>1585.7508598631941</v>
      </c>
      <c r="F44" s="44">
        <f t="shared" si="0"/>
        <v>44.733134551317171</v>
      </c>
      <c r="G44" s="44">
        <v>3.7442510567128267</v>
      </c>
      <c r="H44" s="44">
        <f t="shared" si="1"/>
        <v>8.3701960398448683E-2</v>
      </c>
      <c r="I44" s="44">
        <f t="shared" si="2"/>
        <v>431.34609735387039</v>
      </c>
      <c r="K44" s="44">
        <v>1.9010013015203775</v>
      </c>
      <c r="L44" s="44">
        <f t="shared" si="3"/>
        <v>4.2496492154815969E-2</v>
      </c>
      <c r="M44" s="44">
        <f t="shared" si="4"/>
        <v>266.09670386318186</v>
      </c>
      <c r="O44" s="44">
        <v>2.539693511557501</v>
      </c>
      <c r="P44" s="44">
        <f t="shared" si="5"/>
        <v>5.6774324827248653E-2</v>
      </c>
      <c r="Q44" s="44">
        <f t="shared" si="6"/>
        <v>405.71683826863756</v>
      </c>
    </row>
    <row r="45" spans="2:19" x14ac:dyDescent="0.2">
      <c r="B45" s="44" t="s">
        <v>13</v>
      </c>
      <c r="C45" s="44">
        <v>43</v>
      </c>
      <c r="D45" s="44">
        <v>1.3426516876402534</v>
      </c>
      <c r="E45" s="44">
        <v>1570.4934661370553</v>
      </c>
      <c r="F45" s="44">
        <f t="shared" si="0"/>
        <v>45.91977463726176</v>
      </c>
      <c r="G45" s="44">
        <v>1.4737285112138026</v>
      </c>
      <c r="H45" s="44">
        <f t="shared" si="1"/>
        <v>3.2093548429959852E-2</v>
      </c>
      <c r="I45" s="44">
        <f t="shared" si="2"/>
        <v>165.38951775563416</v>
      </c>
      <c r="K45" s="44">
        <v>0.80365722861493782</v>
      </c>
      <c r="L45" s="44">
        <f t="shared" si="3"/>
        <v>1.7501332159474654E-2</v>
      </c>
      <c r="M45" s="44">
        <f t="shared" si="4"/>
        <v>109.58661679380852</v>
      </c>
      <c r="O45" s="44">
        <v>1.3323749539322687</v>
      </c>
      <c r="P45" s="44">
        <f t="shared" si="5"/>
        <v>2.9015276413205834E-2</v>
      </c>
      <c r="Q45" s="44">
        <f t="shared" si="6"/>
        <v>207.34700489483444</v>
      </c>
      <c r="S45" s="44" t="s">
        <v>13</v>
      </c>
    </row>
    <row r="46" spans="2:19" x14ac:dyDescent="0.2">
      <c r="C46" s="44">
        <v>44</v>
      </c>
      <c r="D46" s="44">
        <v>1.802713554323216</v>
      </c>
      <c r="E46" s="44">
        <v>1622.5838798314553</v>
      </c>
      <c r="F46" s="44">
        <f t="shared" si="0"/>
        <v>54.083767927156451</v>
      </c>
      <c r="G46" s="44">
        <v>4.3088485893601653</v>
      </c>
      <c r="H46" s="44">
        <f t="shared" si="1"/>
        <v>7.966990382703372E-2</v>
      </c>
      <c r="I46" s="44">
        <f t="shared" si="2"/>
        <v>410.56746973140304</v>
      </c>
      <c r="K46" s="44">
        <v>1.4211432911571567</v>
      </c>
      <c r="L46" s="44">
        <f t="shared" si="3"/>
        <v>2.6276706406092955E-2</v>
      </c>
      <c r="M46" s="44">
        <f t="shared" si="4"/>
        <v>164.53463823718204</v>
      </c>
      <c r="O46" s="44">
        <v>2.3303831397832551</v>
      </c>
      <c r="P46" s="44">
        <f t="shared" si="5"/>
        <v>4.3088402104712216E-2</v>
      </c>
      <c r="Q46" s="44">
        <f t="shared" si="6"/>
        <v>307.91542340951395</v>
      </c>
    </row>
    <row r="47" spans="2:19" x14ac:dyDescent="0.2">
      <c r="C47" s="44">
        <v>45</v>
      </c>
      <c r="D47" s="44">
        <v>1.271719011479417</v>
      </c>
      <c r="E47" s="44">
        <v>1505.4498375487465</v>
      </c>
      <c r="F47" s="44">
        <f t="shared" si="0"/>
        <v>43.755104607797939</v>
      </c>
      <c r="G47" s="44">
        <v>1.4622741539268447</v>
      </c>
      <c r="H47" s="44">
        <f t="shared" si="1"/>
        <v>3.3419509952816825E-2</v>
      </c>
      <c r="I47" s="44">
        <f t="shared" si="2"/>
        <v>172.22267107012152</v>
      </c>
      <c r="K47" s="44">
        <v>1.9540421396991154</v>
      </c>
      <c r="L47" s="44">
        <f t="shared" si="3"/>
        <v>4.4658609714553633E-2</v>
      </c>
      <c r="M47" s="44">
        <f t="shared" si="4"/>
        <v>279.63505319128512</v>
      </c>
      <c r="O47" s="44">
        <v>1.8145176884789118</v>
      </c>
      <c r="P47" s="44">
        <f t="shared" si="5"/>
        <v>4.1469851454898191E-2</v>
      </c>
      <c r="Q47" s="44">
        <f t="shared" si="6"/>
        <v>296.34904628009321</v>
      </c>
    </row>
    <row r="48" spans="2:19" x14ac:dyDescent="0.2">
      <c r="C48" s="44">
        <v>46</v>
      </c>
      <c r="D48" s="44">
        <v>1.3067041275541449</v>
      </c>
      <c r="E48" s="44">
        <v>1587.668426826071</v>
      </c>
      <c r="F48" s="44">
        <f t="shared" si="0"/>
        <v>45.547918575067982</v>
      </c>
      <c r="G48" s="44">
        <v>1.93651715534418</v>
      </c>
      <c r="H48" s="44">
        <f t="shared" si="1"/>
        <v>4.2516040599145856E-2</v>
      </c>
      <c r="I48" s="44">
        <f t="shared" si="2"/>
        <v>219.10034245410776</v>
      </c>
      <c r="K48" s="44">
        <v>1.6566274724441987</v>
      </c>
      <c r="L48" s="44">
        <f t="shared" si="3"/>
        <v>3.6371090584828687E-2</v>
      </c>
      <c r="M48" s="44">
        <f t="shared" si="4"/>
        <v>227.74179302315244</v>
      </c>
      <c r="O48" s="44">
        <v>1.184920504721767</v>
      </c>
      <c r="P48" s="44">
        <f t="shared" si="5"/>
        <v>2.6014811253534838E-2</v>
      </c>
      <c r="Q48" s="44">
        <f t="shared" si="6"/>
        <v>185.90528380663116</v>
      </c>
    </row>
    <row r="49" spans="3:17" x14ac:dyDescent="0.2">
      <c r="C49" s="44">
        <v>47</v>
      </c>
      <c r="D49" s="44">
        <v>1.2521496890655595</v>
      </c>
      <c r="E49" s="44">
        <v>1516.4056901209788</v>
      </c>
      <c r="F49" s="44">
        <f t="shared" si="0"/>
        <v>43.574842666178711</v>
      </c>
      <c r="G49" s="44">
        <v>0.98605325886010586</v>
      </c>
      <c r="H49" s="44">
        <f t="shared" si="1"/>
        <v>2.2628957410452025E-2</v>
      </c>
      <c r="I49" s="44">
        <f t="shared" si="2"/>
        <v>116.61509981033052</v>
      </c>
      <c r="K49" s="44">
        <v>1.0335745647286714</v>
      </c>
      <c r="L49" s="44">
        <f t="shared" si="3"/>
        <v>2.3719524879223405E-2</v>
      </c>
      <c r="M49" s="44">
        <f t="shared" si="4"/>
        <v>148.52255015704407</v>
      </c>
      <c r="O49" s="44">
        <v>0.68278529920701914</v>
      </c>
      <c r="P49" s="44">
        <f t="shared" si="5"/>
        <v>1.5669254492500406E-2</v>
      </c>
      <c r="Q49" s="44">
        <f t="shared" si="6"/>
        <v>111.97456614530719</v>
      </c>
    </row>
    <row r="50" spans="3:17" x14ac:dyDescent="0.2">
      <c r="C50" s="44">
        <v>48</v>
      </c>
      <c r="D50" s="44">
        <v>2.2398323724412972</v>
      </c>
      <c r="E50" s="44">
        <v>1451.8465199850077</v>
      </c>
      <c r="F50" s="44">
        <f t="shared" si="0"/>
        <v>57.025370102075279</v>
      </c>
      <c r="G50" s="44">
        <v>1.8917132392517155</v>
      </c>
      <c r="H50" s="44">
        <f t="shared" si="1"/>
        <v>3.3173186528479399E-2</v>
      </c>
      <c r="I50" s="44">
        <f t="shared" si="2"/>
        <v>170.95327848637555</v>
      </c>
      <c r="K50" s="44">
        <v>1.9463752186655801</v>
      </c>
      <c r="L50" s="44">
        <f t="shared" si="3"/>
        <v>3.4131741980482952E-2</v>
      </c>
      <c r="M50" s="44">
        <f t="shared" si="4"/>
        <v>213.71985257107474</v>
      </c>
      <c r="O50" s="44">
        <v>2.0805971171226849</v>
      </c>
      <c r="P50" s="44">
        <f t="shared" si="5"/>
        <v>3.6485464511644923E-2</v>
      </c>
      <c r="Q50" s="44">
        <f t="shared" si="6"/>
        <v>260.72995759031238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05"/>
  <sheetViews>
    <sheetView zoomScale="94" workbookViewId="0">
      <selection activeCell="E11" sqref="E11"/>
    </sheetView>
  </sheetViews>
  <sheetFormatPr baseColWidth="10" defaultColWidth="8.796875" defaultRowHeight="15" x14ac:dyDescent="0.2"/>
  <sheetData>
    <row r="1" spans="3:22" x14ac:dyDescent="0.2">
      <c r="P1" t="s">
        <v>476</v>
      </c>
      <c r="T1" t="s">
        <v>477</v>
      </c>
    </row>
    <row r="2" spans="3:22" x14ac:dyDescent="0.2">
      <c r="D2" t="s">
        <v>9</v>
      </c>
      <c r="E2" t="s">
        <v>209</v>
      </c>
      <c r="H2" t="s">
        <v>9</v>
      </c>
      <c r="I2" t="s">
        <v>209</v>
      </c>
      <c r="L2" t="s">
        <v>210</v>
      </c>
      <c r="P2" t="s">
        <v>469</v>
      </c>
      <c r="Q2" t="s">
        <v>470</v>
      </c>
      <c r="R2" t="s">
        <v>471</v>
      </c>
      <c r="T2" t="s">
        <v>469</v>
      </c>
      <c r="U2" t="s">
        <v>470</v>
      </c>
      <c r="V2" t="s">
        <v>471</v>
      </c>
    </row>
    <row r="3" spans="3:22" x14ac:dyDescent="0.2">
      <c r="C3" t="s">
        <v>208</v>
      </c>
      <c r="D3">
        <v>8.3000000000000007</v>
      </c>
      <c r="E3">
        <v>8.1999999999999993</v>
      </c>
      <c r="G3" t="s">
        <v>9</v>
      </c>
      <c r="H3">
        <v>8.3000000000000007</v>
      </c>
      <c r="I3">
        <v>0</v>
      </c>
      <c r="L3">
        <f>6.2/8*100</f>
        <v>77.5</v>
      </c>
      <c r="P3" t="s">
        <v>318</v>
      </c>
      <c r="Q3">
        <v>65.599999999999994</v>
      </c>
      <c r="R3">
        <v>18.2</v>
      </c>
      <c r="T3">
        <v>1</v>
      </c>
      <c r="U3">
        <v>99.5</v>
      </c>
      <c r="V3">
        <v>22</v>
      </c>
    </row>
    <row r="4" spans="3:22" x14ac:dyDescent="0.2">
      <c r="D4">
        <v>8.25</v>
      </c>
      <c r="E4">
        <v>8.2899999999999991</v>
      </c>
      <c r="H4">
        <v>7.55</v>
      </c>
      <c r="I4">
        <v>0</v>
      </c>
      <c r="L4">
        <f>4.6/6.7*100</f>
        <v>68.656716417910445</v>
      </c>
      <c r="P4" t="s">
        <v>67</v>
      </c>
      <c r="Q4">
        <v>71.599999999999994</v>
      </c>
      <c r="R4">
        <v>18.600000000000001</v>
      </c>
      <c r="T4">
        <v>2</v>
      </c>
      <c r="U4">
        <v>79.2</v>
      </c>
      <c r="V4">
        <v>20</v>
      </c>
    </row>
    <row r="5" spans="3:22" x14ac:dyDescent="0.2">
      <c r="D5">
        <v>8.3000000000000007</v>
      </c>
      <c r="H5">
        <v>7.4</v>
      </c>
      <c r="I5">
        <v>0.08</v>
      </c>
      <c r="P5" t="s">
        <v>68</v>
      </c>
      <c r="Q5">
        <v>72.2</v>
      </c>
      <c r="R5">
        <v>19.3</v>
      </c>
      <c r="T5">
        <v>3</v>
      </c>
      <c r="U5">
        <v>110.7</v>
      </c>
      <c r="V5">
        <v>21</v>
      </c>
    </row>
    <row r="6" spans="3:22" x14ac:dyDescent="0.2">
      <c r="D6">
        <v>8.2200000000000006</v>
      </c>
      <c r="H6">
        <v>6.5</v>
      </c>
      <c r="I6">
        <v>0.08</v>
      </c>
      <c r="P6" t="s">
        <v>69</v>
      </c>
      <c r="Q6">
        <v>58.7</v>
      </c>
      <c r="R6">
        <v>18.3</v>
      </c>
      <c r="T6">
        <v>4</v>
      </c>
      <c r="U6">
        <v>127.2</v>
      </c>
      <c r="V6">
        <v>22</v>
      </c>
    </row>
    <row r="7" spans="3:22" x14ac:dyDescent="0.2">
      <c r="H7">
        <v>7.9</v>
      </c>
      <c r="I7">
        <v>0.08</v>
      </c>
      <c r="P7" t="s">
        <v>260</v>
      </c>
      <c r="Q7">
        <v>63.3</v>
      </c>
      <c r="R7">
        <v>18.2</v>
      </c>
      <c r="T7">
        <v>5</v>
      </c>
      <c r="U7">
        <v>105</v>
      </c>
      <c r="V7">
        <v>22</v>
      </c>
    </row>
    <row r="8" spans="3:22" x14ac:dyDescent="0.2">
      <c r="D8">
        <f>AVERAGE(D3:D6)</f>
        <v>8.2675000000000001</v>
      </c>
      <c r="E8">
        <f>AVERAGE(E3:E4)</f>
        <v>8.2449999999999992</v>
      </c>
      <c r="H8">
        <v>8.8000000000000007</v>
      </c>
      <c r="I8">
        <v>0.08</v>
      </c>
      <c r="P8" t="s">
        <v>90</v>
      </c>
      <c r="Q8">
        <v>44.9</v>
      </c>
      <c r="R8">
        <v>15.7</v>
      </c>
      <c r="T8">
        <v>6</v>
      </c>
      <c r="U8">
        <v>65</v>
      </c>
      <c r="V8">
        <v>17</v>
      </c>
    </row>
    <row r="9" spans="3:22" x14ac:dyDescent="0.2">
      <c r="D9">
        <f>STDEV(D3:D6)/SQRT(4)</f>
        <v>1.9737865470545086E-2</v>
      </c>
      <c r="E9">
        <f>STDEV(E3:E4)/SQRT(2)</f>
        <v>4.4999999999999929E-2</v>
      </c>
      <c r="H9">
        <v>8.3000000000000007</v>
      </c>
      <c r="I9">
        <v>0.02</v>
      </c>
      <c r="P9" t="s">
        <v>91</v>
      </c>
      <c r="Q9">
        <v>49.9</v>
      </c>
      <c r="R9">
        <v>16.7</v>
      </c>
      <c r="T9">
        <v>7</v>
      </c>
      <c r="U9">
        <v>101</v>
      </c>
      <c r="V9">
        <v>21</v>
      </c>
    </row>
    <row r="10" spans="3:22" x14ac:dyDescent="0.2">
      <c r="H10">
        <v>7.3</v>
      </c>
      <c r="I10">
        <v>0.05</v>
      </c>
      <c r="P10" t="s">
        <v>21</v>
      </c>
      <c r="Q10">
        <v>39.200000000000003</v>
      </c>
      <c r="R10">
        <v>15.7</v>
      </c>
      <c r="T10">
        <v>8</v>
      </c>
      <c r="U10">
        <v>88</v>
      </c>
      <c r="V10">
        <v>21</v>
      </c>
    </row>
    <row r="11" spans="3:22" x14ac:dyDescent="0.2">
      <c r="D11">
        <f>AVERAGE(D3:D6,E3:E4)</f>
        <v>8.26</v>
      </c>
      <c r="H11">
        <v>8.1</v>
      </c>
      <c r="I11">
        <v>3.1E-2</v>
      </c>
      <c r="P11" t="s">
        <v>14</v>
      </c>
      <c r="Q11">
        <v>58</v>
      </c>
      <c r="R11">
        <v>17.5</v>
      </c>
      <c r="T11">
        <v>9</v>
      </c>
      <c r="U11">
        <v>93</v>
      </c>
      <c r="V11">
        <v>20</v>
      </c>
    </row>
    <row r="12" spans="3:22" x14ac:dyDescent="0.2">
      <c r="D12">
        <f>STDEV(D3:D6,E3:E4)/SQRT(6)</f>
        <v>1.7701224063135765E-2</v>
      </c>
      <c r="H12">
        <v>7.3</v>
      </c>
      <c r="I12">
        <v>8.4000000000000005E-2</v>
      </c>
      <c r="P12" t="s">
        <v>289</v>
      </c>
      <c r="Q12">
        <v>85.6</v>
      </c>
      <c r="R12">
        <v>18.7</v>
      </c>
      <c r="T12">
        <v>10</v>
      </c>
      <c r="U12">
        <v>87</v>
      </c>
      <c r="V12">
        <v>19</v>
      </c>
    </row>
    <row r="13" spans="3:22" x14ac:dyDescent="0.2">
      <c r="H13">
        <v>8.4</v>
      </c>
      <c r="I13">
        <v>7.0000000000000007E-2</v>
      </c>
      <c r="P13" t="s">
        <v>70</v>
      </c>
      <c r="Q13">
        <v>56.2</v>
      </c>
      <c r="R13">
        <v>17.8</v>
      </c>
      <c r="T13">
        <v>11</v>
      </c>
      <c r="U13">
        <v>103</v>
      </c>
      <c r="V13">
        <v>22</v>
      </c>
    </row>
    <row r="14" spans="3:22" x14ac:dyDescent="0.2">
      <c r="H14">
        <v>7</v>
      </c>
      <c r="J14">
        <f>AVERAGE(H3:H13)</f>
        <v>7.8045454545454538</v>
      </c>
      <c r="K14">
        <f>STDEV(H3:H13)/SQRT(11)</f>
        <v>0.19936883879959164</v>
      </c>
      <c r="P14" t="s">
        <v>71</v>
      </c>
      <c r="Q14">
        <v>74.900000000000006</v>
      </c>
      <c r="R14">
        <v>18.600000000000001</v>
      </c>
      <c r="T14">
        <v>12</v>
      </c>
      <c r="U14">
        <v>77</v>
      </c>
      <c r="V14">
        <v>20</v>
      </c>
    </row>
    <row r="15" spans="3:22" x14ac:dyDescent="0.2">
      <c r="H15">
        <v>8</v>
      </c>
      <c r="P15" t="s">
        <v>92</v>
      </c>
      <c r="Q15">
        <v>60.1</v>
      </c>
      <c r="R15">
        <v>17.600000000000001</v>
      </c>
      <c r="T15">
        <v>13</v>
      </c>
      <c r="U15">
        <v>86</v>
      </c>
      <c r="V15">
        <v>21</v>
      </c>
    </row>
    <row r="16" spans="3:22" x14ac:dyDescent="0.2">
      <c r="H16">
        <v>6.7</v>
      </c>
      <c r="P16" t="s">
        <v>93</v>
      </c>
      <c r="Q16">
        <v>77.099999999999994</v>
      </c>
      <c r="R16">
        <v>19.2</v>
      </c>
      <c r="T16">
        <v>14</v>
      </c>
      <c r="U16">
        <v>105</v>
      </c>
      <c r="V16">
        <v>21</v>
      </c>
    </row>
    <row r="17" spans="8:22" x14ac:dyDescent="0.2">
      <c r="H17">
        <v>8.4</v>
      </c>
      <c r="P17" t="s">
        <v>94</v>
      </c>
      <c r="Q17">
        <v>52.8</v>
      </c>
      <c r="R17">
        <v>17.3</v>
      </c>
      <c r="T17">
        <v>15</v>
      </c>
      <c r="U17">
        <v>76</v>
      </c>
      <c r="V17">
        <v>19</v>
      </c>
    </row>
    <row r="18" spans="8:22" x14ac:dyDescent="0.2">
      <c r="H18">
        <v>8.1999999999999993</v>
      </c>
      <c r="P18" t="s">
        <v>95</v>
      </c>
      <c r="Q18">
        <v>43.1</v>
      </c>
      <c r="R18">
        <v>16.100000000000001</v>
      </c>
      <c r="T18">
        <v>16</v>
      </c>
      <c r="U18">
        <v>81</v>
      </c>
      <c r="V18">
        <v>19</v>
      </c>
    </row>
    <row r="19" spans="8:22" x14ac:dyDescent="0.2">
      <c r="H19">
        <v>8.3000000000000007</v>
      </c>
      <c r="P19" t="s">
        <v>72</v>
      </c>
      <c r="Q19">
        <v>85</v>
      </c>
      <c r="R19">
        <v>20</v>
      </c>
      <c r="T19" t="s">
        <v>474</v>
      </c>
      <c r="U19">
        <f>AVERAGE(U3:U18)</f>
        <v>92.724999999999994</v>
      </c>
      <c r="V19">
        <f>AVERAGE(V3:V18)</f>
        <v>20.4375</v>
      </c>
    </row>
    <row r="20" spans="8:22" x14ac:dyDescent="0.2">
      <c r="H20">
        <v>8.1</v>
      </c>
      <c r="P20" t="s">
        <v>73</v>
      </c>
      <c r="Q20">
        <v>99.3</v>
      </c>
      <c r="R20">
        <v>21.1</v>
      </c>
      <c r="T20" t="s">
        <v>475</v>
      </c>
      <c r="U20">
        <f>STDEV(U3:U18)/SQRT(16)</f>
        <v>3.9525361056752764</v>
      </c>
      <c r="V20">
        <f>STDEV(V3:V18)/SQRT(16)</f>
        <v>0.35318491379634737</v>
      </c>
    </row>
    <row r="21" spans="8:22" x14ac:dyDescent="0.2">
      <c r="H21">
        <v>7.9</v>
      </c>
      <c r="P21" t="s">
        <v>472</v>
      </c>
      <c r="Q21">
        <v>68.3</v>
      </c>
      <c r="R21">
        <v>18.8</v>
      </c>
    </row>
    <row r="22" spans="8:22" x14ac:dyDescent="0.2">
      <c r="H22">
        <v>7.7</v>
      </c>
      <c r="P22" t="s">
        <v>74</v>
      </c>
      <c r="Q22">
        <v>53.7</v>
      </c>
      <c r="R22">
        <v>16.899999999999999</v>
      </c>
    </row>
    <row r="23" spans="8:22" x14ac:dyDescent="0.2">
      <c r="J23">
        <f>AVERAGE(H14:H22)</f>
        <v>7.8111111111111109</v>
      </c>
      <c r="K23">
        <f>STDEV(H14:H22)/SQRT(11)</f>
        <v>0.17738276822917853</v>
      </c>
      <c r="P23" t="s">
        <v>114</v>
      </c>
      <c r="Q23">
        <v>60.8</v>
      </c>
      <c r="R23">
        <v>18.3</v>
      </c>
    </row>
    <row r="24" spans="8:22" x14ac:dyDescent="0.2">
      <c r="H24">
        <f>AVERAGE(H3:H22)</f>
        <v>7.8075000000000001</v>
      </c>
      <c r="I24">
        <f>AVERAGE(I3:I22)</f>
        <v>5.2272727272727269E-2</v>
      </c>
      <c r="P24" t="s">
        <v>115</v>
      </c>
      <c r="Q24">
        <v>73.900000000000006</v>
      </c>
      <c r="R24">
        <v>18.8</v>
      </c>
    </row>
    <row r="25" spans="8:22" x14ac:dyDescent="0.2">
      <c r="H25">
        <f>COUNT(H3:H22)</f>
        <v>20</v>
      </c>
      <c r="I25">
        <f>COUNT(I3:I22)</f>
        <v>11</v>
      </c>
      <c r="P25" t="s">
        <v>116</v>
      </c>
      <c r="Q25">
        <v>41.5</v>
      </c>
      <c r="R25">
        <v>15.6</v>
      </c>
    </row>
    <row r="26" spans="8:22" x14ac:dyDescent="0.2">
      <c r="H26">
        <f>STDEV(H3:H22)/SQRT(H25)</f>
        <v>0.13708789919341227</v>
      </c>
      <c r="I26">
        <f>STDEV(I3:I22)/SQRT(I25)</f>
        <v>1.0162400315146484E-2</v>
      </c>
      <c r="P26" t="s">
        <v>117</v>
      </c>
      <c r="Q26">
        <v>57</v>
      </c>
      <c r="R26">
        <v>17.600000000000001</v>
      </c>
    </row>
    <row r="27" spans="8:22" x14ac:dyDescent="0.2">
      <c r="P27" t="s">
        <v>75</v>
      </c>
      <c r="Q27">
        <v>58.9</v>
      </c>
      <c r="R27">
        <v>17.8</v>
      </c>
    </row>
    <row r="28" spans="8:22" x14ac:dyDescent="0.2">
      <c r="P28" t="s">
        <v>15</v>
      </c>
      <c r="Q28">
        <v>64.2</v>
      </c>
      <c r="R28">
        <v>18.2</v>
      </c>
    </row>
    <row r="29" spans="8:22" x14ac:dyDescent="0.2">
      <c r="P29" t="s">
        <v>76</v>
      </c>
      <c r="Q29">
        <v>50.2</v>
      </c>
      <c r="R29">
        <v>17.2</v>
      </c>
    </row>
    <row r="30" spans="8:22" x14ac:dyDescent="0.2">
      <c r="P30" t="s">
        <v>77</v>
      </c>
      <c r="Q30">
        <v>68.599999999999994</v>
      </c>
      <c r="R30">
        <v>18.5</v>
      </c>
    </row>
    <row r="31" spans="8:22" x14ac:dyDescent="0.2">
      <c r="P31" t="s">
        <v>96</v>
      </c>
      <c r="Q31">
        <v>56.6</v>
      </c>
      <c r="R31">
        <v>17.2</v>
      </c>
    </row>
    <row r="32" spans="8:22" x14ac:dyDescent="0.2">
      <c r="P32" t="s">
        <v>22</v>
      </c>
      <c r="Q32">
        <v>50.5</v>
      </c>
      <c r="R32">
        <v>16.399999999999999</v>
      </c>
    </row>
    <row r="33" spans="16:18" x14ac:dyDescent="0.2">
      <c r="P33" t="s">
        <v>97</v>
      </c>
      <c r="Q33">
        <v>54.5</v>
      </c>
      <c r="R33">
        <v>16.600000000000001</v>
      </c>
    </row>
    <row r="34" spans="16:18" x14ac:dyDescent="0.2">
      <c r="P34" t="s">
        <v>98</v>
      </c>
      <c r="Q34">
        <v>51.5</v>
      </c>
      <c r="R34">
        <v>16.8</v>
      </c>
    </row>
    <row r="35" spans="16:18" x14ac:dyDescent="0.2">
      <c r="P35" t="s">
        <v>16</v>
      </c>
      <c r="Q35">
        <v>45.3</v>
      </c>
      <c r="R35">
        <v>16.899999999999999</v>
      </c>
    </row>
    <row r="36" spans="16:18" x14ac:dyDescent="0.2">
      <c r="P36" t="s">
        <v>78</v>
      </c>
      <c r="Q36">
        <v>52.7</v>
      </c>
      <c r="R36">
        <v>17.3</v>
      </c>
    </row>
    <row r="37" spans="16:18" x14ac:dyDescent="0.2">
      <c r="P37" t="s">
        <v>79</v>
      </c>
      <c r="Q37">
        <v>63.2</v>
      </c>
      <c r="R37">
        <v>17.2</v>
      </c>
    </row>
    <row r="38" spans="16:18" x14ac:dyDescent="0.2">
      <c r="P38" t="s">
        <v>80</v>
      </c>
      <c r="Q38">
        <v>71.7</v>
      </c>
      <c r="R38">
        <v>18.3</v>
      </c>
    </row>
    <row r="39" spans="16:18" x14ac:dyDescent="0.2">
      <c r="P39" t="s">
        <v>81</v>
      </c>
      <c r="Q39">
        <v>46</v>
      </c>
      <c r="R39">
        <v>15.8</v>
      </c>
    </row>
    <row r="40" spans="16:18" x14ac:dyDescent="0.2">
      <c r="P40" t="s">
        <v>99</v>
      </c>
      <c r="Q40">
        <v>57.6</v>
      </c>
      <c r="R40">
        <v>17.2</v>
      </c>
    </row>
    <row r="41" spans="16:18" x14ac:dyDescent="0.2">
      <c r="P41" t="s">
        <v>100</v>
      </c>
      <c r="Q41">
        <v>69.599999999999994</v>
      </c>
      <c r="R41">
        <v>18.5</v>
      </c>
    </row>
    <row r="42" spans="16:18" x14ac:dyDescent="0.2">
      <c r="P42" t="s">
        <v>101</v>
      </c>
      <c r="Q42">
        <v>71.2</v>
      </c>
      <c r="R42">
        <v>18.7</v>
      </c>
    </row>
    <row r="43" spans="16:18" x14ac:dyDescent="0.2">
      <c r="P43" t="s">
        <v>82</v>
      </c>
      <c r="Q43">
        <v>63.3</v>
      </c>
      <c r="R43">
        <v>18.5</v>
      </c>
    </row>
    <row r="44" spans="16:18" x14ac:dyDescent="0.2">
      <c r="P44" t="s">
        <v>118</v>
      </c>
      <c r="Q44">
        <v>50.6</v>
      </c>
      <c r="R44">
        <v>16.8</v>
      </c>
    </row>
    <row r="45" spans="16:18" x14ac:dyDescent="0.2">
      <c r="P45" t="s">
        <v>119</v>
      </c>
      <c r="Q45">
        <v>48.3</v>
      </c>
      <c r="R45">
        <v>15.5</v>
      </c>
    </row>
    <row r="46" spans="16:18" x14ac:dyDescent="0.2">
      <c r="P46" t="s">
        <v>120</v>
      </c>
      <c r="Q46">
        <v>44.6</v>
      </c>
      <c r="R46">
        <v>15.8</v>
      </c>
    </row>
    <row r="47" spans="16:18" x14ac:dyDescent="0.2">
      <c r="P47" t="s">
        <v>102</v>
      </c>
      <c r="Q47">
        <v>72.3</v>
      </c>
      <c r="R47">
        <v>18.399999999999999</v>
      </c>
    </row>
    <row r="48" spans="16:18" x14ac:dyDescent="0.2">
      <c r="P48" t="s">
        <v>103</v>
      </c>
      <c r="Q48">
        <v>70.900000000000006</v>
      </c>
      <c r="R48">
        <v>18.7</v>
      </c>
    </row>
    <row r="49" spans="16:18" x14ac:dyDescent="0.2">
      <c r="P49" t="s">
        <v>104</v>
      </c>
      <c r="Q49">
        <v>66.3</v>
      </c>
      <c r="R49">
        <v>18.600000000000001</v>
      </c>
    </row>
    <row r="50" spans="16:18" x14ac:dyDescent="0.2">
      <c r="P50" t="s">
        <v>105</v>
      </c>
      <c r="Q50">
        <v>79.5</v>
      </c>
      <c r="R50">
        <v>19.2</v>
      </c>
    </row>
    <row r="51" spans="16:18" x14ac:dyDescent="0.2">
      <c r="P51" t="s">
        <v>83</v>
      </c>
      <c r="Q51">
        <v>71.599999999999994</v>
      </c>
      <c r="R51">
        <v>18.7</v>
      </c>
    </row>
    <row r="52" spans="16:18" x14ac:dyDescent="0.2">
      <c r="P52" t="s">
        <v>17</v>
      </c>
      <c r="Q52">
        <v>67.2</v>
      </c>
      <c r="R52">
        <v>19.5</v>
      </c>
    </row>
    <row r="53" spans="16:18" x14ac:dyDescent="0.2">
      <c r="P53" t="s">
        <v>84</v>
      </c>
      <c r="Q53">
        <v>45.6</v>
      </c>
      <c r="R53">
        <v>16.5</v>
      </c>
    </row>
    <row r="54" spans="16:18" x14ac:dyDescent="0.2">
      <c r="P54" t="s">
        <v>85</v>
      </c>
      <c r="Q54">
        <v>82</v>
      </c>
      <c r="R54">
        <v>20</v>
      </c>
    </row>
    <row r="55" spans="16:18" x14ac:dyDescent="0.2">
      <c r="P55" t="s">
        <v>473</v>
      </c>
      <c r="Q55">
        <v>71.7</v>
      </c>
      <c r="R55">
        <v>19.5</v>
      </c>
    </row>
    <row r="56" spans="16:18" x14ac:dyDescent="0.2">
      <c r="P56" t="s">
        <v>106</v>
      </c>
      <c r="Q56">
        <v>68</v>
      </c>
      <c r="R56">
        <v>19.100000000000001</v>
      </c>
    </row>
    <row r="57" spans="16:18" x14ac:dyDescent="0.2">
      <c r="P57" t="s">
        <v>107</v>
      </c>
      <c r="Q57">
        <v>61.3</v>
      </c>
      <c r="R57">
        <v>18.399999999999999</v>
      </c>
    </row>
    <row r="58" spans="16:18" x14ac:dyDescent="0.2">
      <c r="P58" t="s">
        <v>108</v>
      </c>
      <c r="Q58">
        <v>55</v>
      </c>
      <c r="R58">
        <v>16.7</v>
      </c>
    </row>
    <row r="59" spans="16:18" x14ac:dyDescent="0.2">
      <c r="P59" t="s">
        <v>86</v>
      </c>
      <c r="Q59">
        <v>67.2</v>
      </c>
      <c r="R59">
        <v>19.399999999999999</v>
      </c>
    </row>
    <row r="60" spans="16:18" x14ac:dyDescent="0.2">
      <c r="P60" t="s">
        <v>87</v>
      </c>
      <c r="Q60">
        <v>58.4</v>
      </c>
      <c r="R60">
        <v>18.5</v>
      </c>
    </row>
    <row r="61" spans="16:18" x14ac:dyDescent="0.2">
      <c r="P61" t="s">
        <v>88</v>
      </c>
      <c r="Q61">
        <v>62.7</v>
      </c>
      <c r="R61">
        <v>17.899999999999999</v>
      </c>
    </row>
    <row r="62" spans="16:18" x14ac:dyDescent="0.2">
      <c r="P62" t="s">
        <v>89</v>
      </c>
      <c r="Q62">
        <v>63.1</v>
      </c>
      <c r="R62">
        <v>18.2</v>
      </c>
    </row>
    <row r="63" spans="16:18" x14ac:dyDescent="0.2">
      <c r="P63" t="s">
        <v>109</v>
      </c>
      <c r="Q63">
        <v>53.3</v>
      </c>
      <c r="R63">
        <v>17.100000000000001</v>
      </c>
    </row>
    <row r="64" spans="16:18" x14ac:dyDescent="0.2">
      <c r="P64" t="s">
        <v>110</v>
      </c>
      <c r="Q64">
        <v>62.1</v>
      </c>
      <c r="R64">
        <v>18.3</v>
      </c>
    </row>
    <row r="65" spans="16:18" x14ac:dyDescent="0.2">
      <c r="P65" t="s">
        <v>111</v>
      </c>
      <c r="Q65">
        <v>65.2</v>
      </c>
      <c r="R65">
        <v>18.100000000000001</v>
      </c>
    </row>
    <row r="66" spans="16:18" x14ac:dyDescent="0.2">
      <c r="P66" t="s">
        <v>24</v>
      </c>
      <c r="Q66">
        <v>55.4</v>
      </c>
      <c r="R66">
        <v>17.600000000000001</v>
      </c>
    </row>
    <row r="67" spans="16:18" x14ac:dyDescent="0.2">
      <c r="P67" t="s">
        <v>26</v>
      </c>
      <c r="Q67">
        <v>65.5</v>
      </c>
      <c r="R67">
        <v>18</v>
      </c>
    </row>
    <row r="68" spans="16:18" x14ac:dyDescent="0.2">
      <c r="P68" t="s">
        <v>27</v>
      </c>
      <c r="Q68">
        <v>64.3</v>
      </c>
      <c r="R68">
        <v>18.3</v>
      </c>
    </row>
    <row r="69" spans="16:18" x14ac:dyDescent="0.2">
      <c r="P69" t="s">
        <v>28</v>
      </c>
      <c r="Q69">
        <v>85.5</v>
      </c>
      <c r="R69">
        <v>19.899999999999999</v>
      </c>
    </row>
    <row r="70" spans="16:18" x14ac:dyDescent="0.2">
      <c r="P70" t="s">
        <v>29</v>
      </c>
      <c r="Q70">
        <v>76.599999999999994</v>
      </c>
      <c r="R70">
        <v>18.399999999999999</v>
      </c>
    </row>
    <row r="71" spans="16:18" x14ac:dyDescent="0.2">
      <c r="P71" t="s">
        <v>30</v>
      </c>
      <c r="Q71">
        <v>60.7</v>
      </c>
      <c r="R71">
        <v>17.5</v>
      </c>
    </row>
    <row r="72" spans="16:18" x14ac:dyDescent="0.2">
      <c r="P72" t="s">
        <v>31</v>
      </c>
      <c r="Q72">
        <v>73.400000000000006</v>
      </c>
      <c r="R72">
        <v>19</v>
      </c>
    </row>
    <row r="73" spans="16:18" x14ac:dyDescent="0.2">
      <c r="P73" t="s">
        <v>32</v>
      </c>
      <c r="Q73">
        <v>94.5</v>
      </c>
      <c r="R73">
        <v>20.3</v>
      </c>
    </row>
    <row r="74" spans="16:18" x14ac:dyDescent="0.2">
      <c r="P74" t="s">
        <v>33</v>
      </c>
      <c r="Q74">
        <v>81.5</v>
      </c>
      <c r="R74">
        <v>19</v>
      </c>
    </row>
    <row r="75" spans="16:18" x14ac:dyDescent="0.2">
      <c r="P75" t="s">
        <v>34</v>
      </c>
      <c r="Q75">
        <v>54.3</v>
      </c>
      <c r="R75">
        <v>17</v>
      </c>
    </row>
    <row r="76" spans="16:18" x14ac:dyDescent="0.2">
      <c r="P76" t="s">
        <v>35</v>
      </c>
      <c r="Q76">
        <v>65.7</v>
      </c>
      <c r="R76">
        <v>18</v>
      </c>
    </row>
    <row r="77" spans="16:18" x14ac:dyDescent="0.2">
      <c r="P77" t="s">
        <v>36</v>
      </c>
      <c r="Q77">
        <v>74.900000000000006</v>
      </c>
      <c r="R77">
        <v>19</v>
      </c>
    </row>
    <row r="78" spans="16:18" x14ac:dyDescent="0.2">
      <c r="P78" t="s">
        <v>37</v>
      </c>
      <c r="Q78">
        <v>84.6</v>
      </c>
      <c r="R78">
        <v>20.399999999999999</v>
      </c>
    </row>
    <row r="79" spans="16:18" x14ac:dyDescent="0.2">
      <c r="P79" t="s">
        <v>38</v>
      </c>
      <c r="Q79">
        <v>50</v>
      </c>
      <c r="R79">
        <v>16.3</v>
      </c>
    </row>
    <row r="80" spans="16:18" x14ac:dyDescent="0.2">
      <c r="P80" t="s">
        <v>39</v>
      </c>
      <c r="Q80">
        <v>69.099999999999994</v>
      </c>
      <c r="R80">
        <v>19</v>
      </c>
    </row>
    <row r="81" spans="16:18" x14ac:dyDescent="0.2">
      <c r="P81" t="s">
        <v>40</v>
      </c>
      <c r="Q81">
        <v>90.2</v>
      </c>
      <c r="R81">
        <v>20.2</v>
      </c>
    </row>
    <row r="82" spans="16:18" x14ac:dyDescent="0.2">
      <c r="P82" t="s">
        <v>41</v>
      </c>
      <c r="Q82">
        <v>68.8</v>
      </c>
      <c r="R82">
        <v>18.899999999999999</v>
      </c>
    </row>
    <row r="83" spans="16:18" x14ac:dyDescent="0.2">
      <c r="P83" t="s">
        <v>42</v>
      </c>
      <c r="Q83">
        <v>61.1</v>
      </c>
      <c r="R83">
        <v>17.5</v>
      </c>
    </row>
    <row r="84" spans="16:18" x14ac:dyDescent="0.2">
      <c r="P84" t="s">
        <v>43</v>
      </c>
      <c r="Q84">
        <v>82.3</v>
      </c>
      <c r="R84">
        <v>19.600000000000001</v>
      </c>
    </row>
    <row r="85" spans="16:18" x14ac:dyDescent="0.2">
      <c r="P85" t="s">
        <v>44</v>
      </c>
      <c r="Q85">
        <v>82.5</v>
      </c>
      <c r="R85">
        <v>19.899999999999999</v>
      </c>
    </row>
    <row r="86" spans="16:18" x14ac:dyDescent="0.2">
      <c r="P86" t="s">
        <v>45</v>
      </c>
      <c r="Q86">
        <v>50.1</v>
      </c>
      <c r="R86">
        <v>16.8</v>
      </c>
    </row>
    <row r="87" spans="16:18" x14ac:dyDescent="0.2">
      <c r="P87" t="s">
        <v>46</v>
      </c>
      <c r="Q87">
        <v>56.6</v>
      </c>
      <c r="R87">
        <v>17.3</v>
      </c>
    </row>
    <row r="88" spans="16:18" x14ac:dyDescent="0.2">
      <c r="P88" t="s">
        <v>47</v>
      </c>
      <c r="Q88">
        <v>80.5</v>
      </c>
      <c r="R88">
        <v>19.2</v>
      </c>
    </row>
    <row r="89" spans="16:18" x14ac:dyDescent="0.2">
      <c r="P89" t="s">
        <v>48</v>
      </c>
      <c r="Q89">
        <v>54.4</v>
      </c>
      <c r="R89">
        <v>17</v>
      </c>
    </row>
    <row r="90" spans="16:18" x14ac:dyDescent="0.2">
      <c r="P90" t="s">
        <v>49</v>
      </c>
      <c r="Q90">
        <v>85.5</v>
      </c>
      <c r="R90">
        <v>20.5</v>
      </c>
    </row>
    <row r="91" spans="16:18" x14ac:dyDescent="0.2">
      <c r="P91" t="s">
        <v>23</v>
      </c>
      <c r="Q91">
        <v>73</v>
      </c>
      <c r="R91">
        <v>19.2</v>
      </c>
    </row>
    <row r="92" spans="16:18" x14ac:dyDescent="0.2">
      <c r="P92" t="s">
        <v>50</v>
      </c>
      <c r="Q92">
        <v>63.6</v>
      </c>
      <c r="R92">
        <v>18.2</v>
      </c>
    </row>
    <row r="93" spans="16:18" x14ac:dyDescent="0.2">
      <c r="P93" t="s">
        <v>51</v>
      </c>
      <c r="Q93">
        <v>82.6</v>
      </c>
      <c r="R93">
        <v>19</v>
      </c>
    </row>
    <row r="94" spans="16:18" x14ac:dyDescent="0.2">
      <c r="P94" t="s">
        <v>52</v>
      </c>
      <c r="Q94">
        <v>64.2</v>
      </c>
      <c r="R94">
        <v>18.2</v>
      </c>
    </row>
    <row r="95" spans="16:18" x14ac:dyDescent="0.2">
      <c r="P95" t="s">
        <v>53</v>
      </c>
      <c r="Q95">
        <v>83</v>
      </c>
      <c r="R95">
        <v>20.2</v>
      </c>
    </row>
    <row r="96" spans="16:18" x14ac:dyDescent="0.2">
      <c r="P96" t="s">
        <v>54</v>
      </c>
      <c r="Q96">
        <v>46.1</v>
      </c>
      <c r="R96">
        <v>17</v>
      </c>
    </row>
    <row r="97" spans="16:18" x14ac:dyDescent="0.2">
      <c r="P97" t="s">
        <v>55</v>
      </c>
      <c r="Q97">
        <v>55.1</v>
      </c>
      <c r="R97">
        <v>16.8</v>
      </c>
    </row>
    <row r="98" spans="16:18" x14ac:dyDescent="0.2">
      <c r="P98" t="s">
        <v>56</v>
      </c>
      <c r="Q98">
        <v>71</v>
      </c>
      <c r="R98">
        <v>19</v>
      </c>
    </row>
    <row r="99" spans="16:18" x14ac:dyDescent="0.2">
      <c r="P99" t="s">
        <v>57</v>
      </c>
      <c r="Q99">
        <v>64.599999999999994</v>
      </c>
      <c r="R99">
        <v>18.2</v>
      </c>
    </row>
    <row r="100" spans="16:18" x14ac:dyDescent="0.2">
      <c r="P100" t="s">
        <v>58</v>
      </c>
      <c r="Q100">
        <v>58.9</v>
      </c>
      <c r="R100">
        <v>18.100000000000001</v>
      </c>
    </row>
    <row r="101" spans="16:18" x14ac:dyDescent="0.2">
      <c r="P101" t="s">
        <v>59</v>
      </c>
      <c r="Q101">
        <v>66.5</v>
      </c>
      <c r="R101">
        <v>18.100000000000001</v>
      </c>
    </row>
    <row r="102" spans="16:18" x14ac:dyDescent="0.2">
      <c r="P102" t="s">
        <v>60</v>
      </c>
      <c r="Q102">
        <v>42.4</v>
      </c>
      <c r="R102">
        <v>16</v>
      </c>
    </row>
    <row r="104" spans="16:18" x14ac:dyDescent="0.2">
      <c r="P104" t="s">
        <v>474</v>
      </c>
      <c r="Q104">
        <f>AVERAGE(Q3:Q102)</f>
        <v>64.342000000000013</v>
      </c>
      <c r="R104">
        <f>AVERAGE(R3:R102)</f>
        <v>18.091999999999999</v>
      </c>
    </row>
    <row r="105" spans="16:18" x14ac:dyDescent="0.2">
      <c r="P105" t="s">
        <v>475</v>
      </c>
      <c r="Q105">
        <f>STDEV(Q3:Q102)/SQRT(100)</f>
        <v>1.2815609011804021</v>
      </c>
      <c r="R105">
        <f>STDEV(R3:R102)/SQRT(100)</f>
        <v>0.12402085194503272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A1" workbookViewId="0">
      <selection activeCell="AG10" sqref="AG10"/>
    </sheetView>
  </sheetViews>
  <sheetFormatPr baseColWidth="10" defaultColWidth="8.796875" defaultRowHeight="15" x14ac:dyDescent="0.2"/>
  <cols>
    <col min="2" max="2" width="19.3984375" bestFit="1" customWidth="1"/>
    <col min="7" max="7" width="18.19921875" customWidth="1"/>
    <col min="8" max="8" width="12.3984375" bestFit="1" customWidth="1"/>
    <col min="9" max="9" width="12.3984375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style="21" bestFit="1" customWidth="1"/>
    <col min="14" max="14" width="17.3984375" bestFit="1" customWidth="1"/>
    <col min="18" max="18" width="10.3984375" bestFit="1" customWidth="1"/>
    <col min="24" max="24" width="12.3984375" bestFit="1" customWidth="1"/>
    <col min="25" max="25" width="12.3984375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7" ht="20" x14ac:dyDescent="0.2">
      <c r="A1" s="14" t="s">
        <v>216</v>
      </c>
      <c r="B1" s="15"/>
      <c r="C1" s="4"/>
      <c r="AG1" s="2" t="s">
        <v>226</v>
      </c>
      <c r="AH1" s="1"/>
      <c r="AI1" s="1"/>
      <c r="AJ1" s="1"/>
      <c r="AK1" s="1"/>
    </row>
    <row r="2" spans="1:37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226</v>
      </c>
      <c r="AJ2" s="5" t="s">
        <v>65</v>
      </c>
      <c r="AK2" s="5" t="s">
        <v>66</v>
      </c>
    </row>
    <row r="3" spans="1:37" s="4" customFormat="1" x14ac:dyDescent="0.2">
      <c r="A3">
        <v>11</v>
      </c>
      <c r="B3" s="18" t="s">
        <v>9</v>
      </c>
      <c r="C3" t="s">
        <v>10</v>
      </c>
      <c r="D3" s="4">
        <v>1</v>
      </c>
      <c r="E3" s="4">
        <v>-7.5499999999999998E-2</v>
      </c>
      <c r="F3" s="4">
        <v>-84.363</v>
      </c>
      <c r="G3" s="4">
        <f t="shared" ref="G3:G34" si="0">IF(E3&lt;0,F3*-1+E3,F3*-1-E3)</f>
        <v>84.287499999999994</v>
      </c>
      <c r="H3" s="19">
        <f t="shared" ref="H3:H34" si="1">(G3*250*1*1*1000)/(6.22*2*0.3*1000*1000*1)</f>
        <v>5.6462687566988219</v>
      </c>
      <c r="I3" s="19">
        <v>50</v>
      </c>
      <c r="J3" s="19">
        <f t="shared" ref="J3:J34" si="2">H3*I3</f>
        <v>282.31343783494111</v>
      </c>
      <c r="K3" s="4">
        <v>18.815650000000002</v>
      </c>
      <c r="L3" s="20">
        <f t="shared" ref="L3:L34" si="3">(J3/K3)</f>
        <v>15.004182041807809</v>
      </c>
      <c r="M3" s="19">
        <f t="shared" ref="M3:M34" si="4">L3*10</f>
        <v>150.04182041807809</v>
      </c>
      <c r="N3" s="20">
        <f>AVERAGE(M3:M14)</f>
        <v>143.52759858498902</v>
      </c>
      <c r="Q3">
        <v>15</v>
      </c>
      <c r="R3" s="18" t="s">
        <v>18</v>
      </c>
      <c r="S3" t="s">
        <v>10</v>
      </c>
      <c r="T3">
        <v>5</v>
      </c>
      <c r="U3" s="4">
        <v>9.7500000000000003E-2</v>
      </c>
      <c r="V3" s="4">
        <v>-76.430499999999995</v>
      </c>
      <c r="W3" s="4">
        <f t="shared" ref="W3:W50" si="5">IF(U3&lt;0,V3*-1+U3,V3*-1-U3)</f>
        <v>76.332999999999998</v>
      </c>
      <c r="X3" s="19">
        <f t="shared" ref="X3:X50" si="6">(W3*250*1*1*1000)/(6.22*2*0.3*1000*1000*1)</f>
        <v>5.1134110396570209</v>
      </c>
      <c r="Y3" s="22">
        <v>50</v>
      </c>
      <c r="Z3" s="12">
        <f t="shared" ref="Z3:Z50" si="7">X3*Y3</f>
        <v>255.67055198285104</v>
      </c>
      <c r="AA3" s="12">
        <v>17.822800000000001</v>
      </c>
      <c r="AB3" s="12">
        <f t="shared" ref="AB3:AB50" si="8">Z3/AA3</f>
        <v>14.345139483293929</v>
      </c>
      <c r="AC3" s="12">
        <f t="shared" ref="AC3:AC50" si="9">AB3*10</f>
        <v>143.45139483293929</v>
      </c>
      <c r="AD3" s="23">
        <f>AVERAGE(AC3:AC14)</f>
        <v>143.37572954755638</v>
      </c>
      <c r="AE3" t="s">
        <v>10</v>
      </c>
      <c r="AG3" s="4" t="s">
        <v>18</v>
      </c>
      <c r="AH3" s="4">
        <v>0</v>
      </c>
      <c r="AI3" s="23">
        <f>AVERAGE(AC3:AC14)</f>
        <v>143.37572954755638</v>
      </c>
      <c r="AJ3" s="4">
        <f>COUNT(AC3:AC14)</f>
        <v>12</v>
      </c>
      <c r="AK3" s="4">
        <f>STDEV(AC3:AC14)/SQRT(AJ3)</f>
        <v>2.5748188385136102</v>
      </c>
    </row>
    <row r="4" spans="1:37" s="4" customFormat="1" x14ac:dyDescent="0.2">
      <c r="A4"/>
      <c r="B4"/>
      <c r="C4"/>
      <c r="D4" s="4">
        <v>2</v>
      </c>
      <c r="E4" s="4">
        <v>0.23949999999999999</v>
      </c>
      <c r="F4" s="4">
        <v>-89.84</v>
      </c>
      <c r="G4" s="4">
        <f t="shared" si="0"/>
        <v>89.600499999999997</v>
      </c>
      <c r="H4" s="19">
        <f t="shared" si="1"/>
        <v>6.0021771168274389</v>
      </c>
      <c r="I4" s="19">
        <v>50</v>
      </c>
      <c r="J4" s="19">
        <f t="shared" si="2"/>
        <v>300.10885584137196</v>
      </c>
      <c r="K4" s="4">
        <v>21.588250000000002</v>
      </c>
      <c r="L4" s="20">
        <f t="shared" si="3"/>
        <v>13.901490664661189</v>
      </c>
      <c r="M4" s="19">
        <f t="shared" si="4"/>
        <v>139.01490664661191</v>
      </c>
      <c r="Q4"/>
      <c r="R4"/>
      <c r="S4"/>
      <c r="T4">
        <v>6</v>
      </c>
      <c r="U4" s="4">
        <v>-0.2545</v>
      </c>
      <c r="V4" s="4">
        <v>-82.021999999999991</v>
      </c>
      <c r="W4" s="4">
        <f t="shared" si="5"/>
        <v>81.767499999999998</v>
      </c>
      <c r="X4" s="19">
        <f t="shared" si="6"/>
        <v>5.4774584673097539</v>
      </c>
      <c r="Y4" s="22">
        <v>50</v>
      </c>
      <c r="Z4" s="12">
        <f t="shared" si="7"/>
        <v>273.87292336548768</v>
      </c>
      <c r="AA4" s="12">
        <v>19.3279</v>
      </c>
      <c r="AB4" s="12">
        <f t="shared" si="8"/>
        <v>14.16982307263012</v>
      </c>
      <c r="AC4" s="12">
        <f t="shared" si="9"/>
        <v>141.6982307263012</v>
      </c>
      <c r="AE4"/>
      <c r="AH4" s="4">
        <v>1</v>
      </c>
      <c r="AI4" s="23">
        <f>AVERAGE(AC15:AC27)</f>
        <v>145.04787860491894</v>
      </c>
      <c r="AJ4" s="4">
        <f>COUNT(AC15:AC27)</f>
        <v>13</v>
      </c>
      <c r="AK4" s="4">
        <f>STDEV(AC15:AC27)/SQRT(AJ4)</f>
        <v>3.1096535121279363</v>
      </c>
    </row>
    <row r="5" spans="1:37" s="4" customFormat="1" x14ac:dyDescent="0.2">
      <c r="A5"/>
      <c r="B5"/>
      <c r="C5"/>
      <c r="D5" s="4">
        <v>3</v>
      </c>
      <c r="E5" s="4">
        <v>0.21200000000000002</v>
      </c>
      <c r="F5" s="4">
        <v>-90.644000000000005</v>
      </c>
      <c r="G5" s="4">
        <f t="shared" si="0"/>
        <v>90.432000000000002</v>
      </c>
      <c r="H5" s="19">
        <f t="shared" si="1"/>
        <v>6.0578778135048239</v>
      </c>
      <c r="I5" s="19">
        <v>50</v>
      </c>
      <c r="J5" s="19">
        <f t="shared" si="2"/>
        <v>302.89389067524121</v>
      </c>
      <c r="K5" s="4">
        <v>21.028450000000003</v>
      </c>
      <c r="L5" s="20">
        <f t="shared" si="3"/>
        <v>14.404004606865517</v>
      </c>
      <c r="M5" s="19">
        <f t="shared" si="4"/>
        <v>144.04004606865516</v>
      </c>
      <c r="Q5"/>
      <c r="R5"/>
      <c r="S5"/>
      <c r="T5">
        <v>7</v>
      </c>
      <c r="U5" s="4">
        <v>1.3025</v>
      </c>
      <c r="V5" s="4">
        <v>-87.454499999999996</v>
      </c>
      <c r="W5" s="4">
        <f t="shared" si="5"/>
        <v>86.152000000000001</v>
      </c>
      <c r="X5" s="19">
        <f t="shared" si="6"/>
        <v>5.7711682743837089</v>
      </c>
      <c r="Y5" s="22">
        <v>50</v>
      </c>
      <c r="Z5" s="12">
        <f t="shared" si="7"/>
        <v>288.55841371918547</v>
      </c>
      <c r="AA5" s="12">
        <v>18.651949999999999</v>
      </c>
      <c r="AB5" s="12">
        <f t="shared" si="8"/>
        <v>15.4706834255499</v>
      </c>
      <c r="AC5" s="12">
        <f t="shared" si="9"/>
        <v>154.70683425549902</v>
      </c>
      <c r="AE5"/>
      <c r="AH5" s="4">
        <v>4</v>
      </c>
      <c r="AI5" s="23">
        <f>AVERAGE(AC28:AC38)</f>
        <v>149.77516836718755</v>
      </c>
      <c r="AJ5" s="4">
        <f>COUNT(AC28:AC38)</f>
        <v>11</v>
      </c>
      <c r="AK5" s="4">
        <f>STDEV(AC28:AC38)/SQRT(AJ5)</f>
        <v>5.1985181668177258</v>
      </c>
    </row>
    <row r="6" spans="1:37" s="4" customFormat="1" x14ac:dyDescent="0.2">
      <c r="A6"/>
      <c r="B6"/>
      <c r="C6"/>
      <c r="D6" s="4">
        <v>4</v>
      </c>
      <c r="E6" s="4">
        <v>-0.3115</v>
      </c>
      <c r="F6" s="4">
        <v>-82.129500000000007</v>
      </c>
      <c r="G6" s="4">
        <f t="shared" si="0"/>
        <v>81.818000000000012</v>
      </c>
      <c r="H6" s="19">
        <f t="shared" si="1"/>
        <v>5.4808413719185438</v>
      </c>
      <c r="I6" s="19">
        <v>50</v>
      </c>
      <c r="J6" s="19">
        <f t="shared" si="2"/>
        <v>274.04206859592716</v>
      </c>
      <c r="K6" s="4">
        <v>20.046150000000001</v>
      </c>
      <c r="L6" s="20">
        <f t="shared" si="3"/>
        <v>13.670558615790421</v>
      </c>
      <c r="M6" s="19">
        <f t="shared" si="4"/>
        <v>136.70558615790421</v>
      </c>
      <c r="Q6"/>
      <c r="R6"/>
      <c r="S6"/>
      <c r="T6">
        <v>8</v>
      </c>
      <c r="U6" s="4">
        <v>-0.439</v>
      </c>
      <c r="V6" s="4">
        <v>-80.609499999999997</v>
      </c>
      <c r="W6" s="4">
        <f t="shared" si="5"/>
        <v>80.170500000000004</v>
      </c>
      <c r="X6" s="19">
        <f t="shared" si="6"/>
        <v>5.370478295819936</v>
      </c>
      <c r="Y6" s="22">
        <v>50</v>
      </c>
      <c r="Z6" s="12">
        <f t="shared" si="7"/>
        <v>268.5239147909968</v>
      </c>
      <c r="AA6" s="12">
        <v>18.878999999999998</v>
      </c>
      <c r="AB6" s="12">
        <f t="shared" si="8"/>
        <v>14.223418337358803</v>
      </c>
      <c r="AC6" s="12">
        <f t="shared" si="9"/>
        <v>142.23418337358802</v>
      </c>
      <c r="AE6"/>
      <c r="AH6" s="4">
        <v>24</v>
      </c>
      <c r="AI6" s="23">
        <f>AVERAGE(AC39:AC50)</f>
        <v>135.68090668790609</v>
      </c>
      <c r="AJ6" s="4">
        <f>COUNT(AC39:AC50)</f>
        <v>12</v>
      </c>
      <c r="AK6" s="4">
        <f>STDEV(AC39:AC50)/SQRT(AJ6)</f>
        <v>7.3288090008269817</v>
      </c>
    </row>
    <row r="7" spans="1:37" s="4" customFormat="1" x14ac:dyDescent="0.2">
      <c r="A7">
        <v>12</v>
      </c>
      <c r="B7"/>
      <c r="C7"/>
      <c r="D7" s="4">
        <v>9</v>
      </c>
      <c r="E7" s="4">
        <v>-8.5000000000000006E-2</v>
      </c>
      <c r="F7" s="4">
        <v>-89.802999999999997</v>
      </c>
      <c r="G7" s="4">
        <f t="shared" si="0"/>
        <v>89.718000000000004</v>
      </c>
      <c r="H7" s="19">
        <f t="shared" si="1"/>
        <v>6.0100482315112549</v>
      </c>
      <c r="I7" s="19">
        <v>50</v>
      </c>
      <c r="J7" s="19">
        <f t="shared" si="2"/>
        <v>300.50241157556275</v>
      </c>
      <c r="K7" s="4">
        <v>18.255850000000002</v>
      </c>
      <c r="L7" s="20">
        <f t="shared" si="3"/>
        <v>16.460609151343963</v>
      </c>
      <c r="M7" s="19">
        <f t="shared" si="4"/>
        <v>164.60609151343962</v>
      </c>
      <c r="Q7">
        <v>14</v>
      </c>
      <c r="R7"/>
      <c r="S7"/>
      <c r="T7">
        <v>13</v>
      </c>
      <c r="U7" s="4">
        <v>0.34550000000000003</v>
      </c>
      <c r="V7" s="4">
        <v>-86.743499999999997</v>
      </c>
      <c r="W7" s="4">
        <f t="shared" si="5"/>
        <v>86.397999999999996</v>
      </c>
      <c r="X7" s="19">
        <f t="shared" si="6"/>
        <v>5.7876473740621659</v>
      </c>
      <c r="Y7" s="22">
        <v>50</v>
      </c>
      <c r="Z7" s="12">
        <f t="shared" si="7"/>
        <v>289.38236870310828</v>
      </c>
      <c r="AA7" s="12">
        <v>20.563700000000001</v>
      </c>
      <c r="AB7" s="12">
        <f t="shared" si="8"/>
        <v>14.072485433220105</v>
      </c>
      <c r="AC7" s="12">
        <f t="shared" si="9"/>
        <v>140.72485433220106</v>
      </c>
      <c r="AE7"/>
    </row>
    <row r="8" spans="1:37" s="4" customFormat="1" x14ac:dyDescent="0.2">
      <c r="A8"/>
      <c r="B8"/>
      <c r="C8"/>
      <c r="D8" s="4">
        <v>10</v>
      </c>
      <c r="E8" s="4">
        <v>-0.1</v>
      </c>
      <c r="F8" s="4">
        <v>-61.667999999999999</v>
      </c>
      <c r="G8" s="4">
        <f t="shared" si="0"/>
        <v>61.567999999999998</v>
      </c>
      <c r="H8" s="19">
        <f t="shared" si="1"/>
        <v>4.12433011789925</v>
      </c>
      <c r="I8" s="19">
        <v>50</v>
      </c>
      <c r="J8" s="19">
        <f t="shared" si="2"/>
        <v>206.21650589496249</v>
      </c>
      <c r="K8" s="4">
        <v>16.666249999999998</v>
      </c>
      <c r="L8" s="20">
        <f t="shared" si="3"/>
        <v>12.373299686189906</v>
      </c>
      <c r="M8" s="19">
        <f t="shared" si="4"/>
        <v>123.73299686189907</v>
      </c>
      <c r="Q8"/>
      <c r="R8"/>
      <c r="S8"/>
      <c r="T8">
        <v>14</v>
      </c>
      <c r="U8" s="4">
        <v>0.16950000000000001</v>
      </c>
      <c r="V8" s="4">
        <v>-86.717500000000001</v>
      </c>
      <c r="W8" s="4">
        <f t="shared" si="5"/>
        <v>86.548000000000002</v>
      </c>
      <c r="X8" s="19">
        <f t="shared" si="6"/>
        <v>5.7976956055734199</v>
      </c>
      <c r="Y8" s="22">
        <v>50</v>
      </c>
      <c r="Z8" s="12">
        <f t="shared" si="7"/>
        <v>289.88478027867097</v>
      </c>
      <c r="AA8" s="12">
        <v>18.22945</v>
      </c>
      <c r="AB8" s="12">
        <f t="shared" si="8"/>
        <v>15.90200364128764</v>
      </c>
      <c r="AC8" s="12">
        <f t="shared" si="9"/>
        <v>159.02003641287641</v>
      </c>
      <c r="AE8"/>
      <c r="AG8" s="4" t="s">
        <v>9</v>
      </c>
      <c r="AH8" s="4">
        <v>0</v>
      </c>
      <c r="AI8" s="20">
        <f>AVERAGE(M3:M14)</f>
        <v>143.52759858498902</v>
      </c>
      <c r="AJ8" s="4">
        <f>COUNT(M3:M14)</f>
        <v>12</v>
      </c>
      <c r="AK8" s="4">
        <f>STDEV(M3:M14)/SQRT(AJ8)</f>
        <v>4.15834360450941</v>
      </c>
    </row>
    <row r="9" spans="1:37" s="4" customFormat="1" x14ac:dyDescent="0.2">
      <c r="A9"/>
      <c r="B9"/>
      <c r="C9"/>
      <c r="D9" s="4">
        <v>11</v>
      </c>
      <c r="E9" s="4">
        <v>0.30200000000000005</v>
      </c>
      <c r="F9" s="4">
        <v>-102.89949999999999</v>
      </c>
      <c r="G9" s="4">
        <f t="shared" si="0"/>
        <v>102.59749999999998</v>
      </c>
      <c r="H9" s="19">
        <f t="shared" si="1"/>
        <v>6.8728228831725611</v>
      </c>
      <c r="I9" s="19">
        <v>50</v>
      </c>
      <c r="J9" s="19">
        <f t="shared" si="2"/>
        <v>343.64114415862804</v>
      </c>
      <c r="K9" s="4">
        <v>21.820599999999999</v>
      </c>
      <c r="L9" s="20">
        <f t="shared" si="3"/>
        <v>15.748473651440751</v>
      </c>
      <c r="M9" s="19">
        <f t="shared" si="4"/>
        <v>157.4847365144075</v>
      </c>
      <c r="Q9"/>
      <c r="R9"/>
      <c r="S9"/>
      <c r="T9">
        <v>15</v>
      </c>
      <c r="U9" s="4">
        <v>0.10400000000000001</v>
      </c>
      <c r="V9" s="4">
        <v>-76.573499999999996</v>
      </c>
      <c r="W9" s="4">
        <f t="shared" si="5"/>
        <v>76.469499999999996</v>
      </c>
      <c r="X9" s="19">
        <f t="shared" si="6"/>
        <v>5.1225549303322619</v>
      </c>
      <c r="Y9" s="22">
        <v>50</v>
      </c>
      <c r="Z9" s="12">
        <f t="shared" si="7"/>
        <v>256.12774651661312</v>
      </c>
      <c r="AA9" s="12">
        <v>17.236600000000003</v>
      </c>
      <c r="AB9" s="12">
        <f t="shared" si="8"/>
        <v>14.859528359224734</v>
      </c>
      <c r="AC9" s="12">
        <f t="shared" si="9"/>
        <v>148.59528359224734</v>
      </c>
      <c r="AE9"/>
      <c r="AH9" s="4">
        <v>1</v>
      </c>
      <c r="AI9" s="20">
        <f>AVERAGE(M15:M17,M19:M27)</f>
        <v>143.52373265874246</v>
      </c>
      <c r="AJ9" s="4">
        <f>COUNT(M15:M17,M19:M27)</f>
        <v>12</v>
      </c>
      <c r="AK9" s="4">
        <f>STDEV(M15:M17,M19:M27)/SQRT(AJ9)</f>
        <v>4.5970527751204227</v>
      </c>
    </row>
    <row r="10" spans="1:37" s="4" customFormat="1" x14ac:dyDescent="0.2">
      <c r="A10"/>
      <c r="B10"/>
      <c r="C10"/>
      <c r="D10" s="4">
        <v>12</v>
      </c>
      <c r="E10" s="4">
        <v>-0.27149999999999996</v>
      </c>
      <c r="F10" s="4">
        <v>-90.219499999999996</v>
      </c>
      <c r="G10" s="4">
        <f t="shared" si="0"/>
        <v>89.947999999999993</v>
      </c>
      <c r="H10" s="19">
        <f t="shared" si="1"/>
        <v>6.0254555198285109</v>
      </c>
      <c r="I10" s="19">
        <v>50</v>
      </c>
      <c r="J10" s="19">
        <f t="shared" si="2"/>
        <v>301.27277599142553</v>
      </c>
      <c r="K10" s="4">
        <v>18.741700000000002</v>
      </c>
      <c r="L10" s="20">
        <f t="shared" si="3"/>
        <v>16.074997251659429</v>
      </c>
      <c r="M10" s="19">
        <f t="shared" si="4"/>
        <v>160.74997251659428</v>
      </c>
      <c r="Q10"/>
      <c r="R10"/>
      <c r="S10"/>
      <c r="T10">
        <v>16</v>
      </c>
      <c r="U10" s="4">
        <v>-0.20899999999999999</v>
      </c>
      <c r="V10" s="4">
        <v>-78.546000000000006</v>
      </c>
      <c r="W10" s="4">
        <f t="shared" si="5"/>
        <v>78.337000000000003</v>
      </c>
      <c r="X10" s="19">
        <f t="shared" si="6"/>
        <v>5.2476554126473749</v>
      </c>
      <c r="Y10" s="22">
        <v>50</v>
      </c>
      <c r="Z10" s="12">
        <f t="shared" si="7"/>
        <v>262.38277063236876</v>
      </c>
      <c r="AA10" s="12">
        <v>17.27355</v>
      </c>
      <c r="AB10" s="12">
        <f t="shared" si="8"/>
        <v>15.18985794074575</v>
      </c>
      <c r="AC10" s="12">
        <f t="shared" si="9"/>
        <v>151.8985794074575</v>
      </c>
      <c r="AE10"/>
      <c r="AH10" s="4">
        <v>4</v>
      </c>
      <c r="AI10" s="20">
        <f>AVERAGE(M28:M39)</f>
        <v>144.85002457528441</v>
      </c>
      <c r="AJ10" s="4">
        <f>COUNT(M28:M39)</f>
        <v>12</v>
      </c>
      <c r="AK10" s="4">
        <f>STDEV(M28:M39)/SQRT(AJ10)</f>
        <v>3.3073192068443076</v>
      </c>
    </row>
    <row r="11" spans="1:37" s="4" customFormat="1" x14ac:dyDescent="0.2">
      <c r="A11">
        <v>12</v>
      </c>
      <c r="B11"/>
      <c r="C11"/>
      <c r="D11" s="4">
        <v>65</v>
      </c>
      <c r="E11" s="4">
        <v>-0.315</v>
      </c>
      <c r="F11" s="4">
        <v>-70.47999999999999</v>
      </c>
      <c r="G11" s="4">
        <f t="shared" si="0"/>
        <v>70.164999999999992</v>
      </c>
      <c r="H11" s="19">
        <f t="shared" si="1"/>
        <v>4.700227759914255</v>
      </c>
      <c r="I11" s="19">
        <v>50</v>
      </c>
      <c r="J11" s="19">
        <f t="shared" si="2"/>
        <v>235.01138799571274</v>
      </c>
      <c r="K11" s="4">
        <v>17.997049999999998</v>
      </c>
      <c r="L11" s="20">
        <f t="shared" si="3"/>
        <v>13.058328336905925</v>
      </c>
      <c r="M11" s="19">
        <f t="shared" si="4"/>
        <v>130.58328336905925</v>
      </c>
      <c r="Q11">
        <v>15</v>
      </c>
      <c r="R11"/>
      <c r="S11"/>
      <c r="T11">
        <v>69</v>
      </c>
      <c r="U11" s="4">
        <v>-0.43</v>
      </c>
      <c r="V11" s="4">
        <v>-78.95</v>
      </c>
      <c r="W11" s="4">
        <f t="shared" si="5"/>
        <v>78.52</v>
      </c>
      <c r="X11" s="19">
        <f t="shared" si="6"/>
        <v>5.2599142550911049</v>
      </c>
      <c r="Y11" s="22">
        <v>50</v>
      </c>
      <c r="Z11" s="12">
        <f t="shared" si="7"/>
        <v>262.99571275455526</v>
      </c>
      <c r="AA11" s="12">
        <v>19.354299999999999</v>
      </c>
      <c r="AB11" s="12">
        <f t="shared" si="8"/>
        <v>13.588490038624764</v>
      </c>
      <c r="AC11" s="12">
        <f t="shared" si="9"/>
        <v>135.88490038624764</v>
      </c>
      <c r="AE11"/>
      <c r="AH11" s="4">
        <v>24</v>
      </c>
      <c r="AI11" s="20">
        <f>AVERAGE(M40:M52)</f>
        <v>133.42624902626071</v>
      </c>
      <c r="AJ11" s="4">
        <f>COUNT(M40:M52)</f>
        <v>13</v>
      </c>
      <c r="AK11" s="4">
        <f>STDEV(M40:M52)/SQRT(AJ11)</f>
        <v>2.3515360889832881</v>
      </c>
    </row>
    <row r="12" spans="1:37" s="4" customFormat="1" x14ac:dyDescent="0.2">
      <c r="A12"/>
      <c r="B12"/>
      <c r="C12"/>
      <c r="D12" s="4">
        <v>66</v>
      </c>
      <c r="E12" s="4">
        <v>-0.185</v>
      </c>
      <c r="F12" s="4">
        <v>-83.805000000000007</v>
      </c>
      <c r="G12" s="4">
        <f t="shared" si="0"/>
        <v>83.62</v>
      </c>
      <c r="H12" s="19">
        <f t="shared" si="1"/>
        <v>5.601554126473741</v>
      </c>
      <c r="I12" s="19">
        <v>50</v>
      </c>
      <c r="J12" s="19">
        <f t="shared" si="2"/>
        <v>280.07770632368704</v>
      </c>
      <c r="K12" s="4">
        <v>17.965400000000002</v>
      </c>
      <c r="L12" s="20">
        <f t="shared" si="3"/>
        <v>15.589839709869359</v>
      </c>
      <c r="M12" s="19">
        <f t="shared" si="4"/>
        <v>155.89839709869358</v>
      </c>
      <c r="Q12"/>
      <c r="R12"/>
      <c r="S12"/>
      <c r="T12">
        <v>70</v>
      </c>
      <c r="U12" s="4">
        <v>-0.13500000000000001</v>
      </c>
      <c r="V12" s="4">
        <v>-73.47</v>
      </c>
      <c r="W12" s="4">
        <f t="shared" si="5"/>
        <v>73.334999999999994</v>
      </c>
      <c r="X12" s="19">
        <f t="shared" si="6"/>
        <v>4.9125803858520909</v>
      </c>
      <c r="Y12" s="22">
        <v>50</v>
      </c>
      <c r="Z12" s="12">
        <f t="shared" si="7"/>
        <v>245.62901929260454</v>
      </c>
      <c r="AA12" s="12">
        <v>19.169499999999999</v>
      </c>
      <c r="AB12" s="12">
        <f t="shared" si="8"/>
        <v>12.813532919095675</v>
      </c>
      <c r="AC12" s="12">
        <f t="shared" si="9"/>
        <v>128.13532919095675</v>
      </c>
      <c r="AE12"/>
    </row>
    <row r="13" spans="1:37" s="4" customFormat="1" x14ac:dyDescent="0.2">
      <c r="A13"/>
      <c r="B13"/>
      <c r="C13"/>
      <c r="D13" s="4">
        <v>67</v>
      </c>
      <c r="E13" s="4">
        <v>-0.41499999999999998</v>
      </c>
      <c r="F13" s="4">
        <v>-74.800000000000011</v>
      </c>
      <c r="G13" s="4">
        <f t="shared" si="0"/>
        <v>74.385000000000005</v>
      </c>
      <c r="H13" s="19">
        <f t="shared" si="1"/>
        <v>4.9829180064308689</v>
      </c>
      <c r="I13" s="19">
        <v>50</v>
      </c>
      <c r="J13" s="19">
        <f t="shared" si="2"/>
        <v>249.14590032154345</v>
      </c>
      <c r="K13" s="4">
        <v>18.023500000000002</v>
      </c>
      <c r="L13" s="20">
        <f t="shared" si="3"/>
        <v>13.823391700920654</v>
      </c>
      <c r="M13" s="19">
        <f t="shared" si="4"/>
        <v>138.23391700920655</v>
      </c>
      <c r="Q13"/>
      <c r="R13"/>
      <c r="S13"/>
      <c r="T13">
        <v>71</v>
      </c>
      <c r="U13" s="4">
        <v>-0.26500000000000001</v>
      </c>
      <c r="V13" s="4">
        <v>-76.45</v>
      </c>
      <c r="W13" s="4">
        <f t="shared" si="5"/>
        <v>76.185000000000002</v>
      </c>
      <c r="X13" s="19">
        <f t="shared" si="6"/>
        <v>5.1034967845659169</v>
      </c>
      <c r="Y13" s="22">
        <v>50</v>
      </c>
      <c r="Z13" s="12">
        <f t="shared" si="7"/>
        <v>255.17483922829584</v>
      </c>
      <c r="AA13" s="12">
        <v>19.090250000000001</v>
      </c>
      <c r="AB13" s="12">
        <f t="shared" si="8"/>
        <v>13.366762573999598</v>
      </c>
      <c r="AC13" s="12">
        <f t="shared" si="9"/>
        <v>133.66762573999597</v>
      </c>
      <c r="AE13"/>
    </row>
    <row r="14" spans="1:37" s="4" customFormat="1" x14ac:dyDescent="0.2">
      <c r="A14"/>
      <c r="B14"/>
      <c r="C14"/>
      <c r="D14" s="4">
        <v>68</v>
      </c>
      <c r="E14" s="4">
        <v>-2.2399999999999998</v>
      </c>
      <c r="F14" s="4">
        <v>-66.830000000000013</v>
      </c>
      <c r="G14" s="4">
        <f t="shared" si="0"/>
        <v>64.590000000000018</v>
      </c>
      <c r="H14" s="19">
        <f t="shared" si="1"/>
        <v>4.3267684887459819</v>
      </c>
      <c r="I14" s="19">
        <v>50</v>
      </c>
      <c r="J14" s="19">
        <f t="shared" si="2"/>
        <v>216.3384244372991</v>
      </c>
      <c r="K14" s="4">
        <v>17.843899999999998</v>
      </c>
      <c r="L14" s="20">
        <f t="shared" si="3"/>
        <v>12.123942884531919</v>
      </c>
      <c r="M14" s="19">
        <f t="shared" si="4"/>
        <v>121.2394288453192</v>
      </c>
      <c r="Q14"/>
      <c r="R14"/>
      <c r="S14"/>
      <c r="T14">
        <v>72</v>
      </c>
      <c r="U14" s="4">
        <v>-0.29499999999999998</v>
      </c>
      <c r="V14" s="4">
        <v>-76.36</v>
      </c>
      <c r="W14" s="4">
        <f t="shared" si="5"/>
        <v>76.064999999999998</v>
      </c>
      <c r="X14" s="19">
        <f t="shared" si="6"/>
        <v>5.0954581993569139</v>
      </c>
      <c r="Y14" s="22">
        <v>50</v>
      </c>
      <c r="Z14" s="12">
        <f t="shared" si="7"/>
        <v>254.77290996784569</v>
      </c>
      <c r="AA14" s="12">
        <v>18.134399999999999</v>
      </c>
      <c r="AB14" s="12">
        <f t="shared" si="8"/>
        <v>14.049150232036665</v>
      </c>
      <c r="AC14" s="12">
        <f t="shared" si="9"/>
        <v>140.49150232036664</v>
      </c>
      <c r="AE14"/>
    </row>
    <row r="15" spans="1:37" s="4" customFormat="1" x14ac:dyDescent="0.2">
      <c r="A15">
        <v>11</v>
      </c>
      <c r="B15"/>
      <c r="C15" t="s">
        <v>11</v>
      </c>
      <c r="D15" s="4">
        <v>17</v>
      </c>
      <c r="E15" s="4">
        <v>-0.21500000000000002</v>
      </c>
      <c r="F15" s="4">
        <v>-90.536500000000004</v>
      </c>
      <c r="G15" s="4">
        <f t="shared" si="0"/>
        <v>90.3215</v>
      </c>
      <c r="H15" s="19">
        <f t="shared" si="1"/>
        <v>6.0504756162915339</v>
      </c>
      <c r="I15" s="19">
        <v>50</v>
      </c>
      <c r="J15" s="19">
        <f t="shared" si="2"/>
        <v>302.5237808145767</v>
      </c>
      <c r="K15" s="4">
        <v>19.982800000000001</v>
      </c>
      <c r="L15" s="20">
        <f t="shared" si="3"/>
        <v>15.13920876026266</v>
      </c>
      <c r="M15" s="19">
        <f t="shared" si="4"/>
        <v>151.39208760262659</v>
      </c>
      <c r="N15" s="20">
        <f>AVERAGE(M15:M27)</f>
        <v>153.69090206105747</v>
      </c>
      <c r="Q15">
        <v>15</v>
      </c>
      <c r="R15"/>
      <c r="S15" t="s">
        <v>11</v>
      </c>
      <c r="T15">
        <v>21</v>
      </c>
      <c r="U15" s="4">
        <v>-0.14499999999999999</v>
      </c>
      <c r="V15" s="4">
        <v>-86.416499999999999</v>
      </c>
      <c r="W15" s="4">
        <f t="shared" si="5"/>
        <v>86.271500000000003</v>
      </c>
      <c r="X15" s="19">
        <f t="shared" si="6"/>
        <v>5.7791733654876749</v>
      </c>
      <c r="Y15" s="22">
        <v>50</v>
      </c>
      <c r="Z15" s="12">
        <f t="shared" si="7"/>
        <v>288.95866827438374</v>
      </c>
      <c r="AA15" s="12">
        <v>18.361449999999998</v>
      </c>
      <c r="AB15" s="12">
        <f t="shared" si="8"/>
        <v>15.73724669208498</v>
      </c>
      <c r="AC15" s="12">
        <f t="shared" si="9"/>
        <v>157.3724669208498</v>
      </c>
      <c r="AD15" s="23">
        <f>AVERAGE(AC15:AC27)</f>
        <v>145.04787860491894</v>
      </c>
      <c r="AE15" t="s">
        <v>11</v>
      </c>
    </row>
    <row r="16" spans="1:37" s="4" customFormat="1" x14ac:dyDescent="0.2">
      <c r="A16"/>
      <c r="B16"/>
      <c r="C16"/>
      <c r="D16" s="4">
        <v>18</v>
      </c>
      <c r="E16" s="4">
        <v>-0.2515</v>
      </c>
      <c r="F16" s="4">
        <v>-65.014499999999998</v>
      </c>
      <c r="G16" s="4">
        <f t="shared" si="0"/>
        <v>64.763000000000005</v>
      </c>
      <c r="H16" s="19">
        <f t="shared" si="1"/>
        <v>4.3383574490889618</v>
      </c>
      <c r="I16" s="19">
        <v>50</v>
      </c>
      <c r="J16" s="19">
        <f t="shared" si="2"/>
        <v>216.91787245444809</v>
      </c>
      <c r="K16" s="4">
        <v>19.62895</v>
      </c>
      <c r="L16" s="20">
        <f t="shared" si="3"/>
        <v>11.050915736931833</v>
      </c>
      <c r="M16" s="19">
        <f t="shared" si="4"/>
        <v>110.50915736931833</v>
      </c>
      <c r="Q16"/>
      <c r="R16"/>
      <c r="S16"/>
      <c r="T16">
        <v>22</v>
      </c>
      <c r="U16" s="4">
        <v>4.4999999999999998E-2</v>
      </c>
      <c r="V16" s="4">
        <v>-85.230999999999995</v>
      </c>
      <c r="W16" s="4">
        <f t="shared" si="5"/>
        <v>85.185999999999993</v>
      </c>
      <c r="X16" s="19">
        <f t="shared" si="6"/>
        <v>5.706457663451233</v>
      </c>
      <c r="Y16" s="22">
        <v>50</v>
      </c>
      <c r="Z16" s="12">
        <f t="shared" si="7"/>
        <v>285.32288317256166</v>
      </c>
      <c r="AA16" s="12">
        <v>18.937100000000001</v>
      </c>
      <c r="AB16" s="12">
        <f t="shared" si="8"/>
        <v>15.066873131184904</v>
      </c>
      <c r="AC16" s="12">
        <f t="shared" si="9"/>
        <v>150.66873131184903</v>
      </c>
      <c r="AE16"/>
    </row>
    <row r="17" spans="1:31" s="4" customFormat="1" x14ac:dyDescent="0.2">
      <c r="A17"/>
      <c r="B17"/>
      <c r="C17"/>
      <c r="D17" s="4">
        <v>19</v>
      </c>
      <c r="E17" s="4">
        <v>-0.19400000000000001</v>
      </c>
      <c r="F17" s="4">
        <v>-99.031499999999994</v>
      </c>
      <c r="G17" s="4">
        <f t="shared" si="0"/>
        <v>98.837499999999991</v>
      </c>
      <c r="H17" s="19">
        <f t="shared" si="1"/>
        <v>6.620947213290461</v>
      </c>
      <c r="I17" s="19">
        <v>50</v>
      </c>
      <c r="J17" s="19">
        <f t="shared" si="2"/>
        <v>331.04736066452307</v>
      </c>
      <c r="K17" s="4">
        <v>18.783950000000001</v>
      </c>
      <c r="L17" s="20">
        <f t="shared" si="3"/>
        <v>17.623948140009052</v>
      </c>
      <c r="M17" s="19">
        <f t="shared" si="4"/>
        <v>176.23948140009051</v>
      </c>
      <c r="Q17"/>
      <c r="R17"/>
      <c r="S17"/>
      <c r="T17">
        <v>23</v>
      </c>
      <c r="U17" s="4">
        <v>-0.22450000000000001</v>
      </c>
      <c r="V17" s="4">
        <v>-77.114499999999992</v>
      </c>
      <c r="W17" s="4">
        <f t="shared" si="5"/>
        <v>76.889999999999986</v>
      </c>
      <c r="X17" s="19">
        <f t="shared" si="6"/>
        <v>5.15072347266881</v>
      </c>
      <c r="Y17" s="22">
        <v>50</v>
      </c>
      <c r="Z17" s="12">
        <f t="shared" si="7"/>
        <v>257.53617363344051</v>
      </c>
      <c r="AA17" s="12">
        <v>16.613399999999999</v>
      </c>
      <c r="AB17" s="12">
        <f t="shared" si="8"/>
        <v>15.501713895616824</v>
      </c>
      <c r="AC17" s="12">
        <f t="shared" si="9"/>
        <v>155.01713895616825</v>
      </c>
      <c r="AE17"/>
    </row>
    <row r="18" spans="1:31" s="4" customFormat="1" x14ac:dyDescent="0.2">
      <c r="A18"/>
      <c r="B18"/>
      <c r="C18"/>
      <c r="D18" s="8">
        <v>20</v>
      </c>
      <c r="E18" s="8">
        <v>1.02</v>
      </c>
      <c r="F18" s="8">
        <v>-105.64400000000001</v>
      </c>
      <c r="G18" s="8">
        <f t="shared" si="0"/>
        <v>104.62400000000001</v>
      </c>
      <c r="H18" s="30">
        <f t="shared" si="1"/>
        <v>7.0085744908896057</v>
      </c>
      <c r="I18" s="30">
        <v>50</v>
      </c>
      <c r="J18" s="30">
        <f t="shared" si="2"/>
        <v>350.4287245444803</v>
      </c>
      <c r="K18" s="8">
        <v>12.710649999999998</v>
      </c>
      <c r="L18" s="31">
        <f t="shared" si="3"/>
        <v>27.569693488883761</v>
      </c>
      <c r="M18" s="30">
        <f t="shared" si="4"/>
        <v>275.69693488883763</v>
      </c>
      <c r="N18" s="4" t="s">
        <v>344</v>
      </c>
      <c r="Q18"/>
      <c r="R18"/>
      <c r="S18"/>
      <c r="T18">
        <v>24</v>
      </c>
      <c r="U18" s="4">
        <v>-0.29849999999999999</v>
      </c>
      <c r="V18" s="4">
        <v>-76.900999999999996</v>
      </c>
      <c r="W18" s="4">
        <f t="shared" si="5"/>
        <v>76.602499999999992</v>
      </c>
      <c r="X18" s="19">
        <f t="shared" si="6"/>
        <v>5.13146436227224</v>
      </c>
      <c r="Y18" s="22">
        <v>50</v>
      </c>
      <c r="Z18" s="12">
        <f t="shared" si="7"/>
        <v>256.57321811361203</v>
      </c>
      <c r="AA18" s="12">
        <v>18.535749999999997</v>
      </c>
      <c r="AB18" s="12">
        <f t="shared" si="8"/>
        <v>13.842073728530654</v>
      </c>
      <c r="AC18" s="12">
        <f t="shared" si="9"/>
        <v>138.42073728530653</v>
      </c>
      <c r="AE18"/>
    </row>
    <row r="19" spans="1:31" s="4" customFormat="1" x14ac:dyDescent="0.2">
      <c r="A19">
        <v>12</v>
      </c>
      <c r="B19"/>
      <c r="C19"/>
      <c r="D19" s="4">
        <v>25</v>
      </c>
      <c r="E19" s="4">
        <v>0.6915</v>
      </c>
      <c r="F19" s="4">
        <v>-81.882499999999993</v>
      </c>
      <c r="G19" s="4">
        <f t="shared" si="0"/>
        <v>81.190999999999988</v>
      </c>
      <c r="H19" s="19">
        <f t="shared" si="1"/>
        <v>5.4388397642015001</v>
      </c>
      <c r="I19" s="19">
        <v>50</v>
      </c>
      <c r="J19" s="19">
        <f t="shared" si="2"/>
        <v>271.94198821007501</v>
      </c>
      <c r="K19" s="4">
        <v>18.504049999999999</v>
      </c>
      <c r="L19" s="20">
        <f t="shared" si="3"/>
        <v>14.696349621303176</v>
      </c>
      <c r="M19" s="19">
        <f t="shared" si="4"/>
        <v>146.96349621303176</v>
      </c>
      <c r="Q19">
        <v>14</v>
      </c>
      <c r="R19"/>
      <c r="S19"/>
      <c r="T19">
        <v>29</v>
      </c>
      <c r="U19" s="4">
        <v>1.1724999999999999</v>
      </c>
      <c r="V19" s="4">
        <v>-76.955000000000013</v>
      </c>
      <c r="W19" s="4">
        <f t="shared" si="5"/>
        <v>75.782500000000013</v>
      </c>
      <c r="X19" s="19">
        <f t="shared" si="6"/>
        <v>5.0765340300107198</v>
      </c>
      <c r="Y19" s="22">
        <v>50</v>
      </c>
      <c r="Z19" s="12">
        <f t="shared" si="7"/>
        <v>253.82670150053599</v>
      </c>
      <c r="AA19" s="12">
        <v>19.296250000000001</v>
      </c>
      <c r="AB19" s="12">
        <f t="shared" si="8"/>
        <v>13.154198432365666</v>
      </c>
      <c r="AC19" s="12">
        <f t="shared" si="9"/>
        <v>131.54198432365666</v>
      </c>
      <c r="AE19"/>
    </row>
    <row r="20" spans="1:31" s="4" customFormat="1" x14ac:dyDescent="0.2">
      <c r="A20"/>
      <c r="B20"/>
      <c r="C20"/>
      <c r="D20" s="4">
        <v>26</v>
      </c>
      <c r="E20" s="4">
        <v>0.81200000000000006</v>
      </c>
      <c r="F20" s="4">
        <v>-75.126000000000005</v>
      </c>
      <c r="G20" s="4">
        <f t="shared" si="0"/>
        <v>74.314000000000007</v>
      </c>
      <c r="H20" s="19">
        <f t="shared" si="1"/>
        <v>4.9781618435155419</v>
      </c>
      <c r="I20" s="19">
        <v>50</v>
      </c>
      <c r="J20" s="19">
        <f t="shared" si="2"/>
        <v>248.90809217577709</v>
      </c>
      <c r="K20" s="4">
        <v>17.63795</v>
      </c>
      <c r="L20" s="20">
        <f t="shared" si="3"/>
        <v>14.112076073227165</v>
      </c>
      <c r="M20" s="19">
        <f t="shared" si="4"/>
        <v>141.12076073227166</v>
      </c>
      <c r="Q20"/>
      <c r="R20"/>
      <c r="S20"/>
      <c r="T20">
        <v>30</v>
      </c>
      <c r="U20" s="4">
        <v>3.2115</v>
      </c>
      <c r="V20" s="4">
        <v>-89.388000000000005</v>
      </c>
      <c r="W20" s="4">
        <f t="shared" si="5"/>
        <v>86.176500000000004</v>
      </c>
      <c r="X20" s="19">
        <f t="shared" si="6"/>
        <v>5.772809485530547</v>
      </c>
      <c r="Y20" s="22">
        <v>50</v>
      </c>
      <c r="Z20" s="12">
        <f t="shared" si="7"/>
        <v>288.64047427652736</v>
      </c>
      <c r="AA20" s="12">
        <v>20.458099999999998</v>
      </c>
      <c r="AB20" s="12">
        <f t="shared" si="8"/>
        <v>14.108860269356752</v>
      </c>
      <c r="AC20" s="12">
        <f t="shared" si="9"/>
        <v>141.08860269356751</v>
      </c>
      <c r="AE20"/>
    </row>
    <row r="21" spans="1:31" s="4" customFormat="1" x14ac:dyDescent="0.2">
      <c r="A21"/>
      <c r="B21"/>
      <c r="C21"/>
      <c r="D21" s="4">
        <v>27</v>
      </c>
      <c r="E21" s="4">
        <v>0.97650000000000003</v>
      </c>
      <c r="F21" s="4">
        <v>-80.84</v>
      </c>
      <c r="G21" s="4">
        <f t="shared" si="0"/>
        <v>79.863500000000002</v>
      </c>
      <c r="H21" s="19">
        <f t="shared" si="1"/>
        <v>5.3499129153269029</v>
      </c>
      <c r="I21" s="19">
        <v>50</v>
      </c>
      <c r="J21" s="19">
        <f t="shared" si="2"/>
        <v>267.49564576634515</v>
      </c>
      <c r="K21" s="4">
        <v>18.989900000000002</v>
      </c>
      <c r="L21" s="20">
        <f t="shared" si="3"/>
        <v>14.086206128855082</v>
      </c>
      <c r="M21" s="19">
        <f t="shared" si="4"/>
        <v>140.86206128855082</v>
      </c>
      <c r="Q21"/>
      <c r="R21"/>
      <c r="S21"/>
      <c r="T21">
        <v>31</v>
      </c>
      <c r="U21" s="4">
        <v>1.2469999999999999</v>
      </c>
      <c r="V21" s="4">
        <v>-94.807500000000005</v>
      </c>
      <c r="W21" s="4">
        <f t="shared" si="5"/>
        <v>93.560500000000005</v>
      </c>
      <c r="X21" s="19">
        <f t="shared" si="6"/>
        <v>6.2674504287245449</v>
      </c>
      <c r="Y21" s="22">
        <v>50</v>
      </c>
      <c r="Z21" s="12">
        <f t="shared" si="7"/>
        <v>313.37252143622726</v>
      </c>
      <c r="AA21" s="12">
        <v>19.7029</v>
      </c>
      <c r="AB21" s="12">
        <f t="shared" si="8"/>
        <v>15.904893261206587</v>
      </c>
      <c r="AC21" s="12">
        <f t="shared" si="9"/>
        <v>159.04893261206587</v>
      </c>
      <c r="AE21"/>
    </row>
    <row r="22" spans="1:31" s="4" customFormat="1" x14ac:dyDescent="0.2">
      <c r="A22"/>
      <c r="B22"/>
      <c r="C22"/>
      <c r="D22" s="4">
        <v>28</v>
      </c>
      <c r="E22" s="4">
        <v>0.77849999999999997</v>
      </c>
      <c r="F22" s="4">
        <v>-80.614499999999992</v>
      </c>
      <c r="G22" s="4">
        <f t="shared" si="0"/>
        <v>79.835999999999999</v>
      </c>
      <c r="H22" s="19">
        <f t="shared" si="1"/>
        <v>5.3480707395498399</v>
      </c>
      <c r="I22" s="19">
        <v>50</v>
      </c>
      <c r="J22" s="19">
        <f t="shared" si="2"/>
        <v>267.40353697749197</v>
      </c>
      <c r="K22" s="4">
        <v>20.621799999999997</v>
      </c>
      <c r="L22" s="20">
        <f t="shared" si="3"/>
        <v>12.967031829301613</v>
      </c>
      <c r="M22" s="19">
        <f t="shared" si="4"/>
        <v>129.67031829301612</v>
      </c>
      <c r="Q22"/>
      <c r="R22"/>
      <c r="S22"/>
      <c r="T22">
        <v>32</v>
      </c>
      <c r="U22" s="4">
        <v>1.4115</v>
      </c>
      <c r="V22" s="4">
        <v>-88.076499999999996</v>
      </c>
      <c r="W22" s="4">
        <f t="shared" si="5"/>
        <v>86.664999999999992</v>
      </c>
      <c r="X22" s="19">
        <f t="shared" si="6"/>
        <v>5.805533226152197</v>
      </c>
      <c r="Y22" s="22">
        <v>50</v>
      </c>
      <c r="Z22" s="12">
        <f t="shared" si="7"/>
        <v>290.27666130760986</v>
      </c>
      <c r="AA22" s="12">
        <v>18.271700000000003</v>
      </c>
      <c r="AB22" s="12">
        <f t="shared" si="8"/>
        <v>15.88668056653786</v>
      </c>
      <c r="AC22" s="12">
        <f t="shared" si="9"/>
        <v>158.86680566537859</v>
      </c>
      <c r="AE22"/>
    </row>
    <row r="23" spans="1:31" s="4" customFormat="1" x14ac:dyDescent="0.2">
      <c r="A23">
        <v>12</v>
      </c>
      <c r="B23"/>
      <c r="C23"/>
      <c r="D23" s="4">
        <v>73</v>
      </c>
      <c r="E23" s="4">
        <v>-0.35499999999999998</v>
      </c>
      <c r="F23" s="4">
        <v>-77.685000000000002</v>
      </c>
      <c r="G23" s="4">
        <f t="shared" si="0"/>
        <v>77.33</v>
      </c>
      <c r="H23" s="19">
        <f t="shared" si="1"/>
        <v>5.1801982851018229</v>
      </c>
      <c r="I23" s="19">
        <v>50</v>
      </c>
      <c r="J23" s="19">
        <f t="shared" si="2"/>
        <v>259.00991425509113</v>
      </c>
      <c r="K23" s="4">
        <v>18.604400000000002</v>
      </c>
      <c r="L23" s="20">
        <f t="shared" si="3"/>
        <v>13.921970837817458</v>
      </c>
      <c r="M23" s="19">
        <f t="shared" si="4"/>
        <v>139.21970837817457</v>
      </c>
      <c r="Q23">
        <v>15</v>
      </c>
      <c r="R23"/>
      <c r="S23"/>
      <c r="T23">
        <v>78</v>
      </c>
      <c r="U23" s="4">
        <v>4.5999999999999999E-2</v>
      </c>
      <c r="V23" s="4">
        <v>-83.389499999999998</v>
      </c>
      <c r="W23" s="4">
        <f t="shared" si="5"/>
        <v>83.343499999999992</v>
      </c>
      <c r="X23" s="19">
        <f t="shared" si="6"/>
        <v>5.5830318863879951</v>
      </c>
      <c r="Y23" s="22">
        <v>50</v>
      </c>
      <c r="Z23" s="12">
        <f t="shared" si="7"/>
        <v>279.15159431939975</v>
      </c>
      <c r="AA23" s="12">
        <v>20.3736</v>
      </c>
      <c r="AB23" s="12">
        <f t="shared" si="8"/>
        <v>13.701633207651065</v>
      </c>
      <c r="AC23" s="12">
        <f t="shared" si="9"/>
        <v>137.01633207651065</v>
      </c>
      <c r="AE23"/>
    </row>
    <row r="24" spans="1:31" s="4" customFormat="1" x14ac:dyDescent="0.2">
      <c r="A24"/>
      <c r="B24"/>
      <c r="C24"/>
      <c r="D24" s="4">
        <v>74</v>
      </c>
      <c r="E24" s="4">
        <v>-2.9264999999999999</v>
      </c>
      <c r="F24" s="4">
        <v>-79.887500000000003</v>
      </c>
      <c r="G24" s="4">
        <f t="shared" si="0"/>
        <v>76.960999999999999</v>
      </c>
      <c r="H24" s="19">
        <f t="shared" si="1"/>
        <v>5.1554796355841379</v>
      </c>
      <c r="I24" s="19">
        <v>50</v>
      </c>
      <c r="J24" s="19">
        <f t="shared" si="2"/>
        <v>257.77398177920691</v>
      </c>
      <c r="K24" s="4">
        <v>17.875599999999999</v>
      </c>
      <c r="L24" s="20">
        <f t="shared" si="3"/>
        <v>14.420438014903384</v>
      </c>
      <c r="M24" s="19">
        <f t="shared" si="4"/>
        <v>144.20438014903385</v>
      </c>
      <c r="Q24"/>
      <c r="R24"/>
      <c r="S24"/>
      <c r="T24">
        <v>79</v>
      </c>
      <c r="U24" s="4">
        <v>6.3E-2</v>
      </c>
      <c r="V24" s="4">
        <v>-83.718999999999994</v>
      </c>
      <c r="W24" s="4">
        <f t="shared" si="5"/>
        <v>83.655999999999992</v>
      </c>
      <c r="X24" s="19">
        <f t="shared" si="6"/>
        <v>5.6039657020364411</v>
      </c>
      <c r="Y24" s="22">
        <v>50</v>
      </c>
      <c r="Z24" s="12">
        <f t="shared" si="7"/>
        <v>280.19828510182208</v>
      </c>
      <c r="AA24" s="12">
        <v>20.389399999999998</v>
      </c>
      <c r="AB24" s="12">
        <f t="shared" si="8"/>
        <v>13.742350687211104</v>
      </c>
      <c r="AC24" s="12">
        <f t="shared" si="9"/>
        <v>137.42350687211103</v>
      </c>
      <c r="AE24"/>
    </row>
    <row r="25" spans="1:31" s="4" customFormat="1" x14ac:dyDescent="0.2">
      <c r="A25"/>
      <c r="B25"/>
      <c r="C25"/>
      <c r="D25" s="4">
        <v>75</v>
      </c>
      <c r="E25" s="4">
        <v>-0.15550000000000003</v>
      </c>
      <c r="F25" s="4">
        <v>-82.0745</v>
      </c>
      <c r="G25" s="4">
        <f t="shared" si="0"/>
        <v>81.918999999999997</v>
      </c>
      <c r="H25" s="19">
        <f t="shared" si="1"/>
        <v>5.4876071811361209</v>
      </c>
      <c r="I25" s="19">
        <v>50</v>
      </c>
      <c r="J25" s="19">
        <f t="shared" si="2"/>
        <v>274.38035905680607</v>
      </c>
      <c r="K25" s="4">
        <v>18.97935</v>
      </c>
      <c r="L25" s="20">
        <f t="shared" si="3"/>
        <v>14.456783770614171</v>
      </c>
      <c r="M25" s="19">
        <f t="shared" si="4"/>
        <v>144.56783770614172</v>
      </c>
      <c r="Q25"/>
      <c r="R25"/>
      <c r="S25"/>
      <c r="T25">
        <v>80</v>
      </c>
      <c r="U25" s="4">
        <v>-0.3105</v>
      </c>
      <c r="V25" s="4">
        <v>-78.990000000000009</v>
      </c>
      <c r="W25" s="4">
        <f t="shared" si="5"/>
        <v>78.679500000000004</v>
      </c>
      <c r="X25" s="19">
        <f t="shared" si="6"/>
        <v>5.270598874598071</v>
      </c>
      <c r="Y25" s="22">
        <v>50</v>
      </c>
      <c r="Z25" s="12">
        <f t="shared" si="7"/>
        <v>263.52994372990355</v>
      </c>
      <c r="AA25" s="12">
        <v>21.2925</v>
      </c>
      <c r="AB25" s="12">
        <f t="shared" si="8"/>
        <v>12.376655805091161</v>
      </c>
      <c r="AC25" s="12">
        <f t="shared" si="9"/>
        <v>123.76655805091161</v>
      </c>
      <c r="AE25"/>
    </row>
    <row r="26" spans="1:31" s="4" customFormat="1" x14ac:dyDescent="0.2">
      <c r="A26"/>
      <c r="B26"/>
      <c r="C26"/>
      <c r="D26" s="4">
        <v>76</v>
      </c>
      <c r="E26" s="4">
        <v>-1.949999999999999E-2</v>
      </c>
      <c r="F26" s="4">
        <v>-85.706999999999994</v>
      </c>
      <c r="G26" s="4">
        <f t="shared" si="0"/>
        <v>85.6875</v>
      </c>
      <c r="H26" s="19">
        <f t="shared" si="1"/>
        <v>5.7400522508038589</v>
      </c>
      <c r="I26" s="19">
        <v>50</v>
      </c>
      <c r="J26" s="19">
        <f t="shared" si="2"/>
        <v>287.00261254019296</v>
      </c>
      <c r="K26" s="4">
        <v>17.8809</v>
      </c>
      <c r="L26" s="20">
        <f t="shared" si="3"/>
        <v>16.050792328137451</v>
      </c>
      <c r="M26" s="19">
        <f t="shared" si="4"/>
        <v>160.5079232813745</v>
      </c>
      <c r="Q26"/>
      <c r="R26"/>
      <c r="S26"/>
      <c r="T26">
        <v>81</v>
      </c>
      <c r="U26" s="4">
        <v>0.51300000000000001</v>
      </c>
      <c r="V26" s="4">
        <v>-77.841999999999999</v>
      </c>
      <c r="W26" s="4">
        <f t="shared" si="5"/>
        <v>77.328999999999994</v>
      </c>
      <c r="X26" s="19">
        <f t="shared" si="6"/>
        <v>5.1801312968917479</v>
      </c>
      <c r="Y26" s="22">
        <v>50</v>
      </c>
      <c r="Z26" s="12">
        <f t="shared" si="7"/>
        <v>259.00656484458739</v>
      </c>
      <c r="AA26" s="12">
        <v>17.315799999999999</v>
      </c>
      <c r="AB26" s="12">
        <f t="shared" si="8"/>
        <v>14.957816840376269</v>
      </c>
      <c r="AC26" s="12">
        <f t="shared" si="9"/>
        <v>149.5781684037627</v>
      </c>
      <c r="AE26"/>
    </row>
    <row r="27" spans="1:31" s="4" customFormat="1" x14ac:dyDescent="0.2">
      <c r="A27"/>
      <c r="B27"/>
      <c r="C27"/>
      <c r="D27" s="4">
        <v>77</v>
      </c>
      <c r="E27" s="4">
        <v>8.7499999999999994E-2</v>
      </c>
      <c r="F27" s="4">
        <v>-81.4285</v>
      </c>
      <c r="G27" s="4">
        <f t="shared" si="0"/>
        <v>81.340999999999994</v>
      </c>
      <c r="H27" s="19">
        <f t="shared" si="1"/>
        <v>5.448887995712755</v>
      </c>
      <c r="I27" s="19">
        <v>50</v>
      </c>
      <c r="J27" s="19">
        <f t="shared" si="2"/>
        <v>272.44439978563776</v>
      </c>
      <c r="K27" s="4">
        <v>19.882449999999999</v>
      </c>
      <c r="L27" s="20">
        <f t="shared" si="3"/>
        <v>13.702757949127887</v>
      </c>
      <c r="M27" s="19">
        <f t="shared" si="4"/>
        <v>137.02757949127889</v>
      </c>
      <c r="Q27"/>
      <c r="R27"/>
      <c r="S27"/>
      <c r="T27">
        <v>82</v>
      </c>
      <c r="U27" s="4">
        <v>0.21849999999999997</v>
      </c>
      <c r="V27" s="4">
        <v>-77.301999999999992</v>
      </c>
      <c r="W27" s="4">
        <f t="shared" si="5"/>
        <v>77.083499999999987</v>
      </c>
      <c r="X27" s="19">
        <f t="shared" si="6"/>
        <v>5.163685691318328</v>
      </c>
      <c r="Y27" s="22">
        <v>50</v>
      </c>
      <c r="Z27" s="12">
        <f t="shared" si="7"/>
        <v>258.18428456591641</v>
      </c>
      <c r="AA27" s="12">
        <v>17.706600000000002</v>
      </c>
      <c r="AB27" s="12">
        <f t="shared" si="8"/>
        <v>14.581245669180779</v>
      </c>
      <c r="AC27" s="12">
        <f t="shared" si="9"/>
        <v>145.8124566918078</v>
      </c>
      <c r="AE27"/>
    </row>
    <row r="28" spans="1:31" s="4" customFormat="1" x14ac:dyDescent="0.2">
      <c r="A28">
        <v>11</v>
      </c>
      <c r="B28"/>
      <c r="C28" t="s">
        <v>12</v>
      </c>
      <c r="D28" s="4">
        <v>33</v>
      </c>
      <c r="E28" s="4">
        <v>0.84000000000000008</v>
      </c>
      <c r="F28" s="4">
        <v>-85.671999999999997</v>
      </c>
      <c r="G28" s="4">
        <f t="shared" si="0"/>
        <v>84.831999999999994</v>
      </c>
      <c r="H28" s="19">
        <f t="shared" si="1"/>
        <v>5.6827438370846739</v>
      </c>
      <c r="I28" s="19">
        <v>50</v>
      </c>
      <c r="J28" s="19">
        <f t="shared" si="2"/>
        <v>284.13719185423372</v>
      </c>
      <c r="K28" s="4">
        <v>21.41395</v>
      </c>
      <c r="L28" s="20">
        <f t="shared" si="3"/>
        <v>13.268789357135592</v>
      </c>
      <c r="M28" s="19">
        <f t="shared" si="4"/>
        <v>132.68789357135591</v>
      </c>
      <c r="N28" s="20">
        <f>AVERAGE(M28:M39)</f>
        <v>144.85002457528441</v>
      </c>
      <c r="Q28">
        <v>15</v>
      </c>
      <c r="R28"/>
      <c r="S28" t="s">
        <v>12</v>
      </c>
      <c r="T28">
        <v>37</v>
      </c>
      <c r="U28" s="4">
        <v>0.68900000000000006</v>
      </c>
      <c r="V28" s="4">
        <v>-96.236999999999995</v>
      </c>
      <c r="W28" s="4">
        <f t="shared" si="5"/>
        <v>95.548000000000002</v>
      </c>
      <c r="X28" s="19">
        <f t="shared" si="6"/>
        <v>6.4005894962486609</v>
      </c>
      <c r="Y28" s="22">
        <v>50</v>
      </c>
      <c r="Z28" s="12">
        <f t="shared" si="7"/>
        <v>320.02947481243302</v>
      </c>
      <c r="AA28" s="12">
        <v>18.065750000000001</v>
      </c>
      <c r="AB28" s="12">
        <f t="shared" si="8"/>
        <v>17.714707377907533</v>
      </c>
      <c r="AC28" s="12">
        <f t="shared" si="9"/>
        <v>177.14707377907533</v>
      </c>
      <c r="AD28" s="23">
        <f>AVERAGE(AC28:AC38)</f>
        <v>149.77516836718755</v>
      </c>
      <c r="AE28" t="s">
        <v>12</v>
      </c>
    </row>
    <row r="29" spans="1:31" s="4" customFormat="1" x14ac:dyDescent="0.2">
      <c r="A29"/>
      <c r="B29"/>
      <c r="C29"/>
      <c r="D29" s="4">
        <v>34</v>
      </c>
      <c r="E29" s="4">
        <v>-0.27550000000000002</v>
      </c>
      <c r="F29" s="4">
        <v>-89.052999999999997</v>
      </c>
      <c r="G29" s="4">
        <f t="shared" si="0"/>
        <v>88.777500000000003</v>
      </c>
      <c r="H29" s="19">
        <f t="shared" si="1"/>
        <v>5.9470458199356919</v>
      </c>
      <c r="I29" s="19">
        <v>50</v>
      </c>
      <c r="J29" s="19">
        <f t="shared" si="2"/>
        <v>297.35229099678457</v>
      </c>
      <c r="K29" s="4">
        <v>19.977499999999999</v>
      </c>
      <c r="L29" s="20">
        <f t="shared" si="3"/>
        <v>14.884359454225233</v>
      </c>
      <c r="M29" s="19">
        <f t="shared" si="4"/>
        <v>148.84359454225233</v>
      </c>
      <c r="Q29"/>
      <c r="R29"/>
      <c r="S29"/>
      <c r="T29" s="4">
        <v>38</v>
      </c>
      <c r="U29" s="4">
        <v>0.98499999999999988</v>
      </c>
      <c r="V29" s="4">
        <v>-75.426500000000004</v>
      </c>
      <c r="W29" s="4">
        <f t="shared" si="5"/>
        <v>74.441500000000005</v>
      </c>
      <c r="X29" s="19">
        <f t="shared" si="6"/>
        <v>4.9867028403001079</v>
      </c>
      <c r="Y29" s="22">
        <v>50</v>
      </c>
      <c r="Z29" s="12">
        <f t="shared" si="7"/>
        <v>249.3351420150054</v>
      </c>
      <c r="AA29" s="12">
        <v>16.777149999999999</v>
      </c>
      <c r="AB29" s="12">
        <f t="shared" si="8"/>
        <v>14.86159103393636</v>
      </c>
      <c r="AC29" s="12">
        <f t="shared" si="9"/>
        <v>148.61591033936361</v>
      </c>
      <c r="AE29"/>
    </row>
    <row r="30" spans="1:31" s="4" customFormat="1" x14ac:dyDescent="0.2">
      <c r="A30"/>
      <c r="B30"/>
      <c r="C30"/>
      <c r="D30" s="4">
        <v>35</v>
      </c>
      <c r="E30" s="4">
        <v>1.1575</v>
      </c>
      <c r="F30" s="4">
        <v>-87.484999999999999</v>
      </c>
      <c r="G30" s="4">
        <f t="shared" si="0"/>
        <v>86.327500000000001</v>
      </c>
      <c r="H30" s="19">
        <f t="shared" si="1"/>
        <v>5.782924705251876</v>
      </c>
      <c r="I30" s="19">
        <v>50</v>
      </c>
      <c r="J30" s="19">
        <f t="shared" si="2"/>
        <v>289.14623526259379</v>
      </c>
      <c r="K30" s="4">
        <v>19.966950000000001</v>
      </c>
      <c r="L30" s="20">
        <f t="shared" si="3"/>
        <v>14.481242015560403</v>
      </c>
      <c r="M30" s="19">
        <f t="shared" si="4"/>
        <v>144.81242015560403</v>
      </c>
      <c r="Q30"/>
      <c r="R30"/>
      <c r="S30"/>
      <c r="T30">
        <v>39</v>
      </c>
      <c r="U30" s="4">
        <v>0.95649999999999991</v>
      </c>
      <c r="V30" s="4">
        <v>-83.329000000000008</v>
      </c>
      <c r="W30" s="4">
        <f t="shared" si="5"/>
        <v>82.372500000000002</v>
      </c>
      <c r="X30" s="19">
        <f t="shared" si="6"/>
        <v>5.517986334405145</v>
      </c>
      <c r="Y30" s="22">
        <v>50</v>
      </c>
      <c r="Z30" s="12">
        <f t="shared" si="7"/>
        <v>275.89931672025727</v>
      </c>
      <c r="AA30" s="12">
        <v>16.956699999999998</v>
      </c>
      <c r="AB30" s="12">
        <f t="shared" si="8"/>
        <v>16.270814292890556</v>
      </c>
      <c r="AC30" s="12">
        <f t="shared" si="9"/>
        <v>162.70814292890554</v>
      </c>
      <c r="AE30"/>
    </row>
    <row r="31" spans="1:31" s="4" customFormat="1" x14ac:dyDescent="0.2">
      <c r="A31"/>
      <c r="B31"/>
      <c r="C31"/>
      <c r="D31" s="4">
        <v>36</v>
      </c>
      <c r="E31" s="4">
        <v>0.88300000000000001</v>
      </c>
      <c r="F31" s="4">
        <v>-95.259999999999991</v>
      </c>
      <c r="G31" s="4">
        <f t="shared" si="0"/>
        <v>94.376999999999995</v>
      </c>
      <c r="H31" s="19">
        <f t="shared" si="1"/>
        <v>6.3221463022508049</v>
      </c>
      <c r="I31" s="19">
        <v>50</v>
      </c>
      <c r="J31" s="19">
        <f t="shared" si="2"/>
        <v>316.10731511254022</v>
      </c>
      <c r="K31" s="4">
        <v>20.537299999999998</v>
      </c>
      <c r="L31" s="20">
        <f t="shared" si="3"/>
        <v>15.391863346814832</v>
      </c>
      <c r="M31" s="19">
        <f t="shared" si="4"/>
        <v>153.91863346814833</v>
      </c>
      <c r="Q31"/>
      <c r="R31"/>
      <c r="S31"/>
      <c r="T31">
        <v>40</v>
      </c>
      <c r="U31" s="4">
        <v>0.81800000000000006</v>
      </c>
      <c r="V31" s="4">
        <v>-83.680499999999995</v>
      </c>
      <c r="W31" s="4">
        <f t="shared" si="5"/>
        <v>82.862499999999997</v>
      </c>
      <c r="X31" s="19">
        <f t="shared" si="6"/>
        <v>5.5508105573419089</v>
      </c>
      <c r="Y31" s="22">
        <v>50</v>
      </c>
      <c r="Z31" s="12">
        <f t="shared" si="7"/>
        <v>277.54052786709542</v>
      </c>
      <c r="AA31" s="12">
        <v>17.19435</v>
      </c>
      <c r="AB31" s="12">
        <f t="shared" si="8"/>
        <v>16.141379457036493</v>
      </c>
      <c r="AC31" s="12">
        <f t="shared" si="9"/>
        <v>161.41379457036493</v>
      </c>
      <c r="AE31"/>
    </row>
    <row r="32" spans="1:31" s="4" customFormat="1" x14ac:dyDescent="0.2">
      <c r="A32">
        <v>12</v>
      </c>
      <c r="B32" t="s">
        <v>222</v>
      </c>
      <c r="C32"/>
      <c r="D32" s="4">
        <v>41</v>
      </c>
      <c r="F32" s="4">
        <v>-79.465000000000003</v>
      </c>
      <c r="G32" s="4">
        <f t="shared" si="0"/>
        <v>79.465000000000003</v>
      </c>
      <c r="H32" s="19">
        <f t="shared" si="1"/>
        <v>5.3232181136120049</v>
      </c>
      <c r="I32" s="19">
        <v>50</v>
      </c>
      <c r="J32" s="19">
        <f t="shared" si="2"/>
        <v>266.16090568060025</v>
      </c>
      <c r="K32" s="4">
        <v>21.683299999999999</v>
      </c>
      <c r="L32" s="20">
        <f t="shared" si="3"/>
        <v>12.27492612658591</v>
      </c>
      <c r="M32" s="19">
        <f t="shared" si="4"/>
        <v>122.7492612658591</v>
      </c>
      <c r="Q32">
        <v>14</v>
      </c>
      <c r="R32"/>
      <c r="S32"/>
      <c r="T32">
        <v>45</v>
      </c>
      <c r="U32" s="4">
        <v>0.375</v>
      </c>
      <c r="V32" s="4">
        <v>-88.551000000000002</v>
      </c>
      <c r="W32" s="4">
        <f t="shared" si="5"/>
        <v>88.176000000000002</v>
      </c>
      <c r="X32" s="19">
        <f t="shared" si="6"/>
        <v>5.9067524115755639</v>
      </c>
      <c r="Y32" s="22">
        <v>50</v>
      </c>
      <c r="Z32" s="12">
        <f t="shared" si="7"/>
        <v>295.33762057877817</v>
      </c>
      <c r="AA32" s="12">
        <v>21.762500000000003</v>
      </c>
      <c r="AB32" s="12">
        <f t="shared" si="8"/>
        <v>13.570941784205774</v>
      </c>
      <c r="AC32" s="12">
        <f t="shared" si="9"/>
        <v>135.70941784205775</v>
      </c>
      <c r="AE32"/>
    </row>
    <row r="33" spans="1:31" s="4" customFormat="1" x14ac:dyDescent="0.2">
      <c r="A33"/>
      <c r="B33"/>
      <c r="C33"/>
      <c r="D33" s="4">
        <v>42</v>
      </c>
      <c r="E33" s="4">
        <v>-0.22600000000000001</v>
      </c>
      <c r="F33" s="4">
        <v>-86.621000000000009</v>
      </c>
      <c r="G33" s="4">
        <f t="shared" si="0"/>
        <v>86.39500000000001</v>
      </c>
      <c r="H33" s="19">
        <f t="shared" si="1"/>
        <v>5.7874464094319418</v>
      </c>
      <c r="I33" s="19">
        <v>50</v>
      </c>
      <c r="J33" s="19">
        <f t="shared" si="2"/>
        <v>289.37232047159711</v>
      </c>
      <c r="K33" s="4">
        <v>19.9194</v>
      </c>
      <c r="L33" s="20">
        <f t="shared" si="3"/>
        <v>14.527160480315528</v>
      </c>
      <c r="M33" s="19">
        <f t="shared" si="4"/>
        <v>145.27160480315527</v>
      </c>
      <c r="Q33"/>
      <c r="R33"/>
      <c r="S33"/>
      <c r="T33">
        <v>46</v>
      </c>
      <c r="U33" s="4">
        <v>0.71150000000000002</v>
      </c>
      <c r="V33" s="4">
        <v>-73.499499999999998</v>
      </c>
      <c r="W33" s="4">
        <f t="shared" si="5"/>
        <v>72.787999999999997</v>
      </c>
      <c r="X33" s="19">
        <f t="shared" si="6"/>
        <v>4.8759378349410509</v>
      </c>
      <c r="Y33" s="22">
        <v>50</v>
      </c>
      <c r="Z33" s="12">
        <f t="shared" si="7"/>
        <v>243.79689174705254</v>
      </c>
      <c r="AA33" s="12">
        <v>19.62895</v>
      </c>
      <c r="AB33" s="12">
        <f t="shared" si="8"/>
        <v>12.420271677652272</v>
      </c>
      <c r="AC33" s="12">
        <f t="shared" si="9"/>
        <v>124.20271677652272</v>
      </c>
      <c r="AE33"/>
    </row>
    <row r="34" spans="1:31" s="4" customFormat="1" x14ac:dyDescent="0.2">
      <c r="A34"/>
      <c r="B34"/>
      <c r="C34"/>
      <c r="D34" s="4">
        <v>43</v>
      </c>
      <c r="E34" s="4">
        <v>0.33400000000000002</v>
      </c>
      <c r="F34" s="4">
        <v>-100.946</v>
      </c>
      <c r="G34" s="4">
        <f t="shared" si="0"/>
        <v>100.61199999999999</v>
      </c>
      <c r="H34" s="19">
        <f t="shared" si="1"/>
        <v>6.7398177920685969</v>
      </c>
      <c r="I34" s="19">
        <v>50</v>
      </c>
      <c r="J34" s="19">
        <f t="shared" si="2"/>
        <v>336.99088960342982</v>
      </c>
      <c r="K34" s="4">
        <v>22.126899999999999</v>
      </c>
      <c r="L34" s="20">
        <f t="shared" si="3"/>
        <v>15.229918768712736</v>
      </c>
      <c r="M34" s="19">
        <f t="shared" si="4"/>
        <v>152.29918768712736</v>
      </c>
      <c r="Q34"/>
      <c r="R34"/>
      <c r="S34"/>
      <c r="T34">
        <v>47</v>
      </c>
      <c r="U34" s="4">
        <v>0.46150000000000002</v>
      </c>
      <c r="V34" s="4">
        <v>-93.916499999999999</v>
      </c>
      <c r="W34" s="4">
        <f t="shared" si="5"/>
        <v>93.454999999999998</v>
      </c>
      <c r="X34" s="19">
        <f t="shared" si="6"/>
        <v>6.2603831725616299</v>
      </c>
      <c r="Y34" s="22">
        <v>50</v>
      </c>
      <c r="Z34" s="12">
        <f t="shared" si="7"/>
        <v>313.01915862808147</v>
      </c>
      <c r="AA34" s="12">
        <v>19.507450000000002</v>
      </c>
      <c r="AB34" s="12">
        <f t="shared" si="8"/>
        <v>16.046134098925357</v>
      </c>
      <c r="AC34" s="12">
        <f t="shared" si="9"/>
        <v>160.46134098925359</v>
      </c>
      <c r="AE34"/>
    </row>
    <row r="35" spans="1:31" s="4" customFormat="1" x14ac:dyDescent="0.2">
      <c r="A35"/>
      <c r="B35"/>
      <c r="C35"/>
      <c r="D35" s="4">
        <v>44</v>
      </c>
      <c r="E35" s="4">
        <v>0.61849999999999994</v>
      </c>
      <c r="F35" s="4">
        <v>-96.170500000000004</v>
      </c>
      <c r="G35" s="4">
        <f t="shared" ref="G35:G52" si="10">IF(E35&lt;0,F35*-1+E35,F35*-1-E35)</f>
        <v>95.552000000000007</v>
      </c>
      <c r="H35" s="19">
        <f t="shared" ref="H35:H52" si="11">(G35*250*1*1*1000)/(6.22*2*0.3*1000*1000*1)</f>
        <v>6.4008574490889609</v>
      </c>
      <c r="I35" s="19">
        <v>50</v>
      </c>
      <c r="J35" s="19">
        <f t="shared" ref="J35:J52" si="12">H35*I35</f>
        <v>320.04287245444806</v>
      </c>
      <c r="K35" s="4">
        <v>20.579549999999998</v>
      </c>
      <c r="L35" s="20">
        <f t="shared" ref="L35:L52" si="13">(J35/K35)</f>
        <v>15.551500030586096</v>
      </c>
      <c r="M35" s="19">
        <f t="shared" ref="M35:M52" si="14">L35*10</f>
        <v>155.51500030586095</v>
      </c>
      <c r="Q35"/>
      <c r="R35"/>
      <c r="S35"/>
      <c r="T35">
        <v>48</v>
      </c>
      <c r="U35" s="4">
        <v>0.498</v>
      </c>
      <c r="V35" s="4">
        <v>-86.61699999999999</v>
      </c>
      <c r="W35" s="4">
        <f t="shared" si="5"/>
        <v>86.118999999999986</v>
      </c>
      <c r="X35" s="19">
        <f t="shared" si="6"/>
        <v>5.7689576634512321</v>
      </c>
      <c r="Y35" s="22">
        <v>50</v>
      </c>
      <c r="Z35" s="12">
        <f t="shared" si="7"/>
        <v>288.4478831725616</v>
      </c>
      <c r="AA35" s="12">
        <v>17.595700000000001</v>
      </c>
      <c r="AB35" s="12">
        <f t="shared" si="8"/>
        <v>16.393089400965099</v>
      </c>
      <c r="AC35" s="12">
        <f t="shared" si="9"/>
        <v>163.93089400965098</v>
      </c>
      <c r="AE35"/>
    </row>
    <row r="36" spans="1:31" s="4" customFormat="1" x14ac:dyDescent="0.2">
      <c r="A36">
        <v>12</v>
      </c>
      <c r="B36"/>
      <c r="C36"/>
      <c r="D36" s="4">
        <v>83</v>
      </c>
      <c r="E36" s="4">
        <v>0.22650000000000001</v>
      </c>
      <c r="F36" s="4">
        <v>-76.505500000000012</v>
      </c>
      <c r="G36" s="4">
        <f t="shared" si="10"/>
        <v>76.279000000000011</v>
      </c>
      <c r="H36" s="19">
        <f t="shared" si="11"/>
        <v>5.1097936763129708</v>
      </c>
      <c r="I36" s="19">
        <v>50</v>
      </c>
      <c r="J36" s="19">
        <f t="shared" si="12"/>
        <v>255.48968381564853</v>
      </c>
      <c r="K36" s="4">
        <v>15.594149999999999</v>
      </c>
      <c r="L36" s="20">
        <f t="shared" si="13"/>
        <v>16.383687717230409</v>
      </c>
      <c r="M36" s="19">
        <f t="shared" si="14"/>
        <v>163.83687717230407</v>
      </c>
      <c r="Q36">
        <v>15</v>
      </c>
      <c r="R36"/>
      <c r="S36"/>
      <c r="T36">
        <v>87</v>
      </c>
      <c r="U36" s="4">
        <v>5.45E-2</v>
      </c>
      <c r="V36" s="4">
        <v>-73.551500000000004</v>
      </c>
      <c r="W36" s="4">
        <f t="shared" si="5"/>
        <v>73.497</v>
      </c>
      <c r="X36" s="19">
        <f t="shared" si="6"/>
        <v>4.9234324758842449</v>
      </c>
      <c r="Y36" s="22">
        <v>50</v>
      </c>
      <c r="Z36" s="12">
        <f t="shared" si="7"/>
        <v>246.17162379421225</v>
      </c>
      <c r="AA36" s="12">
        <v>18.725850000000001</v>
      </c>
      <c r="AB36" s="12">
        <f t="shared" si="8"/>
        <v>13.146085427054699</v>
      </c>
      <c r="AC36" s="12">
        <f t="shared" si="9"/>
        <v>131.46085427054697</v>
      </c>
      <c r="AE36"/>
    </row>
    <row r="37" spans="1:31" s="4" customFormat="1" x14ac:dyDescent="0.2">
      <c r="A37"/>
      <c r="B37"/>
      <c r="C37"/>
      <c r="D37" s="4">
        <v>84</v>
      </c>
      <c r="E37" s="4">
        <v>-0.22099999999999997</v>
      </c>
      <c r="F37" s="4">
        <v>-69.725500000000011</v>
      </c>
      <c r="G37" s="4">
        <f t="shared" si="10"/>
        <v>69.504500000000007</v>
      </c>
      <c r="H37" s="19">
        <f t="shared" si="11"/>
        <v>4.6559820471597009</v>
      </c>
      <c r="I37" s="19">
        <v>50</v>
      </c>
      <c r="J37" s="19">
        <f t="shared" si="12"/>
        <v>232.79910235798505</v>
      </c>
      <c r="K37" s="4">
        <v>16.861650000000001</v>
      </c>
      <c r="L37" s="20">
        <f t="shared" si="13"/>
        <v>13.806424778001265</v>
      </c>
      <c r="M37" s="19">
        <f t="shared" si="14"/>
        <v>138.06424778001264</v>
      </c>
      <c r="Q37"/>
      <c r="R37"/>
      <c r="S37"/>
      <c r="T37">
        <v>89</v>
      </c>
      <c r="U37" s="4">
        <v>-7.8999999999999987E-2</v>
      </c>
      <c r="V37" s="4">
        <v>-77.531000000000006</v>
      </c>
      <c r="W37" s="4">
        <f t="shared" si="5"/>
        <v>77.452000000000012</v>
      </c>
      <c r="X37" s="19">
        <f t="shared" si="6"/>
        <v>5.1883708467309768</v>
      </c>
      <c r="Y37" s="22">
        <v>50</v>
      </c>
      <c r="Z37" s="12">
        <f t="shared" si="7"/>
        <v>259.41854233654885</v>
      </c>
      <c r="AA37" s="12">
        <v>17.02535</v>
      </c>
      <c r="AB37" s="12">
        <f t="shared" si="8"/>
        <v>15.237192911543602</v>
      </c>
      <c r="AC37" s="12">
        <f t="shared" si="9"/>
        <v>152.37192911543602</v>
      </c>
      <c r="AE37"/>
    </row>
    <row r="38" spans="1:31" s="4" customFormat="1" x14ac:dyDescent="0.2">
      <c r="A38"/>
      <c r="B38"/>
      <c r="C38"/>
      <c r="D38" s="4">
        <v>85</v>
      </c>
      <c r="E38" s="4">
        <v>0.11699999999999999</v>
      </c>
      <c r="F38" s="4">
        <v>-75.240000000000009</v>
      </c>
      <c r="G38" s="4">
        <f t="shared" si="10"/>
        <v>75.123000000000005</v>
      </c>
      <c r="H38" s="19">
        <f t="shared" si="11"/>
        <v>5.0323553054662389</v>
      </c>
      <c r="I38" s="19">
        <v>50</v>
      </c>
      <c r="J38" s="19">
        <f t="shared" si="12"/>
        <v>251.61776527331193</v>
      </c>
      <c r="K38" s="4">
        <v>17.146799999999999</v>
      </c>
      <c r="L38" s="20">
        <f t="shared" si="13"/>
        <v>14.674327878864391</v>
      </c>
      <c r="M38" s="19">
        <f t="shared" si="14"/>
        <v>146.74327878864392</v>
      </c>
      <c r="Q38"/>
      <c r="R38"/>
      <c r="S38"/>
      <c r="T38">
        <v>90</v>
      </c>
      <c r="U38" s="4">
        <v>-0.84</v>
      </c>
      <c r="V38" s="4">
        <v>-70.813500000000005</v>
      </c>
      <c r="W38" s="4">
        <f t="shared" si="5"/>
        <v>69.973500000000001</v>
      </c>
      <c r="X38" s="19">
        <f t="shared" si="6"/>
        <v>4.6873995176848879</v>
      </c>
      <c r="Y38" s="22">
        <v>50</v>
      </c>
      <c r="Z38" s="12">
        <f t="shared" si="7"/>
        <v>234.36997588424441</v>
      </c>
      <c r="AA38" s="12">
        <v>18.0974</v>
      </c>
      <c r="AB38" s="12">
        <f t="shared" si="8"/>
        <v>12.950477741788566</v>
      </c>
      <c r="AC38" s="12">
        <f t="shared" si="9"/>
        <v>129.50477741788566</v>
      </c>
      <c r="AE38"/>
    </row>
    <row r="39" spans="1:31" s="4" customFormat="1" x14ac:dyDescent="0.2">
      <c r="A39"/>
      <c r="B39"/>
      <c r="C39"/>
      <c r="D39" s="4">
        <v>86</v>
      </c>
      <c r="E39" s="4">
        <v>0.15250000000000002</v>
      </c>
      <c r="F39" s="4">
        <v>-76.344500000000011</v>
      </c>
      <c r="G39" s="4">
        <f t="shared" si="10"/>
        <v>76.192000000000007</v>
      </c>
      <c r="H39" s="19">
        <f t="shared" si="11"/>
        <v>5.103965702036442</v>
      </c>
      <c r="I39" s="19">
        <v>50</v>
      </c>
      <c r="J39" s="19">
        <f t="shared" si="12"/>
        <v>255.19828510182211</v>
      </c>
      <c r="K39" s="4">
        <v>19.121950000000002</v>
      </c>
      <c r="L39" s="20">
        <f t="shared" si="13"/>
        <v>13.345829536308907</v>
      </c>
      <c r="M39" s="19">
        <f t="shared" si="14"/>
        <v>133.45829536308906</v>
      </c>
      <c r="Q39">
        <v>15</v>
      </c>
      <c r="R39"/>
      <c r="S39" t="s">
        <v>13</v>
      </c>
      <c r="T39">
        <v>53</v>
      </c>
      <c r="U39" s="4">
        <v>-0.16500000000000001</v>
      </c>
      <c r="V39" s="4">
        <v>-78.85499999999999</v>
      </c>
      <c r="W39" s="4">
        <f t="shared" si="5"/>
        <v>78.689999999999984</v>
      </c>
      <c r="X39" s="19">
        <f t="shared" si="6"/>
        <v>5.2713022508038581</v>
      </c>
      <c r="Y39" s="22">
        <v>50</v>
      </c>
      <c r="Z39" s="12">
        <f t="shared" si="7"/>
        <v>263.5651125401929</v>
      </c>
      <c r="AA39" s="12">
        <v>18.863199999999999</v>
      </c>
      <c r="AB39" s="12">
        <f t="shared" si="8"/>
        <v>13.972449666026597</v>
      </c>
      <c r="AC39" s="12">
        <f t="shared" si="9"/>
        <v>139.72449666026597</v>
      </c>
      <c r="AD39" s="23">
        <f>AVERAGE(AC39:AC50)</f>
        <v>135.68090668790609</v>
      </c>
      <c r="AE39" t="s">
        <v>13</v>
      </c>
    </row>
    <row r="40" spans="1:31" s="4" customFormat="1" x14ac:dyDescent="0.2">
      <c r="A40">
        <v>11</v>
      </c>
      <c r="B40"/>
      <c r="C40" t="s">
        <v>13</v>
      </c>
      <c r="D40" s="4">
        <v>49</v>
      </c>
      <c r="E40" s="4">
        <v>-0.2</v>
      </c>
      <c r="F40" s="4">
        <v>-61.97</v>
      </c>
      <c r="G40" s="4">
        <f t="shared" si="10"/>
        <v>61.769999999999996</v>
      </c>
      <c r="H40" s="19">
        <f t="shared" si="11"/>
        <v>4.137861736334405</v>
      </c>
      <c r="I40" s="19">
        <v>50</v>
      </c>
      <c r="J40" s="19">
        <f t="shared" si="12"/>
        <v>206.89308681672026</v>
      </c>
      <c r="K40" s="4">
        <v>17.616849999999999</v>
      </c>
      <c r="L40" s="20">
        <f t="shared" si="13"/>
        <v>11.744045434724157</v>
      </c>
      <c r="M40" s="19">
        <f t="shared" si="14"/>
        <v>117.44045434724157</v>
      </c>
      <c r="N40" s="20">
        <f>AVERAGE(M40:M52)</f>
        <v>133.42624902626071</v>
      </c>
      <c r="Q40"/>
      <c r="R40"/>
      <c r="S40"/>
      <c r="T40">
        <v>54</v>
      </c>
      <c r="U40" s="4">
        <v>-0.39</v>
      </c>
      <c r="V40" s="4">
        <v>-75.63</v>
      </c>
      <c r="W40" s="4">
        <f t="shared" si="5"/>
        <v>75.239999999999995</v>
      </c>
      <c r="X40" s="19">
        <f t="shared" si="6"/>
        <v>5.0401929260450169</v>
      </c>
      <c r="Y40" s="22">
        <v>50</v>
      </c>
      <c r="Z40" s="12">
        <f t="shared" si="7"/>
        <v>252.00964630225084</v>
      </c>
      <c r="AA40" s="12">
        <v>27.59815</v>
      </c>
      <c r="AB40" s="12">
        <f t="shared" si="8"/>
        <v>9.1313963545473467</v>
      </c>
      <c r="AC40" s="12">
        <f t="shared" si="9"/>
        <v>91.31396354547347</v>
      </c>
      <c r="AE40"/>
    </row>
    <row r="41" spans="1:31" s="4" customFormat="1" x14ac:dyDescent="0.2">
      <c r="A41"/>
      <c r="B41"/>
      <c r="C41"/>
      <c r="D41" s="4">
        <v>50</v>
      </c>
      <c r="E41" s="4">
        <v>-2.4999999999999998E-2</v>
      </c>
      <c r="F41" s="4">
        <v>-78.435000000000002</v>
      </c>
      <c r="G41" s="4">
        <f t="shared" si="10"/>
        <v>78.41</v>
      </c>
      <c r="H41" s="19">
        <f t="shared" si="11"/>
        <v>5.2525455519828519</v>
      </c>
      <c r="I41" s="19">
        <v>50</v>
      </c>
      <c r="J41" s="19">
        <f t="shared" si="12"/>
        <v>262.62727759914259</v>
      </c>
      <c r="K41" s="4">
        <v>21.4298</v>
      </c>
      <c r="L41" s="20">
        <f t="shared" si="13"/>
        <v>12.255236987706025</v>
      </c>
      <c r="M41" s="19">
        <f t="shared" si="14"/>
        <v>122.55236987706026</v>
      </c>
      <c r="Q41"/>
      <c r="R41"/>
      <c r="S41"/>
      <c r="T41">
        <v>55</v>
      </c>
      <c r="U41" s="4">
        <v>-0.105</v>
      </c>
      <c r="V41" s="4">
        <v>-66.474999999999994</v>
      </c>
      <c r="W41" s="4">
        <f t="shared" si="5"/>
        <v>66.36999999999999</v>
      </c>
      <c r="X41" s="19">
        <f t="shared" si="6"/>
        <v>4.446007502679528</v>
      </c>
      <c r="Y41" s="22">
        <v>50</v>
      </c>
      <c r="Z41" s="12">
        <f t="shared" si="7"/>
        <v>222.30037513397639</v>
      </c>
      <c r="AA41" s="12">
        <v>19.565549999999998</v>
      </c>
      <c r="AB41" s="12">
        <f t="shared" si="8"/>
        <v>11.361826022471968</v>
      </c>
      <c r="AC41" s="12">
        <f t="shared" si="9"/>
        <v>113.61826022471968</v>
      </c>
      <c r="AE41"/>
    </row>
    <row r="42" spans="1:31" s="4" customFormat="1" x14ac:dyDescent="0.2">
      <c r="A42"/>
      <c r="B42"/>
      <c r="C42"/>
      <c r="D42" s="4">
        <v>51</v>
      </c>
      <c r="E42" s="4">
        <v>-0.26</v>
      </c>
      <c r="F42" s="4">
        <v>-80.28</v>
      </c>
      <c r="G42" s="4">
        <f t="shared" si="10"/>
        <v>80.02</v>
      </c>
      <c r="H42" s="19">
        <f t="shared" si="11"/>
        <v>5.3603965702036449</v>
      </c>
      <c r="I42" s="19">
        <v>50</v>
      </c>
      <c r="J42" s="19">
        <f t="shared" si="12"/>
        <v>268.01982851018226</v>
      </c>
      <c r="K42" s="4">
        <v>20.648199999999999</v>
      </c>
      <c r="L42" s="20">
        <f t="shared" si="13"/>
        <v>12.980299905569604</v>
      </c>
      <c r="M42" s="19">
        <f t="shared" si="14"/>
        <v>129.80299905569603</v>
      </c>
      <c r="Q42"/>
      <c r="R42"/>
      <c r="S42"/>
      <c r="T42">
        <v>56</v>
      </c>
      <c r="U42" s="4">
        <v>-0.29000000000000004</v>
      </c>
      <c r="V42" s="4">
        <v>-78.759999999999991</v>
      </c>
      <c r="W42" s="4">
        <f t="shared" si="5"/>
        <v>78.469999999999985</v>
      </c>
      <c r="X42" s="19">
        <f t="shared" si="6"/>
        <v>5.2565648445873521</v>
      </c>
      <c r="Y42" s="22">
        <v>50</v>
      </c>
      <c r="Z42" s="12">
        <f t="shared" si="7"/>
        <v>262.82824222936762</v>
      </c>
      <c r="AA42" s="12">
        <v>19.544449999999998</v>
      </c>
      <c r="AB42" s="12">
        <f t="shared" si="8"/>
        <v>13.44771749675062</v>
      </c>
      <c r="AC42" s="12">
        <f t="shared" si="9"/>
        <v>134.47717496750619</v>
      </c>
      <c r="AE42"/>
    </row>
    <row r="43" spans="1:31" s="4" customFormat="1" x14ac:dyDescent="0.2">
      <c r="A43"/>
      <c r="B43"/>
      <c r="C43"/>
      <c r="D43" s="4">
        <v>52</v>
      </c>
      <c r="E43" s="4">
        <v>5.000000000000001E-3</v>
      </c>
      <c r="F43" s="4">
        <v>-80.03</v>
      </c>
      <c r="G43" s="4">
        <f t="shared" si="10"/>
        <v>80.025000000000006</v>
      </c>
      <c r="H43" s="19">
        <f t="shared" si="11"/>
        <v>5.3607315112540199</v>
      </c>
      <c r="I43" s="19">
        <v>50</v>
      </c>
      <c r="J43" s="19">
        <f t="shared" si="12"/>
        <v>268.03657556270099</v>
      </c>
      <c r="K43" s="4">
        <v>18.319199999999999</v>
      </c>
      <c r="L43" s="20">
        <f t="shared" si="13"/>
        <v>14.63145637160471</v>
      </c>
      <c r="M43" s="19">
        <f t="shared" si="14"/>
        <v>146.3145637160471</v>
      </c>
      <c r="Q43">
        <v>14</v>
      </c>
      <c r="R43"/>
      <c r="S43"/>
      <c r="T43">
        <v>61</v>
      </c>
      <c r="U43" s="4">
        <v>0.13500000000000001</v>
      </c>
      <c r="V43" s="4">
        <v>-70.05</v>
      </c>
      <c r="W43" s="4">
        <f t="shared" si="5"/>
        <v>69.914999999999992</v>
      </c>
      <c r="X43" s="19">
        <f t="shared" si="6"/>
        <v>4.683480707395498</v>
      </c>
      <c r="Y43" s="22">
        <v>50</v>
      </c>
      <c r="Z43" s="12">
        <f t="shared" si="7"/>
        <v>234.17403536977491</v>
      </c>
      <c r="AA43" s="10">
        <v>18.187200000000001</v>
      </c>
      <c r="AB43" s="12">
        <f t="shared" si="8"/>
        <v>12.87576072016445</v>
      </c>
      <c r="AC43" s="12">
        <f t="shared" si="9"/>
        <v>128.7576072016445</v>
      </c>
      <c r="AE43"/>
    </row>
    <row r="44" spans="1:31" s="4" customFormat="1" x14ac:dyDescent="0.2">
      <c r="A44">
        <v>12</v>
      </c>
      <c r="B44"/>
      <c r="C44"/>
      <c r="D44" s="4">
        <v>57</v>
      </c>
      <c r="E44" s="4">
        <v>-0.36</v>
      </c>
      <c r="F44" s="4">
        <v>-74.569999999999993</v>
      </c>
      <c r="G44" s="4">
        <f t="shared" si="10"/>
        <v>74.209999999999994</v>
      </c>
      <c r="H44" s="19">
        <f t="shared" si="11"/>
        <v>4.9711950696677389</v>
      </c>
      <c r="I44" s="19">
        <v>50</v>
      </c>
      <c r="J44" s="19">
        <f t="shared" si="12"/>
        <v>248.55975348338694</v>
      </c>
      <c r="K44" s="4">
        <v>18.73115</v>
      </c>
      <c r="L44" s="20">
        <f t="shared" si="13"/>
        <v>13.269860819190864</v>
      </c>
      <c r="M44" s="19">
        <f t="shared" si="14"/>
        <v>132.69860819190865</v>
      </c>
      <c r="Q44"/>
      <c r="R44"/>
      <c r="S44"/>
      <c r="T44">
        <v>62</v>
      </c>
      <c r="U44" s="4">
        <v>1.4999999999999999E-2</v>
      </c>
      <c r="V44" s="4">
        <v>-72.914999999999992</v>
      </c>
      <c r="W44" s="4">
        <f t="shared" si="5"/>
        <v>72.899999999999991</v>
      </c>
      <c r="X44" s="19">
        <f t="shared" si="6"/>
        <v>4.883440514469453</v>
      </c>
      <c r="Y44" s="22">
        <v>50</v>
      </c>
      <c r="Z44" s="12">
        <f t="shared" si="7"/>
        <v>244.17202572347264</v>
      </c>
      <c r="AA44" s="10">
        <v>18.699449999999999</v>
      </c>
      <c r="AB44" s="12">
        <f t="shared" si="8"/>
        <v>13.057711629137362</v>
      </c>
      <c r="AC44" s="12">
        <f t="shared" si="9"/>
        <v>130.57711629137361</v>
      </c>
      <c r="AE44"/>
    </row>
    <row r="45" spans="1:31" s="4" customFormat="1" x14ac:dyDescent="0.2">
      <c r="A45"/>
      <c r="B45"/>
      <c r="C45"/>
      <c r="D45" s="4">
        <v>58</v>
      </c>
      <c r="E45" s="4">
        <v>-0.17</v>
      </c>
      <c r="F45" s="4">
        <v>-80.03</v>
      </c>
      <c r="G45" s="4">
        <f t="shared" si="10"/>
        <v>79.86</v>
      </c>
      <c r="H45" s="19">
        <f t="shared" si="11"/>
        <v>5.3496784565916409</v>
      </c>
      <c r="I45" s="19">
        <v>50</v>
      </c>
      <c r="J45" s="19">
        <f t="shared" si="12"/>
        <v>267.48392282958207</v>
      </c>
      <c r="K45" s="4">
        <v>20.3947</v>
      </c>
      <c r="L45" s="20">
        <f t="shared" si="13"/>
        <v>13.115364424560404</v>
      </c>
      <c r="M45" s="19">
        <f t="shared" si="14"/>
        <v>131.15364424560403</v>
      </c>
      <c r="Q45"/>
      <c r="R45"/>
      <c r="S45"/>
      <c r="T45">
        <v>64</v>
      </c>
      <c r="U45" s="4">
        <v>-5.5E-2</v>
      </c>
      <c r="V45" s="4">
        <v>-78.19</v>
      </c>
      <c r="W45" s="4">
        <f t="shared" si="5"/>
        <v>78.134999999999991</v>
      </c>
      <c r="X45" s="19">
        <f t="shared" si="6"/>
        <v>5.2341237942122181</v>
      </c>
      <c r="Y45" s="22">
        <v>50</v>
      </c>
      <c r="Z45" s="12">
        <f t="shared" si="7"/>
        <v>261.70618971061089</v>
      </c>
      <c r="AA45" s="10">
        <v>17.358049999999999</v>
      </c>
      <c r="AB45" s="12">
        <f t="shared" si="8"/>
        <v>15.076934892491431</v>
      </c>
      <c r="AC45" s="12">
        <f t="shared" si="9"/>
        <v>150.76934892491431</v>
      </c>
      <c r="AE45"/>
    </row>
    <row r="46" spans="1:31" s="4" customFormat="1" x14ac:dyDescent="0.2">
      <c r="A46"/>
      <c r="B46"/>
      <c r="C46"/>
      <c r="D46" s="4">
        <v>59</v>
      </c>
      <c r="E46" s="4">
        <v>-0.19500000000000001</v>
      </c>
      <c r="F46" s="4">
        <v>-80.180000000000007</v>
      </c>
      <c r="G46" s="4">
        <f t="shared" si="10"/>
        <v>79.985000000000014</v>
      </c>
      <c r="H46" s="19">
        <f t="shared" si="11"/>
        <v>5.3580519828510198</v>
      </c>
      <c r="I46" s="19">
        <v>50</v>
      </c>
      <c r="J46" s="19">
        <f t="shared" si="12"/>
        <v>267.90259914255097</v>
      </c>
      <c r="K46" s="4">
        <v>19.908850000000001</v>
      </c>
      <c r="L46" s="20">
        <f t="shared" si="13"/>
        <v>13.45645776338417</v>
      </c>
      <c r="M46" s="19">
        <f t="shared" si="14"/>
        <v>134.56457763384171</v>
      </c>
      <c r="Q46">
        <v>15</v>
      </c>
      <c r="R46"/>
      <c r="S46"/>
      <c r="T46">
        <v>96</v>
      </c>
      <c r="U46" s="4">
        <v>2.1999999999999999E-2</v>
      </c>
      <c r="V46" s="4">
        <v>-74.009999999999991</v>
      </c>
      <c r="W46" s="4">
        <f t="shared" si="5"/>
        <v>73.987999999999985</v>
      </c>
      <c r="X46" s="19">
        <f t="shared" si="6"/>
        <v>4.9563236870310821</v>
      </c>
      <c r="Y46" s="22">
        <v>50</v>
      </c>
      <c r="Z46" s="12">
        <f t="shared" si="7"/>
        <v>247.81618435155411</v>
      </c>
      <c r="AA46" s="10">
        <v>20.294350000000001</v>
      </c>
      <c r="AB46" s="12">
        <f t="shared" si="8"/>
        <v>12.211092464235321</v>
      </c>
      <c r="AC46" s="12">
        <f t="shared" si="9"/>
        <v>122.11092464235321</v>
      </c>
      <c r="AE46"/>
    </row>
    <row r="47" spans="1:31" s="4" customFormat="1" x14ac:dyDescent="0.2">
      <c r="A47"/>
      <c r="B47"/>
      <c r="C47"/>
      <c r="D47" s="4">
        <v>60</v>
      </c>
      <c r="E47" s="4">
        <v>-0.14500000000000002</v>
      </c>
      <c r="F47" s="4">
        <v>-81.575000000000003</v>
      </c>
      <c r="G47" s="4">
        <f t="shared" si="10"/>
        <v>81.430000000000007</v>
      </c>
      <c r="H47" s="19">
        <f t="shared" si="11"/>
        <v>5.4548499464094329</v>
      </c>
      <c r="I47" s="19">
        <v>50</v>
      </c>
      <c r="J47" s="19">
        <f t="shared" si="12"/>
        <v>272.74249732047167</v>
      </c>
      <c r="K47" s="4">
        <v>19.063849999999999</v>
      </c>
      <c r="L47" s="20">
        <f t="shared" si="13"/>
        <v>14.306789935950592</v>
      </c>
      <c r="M47" s="19">
        <f t="shared" si="14"/>
        <v>143.06789935950593</v>
      </c>
      <c r="Q47"/>
      <c r="R47"/>
      <c r="S47"/>
      <c r="T47">
        <v>97</v>
      </c>
      <c r="U47" s="4">
        <v>-8.4499999999999992E-2</v>
      </c>
      <c r="V47" s="4">
        <v>-72.736500000000007</v>
      </c>
      <c r="W47" s="4">
        <f t="shared" si="5"/>
        <v>72.652000000000001</v>
      </c>
      <c r="X47" s="19">
        <f t="shared" si="6"/>
        <v>4.866827438370847</v>
      </c>
      <c r="Y47" s="22">
        <v>50</v>
      </c>
      <c r="Z47" s="12">
        <f t="shared" si="7"/>
        <v>243.34137191854234</v>
      </c>
      <c r="AA47" s="12">
        <v>19.174750000000003</v>
      </c>
      <c r="AB47" s="12">
        <f t="shared" si="8"/>
        <v>12.690719405392107</v>
      </c>
      <c r="AC47" s="12">
        <f t="shared" si="9"/>
        <v>126.90719405392107</v>
      </c>
      <c r="AE47"/>
    </row>
    <row r="48" spans="1:31" s="4" customFormat="1" x14ac:dyDescent="0.2">
      <c r="A48">
        <v>12</v>
      </c>
      <c r="B48"/>
      <c r="C48"/>
      <c r="D48" s="4">
        <v>91</v>
      </c>
      <c r="E48" s="4">
        <v>-0.1825</v>
      </c>
      <c r="F48" s="4">
        <v>-75.654499999999999</v>
      </c>
      <c r="G48" s="4">
        <f t="shared" si="10"/>
        <v>75.471999999999994</v>
      </c>
      <c r="H48" s="19">
        <f t="shared" si="11"/>
        <v>5.0557341907824229</v>
      </c>
      <c r="I48" s="19">
        <v>50</v>
      </c>
      <c r="J48" s="19">
        <f t="shared" si="12"/>
        <v>252.78670953912115</v>
      </c>
      <c r="K48" s="4">
        <v>17.812249999999999</v>
      </c>
      <c r="L48" s="20">
        <f t="shared" si="13"/>
        <v>14.191733752845439</v>
      </c>
      <c r="M48" s="19">
        <f t="shared" si="14"/>
        <v>141.9173375284544</v>
      </c>
      <c r="Q48"/>
      <c r="R48"/>
      <c r="S48"/>
      <c r="T48">
        <v>98</v>
      </c>
      <c r="U48" s="4">
        <v>-0.158</v>
      </c>
      <c r="V48" s="4">
        <v>-75.311000000000007</v>
      </c>
      <c r="W48" s="4">
        <f t="shared" si="5"/>
        <v>75.153000000000006</v>
      </c>
      <c r="X48" s="19">
        <f t="shared" si="6"/>
        <v>5.034364951768489</v>
      </c>
      <c r="Y48" s="22">
        <v>50</v>
      </c>
      <c r="Z48" s="12">
        <f t="shared" si="7"/>
        <v>251.71824758842445</v>
      </c>
      <c r="AA48" s="12">
        <v>19.407149999999998</v>
      </c>
      <c r="AB48" s="12">
        <f t="shared" si="8"/>
        <v>12.970387078392472</v>
      </c>
      <c r="AC48" s="12">
        <f t="shared" si="9"/>
        <v>129.70387078392471</v>
      </c>
      <c r="AE48"/>
    </row>
    <row r="49" spans="1:29" s="4" customFormat="1" x14ac:dyDescent="0.2">
      <c r="A49"/>
      <c r="B49"/>
      <c r="C49"/>
      <c r="D49" s="4">
        <v>92</v>
      </c>
      <c r="E49" s="4">
        <v>-0.42000000000000004</v>
      </c>
      <c r="F49" s="4">
        <v>-76.265500000000003</v>
      </c>
      <c r="G49" s="4">
        <f t="shared" si="10"/>
        <v>75.845500000000001</v>
      </c>
      <c r="H49" s="19">
        <f t="shared" si="11"/>
        <v>5.0807542872454459</v>
      </c>
      <c r="I49" s="19">
        <v>50</v>
      </c>
      <c r="J49" s="19">
        <f t="shared" si="12"/>
        <v>254.03771436227228</v>
      </c>
      <c r="K49" s="4">
        <v>20.077850000000002</v>
      </c>
      <c r="L49" s="20">
        <f t="shared" si="13"/>
        <v>12.652635335071846</v>
      </c>
      <c r="M49" s="19">
        <f t="shared" si="14"/>
        <v>126.52635335071847</v>
      </c>
      <c r="Q49"/>
      <c r="R49"/>
      <c r="S49"/>
      <c r="T49">
        <v>99</v>
      </c>
      <c r="U49">
        <v>-3.1909999999999998</v>
      </c>
      <c r="V49" s="4">
        <v>-114.9105</v>
      </c>
      <c r="W49" s="4">
        <f t="shared" si="5"/>
        <v>111.7195</v>
      </c>
      <c r="X49" s="19">
        <f t="shared" si="6"/>
        <v>7.4838893354769569</v>
      </c>
      <c r="Y49" s="22">
        <v>50</v>
      </c>
      <c r="Z49" s="12">
        <f t="shared" si="7"/>
        <v>374.19446677384786</v>
      </c>
      <c r="AA49" s="12">
        <v>20.109500000000001</v>
      </c>
      <c r="AB49" s="12">
        <f t="shared" si="8"/>
        <v>18.607845385208378</v>
      </c>
      <c r="AC49" s="12">
        <f t="shared" si="9"/>
        <v>186.07845385208378</v>
      </c>
    </row>
    <row r="50" spans="1:29" s="4" customFormat="1" x14ac:dyDescent="0.2">
      <c r="A50"/>
      <c r="B50"/>
      <c r="C50"/>
      <c r="D50" s="4">
        <v>93</v>
      </c>
      <c r="E50" s="4">
        <v>0.33850000000000002</v>
      </c>
      <c r="F50" s="4">
        <v>-76.647500000000008</v>
      </c>
      <c r="G50" s="4">
        <f t="shared" si="10"/>
        <v>76.309000000000012</v>
      </c>
      <c r="H50" s="19">
        <f t="shared" si="11"/>
        <v>5.1118033226152217</v>
      </c>
      <c r="I50" s="19">
        <v>50</v>
      </c>
      <c r="J50" s="19">
        <f t="shared" si="12"/>
        <v>255.59016613076108</v>
      </c>
      <c r="K50" s="4">
        <v>19.486349999999998</v>
      </c>
      <c r="L50" s="20">
        <f t="shared" si="13"/>
        <v>13.116369465331429</v>
      </c>
      <c r="M50" s="19">
        <f t="shared" si="14"/>
        <v>131.16369465331428</v>
      </c>
      <c r="Q50"/>
      <c r="R50"/>
      <c r="S50"/>
      <c r="T50">
        <v>100</v>
      </c>
      <c r="U50" s="4">
        <v>0.192</v>
      </c>
      <c r="V50" s="4">
        <v>-106.9085</v>
      </c>
      <c r="W50" s="4">
        <f t="shared" si="5"/>
        <v>106.71650000000001</v>
      </c>
      <c r="X50" s="19">
        <f t="shared" si="6"/>
        <v>7.1487473204715988</v>
      </c>
      <c r="Y50" s="22">
        <v>50</v>
      </c>
      <c r="Z50" s="12">
        <f t="shared" si="7"/>
        <v>357.43736602357995</v>
      </c>
      <c r="AA50" s="12">
        <v>20.526750000000003</v>
      </c>
      <c r="AB50" s="12">
        <f t="shared" si="8"/>
        <v>17.413246910669244</v>
      </c>
      <c r="AC50" s="12">
        <f t="shared" si="9"/>
        <v>174.13246910669244</v>
      </c>
    </row>
    <row r="51" spans="1:29" s="4" customFormat="1" x14ac:dyDescent="0.2">
      <c r="A51"/>
      <c r="B51"/>
      <c r="C51"/>
      <c r="D51" s="4">
        <v>94</v>
      </c>
      <c r="E51" s="4">
        <v>-0.17199999999999999</v>
      </c>
      <c r="F51" s="4">
        <v>-77.162499999999994</v>
      </c>
      <c r="G51" s="4">
        <f t="shared" si="10"/>
        <v>76.990499999999997</v>
      </c>
      <c r="H51" s="19">
        <f t="shared" si="11"/>
        <v>5.1574557877813509</v>
      </c>
      <c r="I51" s="19">
        <v>50</v>
      </c>
      <c r="J51" s="19">
        <f t="shared" si="12"/>
        <v>257.87278938906752</v>
      </c>
      <c r="K51" s="4">
        <v>18.09215</v>
      </c>
      <c r="L51" s="20">
        <f t="shared" si="13"/>
        <v>14.253297114442868</v>
      </c>
      <c r="M51" s="19">
        <f t="shared" si="14"/>
        <v>142.53297114442867</v>
      </c>
      <c r="U51"/>
    </row>
    <row r="52" spans="1:29" s="4" customFormat="1" x14ac:dyDescent="0.2">
      <c r="A52"/>
      <c r="B52"/>
      <c r="C52"/>
      <c r="D52" s="4">
        <v>95</v>
      </c>
      <c r="E52" s="4">
        <v>0.379</v>
      </c>
      <c r="F52" s="4">
        <v>-77.978000000000009</v>
      </c>
      <c r="G52" s="4">
        <f t="shared" si="10"/>
        <v>77.599000000000004</v>
      </c>
      <c r="H52" s="19">
        <f t="shared" si="11"/>
        <v>5.1982181136120049</v>
      </c>
      <c r="I52" s="19">
        <v>50</v>
      </c>
      <c r="J52" s="19">
        <f t="shared" si="12"/>
        <v>259.91090568060025</v>
      </c>
      <c r="K52" s="4">
        <v>19.2804</v>
      </c>
      <c r="L52" s="20">
        <f t="shared" si="13"/>
        <v>13.480576423756782</v>
      </c>
      <c r="M52" s="19">
        <f t="shared" si="14"/>
        <v>134.80576423756781</v>
      </c>
    </row>
    <row r="53" spans="1:29" s="4" customFormat="1" x14ac:dyDescent="0.2">
      <c r="B53" s="15"/>
      <c r="M53" s="22"/>
    </row>
    <row r="54" spans="1:29" s="4" customFormat="1" x14ac:dyDescent="0.2">
      <c r="B54" s="15"/>
      <c r="M54" s="22"/>
    </row>
    <row r="55" spans="1:29" s="4" customFormat="1" x14ac:dyDescent="0.2">
      <c r="B55" s="15"/>
      <c r="M55" s="22"/>
    </row>
    <row r="56" spans="1:29" s="4" customFormat="1" x14ac:dyDescent="0.2">
      <c r="B56" s="15"/>
      <c r="M56" s="22"/>
    </row>
    <row r="57" spans="1:29" s="4" customFormat="1" x14ac:dyDescent="0.2">
      <c r="B57" s="15"/>
      <c r="M57" s="22"/>
    </row>
    <row r="58" spans="1:29" s="4" customFormat="1" x14ac:dyDescent="0.2">
      <c r="B58" s="15"/>
      <c r="M58" s="22"/>
    </row>
    <row r="59" spans="1:29" s="4" customFormat="1" x14ac:dyDescent="0.2">
      <c r="B59" s="15"/>
      <c r="M59" s="22"/>
    </row>
    <row r="60" spans="1:29" s="4" customFormat="1" x14ac:dyDescent="0.2">
      <c r="B60" s="15"/>
      <c r="M60" s="22"/>
    </row>
    <row r="61" spans="1:29" s="4" customFormat="1" x14ac:dyDescent="0.2">
      <c r="B61" s="15"/>
      <c r="M61" s="22"/>
    </row>
    <row r="62" spans="1:29" s="4" customFormat="1" x14ac:dyDescent="0.2">
      <c r="B62" s="15"/>
      <c r="M62" s="22"/>
    </row>
    <row r="63" spans="1:29" s="4" customFormat="1" x14ac:dyDescent="0.2">
      <c r="B63" s="15"/>
      <c r="M63" s="22"/>
    </row>
    <row r="64" spans="1:29" s="4" customFormat="1" x14ac:dyDescent="0.2">
      <c r="B64" s="15"/>
      <c r="M64" s="22"/>
    </row>
    <row r="65" spans="2:13" s="4" customFormat="1" x14ac:dyDescent="0.2">
      <c r="B65" s="15"/>
      <c r="M65" s="22"/>
    </row>
    <row r="66" spans="2:13" s="4" customFormat="1" x14ac:dyDescent="0.2">
      <c r="B66" s="15"/>
      <c r="M66" s="22"/>
    </row>
    <row r="67" spans="2:13" s="4" customFormat="1" x14ac:dyDescent="0.2">
      <c r="B67" s="15"/>
      <c r="M67" s="22"/>
    </row>
    <row r="68" spans="2:13" s="4" customFormat="1" x14ac:dyDescent="0.2">
      <c r="B68" s="15"/>
      <c r="M68" s="22"/>
    </row>
    <row r="69" spans="2:13" s="4" customFormat="1" x14ac:dyDescent="0.2">
      <c r="B69" s="15"/>
      <c r="M69" s="22"/>
    </row>
    <row r="70" spans="2:13" s="4" customFormat="1" x14ac:dyDescent="0.2">
      <c r="B70" s="15"/>
      <c r="M70" s="22"/>
    </row>
    <row r="71" spans="2:13" s="4" customFormat="1" x14ac:dyDescent="0.2">
      <c r="B71" s="15"/>
      <c r="M71" s="22"/>
    </row>
    <row r="72" spans="2:13" s="4" customFormat="1" x14ac:dyDescent="0.2">
      <c r="B72" s="15"/>
      <c r="M72" s="22"/>
    </row>
    <row r="73" spans="2:13" s="4" customFormat="1" x14ac:dyDescent="0.2">
      <c r="B73" s="15"/>
      <c r="M73" s="22"/>
    </row>
    <row r="74" spans="2:13" s="4" customFormat="1" x14ac:dyDescent="0.2">
      <c r="B74" s="15"/>
      <c r="M74" s="22"/>
    </row>
    <row r="75" spans="2:13" s="4" customFormat="1" x14ac:dyDescent="0.2">
      <c r="B75" s="15"/>
      <c r="M75" s="22"/>
    </row>
    <row r="76" spans="2:13" s="4" customFormat="1" x14ac:dyDescent="0.2">
      <c r="B76" s="15"/>
      <c r="M76" s="22"/>
    </row>
    <row r="77" spans="2:13" s="4" customFormat="1" x14ac:dyDescent="0.2">
      <c r="B77" s="15"/>
      <c r="M77" s="22"/>
    </row>
    <row r="78" spans="2:13" s="4" customFormat="1" x14ac:dyDescent="0.2">
      <c r="B78" s="15"/>
      <c r="M78" s="22"/>
    </row>
    <row r="79" spans="2:13" s="4" customFormat="1" x14ac:dyDescent="0.2">
      <c r="B79" s="15"/>
      <c r="M79" s="22"/>
    </row>
    <row r="80" spans="2:13" s="4" customFormat="1" x14ac:dyDescent="0.2">
      <c r="B80" s="15"/>
      <c r="M80" s="22"/>
    </row>
    <row r="81" spans="2:13" s="4" customFormat="1" x14ac:dyDescent="0.2">
      <c r="B81" s="15"/>
      <c r="M81" s="22"/>
    </row>
    <row r="82" spans="2:13" s="4" customFormat="1" x14ac:dyDescent="0.2">
      <c r="B82" s="15"/>
      <c r="M82" s="22"/>
    </row>
    <row r="83" spans="2:13" s="4" customFormat="1" x14ac:dyDescent="0.2">
      <c r="B83" s="15"/>
      <c r="M83" s="22"/>
    </row>
    <row r="84" spans="2:13" s="4" customFormat="1" x14ac:dyDescent="0.2">
      <c r="B84" s="15"/>
      <c r="M84" s="22"/>
    </row>
    <row r="85" spans="2:13" s="4" customFormat="1" x14ac:dyDescent="0.2">
      <c r="B85" s="15"/>
      <c r="M85" s="22"/>
    </row>
    <row r="86" spans="2:13" s="4" customFormat="1" x14ac:dyDescent="0.2">
      <c r="B86" s="15"/>
      <c r="M86" s="22"/>
    </row>
    <row r="87" spans="2:13" s="4" customFormat="1" x14ac:dyDescent="0.2">
      <c r="B87" s="15"/>
      <c r="M87" s="22"/>
    </row>
    <row r="88" spans="2:13" s="4" customFormat="1" x14ac:dyDescent="0.2">
      <c r="B88" s="15"/>
      <c r="M88" s="22"/>
    </row>
    <row r="89" spans="2:13" s="4" customFormat="1" x14ac:dyDescent="0.2">
      <c r="B89" s="15"/>
      <c r="M89" s="22"/>
    </row>
    <row r="90" spans="2:13" s="4" customFormat="1" x14ac:dyDescent="0.2">
      <c r="B90" s="15"/>
      <c r="M90" s="22"/>
    </row>
    <row r="91" spans="2:13" s="4" customFormat="1" x14ac:dyDescent="0.2">
      <c r="B91" s="15"/>
      <c r="M91" s="22"/>
    </row>
    <row r="92" spans="2:13" s="4" customFormat="1" x14ac:dyDescent="0.2">
      <c r="B92" s="15"/>
      <c r="M92" s="22"/>
    </row>
    <row r="93" spans="2:13" s="4" customFormat="1" x14ac:dyDescent="0.2">
      <c r="B93" s="15"/>
      <c r="M93" s="22"/>
    </row>
    <row r="94" spans="2:13" s="4" customFormat="1" x14ac:dyDescent="0.2">
      <c r="B94" s="15"/>
      <c r="M94" s="22"/>
    </row>
    <row r="95" spans="2:13" s="4" customFormat="1" x14ac:dyDescent="0.2">
      <c r="B95" s="15"/>
      <c r="M95" s="22"/>
    </row>
    <row r="96" spans="2:13" s="4" customFormat="1" x14ac:dyDescent="0.2">
      <c r="B96" s="15"/>
      <c r="M96" s="22"/>
    </row>
    <row r="97" spans="2:13" s="4" customFormat="1" x14ac:dyDescent="0.2">
      <c r="B97" s="15"/>
      <c r="M97" s="22"/>
    </row>
    <row r="98" spans="2:13" s="4" customFormat="1" x14ac:dyDescent="0.2">
      <c r="M98" s="2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opLeftCell="Y1" workbookViewId="0">
      <selection activeCell="X5" sqref="X5"/>
    </sheetView>
  </sheetViews>
  <sheetFormatPr baseColWidth="10" defaultColWidth="8.796875" defaultRowHeight="15" x14ac:dyDescent="0.2"/>
  <cols>
    <col min="2" max="2" width="10.3984375" bestFit="1" customWidth="1"/>
    <col min="8" max="8" width="12.3984375" bestFit="1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bestFit="1" customWidth="1"/>
    <col min="24" max="24" width="10.796875" bestFit="1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8" ht="20" x14ac:dyDescent="0.2">
      <c r="A1" s="14" t="s">
        <v>227</v>
      </c>
      <c r="B1" s="15"/>
      <c r="C1" s="4"/>
      <c r="M1" s="21"/>
      <c r="AG1" s="2" t="s">
        <v>326</v>
      </c>
      <c r="AH1" s="1"/>
      <c r="AI1" s="1"/>
      <c r="AJ1" s="1"/>
      <c r="AK1" s="1"/>
    </row>
    <row r="2" spans="1:38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326</v>
      </c>
      <c r="AJ2" s="5" t="s">
        <v>65</v>
      </c>
      <c r="AK2" s="5" t="s">
        <v>66</v>
      </c>
    </row>
    <row r="3" spans="1:38" x14ac:dyDescent="0.2">
      <c r="A3">
        <v>11</v>
      </c>
      <c r="B3" s="18" t="s">
        <v>9</v>
      </c>
      <c r="C3" t="s">
        <v>10</v>
      </c>
      <c r="D3" s="4">
        <v>1</v>
      </c>
      <c r="E3" s="26">
        <v>-5.2270000000000003</v>
      </c>
      <c r="F3" s="26">
        <v>-147.81899999999999</v>
      </c>
      <c r="G3" s="4">
        <f>IF(E3&lt;0,F3*-1+E3,F3*-1-E3)</f>
        <v>142.59199999999998</v>
      </c>
      <c r="H3" s="19">
        <f>(G3*250*1*1*1000)/(6.22*2*0.3*1000*1000*1)</f>
        <v>9.5519828510182201</v>
      </c>
      <c r="I3">
        <v>1</v>
      </c>
      <c r="J3" s="12">
        <f>H3*I3</f>
        <v>9.5519828510182201</v>
      </c>
      <c r="K3" s="4">
        <v>18.815650000000002</v>
      </c>
      <c r="L3" s="12">
        <f>J3/K3</f>
        <v>0.50766159293025859</v>
      </c>
      <c r="M3" s="12">
        <f>L3*10</f>
        <v>5.0766159293025854</v>
      </c>
      <c r="Q3">
        <v>15</v>
      </c>
      <c r="R3" s="18" t="s">
        <v>18</v>
      </c>
      <c r="S3" t="s">
        <v>10</v>
      </c>
      <c r="T3">
        <v>5</v>
      </c>
      <c r="U3" s="24">
        <v>-0.309</v>
      </c>
      <c r="V3" s="24">
        <v>-99.799000000000007</v>
      </c>
      <c r="W3" s="4">
        <f>IF(U3&lt;0,V3*-1+U3,V3*-1-U3)</f>
        <v>99.490000000000009</v>
      </c>
      <c r="X3" s="19">
        <f>(W3*250*1*1*1000)/(6.22*2*0.3*1000*1000*1)</f>
        <v>6.6646570203644178</v>
      </c>
      <c r="Y3">
        <v>1</v>
      </c>
      <c r="Z3" s="12">
        <f>X3*Y3</f>
        <v>6.6646570203644178</v>
      </c>
      <c r="AA3" s="12">
        <v>17.822800000000001</v>
      </c>
      <c r="AB3" s="12">
        <f>Z3/AA3</f>
        <v>0.37393995446082645</v>
      </c>
      <c r="AC3" s="12">
        <f>AB3*10</f>
        <v>3.7393995446082644</v>
      </c>
      <c r="AD3" s="23">
        <f>AVERAGE(AC3:AC14)</f>
        <v>3.5460702676251086</v>
      </c>
      <c r="AE3" t="s">
        <v>10</v>
      </c>
      <c r="AF3" s="4"/>
      <c r="AG3" s="4" t="s">
        <v>18</v>
      </c>
      <c r="AH3" s="4">
        <v>0</v>
      </c>
      <c r="AI3" s="23">
        <f>AVERAGE(AC3:AC14)</f>
        <v>3.5460702676251086</v>
      </c>
      <c r="AJ3" s="4">
        <f>COUNT(AC3:AC14)</f>
        <v>12</v>
      </c>
      <c r="AK3" s="4">
        <f>STDEV(AC3:AC14)/SQRT(AJ3)</f>
        <v>0.10043612859628925</v>
      </c>
      <c r="AL3" s="4"/>
    </row>
    <row r="4" spans="1:38" x14ac:dyDescent="0.2">
      <c r="D4" s="4">
        <v>2</v>
      </c>
      <c r="E4" s="26">
        <v>0.10199999999999999</v>
      </c>
      <c r="F4" s="26">
        <v>-105.328</v>
      </c>
      <c r="G4" s="4">
        <f t="shared" ref="G4:G52" si="0">IF(E4&lt;0,F4*-1+E4,F4*-1-E4)</f>
        <v>105.226</v>
      </c>
      <c r="H4" s="19">
        <f t="shared" ref="H4:H52" si="1">(G4*250*1*1*1000)/(6.22*2*0.3*1000*1000*1)</f>
        <v>7.0489013933547708</v>
      </c>
      <c r="I4">
        <v>1</v>
      </c>
      <c r="J4" s="12">
        <f t="shared" ref="J4:J52" si="2">H4*I4</f>
        <v>7.0489013933547708</v>
      </c>
      <c r="K4" s="4">
        <v>21.588250000000002</v>
      </c>
      <c r="L4" s="12">
        <f t="shared" ref="L4:L52" si="3">J4/K4</f>
        <v>0.32651564593493082</v>
      </c>
      <c r="M4" s="12">
        <f t="shared" ref="M4:M52" si="4">L4*10</f>
        <v>3.2651564593493081</v>
      </c>
      <c r="T4">
        <v>6</v>
      </c>
      <c r="U4" s="24">
        <v>0.28199999999999997</v>
      </c>
      <c r="V4" s="24">
        <v>-107.708</v>
      </c>
      <c r="W4" s="4">
        <f t="shared" ref="W4:W50" si="5">IF(U4&lt;0,V4*-1+U4,V4*-1-U4)</f>
        <v>107.426</v>
      </c>
      <c r="X4" s="19">
        <f t="shared" ref="X4:X50" si="6">(W4*250*1*1*1000)/(6.22*2*0.3*1000*1000*1)</f>
        <v>7.1962754555198298</v>
      </c>
      <c r="Y4">
        <v>1</v>
      </c>
      <c r="Z4" s="12">
        <f t="shared" ref="Z4:Z50" si="7">X4*Y4</f>
        <v>7.1962754555198298</v>
      </c>
      <c r="AA4" s="12">
        <v>19.3279</v>
      </c>
      <c r="AB4" s="12">
        <f t="shared" ref="AB4:AB50" si="8">Z4/AA4</f>
        <v>0.37232578063420391</v>
      </c>
      <c r="AC4" s="12">
        <f t="shared" ref="AC4:AC50" si="9">AB4*10</f>
        <v>3.7232578063420392</v>
      </c>
      <c r="AD4" s="4"/>
      <c r="AF4" s="4"/>
      <c r="AG4" s="4"/>
      <c r="AH4" s="4">
        <v>1</v>
      </c>
      <c r="AI4" s="23">
        <f>AVERAGE(AC15:AC27)</f>
        <v>3.6552848518065058</v>
      </c>
      <c r="AJ4" s="4">
        <f>COUNT(AC15:AC27)</f>
        <v>13</v>
      </c>
      <c r="AK4" s="4">
        <f>STDEV(AC15:AC27)/SQRT(AJ4)</f>
        <v>0.11816471080905463</v>
      </c>
      <c r="AL4" s="4"/>
    </row>
    <row r="5" spans="1:38" x14ac:dyDescent="0.2">
      <c r="D5" s="4">
        <v>3</v>
      </c>
      <c r="E5" s="26">
        <v>-1.276</v>
      </c>
      <c r="F5" s="26">
        <v>-120.895</v>
      </c>
      <c r="G5" s="4">
        <f t="shared" si="0"/>
        <v>119.619</v>
      </c>
      <c r="H5" s="19">
        <f t="shared" si="1"/>
        <v>8.0130627009646318</v>
      </c>
      <c r="I5">
        <v>1</v>
      </c>
      <c r="J5" s="12">
        <f t="shared" si="2"/>
        <v>8.0130627009646318</v>
      </c>
      <c r="K5" s="4">
        <v>21.028450000000003</v>
      </c>
      <c r="L5" s="12">
        <f t="shared" si="3"/>
        <v>0.38105817123775793</v>
      </c>
      <c r="M5" s="12">
        <f t="shared" si="4"/>
        <v>3.8105817123775791</v>
      </c>
      <c r="T5">
        <v>7</v>
      </c>
      <c r="U5" s="24">
        <v>6.3970000000000002</v>
      </c>
      <c r="V5" s="24">
        <v>-123.10599999999999</v>
      </c>
      <c r="W5" s="4">
        <f t="shared" si="5"/>
        <v>116.70899999999999</v>
      </c>
      <c r="X5" s="19">
        <f t="shared" si="6"/>
        <v>7.818127009646302</v>
      </c>
      <c r="Y5">
        <v>1</v>
      </c>
      <c r="Z5" s="12">
        <f t="shared" si="7"/>
        <v>7.818127009646302</v>
      </c>
      <c r="AA5" s="12">
        <v>18.651949999999999</v>
      </c>
      <c r="AB5" s="12">
        <f t="shared" si="8"/>
        <v>0.41915869438028208</v>
      </c>
      <c r="AC5" s="12">
        <f t="shared" si="9"/>
        <v>4.1915869438028208</v>
      </c>
      <c r="AD5" s="4"/>
      <c r="AF5" s="4"/>
      <c r="AG5" s="4"/>
      <c r="AH5" s="4">
        <v>4</v>
      </c>
      <c r="AI5" s="23">
        <f>AVERAGE(AC28:AC38)</f>
        <v>3.7532038871532127</v>
      </c>
      <c r="AJ5" s="4">
        <f>COUNT(AC28:AC38)</f>
        <v>11</v>
      </c>
      <c r="AK5" s="4">
        <f>STDEV(AC28:AC38)/SQRT(AJ5)</f>
        <v>0.1150421720640883</v>
      </c>
      <c r="AL5" s="4"/>
    </row>
    <row r="6" spans="1:38" x14ac:dyDescent="0.2">
      <c r="D6" s="4">
        <v>4</v>
      </c>
      <c r="E6" s="26">
        <v>-2.3940000000000001</v>
      </c>
      <c r="F6" s="26">
        <v>-150.053</v>
      </c>
      <c r="G6" s="4">
        <f t="shared" si="0"/>
        <v>147.65899999999999</v>
      </c>
      <c r="H6" s="19">
        <f t="shared" si="1"/>
        <v>9.891412111468382</v>
      </c>
      <c r="I6">
        <v>1</v>
      </c>
      <c r="J6" s="12">
        <f t="shared" si="2"/>
        <v>9.891412111468382</v>
      </c>
      <c r="K6" s="4">
        <v>20.046150000000001</v>
      </c>
      <c r="L6" s="12">
        <f t="shared" si="3"/>
        <v>0.49343201120755764</v>
      </c>
      <c r="M6" s="12">
        <f t="shared" si="4"/>
        <v>4.9343201120755769</v>
      </c>
      <c r="T6">
        <v>8</v>
      </c>
      <c r="U6" s="24">
        <v>-1.671</v>
      </c>
      <c r="V6" s="24">
        <v>-107.124</v>
      </c>
      <c r="W6" s="4">
        <f t="shared" si="5"/>
        <v>105.45299999999999</v>
      </c>
      <c r="X6" s="19">
        <f t="shared" si="6"/>
        <v>7.064107717041801</v>
      </c>
      <c r="Y6">
        <v>1</v>
      </c>
      <c r="Z6" s="12">
        <f t="shared" si="7"/>
        <v>7.064107717041801</v>
      </c>
      <c r="AA6" s="12">
        <v>18.878999999999998</v>
      </c>
      <c r="AB6" s="12">
        <f t="shared" si="8"/>
        <v>0.37417806647819279</v>
      </c>
      <c r="AC6" s="12">
        <f t="shared" si="9"/>
        <v>3.7417806647819281</v>
      </c>
      <c r="AD6" s="4"/>
      <c r="AF6" s="4"/>
      <c r="AG6" s="4"/>
      <c r="AH6" s="4">
        <v>24</v>
      </c>
      <c r="AI6" s="23">
        <f>AVERAGE(AC39:AC50)</f>
        <v>3.3898326269626566</v>
      </c>
      <c r="AJ6" s="4">
        <f>COUNT(AC39:AC50)</f>
        <v>12</v>
      </c>
      <c r="AK6" s="4">
        <f>STDEV(AC39:AC50)/SQRT(AJ6)</f>
        <v>0.12285618476795263</v>
      </c>
      <c r="AL6" s="4"/>
    </row>
    <row r="7" spans="1:38" x14ac:dyDescent="0.2">
      <c r="A7">
        <v>12</v>
      </c>
      <c r="D7" s="4">
        <v>9</v>
      </c>
      <c r="E7" s="26">
        <v>1.4019999999999999</v>
      </c>
      <c r="F7" s="26">
        <v>-113.76600000000001</v>
      </c>
      <c r="G7" s="4">
        <f t="shared" si="0"/>
        <v>112.364</v>
      </c>
      <c r="H7" s="19">
        <f t="shared" si="1"/>
        <v>7.5270632368703119</v>
      </c>
      <c r="I7">
        <v>1</v>
      </c>
      <c r="J7" s="12">
        <f t="shared" si="2"/>
        <v>7.5270632368703119</v>
      </c>
      <c r="K7" s="4">
        <v>18.255850000000002</v>
      </c>
      <c r="L7" s="12">
        <f t="shared" si="3"/>
        <v>0.41230965618529464</v>
      </c>
      <c r="M7" s="12">
        <f t="shared" si="4"/>
        <v>4.1230965618529467</v>
      </c>
      <c r="Q7">
        <v>14</v>
      </c>
      <c r="T7">
        <v>13</v>
      </c>
      <c r="U7" s="24">
        <v>10.077</v>
      </c>
      <c r="V7" s="24">
        <v>-108.988</v>
      </c>
      <c r="W7" s="4">
        <f t="shared" si="5"/>
        <v>98.911000000000001</v>
      </c>
      <c r="X7" s="19">
        <f t="shared" si="6"/>
        <v>6.6258708467309759</v>
      </c>
      <c r="Y7">
        <v>1</v>
      </c>
      <c r="Z7" s="12">
        <f t="shared" si="7"/>
        <v>6.6258708467309759</v>
      </c>
      <c r="AA7" s="12">
        <v>20.563700000000001</v>
      </c>
      <c r="AB7" s="12">
        <f t="shared" si="8"/>
        <v>0.32221199719559107</v>
      </c>
      <c r="AC7" s="12">
        <f t="shared" si="9"/>
        <v>3.2221199719559106</v>
      </c>
      <c r="AD7" s="4"/>
      <c r="AF7" s="4"/>
      <c r="AG7" s="4"/>
      <c r="AH7" s="4"/>
      <c r="AI7" s="4"/>
      <c r="AJ7" s="4"/>
      <c r="AK7" s="4"/>
      <c r="AL7" s="4"/>
    </row>
    <row r="8" spans="1:38" x14ac:dyDescent="0.2">
      <c r="D8" s="4">
        <v>10</v>
      </c>
      <c r="E8" s="26">
        <v>2.8239999999999998</v>
      </c>
      <c r="F8" s="26">
        <v>-88.512</v>
      </c>
      <c r="G8" s="4">
        <f t="shared" si="0"/>
        <v>85.688000000000002</v>
      </c>
      <c r="H8" s="19">
        <f t="shared" si="1"/>
        <v>5.7400857449088969</v>
      </c>
      <c r="I8">
        <v>1</v>
      </c>
      <c r="J8" s="12">
        <f t="shared" si="2"/>
        <v>5.7400857449088969</v>
      </c>
      <c r="K8" s="4">
        <v>16.666249999999998</v>
      </c>
      <c r="L8" s="12">
        <f t="shared" si="3"/>
        <v>0.34441375503840982</v>
      </c>
      <c r="M8" s="12">
        <f t="shared" si="4"/>
        <v>3.4441375503840983</v>
      </c>
      <c r="T8">
        <v>14</v>
      </c>
      <c r="U8" s="24">
        <v>1.6080000000000001</v>
      </c>
      <c r="V8" s="24">
        <v>-94.465000000000003</v>
      </c>
      <c r="W8" s="4">
        <f t="shared" si="5"/>
        <v>92.856999999999999</v>
      </c>
      <c r="X8" s="19">
        <f t="shared" si="6"/>
        <v>6.2203242229367639</v>
      </c>
      <c r="Y8">
        <v>1</v>
      </c>
      <c r="Z8" s="12">
        <f t="shared" si="7"/>
        <v>6.2203242229367639</v>
      </c>
      <c r="AA8" s="12">
        <v>18.22945</v>
      </c>
      <c r="AB8" s="12">
        <f t="shared" si="8"/>
        <v>0.341223910920887</v>
      </c>
      <c r="AC8" s="12">
        <f t="shared" si="9"/>
        <v>3.41223910920887</v>
      </c>
      <c r="AD8" s="4"/>
      <c r="AF8" s="4"/>
      <c r="AG8" s="4" t="s">
        <v>9</v>
      </c>
      <c r="AH8" s="4">
        <v>0</v>
      </c>
      <c r="AI8" s="20">
        <f>AVERAGE(M3:M14)</f>
        <v>3.838668543871893</v>
      </c>
      <c r="AJ8" s="4">
        <f>COUNT(M3:M14)</f>
        <v>12</v>
      </c>
      <c r="AK8" s="4">
        <f>STDEV(M3:M14)/SQRT(AJ8)</f>
        <v>0.17718046664089912</v>
      </c>
      <c r="AL8" s="4"/>
    </row>
    <row r="9" spans="1:38" x14ac:dyDescent="0.2">
      <c r="D9" s="4">
        <v>11</v>
      </c>
      <c r="E9" s="26">
        <v>1.8660000000000001</v>
      </c>
      <c r="F9" s="26">
        <v>-116.501</v>
      </c>
      <c r="G9" s="4">
        <f t="shared" si="0"/>
        <v>114.63500000000001</v>
      </c>
      <c r="H9" s="19">
        <f t="shared" si="1"/>
        <v>7.6791934619506979</v>
      </c>
      <c r="I9">
        <v>1</v>
      </c>
      <c r="J9" s="12">
        <f t="shared" si="2"/>
        <v>7.6791934619506979</v>
      </c>
      <c r="K9" s="4">
        <v>21.820599999999999</v>
      </c>
      <c r="L9" s="12">
        <f t="shared" si="3"/>
        <v>0.35192402875955281</v>
      </c>
      <c r="M9" s="12">
        <f t="shared" si="4"/>
        <v>3.5192402875955282</v>
      </c>
      <c r="T9">
        <v>15</v>
      </c>
      <c r="U9" s="24">
        <v>-0.93500000000000005</v>
      </c>
      <c r="V9" s="24">
        <v>-91.728999999999999</v>
      </c>
      <c r="W9" s="4">
        <f t="shared" si="5"/>
        <v>90.793999999999997</v>
      </c>
      <c r="X9" s="19">
        <f t="shared" si="6"/>
        <v>6.0821275455519839</v>
      </c>
      <c r="Y9">
        <v>1</v>
      </c>
      <c r="Z9" s="12">
        <f t="shared" si="7"/>
        <v>6.0821275455519839</v>
      </c>
      <c r="AA9" s="12">
        <v>17.236600000000003</v>
      </c>
      <c r="AB9" s="12">
        <f t="shared" si="8"/>
        <v>0.35286121076964033</v>
      </c>
      <c r="AC9" s="12">
        <f t="shared" si="9"/>
        <v>3.5286121076964032</v>
      </c>
      <c r="AD9" s="4"/>
      <c r="AF9" s="4"/>
      <c r="AG9" s="4"/>
      <c r="AH9" s="4">
        <v>1</v>
      </c>
      <c r="AI9" s="20">
        <f>AVERAGE(M15:M17, M19:M27)</f>
        <v>3.8838394419113484</v>
      </c>
      <c r="AJ9" s="4">
        <f>COUNT(M15:M17, M19:M27)</f>
        <v>12</v>
      </c>
      <c r="AK9" s="4">
        <f>STDEV(M15:M17, M19:M27)/SQRT(AJ9)</f>
        <v>0.21444034558166</v>
      </c>
      <c r="AL9" s="4"/>
    </row>
    <row r="10" spans="1:38" x14ac:dyDescent="0.2">
      <c r="D10" s="4">
        <v>12</v>
      </c>
      <c r="E10" s="26">
        <v>-2.6190000000000002</v>
      </c>
      <c r="F10" s="26">
        <v>-114.358</v>
      </c>
      <c r="G10" s="4">
        <f t="shared" si="0"/>
        <v>111.739</v>
      </c>
      <c r="H10" s="19">
        <f t="shared" si="1"/>
        <v>7.4851956055734199</v>
      </c>
      <c r="I10">
        <v>1</v>
      </c>
      <c r="J10" s="12">
        <f t="shared" si="2"/>
        <v>7.4851956055734199</v>
      </c>
      <c r="K10" s="4">
        <v>18.741700000000002</v>
      </c>
      <c r="L10" s="12">
        <f t="shared" si="3"/>
        <v>0.3993872277100487</v>
      </c>
      <c r="M10" s="12">
        <f t="shared" si="4"/>
        <v>3.9938722771004871</v>
      </c>
      <c r="T10">
        <v>16</v>
      </c>
      <c r="U10" s="24">
        <v>2.6269999999999998</v>
      </c>
      <c r="V10" s="24">
        <v>-95.248000000000005</v>
      </c>
      <c r="W10" s="4">
        <f t="shared" si="5"/>
        <v>92.621000000000009</v>
      </c>
      <c r="X10" s="19">
        <f t="shared" si="6"/>
        <v>6.2045150053590588</v>
      </c>
      <c r="Y10">
        <v>1</v>
      </c>
      <c r="Z10" s="12">
        <f t="shared" si="7"/>
        <v>6.2045150053590588</v>
      </c>
      <c r="AA10" s="12">
        <v>17.27355</v>
      </c>
      <c r="AB10" s="12">
        <f t="shared" si="8"/>
        <v>0.35919165460250257</v>
      </c>
      <c r="AC10" s="12">
        <f t="shared" si="9"/>
        <v>3.5919165460250255</v>
      </c>
      <c r="AD10" s="4"/>
      <c r="AF10" s="4"/>
      <c r="AG10" s="4"/>
      <c r="AH10" s="4">
        <v>4</v>
      </c>
      <c r="AI10" s="20">
        <f>AVERAGE(M28:M39)</f>
        <v>3.6847312643471803</v>
      </c>
      <c r="AJ10" s="4">
        <f>COUNT(M28:M39)</f>
        <v>12</v>
      </c>
      <c r="AK10" s="4">
        <f>STDEV(M28:M39)/SQRT(AJ10)</f>
        <v>0.13470777140093462</v>
      </c>
      <c r="AL10" s="4"/>
    </row>
    <row r="11" spans="1:38" x14ac:dyDescent="0.2">
      <c r="A11">
        <v>12</v>
      </c>
      <c r="D11" s="4">
        <v>65</v>
      </c>
      <c r="E11" s="26">
        <v>1.6559999999999999</v>
      </c>
      <c r="F11" s="26">
        <v>-97.152000000000001</v>
      </c>
      <c r="G11" s="4">
        <f t="shared" si="0"/>
        <v>95.495999999999995</v>
      </c>
      <c r="H11" s="19">
        <f t="shared" si="1"/>
        <v>6.3971061093247599</v>
      </c>
      <c r="I11">
        <v>1</v>
      </c>
      <c r="J11" s="12">
        <f t="shared" si="2"/>
        <v>6.3971061093247599</v>
      </c>
      <c r="K11" s="4">
        <v>17.997049999999998</v>
      </c>
      <c r="L11" s="12">
        <f t="shared" si="3"/>
        <v>0.35545303865493294</v>
      </c>
      <c r="M11" s="12">
        <f t="shared" si="4"/>
        <v>3.5545303865493292</v>
      </c>
      <c r="Q11">
        <v>15</v>
      </c>
      <c r="T11">
        <v>69</v>
      </c>
      <c r="U11" s="24">
        <v>2.125</v>
      </c>
      <c r="V11" s="24">
        <v>-83.552000000000007</v>
      </c>
      <c r="W11" s="4">
        <f t="shared" si="5"/>
        <v>81.427000000000007</v>
      </c>
      <c r="X11" s="19">
        <f t="shared" si="6"/>
        <v>5.4546489817792079</v>
      </c>
      <c r="Y11">
        <v>1</v>
      </c>
      <c r="Z11" s="12">
        <f t="shared" si="7"/>
        <v>5.4546489817792079</v>
      </c>
      <c r="AA11" s="12">
        <v>19.354299999999999</v>
      </c>
      <c r="AB11" s="12">
        <f t="shared" si="8"/>
        <v>0.28183137503186417</v>
      </c>
      <c r="AC11" s="12">
        <f t="shared" si="9"/>
        <v>2.8183137503186417</v>
      </c>
      <c r="AD11" s="4"/>
      <c r="AF11" s="4"/>
      <c r="AG11" s="4"/>
      <c r="AH11" s="4">
        <v>24</v>
      </c>
      <c r="AI11" s="20">
        <f>AVERAGE(M40:M52)</f>
        <v>3.4258503887652876</v>
      </c>
      <c r="AJ11" s="4">
        <f>COUNT(M40:M52)</f>
        <v>13</v>
      </c>
      <c r="AK11" s="4">
        <f>STDEV(M40:M52)/SQRT(AJ11)</f>
        <v>0.10290146098283594</v>
      </c>
      <c r="AL11" s="4"/>
    </row>
    <row r="12" spans="1:38" x14ac:dyDescent="0.2">
      <c r="D12" s="4">
        <v>66</v>
      </c>
      <c r="E12" s="26">
        <v>-2.5830000000000002</v>
      </c>
      <c r="F12" s="26">
        <v>-102.90600000000001</v>
      </c>
      <c r="G12" s="4">
        <f t="shared" si="0"/>
        <v>100.32300000000001</v>
      </c>
      <c r="H12" s="19">
        <f t="shared" si="1"/>
        <v>6.7204581993569148</v>
      </c>
      <c r="I12">
        <v>1</v>
      </c>
      <c r="J12" s="12">
        <f t="shared" si="2"/>
        <v>6.7204581993569148</v>
      </c>
      <c r="K12" s="4">
        <v>17.965400000000002</v>
      </c>
      <c r="L12" s="12">
        <f t="shared" si="3"/>
        <v>0.37407784960852047</v>
      </c>
      <c r="M12" s="12">
        <f t="shared" si="4"/>
        <v>3.7407784960852046</v>
      </c>
      <c r="T12">
        <v>70</v>
      </c>
      <c r="U12" s="24">
        <v>-6.53</v>
      </c>
      <c r="V12" s="24">
        <v>-116.496</v>
      </c>
      <c r="W12" s="4">
        <f t="shared" si="5"/>
        <v>109.96599999999999</v>
      </c>
      <c r="X12" s="19">
        <f t="shared" si="6"/>
        <v>7.3664255091103978</v>
      </c>
      <c r="Y12">
        <v>1</v>
      </c>
      <c r="Z12" s="12">
        <f t="shared" si="7"/>
        <v>7.3664255091103978</v>
      </c>
      <c r="AA12" s="12">
        <v>19.169499999999999</v>
      </c>
      <c r="AB12" s="12">
        <f t="shared" si="8"/>
        <v>0.38427843757585739</v>
      </c>
      <c r="AC12" s="12">
        <f t="shared" si="9"/>
        <v>3.842784375758574</v>
      </c>
      <c r="AD12" s="4"/>
      <c r="AF12" s="4"/>
      <c r="AG12" s="4"/>
      <c r="AH12" s="4"/>
      <c r="AI12" s="4"/>
      <c r="AJ12" s="4"/>
      <c r="AK12" s="4"/>
      <c r="AL12" s="4"/>
    </row>
    <row r="13" spans="1:38" x14ac:dyDescent="0.2">
      <c r="D13" s="4">
        <v>67</v>
      </c>
      <c r="E13" s="26">
        <v>-0.44400000000000001</v>
      </c>
      <c r="F13" s="26">
        <v>-93.495999999999995</v>
      </c>
      <c r="G13" s="4">
        <f t="shared" si="0"/>
        <v>93.051999999999992</v>
      </c>
      <c r="H13" s="19">
        <f t="shared" si="1"/>
        <v>6.233386923901393</v>
      </c>
      <c r="I13">
        <v>1</v>
      </c>
      <c r="J13" s="12">
        <f t="shared" si="2"/>
        <v>6.233386923901393</v>
      </c>
      <c r="K13" s="4">
        <v>18.023500000000002</v>
      </c>
      <c r="L13" s="12">
        <f t="shared" si="3"/>
        <v>0.34584775009855978</v>
      </c>
      <c r="M13" s="12">
        <f t="shared" si="4"/>
        <v>3.4584775009855977</v>
      </c>
      <c r="T13">
        <v>71</v>
      </c>
      <c r="U13" s="24">
        <v>-1.5189999999999999</v>
      </c>
      <c r="V13" s="24">
        <v>-98.697000000000003</v>
      </c>
      <c r="W13" s="4">
        <f t="shared" si="5"/>
        <v>97.177999999999997</v>
      </c>
      <c r="X13" s="19">
        <f t="shared" si="6"/>
        <v>6.5097802786709549</v>
      </c>
      <c r="Y13">
        <v>1</v>
      </c>
      <c r="Z13" s="12">
        <f t="shared" si="7"/>
        <v>6.5097802786709549</v>
      </c>
      <c r="AA13" s="12">
        <v>19.090250000000001</v>
      </c>
      <c r="AB13" s="12">
        <f t="shared" si="8"/>
        <v>0.34100026341566791</v>
      </c>
      <c r="AC13" s="12">
        <f t="shared" si="9"/>
        <v>3.4100026341566791</v>
      </c>
      <c r="AD13" s="4"/>
      <c r="AF13" s="4"/>
      <c r="AG13" s="4"/>
      <c r="AH13" s="4"/>
      <c r="AI13" s="4"/>
      <c r="AJ13" s="4"/>
      <c r="AK13" s="4"/>
      <c r="AL13" s="4"/>
    </row>
    <row r="14" spans="1:38" x14ac:dyDescent="0.2">
      <c r="D14" s="4">
        <v>68</v>
      </c>
      <c r="E14" s="26">
        <v>-2.4009999999999998</v>
      </c>
      <c r="F14" s="26">
        <v>-86.128</v>
      </c>
      <c r="G14" s="4">
        <f t="shared" si="0"/>
        <v>83.727000000000004</v>
      </c>
      <c r="H14" s="19">
        <f t="shared" si="1"/>
        <v>5.6087218649517689</v>
      </c>
      <c r="I14">
        <v>1</v>
      </c>
      <c r="J14" s="12">
        <f t="shared" si="2"/>
        <v>5.6087218649517689</v>
      </c>
      <c r="K14" s="4">
        <v>17.843899999999998</v>
      </c>
      <c r="L14" s="12">
        <f t="shared" si="3"/>
        <v>0.3143215252804471</v>
      </c>
      <c r="M14" s="12">
        <f t="shared" si="4"/>
        <v>3.1432152528044712</v>
      </c>
      <c r="T14">
        <v>72</v>
      </c>
      <c r="U14" s="24">
        <v>-3.1749999999999998</v>
      </c>
      <c r="V14" s="24">
        <v>-93.343999999999994</v>
      </c>
      <c r="W14" s="4">
        <f t="shared" si="5"/>
        <v>90.168999999999997</v>
      </c>
      <c r="X14" s="19">
        <f t="shared" si="6"/>
        <v>6.0402599142550919</v>
      </c>
      <c r="Y14">
        <v>1</v>
      </c>
      <c r="Z14" s="12">
        <f t="shared" si="7"/>
        <v>6.0402599142550919</v>
      </c>
      <c r="AA14" s="12">
        <v>18.134399999999999</v>
      </c>
      <c r="AB14" s="12">
        <f t="shared" si="8"/>
        <v>0.33308297568461553</v>
      </c>
      <c r="AC14" s="12">
        <f t="shared" si="9"/>
        <v>3.3308297568461551</v>
      </c>
      <c r="AD14" s="4"/>
      <c r="AF14" s="4"/>
      <c r="AG14" s="4"/>
      <c r="AH14" s="4"/>
      <c r="AI14" s="4"/>
      <c r="AJ14" s="4"/>
      <c r="AK14" s="4"/>
      <c r="AL14" s="4"/>
    </row>
    <row r="15" spans="1:38" x14ac:dyDescent="0.2">
      <c r="A15">
        <v>11</v>
      </c>
      <c r="C15" t="s">
        <v>11</v>
      </c>
      <c r="D15" s="4">
        <v>17</v>
      </c>
      <c r="E15" s="26">
        <v>2.2749999999999999</v>
      </c>
      <c r="F15" s="26">
        <v>-112.56</v>
      </c>
      <c r="G15" s="4">
        <f t="shared" si="0"/>
        <v>110.285</v>
      </c>
      <c r="H15" s="19">
        <f t="shared" si="1"/>
        <v>7.3877947481243309</v>
      </c>
      <c r="I15">
        <v>1</v>
      </c>
      <c r="J15" s="12">
        <f t="shared" si="2"/>
        <v>7.3877947481243309</v>
      </c>
      <c r="K15" s="4">
        <v>19.982800000000001</v>
      </c>
      <c r="L15" s="12">
        <f t="shared" si="3"/>
        <v>0.36970768601619047</v>
      </c>
      <c r="M15" s="12">
        <f t="shared" si="4"/>
        <v>3.6970768601619048</v>
      </c>
      <c r="Q15">
        <v>15</v>
      </c>
      <c r="S15" t="s">
        <v>11</v>
      </c>
      <c r="T15">
        <v>21</v>
      </c>
      <c r="U15" s="24">
        <v>-2.86</v>
      </c>
      <c r="V15" s="24">
        <v>-87.738</v>
      </c>
      <c r="W15" s="4">
        <f t="shared" si="5"/>
        <v>84.878</v>
      </c>
      <c r="X15" s="19">
        <f t="shared" si="6"/>
        <v>5.6858252947481249</v>
      </c>
      <c r="Y15">
        <v>1</v>
      </c>
      <c r="Z15" s="12">
        <f t="shared" si="7"/>
        <v>5.6858252947481249</v>
      </c>
      <c r="AA15" s="12">
        <v>18.361449999999998</v>
      </c>
      <c r="AB15" s="12">
        <f t="shared" si="8"/>
        <v>0.30966101777082561</v>
      </c>
      <c r="AC15" s="12">
        <f t="shared" si="9"/>
        <v>3.0966101777082562</v>
      </c>
      <c r="AD15" s="23">
        <f>AVERAGE(AC15:AC27)</f>
        <v>3.6552848518065058</v>
      </c>
      <c r="AE15" t="s">
        <v>11</v>
      </c>
      <c r="AF15" s="4"/>
      <c r="AG15" s="4"/>
      <c r="AH15" s="4"/>
      <c r="AI15" s="4"/>
      <c r="AJ15" s="4"/>
      <c r="AK15" s="4"/>
      <c r="AL15" s="4"/>
    </row>
    <row r="16" spans="1:38" x14ac:dyDescent="0.2">
      <c r="D16" s="4">
        <v>18</v>
      </c>
      <c r="E16" s="26">
        <v>0.253</v>
      </c>
      <c r="F16" s="26">
        <v>-94.775000000000006</v>
      </c>
      <c r="G16" s="4">
        <f t="shared" si="0"/>
        <v>94.522000000000006</v>
      </c>
      <c r="H16" s="19">
        <f t="shared" si="1"/>
        <v>6.3318595927116839</v>
      </c>
      <c r="I16">
        <v>1</v>
      </c>
      <c r="J16" s="12">
        <f t="shared" si="2"/>
        <v>6.3318595927116839</v>
      </c>
      <c r="K16" s="4">
        <v>19.62895</v>
      </c>
      <c r="L16" s="12">
        <f t="shared" si="3"/>
        <v>0.3225776005701621</v>
      </c>
      <c r="M16" s="12">
        <f t="shared" si="4"/>
        <v>3.2257760057016212</v>
      </c>
      <c r="T16">
        <v>22</v>
      </c>
      <c r="U16" s="24">
        <v>-0.754</v>
      </c>
      <c r="V16" s="24">
        <v>-89.962999999999994</v>
      </c>
      <c r="W16" s="4">
        <f t="shared" si="5"/>
        <v>89.208999999999989</v>
      </c>
      <c r="X16" s="19">
        <f t="shared" si="6"/>
        <v>5.975951232583065</v>
      </c>
      <c r="Y16">
        <v>1</v>
      </c>
      <c r="Z16" s="12">
        <f t="shared" si="7"/>
        <v>5.975951232583065</v>
      </c>
      <c r="AA16" s="12">
        <v>18.937100000000001</v>
      </c>
      <c r="AB16" s="12">
        <f t="shared" si="8"/>
        <v>0.31556844673065382</v>
      </c>
      <c r="AC16" s="12">
        <f t="shared" si="9"/>
        <v>3.1556844673065383</v>
      </c>
      <c r="AD16" s="4"/>
      <c r="AF16" s="4"/>
      <c r="AG16" s="4"/>
      <c r="AH16" s="4"/>
      <c r="AI16" s="4"/>
      <c r="AJ16" s="4"/>
      <c r="AK16" s="4"/>
      <c r="AL16" s="4"/>
    </row>
    <row r="17" spans="1:38" x14ac:dyDescent="0.2">
      <c r="D17" s="4">
        <v>19</v>
      </c>
      <c r="E17" s="26">
        <v>1.6220000000000001</v>
      </c>
      <c r="F17" s="26">
        <v>-105.575</v>
      </c>
      <c r="G17" s="4">
        <f t="shared" si="0"/>
        <v>103.953</v>
      </c>
      <c r="H17" s="19">
        <f t="shared" si="1"/>
        <v>6.9636254019292609</v>
      </c>
      <c r="I17">
        <v>1</v>
      </c>
      <c r="J17" s="12">
        <f t="shared" si="2"/>
        <v>6.9636254019292609</v>
      </c>
      <c r="K17" s="4">
        <v>18.783950000000001</v>
      </c>
      <c r="L17" s="12">
        <f t="shared" si="3"/>
        <v>0.37072210061937244</v>
      </c>
      <c r="M17" s="12">
        <f t="shared" si="4"/>
        <v>3.7072210061937243</v>
      </c>
      <c r="T17">
        <v>23</v>
      </c>
      <c r="U17" s="24">
        <v>3.6339999999999999</v>
      </c>
      <c r="V17" s="24">
        <v>-102.096</v>
      </c>
      <c r="W17" s="4">
        <f t="shared" si="5"/>
        <v>98.462000000000003</v>
      </c>
      <c r="X17" s="19">
        <f t="shared" si="6"/>
        <v>6.5957931404072889</v>
      </c>
      <c r="Y17">
        <v>1</v>
      </c>
      <c r="Z17" s="12">
        <f t="shared" si="7"/>
        <v>6.5957931404072889</v>
      </c>
      <c r="AA17" s="12">
        <v>16.613399999999999</v>
      </c>
      <c r="AB17" s="12">
        <f t="shared" si="8"/>
        <v>0.39701645300825172</v>
      </c>
      <c r="AC17" s="12">
        <f t="shared" si="9"/>
        <v>3.970164530082517</v>
      </c>
      <c r="AD17" s="4"/>
      <c r="AF17" s="4"/>
      <c r="AG17" s="4"/>
      <c r="AH17" s="4"/>
      <c r="AI17" s="4"/>
      <c r="AJ17" s="4"/>
      <c r="AK17" s="4"/>
      <c r="AL17" s="4"/>
    </row>
    <row r="18" spans="1:38" x14ac:dyDescent="0.2">
      <c r="D18" s="8">
        <v>20</v>
      </c>
      <c r="E18" s="28">
        <v>1.05</v>
      </c>
      <c r="F18" s="28">
        <v>-126.06399999999999</v>
      </c>
      <c r="G18" s="8">
        <f t="shared" si="0"/>
        <v>125.014</v>
      </c>
      <c r="H18" s="30">
        <f t="shared" si="1"/>
        <v>8.3744640943194</v>
      </c>
      <c r="I18" s="8">
        <v>1</v>
      </c>
      <c r="J18" s="13">
        <f t="shared" si="2"/>
        <v>8.3744640943194</v>
      </c>
      <c r="K18" s="8">
        <v>12.710649999999998</v>
      </c>
      <c r="L18" s="13">
        <f t="shared" si="3"/>
        <v>0.65885411794986104</v>
      </c>
      <c r="M18" s="13">
        <f t="shared" si="4"/>
        <v>6.5885411794986108</v>
      </c>
      <c r="N18" t="s">
        <v>344</v>
      </c>
      <c r="T18">
        <v>24</v>
      </c>
      <c r="U18" s="24">
        <v>2.25</v>
      </c>
      <c r="V18" s="24">
        <v>-122.51</v>
      </c>
      <c r="W18" s="4">
        <f t="shared" si="5"/>
        <v>120.26</v>
      </c>
      <c r="X18" s="19">
        <f t="shared" si="6"/>
        <v>8.0560021436227238</v>
      </c>
      <c r="Y18">
        <v>1</v>
      </c>
      <c r="Z18" s="12">
        <f t="shared" si="7"/>
        <v>8.0560021436227238</v>
      </c>
      <c r="AA18" s="12">
        <v>18.535749999999997</v>
      </c>
      <c r="AB18" s="12">
        <f t="shared" si="8"/>
        <v>0.43461970212280188</v>
      </c>
      <c r="AC18" s="12">
        <f t="shared" si="9"/>
        <v>4.3461970212280185</v>
      </c>
      <c r="AD18" s="4"/>
      <c r="AF18" s="4"/>
      <c r="AG18" s="4"/>
      <c r="AH18" s="4"/>
      <c r="AI18" s="4"/>
      <c r="AJ18" s="4"/>
      <c r="AK18" s="4"/>
      <c r="AL18" s="4"/>
    </row>
    <row r="19" spans="1:38" x14ac:dyDescent="0.2">
      <c r="A19">
        <v>12</v>
      </c>
      <c r="D19" s="4">
        <v>25</v>
      </c>
      <c r="E19" s="26">
        <v>3.5019999999999998</v>
      </c>
      <c r="F19" s="26">
        <v>-112.419</v>
      </c>
      <c r="G19" s="4">
        <f t="shared" si="0"/>
        <v>108.917</v>
      </c>
      <c r="H19" s="19">
        <f t="shared" si="1"/>
        <v>7.2961548767416939</v>
      </c>
      <c r="I19">
        <v>1</v>
      </c>
      <c r="J19" s="12">
        <f t="shared" si="2"/>
        <v>7.2961548767416939</v>
      </c>
      <c r="K19" s="4">
        <v>18.504049999999999</v>
      </c>
      <c r="L19" s="12">
        <f t="shared" si="3"/>
        <v>0.3943004302702216</v>
      </c>
      <c r="M19" s="12">
        <f t="shared" si="4"/>
        <v>3.9430043027022159</v>
      </c>
      <c r="Q19">
        <v>14</v>
      </c>
      <c r="T19">
        <v>29</v>
      </c>
      <c r="U19" s="24">
        <v>-7.53</v>
      </c>
      <c r="V19" s="24">
        <v>-93.123999999999995</v>
      </c>
      <c r="W19" s="4">
        <f t="shared" si="5"/>
        <v>85.593999999999994</v>
      </c>
      <c r="X19" s="19">
        <f t="shared" si="6"/>
        <v>5.7337888531618439</v>
      </c>
      <c r="Y19">
        <v>1</v>
      </c>
      <c r="Z19" s="12">
        <f t="shared" si="7"/>
        <v>5.7337888531618439</v>
      </c>
      <c r="AA19" s="12">
        <v>19.296250000000001</v>
      </c>
      <c r="AB19" s="12">
        <f t="shared" si="8"/>
        <v>0.29714524081942573</v>
      </c>
      <c r="AC19" s="12">
        <f t="shared" si="9"/>
        <v>2.9714524081942573</v>
      </c>
      <c r="AD19" s="4"/>
      <c r="AF19" s="4"/>
      <c r="AG19" s="4"/>
      <c r="AH19" s="4"/>
      <c r="AI19" s="4"/>
      <c r="AJ19" s="4"/>
      <c r="AK19" s="4"/>
      <c r="AL19" s="4"/>
    </row>
    <row r="20" spans="1:38" x14ac:dyDescent="0.2">
      <c r="D20" s="4">
        <v>26</v>
      </c>
      <c r="E20" s="26">
        <v>-4.3680000000000003</v>
      </c>
      <c r="F20" s="26">
        <v>-161.57300000000001</v>
      </c>
      <c r="G20" s="4">
        <f t="shared" si="0"/>
        <v>157.20500000000001</v>
      </c>
      <c r="H20" s="19">
        <f t="shared" si="1"/>
        <v>10.530881564844588</v>
      </c>
      <c r="I20">
        <v>1</v>
      </c>
      <c r="J20" s="12">
        <f t="shared" si="2"/>
        <v>10.530881564844588</v>
      </c>
      <c r="K20" s="4">
        <v>17.63795</v>
      </c>
      <c r="L20" s="12">
        <f t="shared" si="3"/>
        <v>0.59705813684949716</v>
      </c>
      <c r="M20" s="12">
        <f t="shared" si="4"/>
        <v>5.9705813684949716</v>
      </c>
      <c r="T20">
        <v>30</v>
      </c>
      <c r="U20" s="24">
        <v>-4.4219999999999997</v>
      </c>
      <c r="V20" s="24">
        <v>-124.605</v>
      </c>
      <c r="W20" s="4">
        <f t="shared" si="5"/>
        <v>120.18300000000001</v>
      </c>
      <c r="X20" s="19">
        <f t="shared" si="6"/>
        <v>8.0508440514469459</v>
      </c>
      <c r="Y20">
        <v>1</v>
      </c>
      <c r="Z20" s="12">
        <f t="shared" si="7"/>
        <v>8.0508440514469459</v>
      </c>
      <c r="AA20" s="12">
        <v>20.458099999999998</v>
      </c>
      <c r="AB20" s="12">
        <f t="shared" si="8"/>
        <v>0.39352843379624436</v>
      </c>
      <c r="AC20" s="12">
        <f t="shared" si="9"/>
        <v>3.9352843379624436</v>
      </c>
      <c r="AD20" s="4"/>
      <c r="AF20" s="4"/>
      <c r="AG20" s="4"/>
      <c r="AH20" s="4"/>
      <c r="AI20" s="4"/>
      <c r="AJ20" s="4"/>
      <c r="AK20" s="4"/>
      <c r="AL20" s="4"/>
    </row>
    <row r="21" spans="1:38" x14ac:dyDescent="0.2">
      <c r="D21" s="4">
        <v>27</v>
      </c>
      <c r="E21" s="26">
        <v>-1.407</v>
      </c>
      <c r="F21" s="26">
        <v>-108.377</v>
      </c>
      <c r="G21" s="4">
        <f t="shared" si="0"/>
        <v>106.97</v>
      </c>
      <c r="H21" s="19">
        <f t="shared" si="1"/>
        <v>7.1657288317256169</v>
      </c>
      <c r="I21">
        <v>1</v>
      </c>
      <c r="J21" s="12">
        <f t="shared" si="2"/>
        <v>7.1657288317256169</v>
      </c>
      <c r="K21" s="4">
        <v>18.989900000000002</v>
      </c>
      <c r="L21" s="12">
        <f t="shared" si="3"/>
        <v>0.37734421096085896</v>
      </c>
      <c r="M21" s="12">
        <f t="shared" si="4"/>
        <v>3.7734421096085895</v>
      </c>
      <c r="T21">
        <v>31</v>
      </c>
      <c r="U21" s="24">
        <v>-6.7750000000000004</v>
      </c>
      <c r="V21" s="24">
        <v>-116.36799999999999</v>
      </c>
      <c r="W21" s="4">
        <f t="shared" si="5"/>
        <v>109.59299999999999</v>
      </c>
      <c r="X21" s="19">
        <f t="shared" si="6"/>
        <v>7.3414389067524111</v>
      </c>
      <c r="Y21">
        <v>1</v>
      </c>
      <c r="Z21" s="12">
        <f t="shared" si="7"/>
        <v>7.3414389067524111</v>
      </c>
      <c r="AA21" s="12">
        <v>19.7029</v>
      </c>
      <c r="AB21" s="12">
        <f t="shared" si="8"/>
        <v>0.3726070226592233</v>
      </c>
      <c r="AC21" s="12">
        <f t="shared" si="9"/>
        <v>3.726070226592233</v>
      </c>
      <c r="AD21" s="4"/>
      <c r="AF21" s="4"/>
      <c r="AG21" s="4"/>
      <c r="AH21" s="4"/>
      <c r="AI21" s="4"/>
      <c r="AJ21" s="4"/>
      <c r="AK21" s="4"/>
      <c r="AL21" s="4"/>
    </row>
    <row r="22" spans="1:38" x14ac:dyDescent="0.2">
      <c r="D22" s="4">
        <v>28</v>
      </c>
      <c r="E22" s="26">
        <v>2.073</v>
      </c>
      <c r="F22" s="26">
        <v>-110.256</v>
      </c>
      <c r="G22" s="4">
        <f t="shared" si="0"/>
        <v>108.18300000000001</v>
      </c>
      <c r="H22" s="19">
        <f t="shared" si="1"/>
        <v>7.2469855305466249</v>
      </c>
      <c r="I22">
        <v>1</v>
      </c>
      <c r="J22" s="12">
        <f t="shared" si="2"/>
        <v>7.2469855305466249</v>
      </c>
      <c r="K22" s="4">
        <v>20.621799999999997</v>
      </c>
      <c r="L22" s="12">
        <f t="shared" si="3"/>
        <v>0.35142351931192362</v>
      </c>
      <c r="M22" s="12">
        <f t="shared" si="4"/>
        <v>3.5142351931192364</v>
      </c>
      <c r="T22">
        <v>32</v>
      </c>
      <c r="U22" s="24">
        <v>-1.2849999999999999</v>
      </c>
      <c r="V22" s="24">
        <v>-100.089</v>
      </c>
      <c r="W22" s="4">
        <f t="shared" si="5"/>
        <v>98.804000000000002</v>
      </c>
      <c r="X22" s="19">
        <f t="shared" si="6"/>
        <v>6.6187031082529479</v>
      </c>
      <c r="Y22">
        <v>1</v>
      </c>
      <c r="Z22" s="12">
        <f t="shared" si="7"/>
        <v>6.6187031082529479</v>
      </c>
      <c r="AA22" s="12">
        <v>18.271700000000003</v>
      </c>
      <c r="AB22" s="12">
        <f t="shared" si="8"/>
        <v>0.36223794765965656</v>
      </c>
      <c r="AC22" s="12">
        <f t="shared" si="9"/>
        <v>3.6223794765965653</v>
      </c>
      <c r="AD22" s="4"/>
      <c r="AF22" s="4"/>
      <c r="AG22" s="4"/>
      <c r="AH22" s="4"/>
      <c r="AI22" s="4"/>
      <c r="AJ22" s="4"/>
      <c r="AK22" s="4"/>
      <c r="AL22" s="4"/>
    </row>
    <row r="23" spans="1:38" x14ac:dyDescent="0.2">
      <c r="A23">
        <v>12</v>
      </c>
      <c r="D23" s="4">
        <v>73</v>
      </c>
      <c r="E23" s="26">
        <v>6.0970000000000004</v>
      </c>
      <c r="F23" s="26">
        <v>-124.07899999999999</v>
      </c>
      <c r="G23" s="4">
        <f t="shared" si="0"/>
        <v>117.982</v>
      </c>
      <c r="H23" s="19">
        <f t="shared" si="1"/>
        <v>7.9034030010718119</v>
      </c>
      <c r="I23">
        <v>1</v>
      </c>
      <c r="J23" s="12">
        <f t="shared" si="2"/>
        <v>7.9034030010718119</v>
      </c>
      <c r="K23" s="4">
        <v>18.604400000000002</v>
      </c>
      <c r="L23" s="12">
        <f t="shared" si="3"/>
        <v>0.42481364629183477</v>
      </c>
      <c r="M23" s="12">
        <f t="shared" si="4"/>
        <v>4.2481364629183478</v>
      </c>
      <c r="Q23">
        <v>15</v>
      </c>
      <c r="T23">
        <v>78</v>
      </c>
      <c r="U23" s="24">
        <v>1.5029999999999999</v>
      </c>
      <c r="V23" s="24">
        <v>-116.283</v>
      </c>
      <c r="W23" s="4">
        <f t="shared" si="5"/>
        <v>114.78</v>
      </c>
      <c r="X23" s="19">
        <f t="shared" si="6"/>
        <v>7.6889067524115768</v>
      </c>
      <c r="Y23">
        <v>1</v>
      </c>
      <c r="Z23" s="12">
        <f t="shared" si="7"/>
        <v>7.6889067524115768</v>
      </c>
      <c r="AA23" s="12">
        <v>20.3736</v>
      </c>
      <c r="AB23" s="12">
        <f t="shared" si="8"/>
        <v>0.37739558803606515</v>
      </c>
      <c r="AC23" s="12">
        <f t="shared" si="9"/>
        <v>3.7739558803606514</v>
      </c>
      <c r="AD23" s="4"/>
      <c r="AF23" s="4"/>
      <c r="AG23" s="4"/>
      <c r="AH23" s="4"/>
      <c r="AI23" s="4"/>
      <c r="AJ23" s="4"/>
      <c r="AK23" s="4"/>
      <c r="AL23" s="4"/>
    </row>
    <row r="24" spans="1:38" x14ac:dyDescent="0.2">
      <c r="D24" s="4">
        <v>74</v>
      </c>
      <c r="E24" s="26">
        <v>-0.23699999999999999</v>
      </c>
      <c r="F24" s="26">
        <v>-100.821</v>
      </c>
      <c r="G24" s="4">
        <f t="shared" si="0"/>
        <v>100.584</v>
      </c>
      <c r="H24" s="19">
        <f t="shared" si="1"/>
        <v>6.7379421221864959</v>
      </c>
      <c r="I24">
        <v>1</v>
      </c>
      <c r="J24" s="12">
        <f t="shared" si="2"/>
        <v>6.7379421221864959</v>
      </c>
      <c r="K24" s="4">
        <v>17.875599999999999</v>
      </c>
      <c r="L24" s="12">
        <f t="shared" si="3"/>
        <v>0.37693515866245031</v>
      </c>
      <c r="M24" s="12">
        <f t="shared" si="4"/>
        <v>3.7693515866245031</v>
      </c>
      <c r="T24">
        <v>79</v>
      </c>
      <c r="U24" s="24">
        <v>-1.4950000000000001</v>
      </c>
      <c r="V24" s="24">
        <v>-104.941</v>
      </c>
      <c r="W24" s="4">
        <f t="shared" si="5"/>
        <v>103.446</v>
      </c>
      <c r="X24" s="19">
        <f t="shared" si="6"/>
        <v>6.9296623794212229</v>
      </c>
      <c r="Y24">
        <v>1</v>
      </c>
      <c r="Z24" s="12">
        <f t="shared" si="7"/>
        <v>6.9296623794212229</v>
      </c>
      <c r="AA24" s="12">
        <v>20.389399999999998</v>
      </c>
      <c r="AB24" s="12">
        <f t="shared" si="8"/>
        <v>0.33986592932706328</v>
      </c>
      <c r="AC24" s="12">
        <f t="shared" si="9"/>
        <v>3.398659293270633</v>
      </c>
      <c r="AD24" s="4"/>
      <c r="AF24" s="4"/>
      <c r="AG24" s="4"/>
      <c r="AH24" s="4"/>
      <c r="AI24" s="4"/>
      <c r="AJ24" s="4"/>
      <c r="AK24" s="4"/>
      <c r="AL24" s="4"/>
    </row>
    <row r="25" spans="1:38" x14ac:dyDescent="0.2">
      <c r="D25" s="4">
        <v>75</v>
      </c>
      <c r="E25" s="26">
        <v>-3.46</v>
      </c>
      <c r="F25" s="26">
        <v>-121.548</v>
      </c>
      <c r="G25" s="4">
        <f t="shared" si="0"/>
        <v>118.08800000000001</v>
      </c>
      <c r="H25" s="19">
        <f t="shared" si="1"/>
        <v>7.9105037513397658</v>
      </c>
      <c r="I25">
        <v>1</v>
      </c>
      <c r="J25" s="12">
        <f t="shared" si="2"/>
        <v>7.9105037513397658</v>
      </c>
      <c r="K25" s="4">
        <v>18.97935</v>
      </c>
      <c r="L25" s="12">
        <f t="shared" si="3"/>
        <v>0.41679529337620969</v>
      </c>
      <c r="M25" s="12">
        <f t="shared" si="4"/>
        <v>4.1679529337620966</v>
      </c>
      <c r="T25">
        <v>80</v>
      </c>
      <c r="U25" s="24">
        <v>-12.859</v>
      </c>
      <c r="V25" s="24">
        <v>-148.95500000000001</v>
      </c>
      <c r="W25" s="4">
        <f t="shared" si="5"/>
        <v>136.096</v>
      </c>
      <c r="X25" s="19">
        <f t="shared" si="6"/>
        <v>9.1168274383708479</v>
      </c>
      <c r="Y25">
        <v>1</v>
      </c>
      <c r="Z25" s="12">
        <f t="shared" si="7"/>
        <v>9.1168274383708479</v>
      </c>
      <c r="AA25" s="12">
        <v>21.2925</v>
      </c>
      <c r="AB25" s="12">
        <f t="shared" si="8"/>
        <v>0.42817083190657967</v>
      </c>
      <c r="AC25" s="12">
        <f t="shared" si="9"/>
        <v>4.281708319065797</v>
      </c>
      <c r="AD25" s="4"/>
      <c r="AF25" s="4"/>
      <c r="AG25" s="4"/>
      <c r="AH25" s="4"/>
      <c r="AI25" s="4"/>
      <c r="AJ25" s="4"/>
      <c r="AK25" s="4"/>
      <c r="AL25" s="4"/>
    </row>
    <row r="26" spans="1:38" x14ac:dyDescent="0.2">
      <c r="D26" s="4">
        <v>76</v>
      </c>
      <c r="E26" s="26">
        <v>2.8490000000000002</v>
      </c>
      <c r="F26" s="26">
        <v>-97.935000000000002</v>
      </c>
      <c r="G26" s="4">
        <f t="shared" si="0"/>
        <v>95.085999999999999</v>
      </c>
      <c r="H26" s="19">
        <f t="shared" si="1"/>
        <v>6.3696409431939989</v>
      </c>
      <c r="I26">
        <v>1</v>
      </c>
      <c r="J26" s="12">
        <f t="shared" si="2"/>
        <v>6.3696409431939989</v>
      </c>
      <c r="K26" s="4">
        <v>17.8809</v>
      </c>
      <c r="L26" s="12">
        <f t="shared" si="3"/>
        <v>0.35622596978865712</v>
      </c>
      <c r="M26" s="12">
        <f t="shared" si="4"/>
        <v>3.5622596978865713</v>
      </c>
      <c r="T26">
        <v>81</v>
      </c>
      <c r="U26" s="24">
        <v>-1.5960000000000001</v>
      </c>
      <c r="V26" s="24">
        <v>-93.087000000000003</v>
      </c>
      <c r="W26" s="4">
        <f t="shared" si="5"/>
        <v>91.491</v>
      </c>
      <c r="X26" s="19">
        <f t="shared" si="6"/>
        <v>6.1288183279742769</v>
      </c>
      <c r="Y26">
        <v>1</v>
      </c>
      <c r="Z26" s="12">
        <f t="shared" si="7"/>
        <v>6.1288183279742769</v>
      </c>
      <c r="AA26" s="12">
        <v>17.315799999999999</v>
      </c>
      <c r="AB26" s="12">
        <f t="shared" si="8"/>
        <v>0.35394370043395496</v>
      </c>
      <c r="AC26" s="12">
        <f t="shared" si="9"/>
        <v>3.5394370043395496</v>
      </c>
      <c r="AD26" s="4"/>
      <c r="AF26" s="4"/>
      <c r="AG26" s="4"/>
      <c r="AH26" s="4"/>
      <c r="AI26" s="4"/>
      <c r="AJ26" s="4"/>
      <c r="AK26" s="4"/>
      <c r="AL26" s="4"/>
    </row>
    <row r="27" spans="1:38" x14ac:dyDescent="0.2">
      <c r="D27" s="4">
        <v>77</v>
      </c>
      <c r="E27" s="26">
        <v>-3.3370000000000002</v>
      </c>
      <c r="F27" s="26">
        <v>-93.180999999999997</v>
      </c>
      <c r="G27" s="4">
        <f t="shared" si="0"/>
        <v>89.843999999999994</v>
      </c>
      <c r="H27" s="19">
        <f t="shared" si="1"/>
        <v>6.0184887459807079</v>
      </c>
      <c r="I27">
        <v>1</v>
      </c>
      <c r="J27" s="12">
        <f t="shared" si="2"/>
        <v>6.0184887459807079</v>
      </c>
      <c r="K27" s="4">
        <v>19.882449999999999</v>
      </c>
      <c r="L27" s="12">
        <f t="shared" si="3"/>
        <v>0.30270357757623978</v>
      </c>
      <c r="M27" s="12">
        <f t="shared" si="4"/>
        <v>3.027035775762398</v>
      </c>
      <c r="T27">
        <v>82</v>
      </c>
      <c r="U27" s="24">
        <v>-0.104</v>
      </c>
      <c r="V27" s="24">
        <v>-97.933000000000007</v>
      </c>
      <c r="W27" s="4">
        <f t="shared" si="5"/>
        <v>97.829000000000008</v>
      </c>
      <c r="X27" s="19">
        <f t="shared" si="6"/>
        <v>6.5533896034297978</v>
      </c>
      <c r="Y27">
        <v>1</v>
      </c>
      <c r="Z27" s="12">
        <f t="shared" si="7"/>
        <v>6.5533896034297978</v>
      </c>
      <c r="AA27" s="12">
        <v>17.706600000000002</v>
      </c>
      <c r="AB27" s="12">
        <f t="shared" si="8"/>
        <v>0.37010999307771097</v>
      </c>
      <c r="AC27" s="12">
        <f t="shared" si="9"/>
        <v>3.7010999307771097</v>
      </c>
      <c r="AD27" s="4"/>
      <c r="AF27" s="4"/>
      <c r="AG27" s="4"/>
      <c r="AH27" s="4"/>
      <c r="AI27" s="4"/>
      <c r="AJ27" s="4"/>
      <c r="AK27" s="4"/>
      <c r="AL27" s="4"/>
    </row>
    <row r="28" spans="1:38" x14ac:dyDescent="0.2">
      <c r="A28">
        <v>11</v>
      </c>
      <c r="C28" t="s">
        <v>12</v>
      </c>
      <c r="D28" s="4">
        <v>33</v>
      </c>
      <c r="E28" s="26">
        <v>1.891</v>
      </c>
      <c r="F28" s="26">
        <v>-118.928</v>
      </c>
      <c r="G28" s="4">
        <f t="shared" si="0"/>
        <v>117.03699999999999</v>
      </c>
      <c r="H28" s="19">
        <f t="shared" si="1"/>
        <v>7.840099142550911</v>
      </c>
      <c r="I28">
        <v>1</v>
      </c>
      <c r="J28" s="12">
        <f t="shared" si="2"/>
        <v>7.840099142550911</v>
      </c>
      <c r="K28" s="4">
        <v>21.41395</v>
      </c>
      <c r="L28" s="12">
        <f t="shared" si="3"/>
        <v>0.36612110995640279</v>
      </c>
      <c r="M28" s="12">
        <f t="shared" si="4"/>
        <v>3.6612110995640279</v>
      </c>
      <c r="Q28">
        <v>15</v>
      </c>
      <c r="S28" t="s">
        <v>12</v>
      </c>
      <c r="T28">
        <v>37</v>
      </c>
      <c r="U28" s="24">
        <v>7.2140000000000004</v>
      </c>
      <c r="V28" s="24">
        <v>-101.729</v>
      </c>
      <c r="W28" s="4">
        <f t="shared" si="5"/>
        <v>94.515000000000001</v>
      </c>
      <c r="X28" s="19">
        <f t="shared" si="6"/>
        <v>6.331390675241158</v>
      </c>
      <c r="Y28">
        <v>1</v>
      </c>
      <c r="Z28" s="12">
        <f t="shared" si="7"/>
        <v>6.331390675241158</v>
      </c>
      <c r="AA28" s="12">
        <v>18.065750000000001</v>
      </c>
      <c r="AB28" s="12">
        <f t="shared" si="8"/>
        <v>0.35046376016723124</v>
      </c>
      <c r="AC28" s="12">
        <f t="shared" si="9"/>
        <v>3.5046376016723126</v>
      </c>
      <c r="AD28" s="23">
        <f>AVERAGE(AC28:AC38)</f>
        <v>3.7532038871532127</v>
      </c>
      <c r="AE28" t="s">
        <v>12</v>
      </c>
      <c r="AF28" s="4"/>
      <c r="AG28" s="4"/>
      <c r="AH28" s="4"/>
      <c r="AI28" s="4"/>
      <c r="AJ28" s="4"/>
      <c r="AK28" s="4"/>
      <c r="AL28" s="4"/>
    </row>
    <row r="29" spans="1:38" x14ac:dyDescent="0.2">
      <c r="D29" s="4">
        <v>34</v>
      </c>
      <c r="E29" s="26">
        <v>1.944</v>
      </c>
      <c r="F29" s="26">
        <v>-106.837</v>
      </c>
      <c r="G29" s="4">
        <f t="shared" si="0"/>
        <v>104.893</v>
      </c>
      <c r="H29" s="19">
        <f t="shared" si="1"/>
        <v>7.0265943193997868</v>
      </c>
      <c r="I29">
        <v>1</v>
      </c>
      <c r="J29" s="12">
        <f t="shared" si="2"/>
        <v>7.0265943193997868</v>
      </c>
      <c r="K29" s="4">
        <v>19.977499999999999</v>
      </c>
      <c r="L29" s="12">
        <f t="shared" si="3"/>
        <v>0.35172540705292388</v>
      </c>
      <c r="M29" s="12">
        <f t="shared" si="4"/>
        <v>3.5172540705292388</v>
      </c>
      <c r="T29" s="4">
        <v>38</v>
      </c>
      <c r="U29" s="24">
        <v>-1.264</v>
      </c>
      <c r="V29" s="24">
        <v>-111.974</v>
      </c>
      <c r="W29" s="4">
        <f t="shared" si="5"/>
        <v>110.71000000000001</v>
      </c>
      <c r="X29" s="19">
        <f t="shared" si="6"/>
        <v>7.4162647374062187</v>
      </c>
      <c r="Y29">
        <v>1</v>
      </c>
      <c r="Z29" s="12">
        <f t="shared" si="7"/>
        <v>7.4162647374062187</v>
      </c>
      <c r="AA29" s="12">
        <v>16.777149999999999</v>
      </c>
      <c r="AB29" s="12">
        <f t="shared" si="8"/>
        <v>0.44204556419929603</v>
      </c>
      <c r="AC29" s="12">
        <f t="shared" si="9"/>
        <v>4.4204556419929606</v>
      </c>
      <c r="AD29" s="4"/>
      <c r="AF29" s="4"/>
      <c r="AG29" s="4"/>
      <c r="AH29" s="4"/>
      <c r="AI29" s="4"/>
      <c r="AJ29" s="4"/>
      <c r="AK29" s="4"/>
      <c r="AL29" s="4"/>
    </row>
    <row r="30" spans="1:38" x14ac:dyDescent="0.2">
      <c r="D30" s="4">
        <v>35</v>
      </c>
      <c r="E30" s="26">
        <v>0.51500000000000001</v>
      </c>
      <c r="F30" s="26">
        <v>-126.58799999999999</v>
      </c>
      <c r="G30" s="4">
        <f t="shared" si="0"/>
        <v>126.07299999999999</v>
      </c>
      <c r="H30" s="19">
        <f t="shared" si="1"/>
        <v>8.4454046087888539</v>
      </c>
      <c r="I30">
        <v>1</v>
      </c>
      <c r="J30" s="12">
        <f t="shared" si="2"/>
        <v>8.4454046087888539</v>
      </c>
      <c r="K30" s="4">
        <v>19.966950000000001</v>
      </c>
      <c r="L30" s="12">
        <f t="shared" si="3"/>
        <v>0.4229691870209949</v>
      </c>
      <c r="M30" s="12">
        <f t="shared" si="4"/>
        <v>4.2296918702099493</v>
      </c>
      <c r="T30">
        <v>39</v>
      </c>
      <c r="U30" s="24">
        <v>-2.14</v>
      </c>
      <c r="V30" s="24">
        <v>-111.96599999999999</v>
      </c>
      <c r="W30" s="4">
        <f t="shared" si="5"/>
        <v>109.82599999999999</v>
      </c>
      <c r="X30" s="19">
        <f t="shared" si="6"/>
        <v>7.3570471596998939</v>
      </c>
      <c r="Y30">
        <v>1</v>
      </c>
      <c r="Z30" s="12">
        <f t="shared" si="7"/>
        <v>7.3570471596998939</v>
      </c>
      <c r="AA30" s="12">
        <v>16.956699999999998</v>
      </c>
      <c r="AB30" s="12">
        <f t="shared" si="8"/>
        <v>0.43387257896288162</v>
      </c>
      <c r="AC30" s="12">
        <f t="shared" si="9"/>
        <v>4.3387257896288158</v>
      </c>
      <c r="AD30" s="4"/>
      <c r="AF30" s="4"/>
      <c r="AG30" s="4"/>
      <c r="AH30" s="4"/>
      <c r="AI30" s="4"/>
      <c r="AJ30" s="4"/>
      <c r="AK30" s="4"/>
      <c r="AL30" s="4"/>
    </row>
    <row r="31" spans="1:38" x14ac:dyDescent="0.2">
      <c r="D31" s="4">
        <v>36</v>
      </c>
      <c r="E31" s="26">
        <v>8.8710000000000004</v>
      </c>
      <c r="F31" s="26">
        <v>-92.59</v>
      </c>
      <c r="G31" s="4">
        <f t="shared" si="0"/>
        <v>83.719000000000008</v>
      </c>
      <c r="H31" s="19">
        <f t="shared" si="1"/>
        <v>5.6081859592711698</v>
      </c>
      <c r="I31">
        <v>1</v>
      </c>
      <c r="J31" s="12">
        <f t="shared" si="2"/>
        <v>5.6081859592711698</v>
      </c>
      <c r="K31" s="4">
        <v>20.537299999999998</v>
      </c>
      <c r="L31" s="12">
        <f t="shared" si="3"/>
        <v>0.2730731868001719</v>
      </c>
      <c r="M31" s="12">
        <f t="shared" si="4"/>
        <v>2.730731868001719</v>
      </c>
      <c r="T31">
        <v>40</v>
      </c>
      <c r="U31" s="24">
        <v>4.0839999999999996</v>
      </c>
      <c r="V31" s="24">
        <v>-104.533</v>
      </c>
      <c r="W31" s="4">
        <f t="shared" si="5"/>
        <v>100.449</v>
      </c>
      <c r="X31" s="19">
        <f t="shared" si="6"/>
        <v>6.7288987138263678</v>
      </c>
      <c r="Y31">
        <v>1</v>
      </c>
      <c r="Z31" s="12">
        <f t="shared" si="7"/>
        <v>6.7288987138263678</v>
      </c>
      <c r="AA31" s="12">
        <v>17.19435</v>
      </c>
      <c r="AB31" s="12">
        <f t="shared" si="8"/>
        <v>0.3913435933214322</v>
      </c>
      <c r="AC31" s="12">
        <f t="shared" si="9"/>
        <v>3.913435933214322</v>
      </c>
      <c r="AD31" s="4"/>
      <c r="AF31" s="4"/>
      <c r="AG31" s="4"/>
      <c r="AH31" s="4"/>
      <c r="AI31" s="4"/>
      <c r="AJ31" s="4"/>
      <c r="AK31" s="4"/>
      <c r="AL31" s="4"/>
    </row>
    <row r="32" spans="1:38" x14ac:dyDescent="0.2">
      <c r="A32">
        <v>12</v>
      </c>
      <c r="D32" s="4">
        <v>41</v>
      </c>
      <c r="E32" s="26">
        <v>2.7</v>
      </c>
      <c r="F32" s="26">
        <v>-122.996</v>
      </c>
      <c r="G32" s="4">
        <f t="shared" si="0"/>
        <v>120.29599999999999</v>
      </c>
      <c r="H32" s="19">
        <f t="shared" si="1"/>
        <v>8.0584137191854239</v>
      </c>
      <c r="I32">
        <v>1</v>
      </c>
      <c r="J32" s="12">
        <f t="shared" si="2"/>
        <v>8.0584137191854239</v>
      </c>
      <c r="K32" s="4">
        <v>21.683299999999999</v>
      </c>
      <c r="L32" s="12">
        <f t="shared" si="3"/>
        <v>0.37164148073334891</v>
      </c>
      <c r="M32" s="12">
        <f t="shared" si="4"/>
        <v>3.7164148073334893</v>
      </c>
      <c r="Q32">
        <v>14</v>
      </c>
      <c r="T32">
        <v>45</v>
      </c>
      <c r="U32" s="24">
        <v>-10.002000000000001</v>
      </c>
      <c r="V32" s="24">
        <v>-129.774</v>
      </c>
      <c r="W32" s="4">
        <f t="shared" si="5"/>
        <v>119.77200000000001</v>
      </c>
      <c r="X32" s="19">
        <f t="shared" si="6"/>
        <v>8.0233118971061099</v>
      </c>
      <c r="Y32">
        <v>1</v>
      </c>
      <c r="Z32" s="12">
        <f t="shared" si="7"/>
        <v>8.0233118971061099</v>
      </c>
      <c r="AA32" s="12">
        <v>21.762500000000003</v>
      </c>
      <c r="AB32" s="12">
        <f t="shared" si="8"/>
        <v>0.36867602054479537</v>
      </c>
      <c r="AC32" s="12">
        <f t="shared" si="9"/>
        <v>3.6867602054479538</v>
      </c>
      <c r="AD32" s="4"/>
      <c r="AF32" s="4"/>
      <c r="AG32" s="4"/>
      <c r="AH32" s="4"/>
      <c r="AI32" s="4"/>
      <c r="AJ32" s="4"/>
      <c r="AK32" s="4"/>
      <c r="AL32" s="4"/>
    </row>
    <row r="33" spans="1:38" x14ac:dyDescent="0.2">
      <c r="D33" s="4">
        <v>42</v>
      </c>
      <c r="E33" s="26">
        <v>-5.0999999999999997E-2</v>
      </c>
      <c r="F33" s="26">
        <v>-111.143</v>
      </c>
      <c r="G33" s="4">
        <f t="shared" si="0"/>
        <v>111.092</v>
      </c>
      <c r="H33" s="19">
        <f t="shared" si="1"/>
        <v>7.4418542336548779</v>
      </c>
      <c r="I33">
        <v>1</v>
      </c>
      <c r="J33" s="12">
        <f t="shared" si="2"/>
        <v>7.4418542336548779</v>
      </c>
      <c r="K33" s="4">
        <v>19.9194</v>
      </c>
      <c r="L33" s="12">
        <f t="shared" si="3"/>
        <v>0.37359831288366507</v>
      </c>
      <c r="M33" s="12">
        <f t="shared" si="4"/>
        <v>3.7359831288366507</v>
      </c>
      <c r="T33">
        <v>46</v>
      </c>
      <c r="U33" s="24">
        <v>-9.0410000000000004</v>
      </c>
      <c r="V33" s="24">
        <v>-109.215</v>
      </c>
      <c r="W33" s="4">
        <f t="shared" si="5"/>
        <v>100.17400000000001</v>
      </c>
      <c r="X33" s="19">
        <f t="shared" si="6"/>
        <v>6.7104769560557349</v>
      </c>
      <c r="Y33">
        <v>1</v>
      </c>
      <c r="Z33" s="12">
        <f t="shared" si="7"/>
        <v>6.7104769560557349</v>
      </c>
      <c r="AA33" s="12">
        <v>19.62895</v>
      </c>
      <c r="AB33" s="12">
        <f t="shared" si="8"/>
        <v>0.3418663227557121</v>
      </c>
      <c r="AC33" s="12">
        <f t="shared" si="9"/>
        <v>3.4186632275571212</v>
      </c>
      <c r="AD33" s="4"/>
      <c r="AF33" s="4"/>
      <c r="AG33" s="4"/>
      <c r="AH33" s="4"/>
      <c r="AI33" s="4"/>
      <c r="AJ33" s="4"/>
      <c r="AK33" s="4"/>
      <c r="AL33" s="4"/>
    </row>
    <row r="34" spans="1:38" x14ac:dyDescent="0.2">
      <c r="D34" s="4">
        <v>43</v>
      </c>
      <c r="E34" s="26">
        <v>5.2919999999999998</v>
      </c>
      <c r="F34" s="26">
        <v>-142.804</v>
      </c>
      <c r="G34" s="4">
        <f t="shared" si="0"/>
        <v>137.512</v>
      </c>
      <c r="H34" s="19">
        <f t="shared" si="1"/>
        <v>9.2116827438370859</v>
      </c>
      <c r="I34">
        <v>1</v>
      </c>
      <c r="J34" s="12">
        <f t="shared" si="2"/>
        <v>9.2116827438370859</v>
      </c>
      <c r="K34" s="4">
        <v>22.126899999999999</v>
      </c>
      <c r="L34" s="12">
        <f t="shared" si="3"/>
        <v>0.41631149161595554</v>
      </c>
      <c r="M34" s="12">
        <f t="shared" si="4"/>
        <v>4.1631149161595555</v>
      </c>
      <c r="T34">
        <v>47</v>
      </c>
      <c r="U34" s="24">
        <v>-8.1560000000000006</v>
      </c>
      <c r="V34" s="24">
        <v>-122.054</v>
      </c>
      <c r="W34" s="4">
        <f t="shared" si="5"/>
        <v>113.898</v>
      </c>
      <c r="X34" s="19">
        <f t="shared" si="6"/>
        <v>7.6298231511254029</v>
      </c>
      <c r="Y34">
        <v>1</v>
      </c>
      <c r="Z34" s="12">
        <f t="shared" si="7"/>
        <v>7.6298231511254029</v>
      </c>
      <c r="AA34" s="12">
        <v>19.507450000000002</v>
      </c>
      <c r="AB34" s="12">
        <f t="shared" si="8"/>
        <v>0.3911235528541866</v>
      </c>
      <c r="AC34" s="12">
        <f t="shared" si="9"/>
        <v>3.9112355285418658</v>
      </c>
      <c r="AD34" s="4"/>
      <c r="AF34" s="4"/>
      <c r="AG34" s="4"/>
      <c r="AH34" s="4"/>
      <c r="AI34" s="4"/>
      <c r="AJ34" s="4"/>
      <c r="AK34" s="4"/>
      <c r="AL34" s="4"/>
    </row>
    <row r="35" spans="1:38" x14ac:dyDescent="0.2">
      <c r="D35" s="4">
        <v>44</v>
      </c>
      <c r="E35" s="26">
        <v>-11.71</v>
      </c>
      <c r="F35" s="26">
        <v>-144.84899999999999</v>
      </c>
      <c r="G35" s="4">
        <f t="shared" si="0"/>
        <v>133.13899999999998</v>
      </c>
      <c r="H35" s="19">
        <f t="shared" si="1"/>
        <v>8.9187433011789921</v>
      </c>
      <c r="I35">
        <v>1</v>
      </c>
      <c r="J35" s="12">
        <f t="shared" si="2"/>
        <v>8.9187433011789921</v>
      </c>
      <c r="K35" s="4">
        <v>20.579549999999998</v>
      </c>
      <c r="L35" s="12">
        <f t="shared" si="3"/>
        <v>0.43337892719612398</v>
      </c>
      <c r="M35" s="12">
        <f t="shared" si="4"/>
        <v>4.3337892719612396</v>
      </c>
      <c r="T35">
        <v>48</v>
      </c>
      <c r="U35" s="24">
        <v>-0.33600000000000002</v>
      </c>
      <c r="V35" s="24">
        <v>-98.442999999999998</v>
      </c>
      <c r="W35" s="4">
        <f t="shared" si="5"/>
        <v>98.106999999999999</v>
      </c>
      <c r="X35" s="19">
        <f t="shared" si="6"/>
        <v>6.5720123258306549</v>
      </c>
      <c r="Y35">
        <v>1</v>
      </c>
      <c r="Z35" s="12">
        <f t="shared" si="7"/>
        <v>6.5720123258306549</v>
      </c>
      <c r="AA35" s="12">
        <v>17.595700000000001</v>
      </c>
      <c r="AB35" s="12">
        <f t="shared" si="8"/>
        <v>0.37350104433643755</v>
      </c>
      <c r="AC35" s="12">
        <f t="shared" si="9"/>
        <v>3.7350104433643754</v>
      </c>
      <c r="AD35" s="4"/>
      <c r="AF35" s="4"/>
      <c r="AG35" s="4"/>
      <c r="AH35" s="4"/>
      <c r="AI35" s="4"/>
      <c r="AJ35" s="4"/>
      <c r="AK35" s="4"/>
      <c r="AL35" s="4"/>
    </row>
    <row r="36" spans="1:38" x14ac:dyDescent="0.2">
      <c r="A36">
        <v>12</v>
      </c>
      <c r="D36" s="4">
        <v>83</v>
      </c>
      <c r="E36" s="26">
        <v>-4.6070000000000002</v>
      </c>
      <c r="F36" s="26">
        <v>-97.081999999999994</v>
      </c>
      <c r="G36" s="4">
        <f t="shared" si="0"/>
        <v>92.474999999999994</v>
      </c>
      <c r="H36" s="19">
        <f t="shared" si="1"/>
        <v>6.1947347266881039</v>
      </c>
      <c r="I36">
        <v>1</v>
      </c>
      <c r="J36" s="12">
        <f t="shared" si="2"/>
        <v>6.1947347266881039</v>
      </c>
      <c r="K36" s="4">
        <v>15.594149999999999</v>
      </c>
      <c r="L36" s="12">
        <f t="shared" si="3"/>
        <v>0.39724734767128084</v>
      </c>
      <c r="M36" s="12">
        <f t="shared" si="4"/>
        <v>3.9724734767128083</v>
      </c>
      <c r="Q36">
        <v>15</v>
      </c>
      <c r="T36">
        <v>87</v>
      </c>
      <c r="U36" s="24">
        <v>-3.6989999999999998</v>
      </c>
      <c r="V36" s="24">
        <v>-109.36799999999999</v>
      </c>
      <c r="W36" s="4">
        <f t="shared" si="5"/>
        <v>105.669</v>
      </c>
      <c r="X36" s="19">
        <f t="shared" si="6"/>
        <v>7.0785771704180069</v>
      </c>
      <c r="Y36">
        <v>1</v>
      </c>
      <c r="Z36" s="12">
        <f t="shared" si="7"/>
        <v>7.0785771704180069</v>
      </c>
      <c r="AA36" s="12">
        <v>18.725850000000001</v>
      </c>
      <c r="AB36" s="12">
        <f t="shared" si="8"/>
        <v>0.37801099391579057</v>
      </c>
      <c r="AC36" s="12">
        <f t="shared" si="9"/>
        <v>3.7801099391579056</v>
      </c>
      <c r="AD36" s="4"/>
      <c r="AF36" s="4"/>
      <c r="AG36" s="4"/>
      <c r="AH36" s="4"/>
      <c r="AI36" s="4"/>
      <c r="AJ36" s="4"/>
      <c r="AK36" s="4"/>
      <c r="AL36" s="4"/>
    </row>
    <row r="37" spans="1:38" x14ac:dyDescent="0.2">
      <c r="D37" s="4">
        <v>84</v>
      </c>
      <c r="E37" s="26">
        <v>3.1259999999999999</v>
      </c>
      <c r="F37" s="26">
        <v>-85.015000000000001</v>
      </c>
      <c r="G37" s="4">
        <f t="shared" si="0"/>
        <v>81.888999999999996</v>
      </c>
      <c r="H37" s="19">
        <f t="shared" si="1"/>
        <v>5.4855975348338699</v>
      </c>
      <c r="I37">
        <v>1</v>
      </c>
      <c r="J37" s="12">
        <f t="shared" si="2"/>
        <v>5.4855975348338699</v>
      </c>
      <c r="K37" s="4">
        <v>16.861650000000001</v>
      </c>
      <c r="L37" s="12">
        <f t="shared" si="3"/>
        <v>0.32532981854289883</v>
      </c>
      <c r="M37" s="12">
        <f t="shared" si="4"/>
        <v>3.2532981854289882</v>
      </c>
      <c r="T37">
        <v>89</v>
      </c>
      <c r="U37" s="24">
        <v>-6.7750000000000004</v>
      </c>
      <c r="V37" s="24">
        <v>-91.652000000000001</v>
      </c>
      <c r="W37" s="4">
        <f t="shared" si="5"/>
        <v>84.876999999999995</v>
      </c>
      <c r="X37" s="19">
        <f t="shared" si="6"/>
        <v>5.6857583065380499</v>
      </c>
      <c r="Y37">
        <v>1</v>
      </c>
      <c r="Z37" s="12">
        <f t="shared" si="7"/>
        <v>5.6857583065380499</v>
      </c>
      <c r="AA37" s="12">
        <v>17.02535</v>
      </c>
      <c r="AB37" s="12">
        <f t="shared" si="8"/>
        <v>0.33395838009427414</v>
      </c>
      <c r="AC37" s="12">
        <f t="shared" si="9"/>
        <v>3.3395838009427417</v>
      </c>
      <c r="AD37" s="4"/>
      <c r="AF37" s="4"/>
      <c r="AG37" s="4"/>
      <c r="AH37" s="4"/>
      <c r="AI37" s="4"/>
      <c r="AJ37" s="4"/>
      <c r="AK37" s="4"/>
      <c r="AL37" s="4"/>
    </row>
    <row r="38" spans="1:38" x14ac:dyDescent="0.2">
      <c r="D38" s="4">
        <v>85</v>
      </c>
      <c r="E38" s="26">
        <v>-5.33</v>
      </c>
      <c r="F38" s="26">
        <v>-100.151</v>
      </c>
      <c r="G38" s="4">
        <f t="shared" si="0"/>
        <v>94.820999999999998</v>
      </c>
      <c r="H38" s="19">
        <f t="shared" si="1"/>
        <v>6.3518890675241169</v>
      </c>
      <c r="I38">
        <v>1</v>
      </c>
      <c r="J38" s="12">
        <f t="shared" si="2"/>
        <v>6.3518890675241169</v>
      </c>
      <c r="K38" s="4">
        <v>17.146799999999999</v>
      </c>
      <c r="L38" s="12">
        <f t="shared" si="3"/>
        <v>0.37044166069028139</v>
      </c>
      <c r="M38" s="12">
        <f t="shared" si="4"/>
        <v>3.7044166069028139</v>
      </c>
      <c r="T38">
        <v>90</v>
      </c>
      <c r="U38" s="24">
        <v>-2.1579999999999999</v>
      </c>
      <c r="V38" s="24">
        <v>-89.597999999999999</v>
      </c>
      <c r="W38" s="4">
        <f t="shared" si="5"/>
        <v>87.44</v>
      </c>
      <c r="X38" s="19">
        <f t="shared" si="6"/>
        <v>5.8574490889603439</v>
      </c>
      <c r="Y38">
        <v>1</v>
      </c>
      <c r="Z38" s="12">
        <f t="shared" si="7"/>
        <v>5.8574490889603439</v>
      </c>
      <c r="AA38" s="12">
        <v>18.0974</v>
      </c>
      <c r="AB38" s="12">
        <f t="shared" si="8"/>
        <v>0.32366246471649762</v>
      </c>
      <c r="AC38" s="12">
        <f t="shared" si="9"/>
        <v>3.2366246471649762</v>
      </c>
      <c r="AD38" s="4"/>
      <c r="AF38" s="4"/>
      <c r="AG38" s="4"/>
      <c r="AH38" s="4"/>
      <c r="AI38" s="4"/>
      <c r="AJ38" s="4"/>
      <c r="AK38" s="4"/>
      <c r="AL38" s="4"/>
    </row>
    <row r="39" spans="1:38" x14ac:dyDescent="0.2">
      <c r="D39" s="4">
        <v>86</v>
      </c>
      <c r="E39" s="26">
        <v>-1.1759999999999999</v>
      </c>
      <c r="F39" s="26">
        <v>-92.474999999999994</v>
      </c>
      <c r="G39" s="4">
        <f t="shared" si="0"/>
        <v>91.298999999999992</v>
      </c>
      <c r="H39" s="19">
        <f t="shared" si="1"/>
        <v>6.115956591639871</v>
      </c>
      <c r="I39">
        <v>1</v>
      </c>
      <c r="J39" s="12">
        <f t="shared" si="2"/>
        <v>6.115956591639871</v>
      </c>
      <c r="K39" s="4">
        <v>19.121950000000002</v>
      </c>
      <c r="L39" s="12">
        <f t="shared" si="3"/>
        <v>0.31983958705256893</v>
      </c>
      <c r="M39" s="12">
        <f t="shared" si="4"/>
        <v>3.1983958705256894</v>
      </c>
      <c r="Q39">
        <v>15</v>
      </c>
      <c r="S39" t="s">
        <v>13</v>
      </c>
      <c r="T39">
        <v>53</v>
      </c>
      <c r="U39" s="24">
        <v>0.98299999999999998</v>
      </c>
      <c r="V39" s="24">
        <v>-93.938999999999993</v>
      </c>
      <c r="W39" s="4">
        <f t="shared" si="5"/>
        <v>92.955999999999989</v>
      </c>
      <c r="X39" s="19">
        <f t="shared" si="6"/>
        <v>6.226956055734191</v>
      </c>
      <c r="Y39">
        <v>1</v>
      </c>
      <c r="Z39" s="12">
        <f t="shared" si="7"/>
        <v>6.226956055734191</v>
      </c>
      <c r="AA39" s="12">
        <v>18.863199999999999</v>
      </c>
      <c r="AB39" s="12">
        <f t="shared" si="8"/>
        <v>0.33011133083115224</v>
      </c>
      <c r="AC39" s="12">
        <f t="shared" si="9"/>
        <v>3.3011133083115225</v>
      </c>
      <c r="AD39" s="23">
        <f>AVERAGE(AC39:AC50)</f>
        <v>3.3898326269626566</v>
      </c>
      <c r="AE39" t="s">
        <v>13</v>
      </c>
      <c r="AF39" s="4"/>
      <c r="AG39" s="4"/>
      <c r="AH39" s="4"/>
      <c r="AI39" s="4"/>
      <c r="AJ39" s="4"/>
      <c r="AK39" s="4"/>
      <c r="AL39" s="4"/>
    </row>
    <row r="40" spans="1:38" x14ac:dyDescent="0.2">
      <c r="A40">
        <v>11</v>
      </c>
      <c r="C40" t="s">
        <v>13</v>
      </c>
      <c r="D40" s="4">
        <v>49</v>
      </c>
      <c r="E40" s="26">
        <v>-4.8600000000000003</v>
      </c>
      <c r="F40" s="26">
        <v>-101.489</v>
      </c>
      <c r="G40" s="4">
        <f t="shared" si="0"/>
        <v>96.629000000000005</v>
      </c>
      <c r="H40" s="19">
        <f t="shared" si="1"/>
        <v>6.4730037513397649</v>
      </c>
      <c r="I40">
        <v>1</v>
      </c>
      <c r="J40" s="12">
        <f t="shared" si="2"/>
        <v>6.4730037513397649</v>
      </c>
      <c r="K40" s="4">
        <v>17.616849999999999</v>
      </c>
      <c r="L40" s="12">
        <f t="shared" si="3"/>
        <v>0.36743252916042113</v>
      </c>
      <c r="M40" s="12">
        <f t="shared" si="4"/>
        <v>3.6743252916042115</v>
      </c>
      <c r="T40">
        <v>54</v>
      </c>
      <c r="U40" s="24">
        <v>-1.4079999999999999</v>
      </c>
      <c r="V40" s="24">
        <v>-97.725999999999999</v>
      </c>
      <c r="W40" s="4">
        <f t="shared" si="5"/>
        <v>96.317999999999998</v>
      </c>
      <c r="X40" s="19">
        <f t="shared" si="6"/>
        <v>6.4521704180064319</v>
      </c>
      <c r="Y40">
        <v>1</v>
      </c>
      <c r="Z40" s="12">
        <f t="shared" si="7"/>
        <v>6.4521704180064319</v>
      </c>
      <c r="AA40" s="12">
        <v>27.59815</v>
      </c>
      <c r="AB40" s="12">
        <f t="shared" si="8"/>
        <v>0.23378996121140119</v>
      </c>
      <c r="AC40" s="12">
        <f t="shared" si="9"/>
        <v>2.3378996121140121</v>
      </c>
      <c r="AD40" s="4"/>
      <c r="AF40" s="4"/>
      <c r="AG40" s="4"/>
      <c r="AH40" s="4"/>
      <c r="AI40" s="4"/>
      <c r="AJ40" s="4"/>
      <c r="AK40" s="4"/>
      <c r="AL40" s="4"/>
    </row>
    <row r="41" spans="1:38" x14ac:dyDescent="0.2">
      <c r="D41" s="4">
        <v>50</v>
      </c>
      <c r="E41" s="26">
        <v>-1.306</v>
      </c>
      <c r="F41" s="26">
        <v>-120.313</v>
      </c>
      <c r="G41" s="4">
        <f t="shared" si="0"/>
        <v>119.00700000000001</v>
      </c>
      <c r="H41" s="19">
        <f t="shared" si="1"/>
        <v>7.9720659163987149</v>
      </c>
      <c r="I41">
        <v>1</v>
      </c>
      <c r="J41" s="12">
        <f t="shared" si="2"/>
        <v>7.9720659163987149</v>
      </c>
      <c r="K41" s="4">
        <v>21.4298</v>
      </c>
      <c r="L41" s="12">
        <f t="shared" si="3"/>
        <v>0.37200841428285447</v>
      </c>
      <c r="M41" s="12">
        <f t="shared" si="4"/>
        <v>3.7200841428285445</v>
      </c>
      <c r="T41">
        <v>55</v>
      </c>
      <c r="U41" s="24">
        <v>-1.2290000000000001</v>
      </c>
      <c r="V41" s="24">
        <v>-103.334</v>
      </c>
      <c r="W41" s="4">
        <f t="shared" si="5"/>
        <v>102.105</v>
      </c>
      <c r="X41" s="19">
        <f t="shared" si="6"/>
        <v>6.8398311897106119</v>
      </c>
      <c r="Y41">
        <v>1</v>
      </c>
      <c r="Z41" s="12">
        <f t="shared" si="7"/>
        <v>6.8398311897106119</v>
      </c>
      <c r="AA41" s="12">
        <v>19.565549999999998</v>
      </c>
      <c r="AB41" s="12">
        <f t="shared" si="8"/>
        <v>0.34958542896625</v>
      </c>
      <c r="AC41" s="12">
        <f t="shared" si="9"/>
        <v>3.4958542896624998</v>
      </c>
      <c r="AD41" s="4"/>
      <c r="AF41" s="4"/>
      <c r="AG41" s="4"/>
      <c r="AH41" s="4"/>
      <c r="AI41" s="4"/>
      <c r="AJ41" s="4"/>
      <c r="AK41" s="4"/>
      <c r="AL41" s="4"/>
    </row>
    <row r="42" spans="1:38" x14ac:dyDescent="0.2">
      <c r="D42" s="4">
        <v>51</v>
      </c>
      <c r="E42" s="26">
        <v>-3.871</v>
      </c>
      <c r="F42" s="26">
        <v>-111.22799999999999</v>
      </c>
      <c r="G42" s="4">
        <f t="shared" si="0"/>
        <v>107.357</v>
      </c>
      <c r="H42" s="19">
        <f t="shared" si="1"/>
        <v>7.1916532690246529</v>
      </c>
      <c r="I42">
        <v>1</v>
      </c>
      <c r="J42" s="12">
        <f t="shared" si="2"/>
        <v>7.1916532690246529</v>
      </c>
      <c r="K42" s="4">
        <v>20.648199999999999</v>
      </c>
      <c r="L42" s="12">
        <f t="shared" si="3"/>
        <v>0.34829444063040133</v>
      </c>
      <c r="M42" s="12">
        <f t="shared" si="4"/>
        <v>3.4829444063040134</v>
      </c>
      <c r="T42">
        <v>56</v>
      </c>
      <c r="U42" s="24">
        <v>5.7480000000000002</v>
      </c>
      <c r="V42" s="24">
        <v>-116.52800000000001</v>
      </c>
      <c r="W42" s="4">
        <f t="shared" si="5"/>
        <v>110.78</v>
      </c>
      <c r="X42" s="19">
        <f t="shared" si="6"/>
        <v>7.4209539121114689</v>
      </c>
      <c r="Y42">
        <v>1</v>
      </c>
      <c r="Z42" s="12">
        <f t="shared" si="7"/>
        <v>7.4209539121114689</v>
      </c>
      <c r="AA42" s="12">
        <v>19.544449999999998</v>
      </c>
      <c r="AB42" s="12">
        <f t="shared" si="8"/>
        <v>0.37969622640245543</v>
      </c>
      <c r="AC42" s="12">
        <f t="shared" si="9"/>
        <v>3.7969622640245544</v>
      </c>
      <c r="AD42" s="4"/>
      <c r="AF42" s="4"/>
      <c r="AG42" s="4"/>
      <c r="AH42" s="4"/>
      <c r="AI42" s="4"/>
      <c r="AJ42" s="4"/>
      <c r="AK42" s="4"/>
      <c r="AL42" s="4"/>
    </row>
    <row r="43" spans="1:38" x14ac:dyDescent="0.2">
      <c r="D43" s="4">
        <v>52</v>
      </c>
      <c r="E43" s="26">
        <v>-1.617</v>
      </c>
      <c r="F43" s="26">
        <v>-108.363</v>
      </c>
      <c r="G43" s="4">
        <f t="shared" si="0"/>
        <v>106.746</v>
      </c>
      <c r="H43" s="19">
        <f t="shared" si="1"/>
        <v>7.1507234726688109</v>
      </c>
      <c r="I43">
        <v>1</v>
      </c>
      <c r="J43" s="12">
        <f t="shared" si="2"/>
        <v>7.1507234726688109</v>
      </c>
      <c r="K43" s="4">
        <v>18.319199999999999</v>
      </c>
      <c r="L43" s="12">
        <f t="shared" si="3"/>
        <v>0.39034037909236274</v>
      </c>
      <c r="M43" s="12">
        <f t="shared" si="4"/>
        <v>3.9034037909236274</v>
      </c>
      <c r="Q43">
        <v>14</v>
      </c>
      <c r="T43">
        <v>61</v>
      </c>
      <c r="U43" s="24">
        <v>-2.056</v>
      </c>
      <c r="V43" s="24">
        <v>-86.878</v>
      </c>
      <c r="W43" s="4">
        <f t="shared" si="5"/>
        <v>84.822000000000003</v>
      </c>
      <c r="X43" s="19">
        <f t="shared" si="6"/>
        <v>5.6820739549839239</v>
      </c>
      <c r="Y43">
        <v>1</v>
      </c>
      <c r="Z43" s="12">
        <f t="shared" si="7"/>
        <v>5.6820739549839239</v>
      </c>
      <c r="AA43" s="10">
        <v>18.187200000000001</v>
      </c>
      <c r="AB43" s="12">
        <f t="shared" si="8"/>
        <v>0.31242159073325876</v>
      </c>
      <c r="AC43" s="12">
        <f t="shared" si="9"/>
        <v>3.1242159073325877</v>
      </c>
      <c r="AD43" s="4"/>
      <c r="AF43" s="4"/>
      <c r="AG43" s="4"/>
      <c r="AH43" s="4"/>
      <c r="AI43" s="4"/>
      <c r="AJ43" s="4"/>
      <c r="AK43" s="4"/>
      <c r="AL43" s="4"/>
    </row>
    <row r="44" spans="1:38" x14ac:dyDescent="0.2">
      <c r="A44">
        <v>12</v>
      </c>
      <c r="D44" s="4">
        <v>57</v>
      </c>
      <c r="E44" s="26">
        <v>-2.2810000000000001</v>
      </c>
      <c r="F44" s="26">
        <v>-108.89400000000001</v>
      </c>
      <c r="G44" s="4">
        <f t="shared" si="0"/>
        <v>106.613</v>
      </c>
      <c r="H44" s="19">
        <f t="shared" si="1"/>
        <v>7.1418140407288329</v>
      </c>
      <c r="I44">
        <v>1</v>
      </c>
      <c r="J44" s="12">
        <f t="shared" si="2"/>
        <v>7.1418140407288329</v>
      </c>
      <c r="K44" s="4">
        <v>18.73115</v>
      </c>
      <c r="L44" s="12">
        <f t="shared" si="3"/>
        <v>0.38128006239493212</v>
      </c>
      <c r="M44" s="12">
        <f t="shared" si="4"/>
        <v>3.8128006239493213</v>
      </c>
      <c r="T44">
        <v>62</v>
      </c>
      <c r="U44" s="24">
        <v>2.6269999999999998</v>
      </c>
      <c r="V44" s="24">
        <v>-89.016000000000005</v>
      </c>
      <c r="W44" s="4">
        <f t="shared" si="5"/>
        <v>86.38900000000001</v>
      </c>
      <c r="X44" s="19">
        <f t="shared" si="6"/>
        <v>5.7870444801714918</v>
      </c>
      <c r="Y44">
        <v>1</v>
      </c>
      <c r="Z44" s="12">
        <f t="shared" si="7"/>
        <v>5.7870444801714918</v>
      </c>
      <c r="AA44" s="10">
        <v>18.699449999999999</v>
      </c>
      <c r="AB44" s="12">
        <f t="shared" si="8"/>
        <v>0.30947672151702282</v>
      </c>
      <c r="AC44" s="12">
        <f t="shared" si="9"/>
        <v>3.0947672151702283</v>
      </c>
      <c r="AD44" s="4"/>
      <c r="AF44" s="4"/>
      <c r="AG44" s="4"/>
      <c r="AH44" s="4"/>
      <c r="AI44" s="4"/>
      <c r="AJ44" s="4"/>
      <c r="AK44" s="4"/>
      <c r="AL44" s="4"/>
    </row>
    <row r="45" spans="1:38" x14ac:dyDescent="0.2">
      <c r="D45" s="4">
        <v>58</v>
      </c>
      <c r="E45" s="26">
        <v>0.20799999999999999</v>
      </c>
      <c r="F45" s="26">
        <v>-99.667000000000002</v>
      </c>
      <c r="G45" s="4">
        <f t="shared" si="0"/>
        <v>99.459000000000003</v>
      </c>
      <c r="H45" s="19">
        <f t="shared" si="1"/>
        <v>6.6625803858520909</v>
      </c>
      <c r="I45">
        <v>1</v>
      </c>
      <c r="J45" s="12">
        <f t="shared" si="2"/>
        <v>6.6625803858520909</v>
      </c>
      <c r="K45" s="4">
        <v>20.3947</v>
      </c>
      <c r="L45" s="12">
        <f t="shared" si="3"/>
        <v>0.32668195098982045</v>
      </c>
      <c r="M45" s="12">
        <f t="shared" si="4"/>
        <v>3.2668195098982045</v>
      </c>
      <c r="T45">
        <v>64</v>
      </c>
      <c r="U45" s="24">
        <v>4.0599999999999996</v>
      </c>
      <c r="V45" s="24">
        <v>-97.305999999999997</v>
      </c>
      <c r="W45" s="4">
        <f t="shared" si="5"/>
        <v>93.245999999999995</v>
      </c>
      <c r="X45" s="19">
        <f t="shared" si="6"/>
        <v>6.246382636655949</v>
      </c>
      <c r="Y45">
        <v>1</v>
      </c>
      <c r="Z45" s="12">
        <f t="shared" si="7"/>
        <v>6.246382636655949</v>
      </c>
      <c r="AA45" s="10">
        <v>17.358049999999999</v>
      </c>
      <c r="AB45" s="12">
        <f t="shared" si="8"/>
        <v>0.359855089520767</v>
      </c>
      <c r="AC45" s="12">
        <f t="shared" si="9"/>
        <v>3.5985508952076701</v>
      </c>
      <c r="AD45" s="4"/>
      <c r="AF45" s="4"/>
      <c r="AG45" s="4"/>
      <c r="AH45" s="4"/>
      <c r="AI45" s="4"/>
      <c r="AJ45" s="4"/>
      <c r="AK45" s="4"/>
      <c r="AL45" s="4"/>
    </row>
    <row r="46" spans="1:38" x14ac:dyDescent="0.2">
      <c r="D46" s="4">
        <v>59</v>
      </c>
      <c r="E46" s="26">
        <v>-1.337</v>
      </c>
      <c r="F46" s="26">
        <v>-96.429000000000002</v>
      </c>
      <c r="G46" s="4">
        <f t="shared" si="0"/>
        <v>95.091999999999999</v>
      </c>
      <c r="H46" s="19">
        <f t="shared" si="1"/>
        <v>6.3700428724544489</v>
      </c>
      <c r="I46">
        <v>1</v>
      </c>
      <c r="J46" s="12">
        <f t="shared" si="2"/>
        <v>6.3700428724544489</v>
      </c>
      <c r="K46" s="4">
        <v>19.908850000000001</v>
      </c>
      <c r="L46" s="12">
        <f t="shared" si="3"/>
        <v>0.31996036297699004</v>
      </c>
      <c r="M46" s="12">
        <f t="shared" si="4"/>
        <v>3.1996036297699004</v>
      </c>
      <c r="Q46">
        <v>15</v>
      </c>
      <c r="T46">
        <v>96</v>
      </c>
      <c r="U46" s="24">
        <v>1.2E-2</v>
      </c>
      <c r="V46" s="24">
        <v>-94.35</v>
      </c>
      <c r="W46" s="4">
        <f t="shared" si="5"/>
        <v>94.337999999999994</v>
      </c>
      <c r="X46" s="19">
        <f t="shared" si="6"/>
        <v>6.3195337620578789</v>
      </c>
      <c r="Y46">
        <v>1</v>
      </c>
      <c r="Z46" s="12">
        <f t="shared" si="7"/>
        <v>6.3195337620578789</v>
      </c>
      <c r="AA46" s="10">
        <v>20.294350000000001</v>
      </c>
      <c r="AB46" s="12">
        <f t="shared" si="8"/>
        <v>0.31139375057875113</v>
      </c>
      <c r="AC46" s="12">
        <f t="shared" si="9"/>
        <v>3.1139375057875114</v>
      </c>
      <c r="AD46" s="4"/>
      <c r="AF46" s="4"/>
      <c r="AG46" s="4"/>
      <c r="AH46" s="4"/>
      <c r="AI46" s="4"/>
      <c r="AJ46" s="4"/>
      <c r="AK46" s="4"/>
      <c r="AL46" s="4"/>
    </row>
    <row r="47" spans="1:38" x14ac:dyDescent="0.2">
      <c r="D47" s="4">
        <v>60</v>
      </c>
      <c r="E47" s="26">
        <v>29.364999999999998</v>
      </c>
      <c r="F47" s="26">
        <v>-105.639</v>
      </c>
      <c r="G47" s="4">
        <f t="shared" si="0"/>
        <v>76.274000000000001</v>
      </c>
      <c r="H47" s="19">
        <f t="shared" si="1"/>
        <v>5.1094587352625949</v>
      </c>
      <c r="I47">
        <v>1</v>
      </c>
      <c r="J47" s="12">
        <f t="shared" si="2"/>
        <v>5.1094587352625949</v>
      </c>
      <c r="K47" s="4">
        <v>19.063849999999999</v>
      </c>
      <c r="L47" s="12">
        <f t="shared" si="3"/>
        <v>0.26801819859380949</v>
      </c>
      <c r="M47" s="12">
        <f t="shared" si="4"/>
        <v>2.6801819859380949</v>
      </c>
      <c r="T47">
        <v>97</v>
      </c>
      <c r="U47" s="24">
        <v>-2.512</v>
      </c>
      <c r="V47" s="24">
        <v>-105.143</v>
      </c>
      <c r="W47" s="4">
        <f t="shared" si="5"/>
        <v>102.631</v>
      </c>
      <c r="X47" s="19">
        <f t="shared" si="6"/>
        <v>6.8750669882100759</v>
      </c>
      <c r="Y47">
        <v>1</v>
      </c>
      <c r="Z47" s="12">
        <f t="shared" si="7"/>
        <v>6.8750669882100759</v>
      </c>
      <c r="AA47" s="12">
        <v>19.174750000000003</v>
      </c>
      <c r="AB47" s="12">
        <f t="shared" si="8"/>
        <v>0.35854793351725966</v>
      </c>
      <c r="AC47" s="12">
        <f t="shared" si="9"/>
        <v>3.5854793351725966</v>
      </c>
      <c r="AD47" s="4"/>
      <c r="AF47" s="4"/>
      <c r="AG47" s="4"/>
      <c r="AH47" s="4"/>
      <c r="AI47" s="4"/>
      <c r="AJ47" s="4"/>
      <c r="AK47" s="4"/>
      <c r="AL47" s="4"/>
    </row>
    <row r="48" spans="1:38" x14ac:dyDescent="0.2">
      <c r="A48">
        <v>12</v>
      </c>
      <c r="D48" s="4">
        <v>91</v>
      </c>
      <c r="E48" s="26">
        <v>-6.2249999999999996</v>
      </c>
      <c r="F48" s="26">
        <v>-104.089</v>
      </c>
      <c r="G48" s="4">
        <f t="shared" si="0"/>
        <v>97.864000000000004</v>
      </c>
      <c r="H48" s="19">
        <f t="shared" si="1"/>
        <v>6.5557341907824229</v>
      </c>
      <c r="I48">
        <v>1</v>
      </c>
      <c r="J48" s="12">
        <f t="shared" si="2"/>
        <v>6.5557341907824229</v>
      </c>
      <c r="K48" s="4">
        <v>17.812249999999999</v>
      </c>
      <c r="L48" s="12">
        <f t="shared" si="3"/>
        <v>0.36804638329141032</v>
      </c>
      <c r="M48" s="12">
        <f t="shared" si="4"/>
        <v>3.6804638329141031</v>
      </c>
      <c r="T48">
        <v>98</v>
      </c>
      <c r="U48" s="24">
        <v>-5.0540000000000003</v>
      </c>
      <c r="V48" s="24">
        <v>-114.863</v>
      </c>
      <c r="W48" s="4">
        <f t="shared" si="5"/>
        <v>109.809</v>
      </c>
      <c r="X48" s="19">
        <f t="shared" si="6"/>
        <v>7.3559083601286179</v>
      </c>
      <c r="Y48">
        <v>1</v>
      </c>
      <c r="Z48" s="12">
        <f t="shared" si="7"/>
        <v>7.3559083601286179</v>
      </c>
      <c r="AA48" s="12">
        <v>19.407149999999998</v>
      </c>
      <c r="AB48" s="12">
        <f t="shared" si="8"/>
        <v>0.37903083967139012</v>
      </c>
      <c r="AC48" s="12">
        <f t="shared" si="9"/>
        <v>3.7903083967139013</v>
      </c>
      <c r="AD48" s="4"/>
      <c r="AF48" s="4"/>
      <c r="AG48" s="4"/>
      <c r="AH48" s="4"/>
      <c r="AI48" s="4"/>
      <c r="AJ48" s="4"/>
      <c r="AK48" s="4"/>
      <c r="AL48" s="4"/>
    </row>
    <row r="49" spans="1:38" x14ac:dyDescent="0.2">
      <c r="D49" s="4">
        <v>92</v>
      </c>
      <c r="E49" s="26">
        <v>7.4779999999999998</v>
      </c>
      <c r="F49" s="26">
        <v>-93.453000000000003</v>
      </c>
      <c r="G49" s="4">
        <f t="shared" si="0"/>
        <v>85.975000000000009</v>
      </c>
      <c r="H49" s="19">
        <f t="shared" si="1"/>
        <v>5.7593113612004307</v>
      </c>
      <c r="I49">
        <v>1</v>
      </c>
      <c r="J49" s="12">
        <f t="shared" si="2"/>
        <v>5.7593113612004307</v>
      </c>
      <c r="K49" s="4">
        <v>20.077850000000002</v>
      </c>
      <c r="L49" s="12">
        <f t="shared" si="3"/>
        <v>0.2868490082952323</v>
      </c>
      <c r="M49" s="12">
        <f t="shared" si="4"/>
        <v>2.8684900829523228</v>
      </c>
      <c r="T49">
        <v>99</v>
      </c>
      <c r="U49" s="24">
        <v>-1.03</v>
      </c>
      <c r="V49" s="24">
        <v>-114.54600000000001</v>
      </c>
      <c r="W49" s="4">
        <f t="shared" si="5"/>
        <v>113.51600000000001</v>
      </c>
      <c r="X49" s="19">
        <f t="shared" si="6"/>
        <v>7.6042336548767429</v>
      </c>
      <c r="Y49">
        <v>1</v>
      </c>
      <c r="Z49" s="12">
        <f t="shared" si="7"/>
        <v>7.6042336548767429</v>
      </c>
      <c r="AA49" s="12">
        <v>20.109500000000001</v>
      </c>
      <c r="AB49" s="12">
        <f t="shared" si="8"/>
        <v>0.37814135880438315</v>
      </c>
      <c r="AC49" s="12">
        <f t="shared" si="9"/>
        <v>3.7814135880438315</v>
      </c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D50" s="4">
        <v>93</v>
      </c>
      <c r="E50" s="26">
        <v>1.0009999999999999</v>
      </c>
      <c r="F50" s="26">
        <v>-96.281000000000006</v>
      </c>
      <c r="G50" s="4">
        <f t="shared" si="0"/>
        <v>95.28</v>
      </c>
      <c r="H50" s="19">
        <f t="shared" si="1"/>
        <v>6.3826366559485539</v>
      </c>
      <c r="I50">
        <v>1</v>
      </c>
      <c r="J50" s="12">
        <f t="shared" si="2"/>
        <v>6.3826366559485539</v>
      </c>
      <c r="K50" s="4">
        <v>19.486349999999998</v>
      </c>
      <c r="L50" s="12">
        <f t="shared" si="3"/>
        <v>0.32754398109181837</v>
      </c>
      <c r="M50" s="12">
        <f>L50*10</f>
        <v>3.2754398109181837</v>
      </c>
      <c r="T50">
        <v>100</v>
      </c>
      <c r="U50" s="24">
        <v>-3.0880000000000001</v>
      </c>
      <c r="V50" s="24">
        <v>-115.16200000000001</v>
      </c>
      <c r="W50" s="4">
        <f t="shared" si="5"/>
        <v>112.07400000000001</v>
      </c>
      <c r="X50" s="19">
        <f t="shared" si="6"/>
        <v>7.5076366559485548</v>
      </c>
      <c r="Y50">
        <v>1</v>
      </c>
      <c r="Z50" s="12">
        <f t="shared" si="7"/>
        <v>7.5076366559485548</v>
      </c>
      <c r="AA50" s="12">
        <v>20.526750000000003</v>
      </c>
      <c r="AB50" s="12">
        <f t="shared" si="8"/>
        <v>0.36574892060109632</v>
      </c>
      <c r="AC50" s="12">
        <f t="shared" si="9"/>
        <v>3.6574892060109629</v>
      </c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D51" s="4">
        <v>94</v>
      </c>
      <c r="E51" s="26">
        <v>0.74099999999999999</v>
      </c>
      <c r="F51" s="26">
        <v>-100.44199999999999</v>
      </c>
      <c r="G51" s="4">
        <f t="shared" si="0"/>
        <v>99.700999999999993</v>
      </c>
      <c r="H51" s="19">
        <f t="shared" si="1"/>
        <v>6.6787915326902469</v>
      </c>
      <c r="I51">
        <v>1</v>
      </c>
      <c r="J51" s="12">
        <f t="shared" si="2"/>
        <v>6.6787915326902469</v>
      </c>
      <c r="K51" s="4">
        <v>18.09215</v>
      </c>
      <c r="L51" s="12">
        <f t="shared" si="3"/>
        <v>0.36915411008035237</v>
      </c>
      <c r="M51" s="12">
        <f t="shared" si="4"/>
        <v>3.6915411008035237</v>
      </c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D52" s="4">
        <v>95</v>
      </c>
      <c r="E52" s="26">
        <v>-7.1120000000000001</v>
      </c>
      <c r="F52" s="26">
        <v>-101.515</v>
      </c>
      <c r="G52" s="4">
        <f t="shared" si="0"/>
        <v>94.403000000000006</v>
      </c>
      <c r="H52" s="19">
        <f t="shared" si="1"/>
        <v>6.323887995712755</v>
      </c>
      <c r="I52">
        <v>1</v>
      </c>
      <c r="J52" s="12">
        <f t="shared" si="2"/>
        <v>6.323887995712755</v>
      </c>
      <c r="K52" s="4">
        <v>19.2804</v>
      </c>
      <c r="L52" s="12">
        <f t="shared" si="3"/>
        <v>0.32799568451446831</v>
      </c>
      <c r="M52" s="12">
        <f t="shared" si="4"/>
        <v>3.279956845144683</v>
      </c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4"/>
      <c r="B53" s="15"/>
      <c r="C53" s="4"/>
      <c r="D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4"/>
      <c r="B54" s="15"/>
      <c r="C54" s="4"/>
      <c r="D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4"/>
      <c r="B55" s="15"/>
      <c r="C55" s="4"/>
      <c r="D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4"/>
      <c r="B56" s="15"/>
      <c r="C56" s="4"/>
      <c r="D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4"/>
      <c r="B57" s="15"/>
      <c r="C57" s="4"/>
      <c r="D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4"/>
      <c r="B58" s="15"/>
      <c r="C58" s="4"/>
      <c r="D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D64" s="4"/>
      <c r="AE64" s="4"/>
      <c r="AF64" s="4"/>
      <c r="AG64" s="4"/>
      <c r="AH64" s="4"/>
      <c r="AI64" s="4"/>
      <c r="AJ64" s="4"/>
      <c r="AK64" s="4"/>
      <c r="AL64" s="4"/>
    </row>
    <row r="65" spans="30:38" x14ac:dyDescent="0.2">
      <c r="AD65" s="4"/>
      <c r="AE65" s="4"/>
      <c r="AF65" s="4"/>
      <c r="AG65" s="4"/>
      <c r="AH65" s="4"/>
      <c r="AI65" s="4"/>
      <c r="AJ65" s="4"/>
      <c r="AK65" s="4"/>
      <c r="AL65" s="4"/>
    </row>
    <row r="66" spans="30:38" x14ac:dyDescent="0.2">
      <c r="AD66" s="4"/>
      <c r="AE66" s="4"/>
      <c r="AF66" s="4"/>
      <c r="AG66" s="4"/>
      <c r="AH66" s="4"/>
      <c r="AI66" s="4"/>
      <c r="AJ66" s="4"/>
      <c r="AK66" s="4"/>
      <c r="AL66" s="4"/>
    </row>
    <row r="67" spans="30:38" x14ac:dyDescent="0.2">
      <c r="AD67" s="4"/>
      <c r="AE67" s="4"/>
      <c r="AF67" s="4"/>
      <c r="AG67" s="4"/>
      <c r="AH67" s="4"/>
      <c r="AI67" s="4"/>
      <c r="AJ67" s="4"/>
      <c r="AK67" s="4"/>
      <c r="AL67" s="4"/>
    </row>
    <row r="68" spans="30:38" x14ac:dyDescent="0.2">
      <c r="AD68" s="4"/>
      <c r="AE68" s="4"/>
      <c r="AF68" s="4"/>
      <c r="AG68" s="4"/>
      <c r="AH68" s="4"/>
      <c r="AI68" s="4"/>
      <c r="AJ68" s="4"/>
      <c r="AK68" s="4"/>
      <c r="AL68" s="4"/>
    </row>
    <row r="69" spans="30:38" x14ac:dyDescent="0.2">
      <c r="AD69" s="4"/>
      <c r="AE69" s="4"/>
      <c r="AF69" s="4"/>
      <c r="AG69" s="4"/>
      <c r="AH69" s="4"/>
      <c r="AI69" s="4"/>
      <c r="AJ69" s="4"/>
      <c r="AK69" s="4"/>
      <c r="AL69" s="4"/>
    </row>
    <row r="70" spans="30:38" x14ac:dyDescent="0.2">
      <c r="AD70" s="4"/>
      <c r="AE70" s="4"/>
      <c r="AF70" s="4"/>
      <c r="AG70" s="4"/>
      <c r="AH70" s="4"/>
      <c r="AI70" s="4"/>
      <c r="AJ70" s="4"/>
      <c r="AK70" s="4"/>
      <c r="AL70" s="4"/>
    </row>
    <row r="71" spans="30:38" x14ac:dyDescent="0.2">
      <c r="AD71" s="4"/>
      <c r="AE71" s="4"/>
      <c r="AF71" s="4"/>
      <c r="AG71" s="4"/>
      <c r="AH71" s="4"/>
      <c r="AI71" s="4"/>
      <c r="AJ71" s="4"/>
      <c r="AK71" s="4"/>
      <c r="AL71" s="4"/>
    </row>
    <row r="72" spans="30:38" x14ac:dyDescent="0.2">
      <c r="AD72" s="4"/>
      <c r="AE72" s="4"/>
      <c r="AF72" s="4"/>
      <c r="AG72" s="4"/>
      <c r="AH72" s="4"/>
      <c r="AI72" s="4"/>
      <c r="AJ72" s="4"/>
      <c r="AK72" s="4"/>
      <c r="AL72" s="4"/>
    </row>
    <row r="73" spans="30:38" x14ac:dyDescent="0.2">
      <c r="AD73" s="4"/>
      <c r="AE73" s="4"/>
      <c r="AF73" s="4"/>
      <c r="AG73" s="4"/>
      <c r="AH73" s="4"/>
      <c r="AI73" s="4"/>
      <c r="AJ73" s="4"/>
      <c r="AK73" s="4"/>
      <c r="AL73" s="4"/>
    </row>
    <row r="74" spans="30:38" x14ac:dyDescent="0.2">
      <c r="AD74" s="4"/>
      <c r="AE74" s="4"/>
      <c r="AF74" s="4"/>
      <c r="AG74" s="4"/>
      <c r="AH74" s="4"/>
      <c r="AI74" s="4"/>
      <c r="AJ74" s="4"/>
      <c r="AK74" s="4"/>
      <c r="AL74" s="4"/>
    </row>
    <row r="75" spans="30:38" x14ac:dyDescent="0.2">
      <c r="AD75" s="4"/>
      <c r="AE75" s="4"/>
      <c r="AF75" s="4"/>
      <c r="AG75" s="4"/>
      <c r="AH75" s="4"/>
      <c r="AI75" s="4"/>
      <c r="AJ75" s="4"/>
      <c r="AK75" s="4"/>
      <c r="AL75" s="4"/>
    </row>
    <row r="76" spans="30:38" x14ac:dyDescent="0.2">
      <c r="AD76" s="4"/>
      <c r="AE76" s="4"/>
      <c r="AF76" s="4"/>
      <c r="AG76" s="4"/>
      <c r="AH76" s="4"/>
      <c r="AI76" s="4"/>
      <c r="AJ76" s="4"/>
      <c r="AK76" s="4"/>
      <c r="AL76" s="4"/>
    </row>
    <row r="77" spans="30:38" x14ac:dyDescent="0.2">
      <c r="AD77" s="4"/>
      <c r="AE77" s="4"/>
      <c r="AF77" s="4"/>
      <c r="AG77" s="4"/>
      <c r="AH77" s="4"/>
      <c r="AI77" s="4"/>
      <c r="AJ77" s="4"/>
      <c r="AK77" s="4"/>
      <c r="AL77" s="4"/>
    </row>
    <row r="78" spans="30:38" x14ac:dyDescent="0.2">
      <c r="AD78" s="4"/>
      <c r="AE78" s="4"/>
      <c r="AF78" s="4"/>
      <c r="AG78" s="4"/>
      <c r="AH78" s="4"/>
      <c r="AI78" s="4"/>
      <c r="AJ78" s="4"/>
      <c r="AK78" s="4"/>
      <c r="AL78" s="4"/>
    </row>
    <row r="79" spans="30:38" x14ac:dyDescent="0.2">
      <c r="AD79" s="4"/>
      <c r="AE79" s="4"/>
      <c r="AF79" s="4"/>
      <c r="AG79" s="4"/>
      <c r="AH79" s="4"/>
      <c r="AI79" s="4"/>
      <c r="AJ79" s="4"/>
      <c r="AK79" s="4"/>
      <c r="AL79" s="4"/>
    </row>
    <row r="80" spans="30:38" x14ac:dyDescent="0.2">
      <c r="AD80" s="4"/>
      <c r="AE80" s="4"/>
      <c r="AF80" s="4"/>
      <c r="AG80" s="4"/>
      <c r="AH80" s="4"/>
      <c r="AI80" s="4"/>
      <c r="AJ80" s="4"/>
      <c r="AK80" s="4"/>
      <c r="AL80" s="4"/>
    </row>
    <row r="81" spans="30:38" x14ac:dyDescent="0.2">
      <c r="AD81" s="4"/>
      <c r="AE81" s="4"/>
      <c r="AF81" s="4"/>
      <c r="AG81" s="4"/>
      <c r="AH81" s="4"/>
      <c r="AI81" s="4"/>
      <c r="AJ81" s="4"/>
      <c r="AK81" s="4"/>
      <c r="AL81" s="4"/>
    </row>
    <row r="82" spans="30:38" x14ac:dyDescent="0.2">
      <c r="AD82" s="4"/>
      <c r="AE82" s="4"/>
      <c r="AF82" s="4"/>
      <c r="AG82" s="4"/>
      <c r="AH82" s="4"/>
      <c r="AI82" s="4"/>
      <c r="AJ82" s="4"/>
      <c r="AK82" s="4"/>
      <c r="AL82" s="4"/>
    </row>
    <row r="83" spans="30:38" x14ac:dyDescent="0.2">
      <c r="AD83" s="4"/>
      <c r="AE83" s="4"/>
      <c r="AF83" s="4"/>
      <c r="AG83" s="4"/>
      <c r="AH83" s="4"/>
      <c r="AI83" s="4"/>
      <c r="AJ83" s="4"/>
      <c r="AK83" s="4"/>
      <c r="AL83" s="4"/>
    </row>
    <row r="84" spans="30:38" x14ac:dyDescent="0.2">
      <c r="AD84" s="4"/>
      <c r="AE84" s="4"/>
      <c r="AF84" s="4"/>
      <c r="AG84" s="4"/>
      <c r="AH84" s="4"/>
      <c r="AI84" s="4"/>
      <c r="AJ84" s="4"/>
      <c r="AK84" s="4"/>
      <c r="AL84" s="4"/>
    </row>
    <row r="85" spans="30:38" x14ac:dyDescent="0.2">
      <c r="AD85" s="4"/>
      <c r="AE85" s="4"/>
      <c r="AF85" s="4"/>
      <c r="AG85" s="4"/>
      <c r="AH85" s="4"/>
      <c r="AI85" s="4"/>
      <c r="AJ85" s="4"/>
      <c r="AK85" s="4"/>
      <c r="AL85" s="4"/>
    </row>
    <row r="86" spans="30:38" x14ac:dyDescent="0.2">
      <c r="AD86" s="4"/>
      <c r="AE86" s="4"/>
      <c r="AF86" s="4"/>
      <c r="AG86" s="4"/>
      <c r="AH86" s="4"/>
      <c r="AI86" s="4"/>
      <c r="AJ86" s="4"/>
      <c r="AK86" s="4"/>
      <c r="AL86" s="4"/>
    </row>
    <row r="87" spans="30:38" x14ac:dyDescent="0.2">
      <c r="AD87" s="4"/>
      <c r="AE87" s="4"/>
      <c r="AF87" s="4"/>
      <c r="AG87" s="4"/>
      <c r="AH87" s="4"/>
      <c r="AI87" s="4"/>
      <c r="AJ87" s="4"/>
      <c r="AK87" s="4"/>
      <c r="AL87" s="4"/>
    </row>
    <row r="88" spans="30:38" x14ac:dyDescent="0.2">
      <c r="AD88" s="4"/>
      <c r="AE88" s="4"/>
      <c r="AF88" s="4"/>
      <c r="AG88" s="4"/>
      <c r="AH88" s="4"/>
      <c r="AI88" s="4"/>
      <c r="AJ88" s="4"/>
      <c r="AK88" s="4"/>
      <c r="AL88" s="4"/>
    </row>
    <row r="89" spans="30:38" x14ac:dyDescent="0.2">
      <c r="AD89" s="4"/>
      <c r="AE89" s="4"/>
      <c r="AF89" s="4"/>
      <c r="AG89" s="4"/>
      <c r="AH89" s="4"/>
      <c r="AI89" s="4"/>
      <c r="AJ89" s="4"/>
      <c r="AK89" s="4"/>
      <c r="AL89" s="4"/>
    </row>
    <row r="90" spans="30:38" x14ac:dyDescent="0.2">
      <c r="AD90" s="4"/>
      <c r="AE90" s="4"/>
      <c r="AF90" s="4"/>
      <c r="AG90" s="4"/>
      <c r="AH90" s="4"/>
      <c r="AI90" s="4"/>
      <c r="AJ90" s="4"/>
      <c r="AK90" s="4"/>
      <c r="AL90" s="4"/>
    </row>
    <row r="91" spans="30:38" x14ac:dyDescent="0.2">
      <c r="AD91" s="4"/>
      <c r="AE91" s="4"/>
      <c r="AF91" s="4"/>
      <c r="AG91" s="4"/>
      <c r="AH91" s="4"/>
      <c r="AI91" s="4"/>
      <c r="AJ91" s="4"/>
      <c r="AK91" s="4"/>
      <c r="AL91" s="4"/>
    </row>
    <row r="92" spans="30:38" x14ac:dyDescent="0.2">
      <c r="AD92" s="4"/>
      <c r="AE92" s="4"/>
      <c r="AF92" s="4"/>
      <c r="AG92" s="4"/>
      <c r="AH92" s="4"/>
      <c r="AI92" s="4"/>
      <c r="AJ92" s="4"/>
      <c r="AK92" s="4"/>
      <c r="AL92" s="4"/>
    </row>
    <row r="93" spans="30:38" x14ac:dyDescent="0.2">
      <c r="AD93" s="4"/>
      <c r="AE93" s="4"/>
      <c r="AF93" s="4"/>
      <c r="AG93" s="4"/>
      <c r="AH93" s="4"/>
      <c r="AI93" s="4"/>
      <c r="AJ93" s="4"/>
      <c r="AK93" s="4"/>
      <c r="AL93" s="4"/>
    </row>
    <row r="94" spans="30:38" x14ac:dyDescent="0.2">
      <c r="AD94" s="4"/>
      <c r="AE94" s="4"/>
      <c r="AF94" s="4"/>
      <c r="AG94" s="4"/>
      <c r="AH94" s="4"/>
      <c r="AI94" s="4"/>
      <c r="AJ94" s="4"/>
      <c r="AK94" s="4"/>
      <c r="AL94" s="4"/>
    </row>
    <row r="95" spans="30:38" x14ac:dyDescent="0.2">
      <c r="AD95" s="4"/>
      <c r="AE95" s="4"/>
      <c r="AF95" s="4"/>
      <c r="AG95" s="4"/>
      <c r="AH95" s="4"/>
      <c r="AI95" s="4"/>
      <c r="AJ95" s="4"/>
      <c r="AK95" s="4"/>
      <c r="AL95" s="4"/>
    </row>
    <row r="96" spans="30:38" x14ac:dyDescent="0.2">
      <c r="AD96" s="4"/>
      <c r="AE96" s="4"/>
      <c r="AF96" s="4"/>
      <c r="AG96" s="4"/>
      <c r="AH96" s="4"/>
      <c r="AI96" s="4"/>
      <c r="AJ96" s="4"/>
      <c r="AK96" s="4"/>
      <c r="AL96" s="4"/>
    </row>
    <row r="97" spans="30:38" x14ac:dyDescent="0.2">
      <c r="AD97" s="4"/>
      <c r="AE97" s="4"/>
      <c r="AF97" s="4"/>
      <c r="AG97" s="4"/>
      <c r="AH97" s="4"/>
      <c r="AI97" s="4"/>
      <c r="AJ97" s="4"/>
      <c r="AK97" s="4"/>
      <c r="AL97" s="4"/>
    </row>
    <row r="98" spans="30:38" x14ac:dyDescent="0.2">
      <c r="AD98" s="4"/>
      <c r="AE98" s="4"/>
      <c r="AF98" s="4"/>
      <c r="AG98" s="4"/>
      <c r="AH98" s="4"/>
      <c r="AI98" s="4"/>
      <c r="AJ98" s="4"/>
      <c r="AK98" s="4"/>
      <c r="AL98" s="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V1" workbookViewId="0">
      <selection activeCell="M21" sqref="M21:M52"/>
    </sheetView>
  </sheetViews>
  <sheetFormatPr baseColWidth="10" defaultColWidth="8.796875" defaultRowHeight="15" x14ac:dyDescent="0.2"/>
  <cols>
    <col min="2" max="2" width="10.3984375" bestFit="1" customWidth="1"/>
    <col min="8" max="8" width="12.3984375" bestFit="1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bestFit="1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7" ht="20" x14ac:dyDescent="0.2">
      <c r="A1" s="14" t="s">
        <v>324</v>
      </c>
      <c r="B1" s="15"/>
      <c r="C1" s="4"/>
      <c r="M1" s="21"/>
      <c r="AG1" s="2" t="s">
        <v>325</v>
      </c>
      <c r="AH1" s="1"/>
      <c r="AI1" s="1"/>
      <c r="AJ1" s="1"/>
      <c r="AK1" s="1"/>
    </row>
    <row r="2" spans="1:37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325</v>
      </c>
      <c r="AJ2" s="5" t="s">
        <v>65</v>
      </c>
      <c r="AK2" s="5" t="s">
        <v>66</v>
      </c>
    </row>
    <row r="3" spans="1:37" x14ac:dyDescent="0.2">
      <c r="A3">
        <v>11</v>
      </c>
      <c r="B3" s="18" t="s">
        <v>9</v>
      </c>
      <c r="C3" t="s">
        <v>10</v>
      </c>
      <c r="D3" s="4">
        <v>1</v>
      </c>
      <c r="E3" s="26">
        <v>-12.02</v>
      </c>
      <c r="F3" s="26">
        <v>-138.077</v>
      </c>
      <c r="G3" s="4">
        <f>IF(E3&lt;0,F3*-1+E3,F3*-1-E3)</f>
        <v>126.057</v>
      </c>
      <c r="H3" s="19">
        <f>(G3*250*1*1*1000)/(6.22*2*0.3*1000*1000*1)</f>
        <v>8.4443327974276539</v>
      </c>
      <c r="I3">
        <v>1</v>
      </c>
      <c r="J3" s="12">
        <f>H3*I3</f>
        <v>8.4443327974276539</v>
      </c>
      <c r="K3" s="4">
        <v>18.815650000000002</v>
      </c>
      <c r="L3" s="12">
        <f>J3/K3</f>
        <v>0.44879304182569579</v>
      </c>
      <c r="M3" s="12">
        <f>L3*10</f>
        <v>4.4879304182569584</v>
      </c>
      <c r="Q3">
        <v>15</v>
      </c>
      <c r="R3" s="18" t="s">
        <v>18</v>
      </c>
      <c r="S3" t="s">
        <v>10</v>
      </c>
      <c r="T3">
        <v>5</v>
      </c>
      <c r="U3" s="24">
        <v>-9.4E-2</v>
      </c>
      <c r="V3" s="24">
        <v>-99.644000000000005</v>
      </c>
      <c r="W3" s="4">
        <f>IF(U3&lt;0,V3*-1+U3,V3*-1-U3)</f>
        <v>99.550000000000011</v>
      </c>
      <c r="X3" s="19">
        <f>(W3*250*1*1*1000)/(6.22*2*0.3*1000*1000*1)</f>
        <v>6.6686763129689197</v>
      </c>
      <c r="Y3">
        <v>1</v>
      </c>
      <c r="Z3" s="12">
        <f>X3*Y3</f>
        <v>6.6686763129689197</v>
      </c>
      <c r="AA3" s="12">
        <v>17.822800000000001</v>
      </c>
      <c r="AB3" s="12">
        <f>Z3/AA3</f>
        <v>0.37416546855538518</v>
      </c>
      <c r="AC3" s="12">
        <f>AB3*10</f>
        <v>3.7416546855538519</v>
      </c>
      <c r="AD3" s="23">
        <f>AVERAGE(AC3:AC14)</f>
        <v>3.2945841758123335</v>
      </c>
      <c r="AE3" t="s">
        <v>10</v>
      </c>
      <c r="AF3" s="4"/>
      <c r="AG3" s="4" t="s">
        <v>18</v>
      </c>
      <c r="AH3" s="4">
        <v>0</v>
      </c>
      <c r="AI3" s="23">
        <f>AVERAGE(AC3:AC14)</f>
        <v>3.2945841758123335</v>
      </c>
      <c r="AJ3" s="4">
        <f>COUNT(AC3:AC14)</f>
        <v>12</v>
      </c>
      <c r="AK3" s="4">
        <f>STDEV(AC3:AC14)/SQRT(AJ3)</f>
        <v>0.1426775022860825</v>
      </c>
    </row>
    <row r="4" spans="1:37" x14ac:dyDescent="0.2">
      <c r="D4" s="4">
        <v>2</v>
      </c>
      <c r="E4" s="26">
        <v>-21.917999999999999</v>
      </c>
      <c r="F4" s="26">
        <v>-101.839</v>
      </c>
      <c r="G4" s="4">
        <f t="shared" ref="G4:G52" si="0">IF(E4&lt;0,F4*-1+E4,F4*-1-E4)</f>
        <v>79.920999999999992</v>
      </c>
      <c r="H4" s="19">
        <f t="shared" ref="H4:H52" si="1">(G4*250*1*1*1000)/(6.22*2*0.3*1000*1000*1)</f>
        <v>5.3537647374062161</v>
      </c>
      <c r="I4">
        <v>1</v>
      </c>
      <c r="J4" s="12">
        <f t="shared" ref="J4:J52" si="2">H4*I4</f>
        <v>5.3537647374062161</v>
      </c>
      <c r="K4" s="4">
        <v>21.588250000000002</v>
      </c>
      <c r="L4" s="12">
        <f t="shared" ref="L4:L52" si="3">J4/K4</f>
        <v>0.2479943829354494</v>
      </c>
      <c r="M4" s="12">
        <f t="shared" ref="M4:M52" si="4">L4*10</f>
        <v>2.479943829354494</v>
      </c>
      <c r="T4">
        <v>6</v>
      </c>
      <c r="U4" s="24">
        <v>-8.9629999999999992</v>
      </c>
      <c r="V4" s="24">
        <v>-100.217</v>
      </c>
      <c r="W4" s="4">
        <f t="shared" ref="W4:W50" si="5">IF(U4&lt;0,V4*-1+U4,V4*-1-U4)</f>
        <v>91.254000000000005</v>
      </c>
      <c r="X4" s="19">
        <f t="shared" ref="X4:X50" si="6">(W4*250*1*1*1000)/(6.22*2*0.3*1000*1000*1)</f>
        <v>6.1129421221864959</v>
      </c>
      <c r="Y4">
        <v>1</v>
      </c>
      <c r="Z4" s="12">
        <f t="shared" ref="Z4:Z50" si="7">X4*Y4</f>
        <v>6.1129421221864959</v>
      </c>
      <c r="AA4" s="12">
        <v>19.3279</v>
      </c>
      <c r="AB4" s="12">
        <f t="shared" ref="AB4:AB50" si="8">Z4/AA4</f>
        <v>0.31627554582683559</v>
      </c>
      <c r="AC4" s="12">
        <f t="shared" ref="AC4:AC50" si="9">AB4*10</f>
        <v>3.1627554582683559</v>
      </c>
      <c r="AD4" s="4"/>
      <c r="AF4" s="4"/>
      <c r="AG4" s="4"/>
      <c r="AH4" s="4">
        <v>1</v>
      </c>
      <c r="AI4" s="23">
        <f>AVERAGE(AC15:AC27)</f>
        <v>3.5108125598390405</v>
      </c>
      <c r="AJ4" s="4">
        <f>COUNT(AC15:AC27)</f>
        <v>13</v>
      </c>
      <c r="AK4" s="4">
        <f>STDEV(AC15:AC27)/SQRT(AJ4)</f>
        <v>0.16579258187936582</v>
      </c>
    </row>
    <row r="5" spans="1:37" x14ac:dyDescent="0.2">
      <c r="D5" s="4">
        <v>3</v>
      </c>
      <c r="E5" s="26">
        <v>-5.8550000000000004</v>
      </c>
      <c r="F5" s="26">
        <v>-110.94499999999999</v>
      </c>
      <c r="G5" s="4">
        <f t="shared" si="0"/>
        <v>105.08999999999999</v>
      </c>
      <c r="H5" s="19">
        <f t="shared" si="1"/>
        <v>7.039790996784566</v>
      </c>
      <c r="I5">
        <v>1</v>
      </c>
      <c r="J5" s="12">
        <f t="shared" si="2"/>
        <v>7.039790996784566</v>
      </c>
      <c r="K5" s="4">
        <v>21.028450000000003</v>
      </c>
      <c r="L5" s="12">
        <f t="shared" si="3"/>
        <v>0.3347746028254372</v>
      </c>
      <c r="M5" s="12">
        <f t="shared" si="4"/>
        <v>3.3477460282543721</v>
      </c>
      <c r="T5">
        <v>7</v>
      </c>
      <c r="U5" s="24">
        <v>19.957999999999998</v>
      </c>
      <c r="V5" s="24">
        <v>-107.187</v>
      </c>
      <c r="W5" s="4">
        <f t="shared" si="5"/>
        <v>87.228999999999999</v>
      </c>
      <c r="X5" s="19">
        <f t="shared" si="6"/>
        <v>5.8433145766345129</v>
      </c>
      <c r="Y5">
        <v>1</v>
      </c>
      <c r="Z5" s="12">
        <f t="shared" si="7"/>
        <v>5.8433145766345129</v>
      </c>
      <c r="AA5" s="12">
        <v>18.651949999999999</v>
      </c>
      <c r="AB5" s="12">
        <f t="shared" si="8"/>
        <v>0.31328169851594678</v>
      </c>
      <c r="AC5" s="12">
        <f t="shared" si="9"/>
        <v>3.1328169851594678</v>
      </c>
      <c r="AD5" s="4"/>
      <c r="AF5" s="4"/>
      <c r="AG5" s="4"/>
      <c r="AH5" s="4">
        <v>4</v>
      </c>
      <c r="AI5" s="23">
        <f>AVERAGE(AC28:AC38)</f>
        <v>3.942204220921786</v>
      </c>
      <c r="AJ5" s="4">
        <f>COUNT(AC28:AC38)</f>
        <v>11</v>
      </c>
      <c r="AK5" s="4">
        <f>STDEV(AC28:AC38)/SQRT(AJ5)</f>
        <v>0.20294893769047018</v>
      </c>
    </row>
    <row r="6" spans="1:37" x14ac:dyDescent="0.2">
      <c r="D6" s="4">
        <v>4</v>
      </c>
      <c r="E6" s="26">
        <v>-5.8630000000000004</v>
      </c>
      <c r="F6" s="26">
        <v>-150.74</v>
      </c>
      <c r="G6" s="4">
        <f t="shared" si="0"/>
        <v>144.87700000000001</v>
      </c>
      <c r="H6" s="19">
        <f t="shared" si="1"/>
        <v>9.7050509110396579</v>
      </c>
      <c r="I6">
        <v>1</v>
      </c>
      <c r="J6" s="12">
        <f t="shared" si="2"/>
        <v>9.7050509110396579</v>
      </c>
      <c r="K6" s="4">
        <v>20.046150000000001</v>
      </c>
      <c r="L6" s="12">
        <f t="shared" si="3"/>
        <v>0.48413540310930814</v>
      </c>
      <c r="M6" s="12">
        <f t="shared" si="4"/>
        <v>4.8413540310930809</v>
      </c>
      <c r="T6">
        <v>8</v>
      </c>
      <c r="U6" s="24">
        <v>-15.464</v>
      </c>
      <c r="V6" s="24">
        <v>-108.006</v>
      </c>
      <c r="W6" s="4">
        <f t="shared" si="5"/>
        <v>92.542000000000002</v>
      </c>
      <c r="X6" s="19">
        <f t="shared" si="6"/>
        <v>6.1992229367631309</v>
      </c>
      <c r="Y6">
        <v>1</v>
      </c>
      <c r="Z6" s="12">
        <f t="shared" si="7"/>
        <v>6.1992229367631309</v>
      </c>
      <c r="AA6" s="12">
        <v>18.878999999999998</v>
      </c>
      <c r="AB6" s="12">
        <f t="shared" si="8"/>
        <v>0.32836606476842689</v>
      </c>
      <c r="AC6" s="12">
        <f t="shared" si="9"/>
        <v>3.2836606476842691</v>
      </c>
      <c r="AD6" s="4"/>
      <c r="AF6" s="4"/>
      <c r="AG6" s="4"/>
      <c r="AH6" s="4">
        <v>24</v>
      </c>
      <c r="AI6" s="23">
        <f>AVERAGE(AC39:AC50)</f>
        <v>3.4779302003240642</v>
      </c>
      <c r="AJ6" s="4">
        <f>COUNT(AC39:AC50)</f>
        <v>12</v>
      </c>
      <c r="AK6" s="4">
        <f>STDEV(AC39:AC50)/SQRT(AJ6)</f>
        <v>0.13175528440353726</v>
      </c>
    </row>
    <row r="7" spans="1:37" x14ac:dyDescent="0.2">
      <c r="A7">
        <v>12</v>
      </c>
      <c r="D7" s="4">
        <v>9</v>
      </c>
      <c r="E7" s="26">
        <v>-11.093999999999999</v>
      </c>
      <c r="F7" s="26">
        <v>-111.325</v>
      </c>
      <c r="G7" s="4">
        <f t="shared" si="0"/>
        <v>100.23100000000001</v>
      </c>
      <c r="H7" s="19">
        <f t="shared" si="1"/>
        <v>6.7142952840300127</v>
      </c>
      <c r="I7">
        <v>1</v>
      </c>
      <c r="J7" s="12">
        <f t="shared" si="2"/>
        <v>6.7142952840300127</v>
      </c>
      <c r="K7" s="4">
        <v>18.255850000000002</v>
      </c>
      <c r="L7" s="12">
        <f t="shared" si="3"/>
        <v>0.36778869699466266</v>
      </c>
      <c r="M7" s="12">
        <f t="shared" si="4"/>
        <v>3.6778869699466266</v>
      </c>
      <c r="Q7">
        <v>14</v>
      </c>
      <c r="T7">
        <v>13</v>
      </c>
      <c r="U7" s="24">
        <v>-3.2469999999999999</v>
      </c>
      <c r="V7" s="24">
        <v>-144.726</v>
      </c>
      <c r="W7" s="4">
        <f t="shared" si="5"/>
        <v>141.47899999999998</v>
      </c>
      <c r="X7" s="19">
        <f t="shared" si="6"/>
        <v>9.477424973204716</v>
      </c>
      <c r="Y7">
        <v>1</v>
      </c>
      <c r="Z7" s="12">
        <f t="shared" si="7"/>
        <v>9.477424973204716</v>
      </c>
      <c r="AA7" s="12">
        <v>20.563700000000001</v>
      </c>
      <c r="AB7" s="12">
        <f t="shared" si="8"/>
        <v>0.46088130896700086</v>
      </c>
      <c r="AC7" s="12">
        <f t="shared" si="9"/>
        <v>4.6088130896700088</v>
      </c>
      <c r="AD7" s="4"/>
      <c r="AF7" s="4"/>
      <c r="AG7" s="4"/>
      <c r="AH7" s="4"/>
      <c r="AI7" s="4"/>
      <c r="AJ7" s="4"/>
      <c r="AK7" s="4"/>
    </row>
    <row r="8" spans="1:37" x14ac:dyDescent="0.2">
      <c r="D8" s="4">
        <v>10</v>
      </c>
      <c r="E8" s="26">
        <v>-2.609</v>
      </c>
      <c r="F8" s="26">
        <v>-81.56</v>
      </c>
      <c r="G8" s="4">
        <f t="shared" si="0"/>
        <v>78.951000000000008</v>
      </c>
      <c r="H8" s="19">
        <f t="shared" si="1"/>
        <v>5.2887861736334418</v>
      </c>
      <c r="I8">
        <v>1</v>
      </c>
      <c r="J8" s="12">
        <f t="shared" si="2"/>
        <v>5.2887861736334418</v>
      </c>
      <c r="K8" s="4">
        <v>16.666249999999998</v>
      </c>
      <c r="L8" s="12">
        <f t="shared" si="3"/>
        <v>0.31733510379560143</v>
      </c>
      <c r="M8" s="12">
        <f t="shared" si="4"/>
        <v>3.1733510379560141</v>
      </c>
      <c r="T8">
        <v>14</v>
      </c>
      <c r="U8" s="24">
        <v>-16.547000000000001</v>
      </c>
      <c r="V8" s="24">
        <v>-91.135000000000005</v>
      </c>
      <c r="W8" s="4">
        <f t="shared" si="5"/>
        <v>74.588000000000008</v>
      </c>
      <c r="X8" s="19">
        <f t="shared" si="6"/>
        <v>4.9965166130760998</v>
      </c>
      <c r="Y8">
        <v>1</v>
      </c>
      <c r="Z8" s="12">
        <f t="shared" si="7"/>
        <v>4.9965166130760998</v>
      </c>
      <c r="AA8" s="12">
        <v>18.22945</v>
      </c>
      <c r="AB8" s="12">
        <f t="shared" si="8"/>
        <v>0.27409036548420823</v>
      </c>
      <c r="AC8" s="12">
        <f t="shared" si="9"/>
        <v>2.7409036548420822</v>
      </c>
      <c r="AD8" s="4"/>
      <c r="AF8" s="4"/>
      <c r="AG8" s="4" t="s">
        <v>9</v>
      </c>
      <c r="AH8" s="4">
        <v>0</v>
      </c>
      <c r="AI8" s="20">
        <f>AVERAGE(M3:M14)</f>
        <v>3.5465053938027733</v>
      </c>
      <c r="AJ8" s="4">
        <f>COUNT(M3:M14)</f>
        <v>12</v>
      </c>
      <c r="AK8" s="4">
        <f>STDEV(M3:M14)/SQRT(AJ8)</f>
        <v>0.18708114928152658</v>
      </c>
    </row>
    <row r="9" spans="1:37" x14ac:dyDescent="0.2">
      <c r="D9" s="4">
        <v>11</v>
      </c>
      <c r="E9" s="26">
        <v>0.443</v>
      </c>
      <c r="F9" s="26">
        <v>-100.601</v>
      </c>
      <c r="G9" s="4">
        <f t="shared" si="0"/>
        <v>100.158</v>
      </c>
      <c r="H9" s="19">
        <f t="shared" si="1"/>
        <v>6.7094051446945349</v>
      </c>
      <c r="I9">
        <v>1</v>
      </c>
      <c r="J9" s="12">
        <f t="shared" si="2"/>
        <v>6.7094051446945349</v>
      </c>
      <c r="K9" s="4">
        <v>21.820599999999999</v>
      </c>
      <c r="L9" s="12">
        <f t="shared" si="3"/>
        <v>0.3074803233959898</v>
      </c>
      <c r="M9" s="12">
        <f t="shared" si="4"/>
        <v>3.0748032339598979</v>
      </c>
      <c r="T9">
        <v>15</v>
      </c>
      <c r="U9" s="24">
        <v>-8.2609999999999992</v>
      </c>
      <c r="V9" s="24">
        <v>-87.548000000000002</v>
      </c>
      <c r="W9" s="4">
        <f t="shared" si="5"/>
        <v>79.287000000000006</v>
      </c>
      <c r="X9" s="19">
        <f t="shared" si="6"/>
        <v>5.3112942122186499</v>
      </c>
      <c r="Y9">
        <v>1</v>
      </c>
      <c r="Z9" s="12">
        <f t="shared" si="7"/>
        <v>5.3112942122186499</v>
      </c>
      <c r="AA9" s="12">
        <v>17.236600000000003</v>
      </c>
      <c r="AB9" s="12">
        <f t="shared" si="8"/>
        <v>0.30814048084997325</v>
      </c>
      <c r="AC9" s="12">
        <f t="shared" si="9"/>
        <v>3.0814048084997325</v>
      </c>
      <c r="AD9" s="4"/>
      <c r="AF9" s="4"/>
      <c r="AG9" s="4"/>
      <c r="AH9" s="4">
        <v>1</v>
      </c>
      <c r="AI9" s="20">
        <f>AVERAGE(M15:M19,M21:M27)</f>
        <v>3.7562748098305847</v>
      </c>
      <c r="AJ9" s="4">
        <f>COUNT(M15:M19,M21:M27)</f>
        <v>12</v>
      </c>
      <c r="AK9" s="4">
        <f>STDEV(M15:M19,M21:M27)/SQRT(AJ9)</f>
        <v>0.20756061429384107</v>
      </c>
    </row>
    <row r="10" spans="1:37" x14ac:dyDescent="0.2">
      <c r="D10" s="4">
        <v>12</v>
      </c>
      <c r="E10" s="26">
        <v>-8.3789999999999996</v>
      </c>
      <c r="F10" s="26">
        <v>-104.672</v>
      </c>
      <c r="G10" s="4">
        <f t="shared" si="0"/>
        <v>96.292999999999992</v>
      </c>
      <c r="H10" s="19">
        <f t="shared" si="1"/>
        <v>6.450495712754555</v>
      </c>
      <c r="I10">
        <v>1</v>
      </c>
      <c r="J10" s="12">
        <f t="shared" si="2"/>
        <v>6.450495712754555</v>
      </c>
      <c r="K10" s="4">
        <v>18.741700000000002</v>
      </c>
      <c r="L10" s="12">
        <f t="shared" si="3"/>
        <v>0.34417879449327193</v>
      </c>
      <c r="M10" s="12">
        <f t="shared" si="4"/>
        <v>3.4417879449327193</v>
      </c>
      <c r="T10">
        <v>16</v>
      </c>
      <c r="U10" s="24">
        <v>-11.289</v>
      </c>
      <c r="V10" s="24">
        <v>-95.566999999999993</v>
      </c>
      <c r="W10" s="4">
        <f t="shared" si="5"/>
        <v>84.277999999999992</v>
      </c>
      <c r="X10" s="19">
        <f t="shared" si="6"/>
        <v>5.645632368703108</v>
      </c>
      <c r="Y10">
        <v>1</v>
      </c>
      <c r="Z10" s="12">
        <f t="shared" si="7"/>
        <v>5.645632368703108</v>
      </c>
      <c r="AA10" s="12">
        <v>17.27355</v>
      </c>
      <c r="AB10" s="12">
        <f t="shared" si="8"/>
        <v>0.32683683253894585</v>
      </c>
      <c r="AC10" s="12">
        <f t="shared" si="9"/>
        <v>3.2683683253894587</v>
      </c>
      <c r="AD10" s="4"/>
      <c r="AF10" s="4"/>
      <c r="AG10" s="4"/>
      <c r="AH10" s="4">
        <v>4</v>
      </c>
      <c r="AI10" s="20">
        <f>AVERAGE(M28:M39)</f>
        <v>3.650777432734388</v>
      </c>
      <c r="AJ10" s="4">
        <f>COUNT(M28:M39)</f>
        <v>12</v>
      </c>
      <c r="AK10" s="4">
        <f>STDEV(M28:M39)/SQRT(AJ10)</f>
        <v>0.15526995572330207</v>
      </c>
    </row>
    <row r="11" spans="1:37" x14ac:dyDescent="0.2">
      <c r="A11">
        <v>12</v>
      </c>
      <c r="D11" s="4">
        <v>65</v>
      </c>
      <c r="E11" s="26">
        <v>-2.7389999999999999</v>
      </c>
      <c r="F11" s="26">
        <v>-101.157</v>
      </c>
      <c r="G11" s="4">
        <f t="shared" si="0"/>
        <v>98.417999999999992</v>
      </c>
      <c r="H11" s="19">
        <f t="shared" si="1"/>
        <v>6.592845659163987</v>
      </c>
      <c r="I11">
        <v>1</v>
      </c>
      <c r="J11" s="12">
        <f t="shared" si="2"/>
        <v>6.592845659163987</v>
      </c>
      <c r="K11" s="4">
        <v>17.997049999999998</v>
      </c>
      <c r="L11" s="12">
        <f t="shared" si="3"/>
        <v>0.36632924057909422</v>
      </c>
      <c r="M11" s="12">
        <f t="shared" si="4"/>
        <v>3.6632924057909424</v>
      </c>
      <c r="Q11">
        <v>15</v>
      </c>
      <c r="T11">
        <v>69</v>
      </c>
      <c r="U11" s="24">
        <v>-0.188</v>
      </c>
      <c r="V11" s="24">
        <v>-80.927000000000007</v>
      </c>
      <c r="W11" s="4">
        <f t="shared" si="5"/>
        <v>80.739000000000004</v>
      </c>
      <c r="X11" s="19">
        <f t="shared" si="6"/>
        <v>5.4085610932475889</v>
      </c>
      <c r="Y11">
        <v>1</v>
      </c>
      <c r="Z11" s="12">
        <f t="shared" si="7"/>
        <v>5.4085610932475889</v>
      </c>
      <c r="AA11" s="12">
        <v>19.354299999999999</v>
      </c>
      <c r="AB11" s="12">
        <f t="shared" si="8"/>
        <v>0.27945010117894159</v>
      </c>
      <c r="AC11" s="12">
        <f t="shared" si="9"/>
        <v>2.794501011789416</v>
      </c>
      <c r="AD11" s="4"/>
      <c r="AF11" s="4"/>
      <c r="AG11" s="4"/>
      <c r="AH11" s="4">
        <v>24</v>
      </c>
      <c r="AI11" s="20">
        <f>AVERAGE(M40:M52)</f>
        <v>3.394339620835384</v>
      </c>
      <c r="AJ11" s="4">
        <f>COUNT(M40:M52)</f>
        <v>13</v>
      </c>
      <c r="AK11" s="4">
        <f>STDEV(M40:M52)/SQRT(AJ11)</f>
        <v>7.2846339473442753E-2</v>
      </c>
    </row>
    <row r="12" spans="1:37" x14ac:dyDescent="0.2">
      <c r="D12" s="4">
        <v>66</v>
      </c>
      <c r="E12" s="26">
        <v>-2.2949999999999999</v>
      </c>
      <c r="F12" s="26">
        <v>-108.762</v>
      </c>
      <c r="G12" s="4">
        <f t="shared" si="0"/>
        <v>106.467</v>
      </c>
      <c r="H12" s="19">
        <f t="shared" si="1"/>
        <v>7.1320337620578789</v>
      </c>
      <c r="I12">
        <v>1</v>
      </c>
      <c r="J12" s="12">
        <f t="shared" si="2"/>
        <v>7.1320337620578789</v>
      </c>
      <c r="K12" s="4">
        <v>17.965400000000002</v>
      </c>
      <c r="L12" s="12">
        <f t="shared" si="3"/>
        <v>0.39698719550123446</v>
      </c>
      <c r="M12" s="12">
        <f t="shared" si="4"/>
        <v>3.9698719550123447</v>
      </c>
      <c r="T12">
        <v>70</v>
      </c>
      <c r="U12" s="24">
        <v>-0.88700000000000001</v>
      </c>
      <c r="V12" s="24">
        <v>-100.849</v>
      </c>
      <c r="W12" s="4">
        <f t="shared" si="5"/>
        <v>99.962000000000003</v>
      </c>
      <c r="X12" s="19">
        <f t="shared" si="6"/>
        <v>6.6962754555198289</v>
      </c>
      <c r="Y12">
        <v>1</v>
      </c>
      <c r="Z12" s="12">
        <f t="shared" si="7"/>
        <v>6.6962754555198289</v>
      </c>
      <c r="AA12" s="12">
        <v>19.169499999999999</v>
      </c>
      <c r="AB12" s="12">
        <f t="shared" si="8"/>
        <v>0.3493192548329288</v>
      </c>
      <c r="AC12" s="12">
        <f t="shared" si="9"/>
        <v>3.4931925483292883</v>
      </c>
      <c r="AD12" s="4"/>
      <c r="AF12" s="4"/>
      <c r="AG12" s="4"/>
      <c r="AH12" s="4"/>
      <c r="AI12" s="4"/>
      <c r="AJ12" s="4"/>
      <c r="AK12" s="4"/>
    </row>
    <row r="13" spans="1:37" x14ac:dyDescent="0.2">
      <c r="D13" s="4">
        <v>67</v>
      </c>
      <c r="E13" s="26">
        <v>-1.2490000000000001</v>
      </c>
      <c r="F13" s="26">
        <v>-91.891000000000005</v>
      </c>
      <c r="G13" s="4">
        <f t="shared" si="0"/>
        <v>90.64200000000001</v>
      </c>
      <c r="H13" s="19">
        <f t="shared" si="1"/>
        <v>6.0719453376205808</v>
      </c>
      <c r="I13">
        <v>1</v>
      </c>
      <c r="J13" s="12">
        <f t="shared" si="2"/>
        <v>6.0719453376205808</v>
      </c>
      <c r="K13" s="4">
        <v>18.023500000000002</v>
      </c>
      <c r="L13" s="12">
        <f t="shared" si="3"/>
        <v>0.33689046731326211</v>
      </c>
      <c r="M13" s="12">
        <f t="shared" si="4"/>
        <v>3.3689046731326213</v>
      </c>
      <c r="T13">
        <v>71</v>
      </c>
      <c r="U13" s="24">
        <v>-3.1880000000000002</v>
      </c>
      <c r="V13" s="24">
        <v>-90.052999999999997</v>
      </c>
      <c r="W13" s="4">
        <f t="shared" si="5"/>
        <v>86.864999999999995</v>
      </c>
      <c r="X13" s="19">
        <f t="shared" si="6"/>
        <v>5.818930868167203</v>
      </c>
      <c r="Y13">
        <v>1</v>
      </c>
      <c r="Z13" s="12">
        <f t="shared" si="7"/>
        <v>5.818930868167203</v>
      </c>
      <c r="AA13" s="12">
        <v>19.090250000000001</v>
      </c>
      <c r="AB13" s="12">
        <f t="shared" si="8"/>
        <v>0.3048116639733478</v>
      </c>
      <c r="AC13" s="12">
        <f t="shared" si="9"/>
        <v>3.048116639733478</v>
      </c>
      <c r="AD13" s="4"/>
      <c r="AF13" s="4"/>
      <c r="AG13" s="4"/>
      <c r="AH13" s="4"/>
      <c r="AI13" s="4"/>
      <c r="AJ13" s="4"/>
      <c r="AK13" s="4"/>
    </row>
    <row r="14" spans="1:37" x14ac:dyDescent="0.2">
      <c r="D14" s="4">
        <v>68</v>
      </c>
      <c r="E14" s="26">
        <v>2.7869999999999999</v>
      </c>
      <c r="F14" s="26">
        <v>-83.53</v>
      </c>
      <c r="G14" s="4">
        <f t="shared" si="0"/>
        <v>80.742999999999995</v>
      </c>
      <c r="H14" s="19">
        <f t="shared" si="1"/>
        <v>5.4088290460878889</v>
      </c>
      <c r="I14">
        <v>1</v>
      </c>
      <c r="J14" s="12">
        <f t="shared" si="2"/>
        <v>5.4088290460878889</v>
      </c>
      <c r="K14" s="4">
        <v>17.843899999999998</v>
      </c>
      <c r="L14" s="12">
        <f t="shared" si="3"/>
        <v>0.30311921979432127</v>
      </c>
      <c r="M14" s="12">
        <f t="shared" si="4"/>
        <v>3.0311921979432128</v>
      </c>
      <c r="T14">
        <v>72</v>
      </c>
      <c r="U14" s="24">
        <v>4.6479999999999997</v>
      </c>
      <c r="V14" s="24">
        <v>-90.701999999999998</v>
      </c>
      <c r="W14" s="4">
        <f t="shared" si="5"/>
        <v>86.054000000000002</v>
      </c>
      <c r="X14" s="19">
        <f t="shared" si="6"/>
        <v>5.7646034297963569</v>
      </c>
      <c r="Y14">
        <v>1</v>
      </c>
      <c r="Z14" s="12">
        <f t="shared" si="7"/>
        <v>5.7646034297963569</v>
      </c>
      <c r="AA14" s="12">
        <v>18.134399999999999</v>
      </c>
      <c r="AB14" s="12">
        <f t="shared" si="8"/>
        <v>0.31788222548285894</v>
      </c>
      <c r="AC14" s="12">
        <f t="shared" si="9"/>
        <v>3.1788222548285896</v>
      </c>
      <c r="AD14" s="4"/>
      <c r="AF14" s="4"/>
      <c r="AG14" s="4"/>
      <c r="AH14" s="4"/>
      <c r="AI14" s="4"/>
      <c r="AJ14" s="4"/>
      <c r="AK14" s="4"/>
    </row>
    <row r="15" spans="1:37" x14ac:dyDescent="0.2">
      <c r="A15">
        <v>11</v>
      </c>
      <c r="C15" t="s">
        <v>11</v>
      </c>
      <c r="D15" s="4">
        <v>17</v>
      </c>
      <c r="E15" s="26">
        <v>-7.7060000000000004</v>
      </c>
      <c r="F15" s="26">
        <v>-95.634</v>
      </c>
      <c r="G15" s="4">
        <f t="shared" si="0"/>
        <v>87.927999999999997</v>
      </c>
      <c r="H15" s="19">
        <f t="shared" si="1"/>
        <v>5.8901393354769569</v>
      </c>
      <c r="I15">
        <v>1</v>
      </c>
      <c r="J15" s="12">
        <f t="shared" si="2"/>
        <v>5.8901393354769569</v>
      </c>
      <c r="K15" s="4">
        <v>19.982800000000001</v>
      </c>
      <c r="L15" s="12">
        <f t="shared" si="3"/>
        <v>0.29476046077011014</v>
      </c>
      <c r="M15" s="12">
        <f t="shared" si="4"/>
        <v>2.9476046077011016</v>
      </c>
      <c r="Q15">
        <v>15</v>
      </c>
      <c r="S15" t="s">
        <v>11</v>
      </c>
      <c r="T15">
        <v>21</v>
      </c>
      <c r="U15" s="24">
        <v>-0.76700000000000002</v>
      </c>
      <c r="V15" s="24">
        <v>-80.271000000000001</v>
      </c>
      <c r="W15" s="4">
        <f t="shared" si="5"/>
        <v>79.504000000000005</v>
      </c>
      <c r="X15" s="19">
        <f t="shared" si="6"/>
        <v>5.3258306538049309</v>
      </c>
      <c r="Y15">
        <v>1</v>
      </c>
      <c r="Z15" s="12">
        <f t="shared" si="7"/>
        <v>5.3258306538049309</v>
      </c>
      <c r="AA15" s="12">
        <v>18.361449999999998</v>
      </c>
      <c r="AB15" s="12">
        <f t="shared" si="8"/>
        <v>0.29005501492556041</v>
      </c>
      <c r="AC15" s="12">
        <f t="shared" si="9"/>
        <v>2.9005501492556043</v>
      </c>
      <c r="AD15" s="23">
        <f>AVERAGE(AC15:AC27)</f>
        <v>3.5108125598390405</v>
      </c>
      <c r="AE15" t="s">
        <v>11</v>
      </c>
      <c r="AF15" s="4"/>
      <c r="AG15" s="4"/>
      <c r="AH15" s="4"/>
      <c r="AI15" s="4"/>
      <c r="AJ15" s="4"/>
      <c r="AK15" s="4"/>
    </row>
    <row r="16" spans="1:37" x14ac:dyDescent="0.2">
      <c r="D16" s="4">
        <v>18</v>
      </c>
      <c r="E16" s="26">
        <v>0.41399999999999998</v>
      </c>
      <c r="F16" s="26">
        <v>-93.37</v>
      </c>
      <c r="G16" s="4">
        <f t="shared" si="0"/>
        <v>92.956000000000003</v>
      </c>
      <c r="H16" s="19">
        <f t="shared" si="1"/>
        <v>6.2269560557341919</v>
      </c>
      <c r="I16">
        <v>1</v>
      </c>
      <c r="J16" s="12">
        <f t="shared" si="2"/>
        <v>6.2269560557341919</v>
      </c>
      <c r="K16" s="4">
        <v>19.62895</v>
      </c>
      <c r="L16" s="12">
        <f t="shared" si="3"/>
        <v>0.31723327308563076</v>
      </c>
      <c r="M16" s="12">
        <f t="shared" si="4"/>
        <v>3.1723327308563078</v>
      </c>
      <c r="T16">
        <v>22</v>
      </c>
      <c r="U16" s="24">
        <v>2.1219999999999999</v>
      </c>
      <c r="V16" s="24">
        <v>-79.382000000000005</v>
      </c>
      <c r="W16" s="4">
        <f t="shared" si="5"/>
        <v>77.260000000000005</v>
      </c>
      <c r="X16" s="19">
        <f t="shared" si="6"/>
        <v>5.1755091103965709</v>
      </c>
      <c r="Y16">
        <v>1</v>
      </c>
      <c r="Z16" s="12">
        <f t="shared" si="7"/>
        <v>5.1755091103965709</v>
      </c>
      <c r="AA16" s="12">
        <v>18.937100000000001</v>
      </c>
      <c r="AB16" s="12">
        <f t="shared" si="8"/>
        <v>0.27329998312289477</v>
      </c>
      <c r="AC16" s="12">
        <f t="shared" si="9"/>
        <v>2.7329998312289479</v>
      </c>
      <c r="AD16" s="4"/>
      <c r="AF16" s="4"/>
      <c r="AG16" s="4"/>
      <c r="AH16" s="4"/>
      <c r="AI16" s="4"/>
      <c r="AJ16" s="4"/>
      <c r="AK16" s="4"/>
    </row>
    <row r="17" spans="1:37" x14ac:dyDescent="0.2">
      <c r="D17" s="4">
        <v>19</v>
      </c>
      <c r="E17" s="26">
        <v>-8.1210000000000004</v>
      </c>
      <c r="F17" s="26">
        <v>-106.07299999999999</v>
      </c>
      <c r="G17" s="4">
        <f t="shared" si="0"/>
        <v>97.951999999999998</v>
      </c>
      <c r="H17" s="19">
        <f t="shared" si="1"/>
        <v>6.5616291532690258</v>
      </c>
      <c r="I17">
        <v>1</v>
      </c>
      <c r="J17" s="12">
        <f t="shared" si="2"/>
        <v>6.5616291532690258</v>
      </c>
      <c r="K17" s="4">
        <v>18.783950000000001</v>
      </c>
      <c r="L17" s="12">
        <f t="shared" si="3"/>
        <v>0.34932105085826065</v>
      </c>
      <c r="M17" s="12">
        <f t="shared" si="4"/>
        <v>3.4932105085826066</v>
      </c>
      <c r="T17">
        <v>23</v>
      </c>
      <c r="U17" s="24">
        <v>2.9319999999999999</v>
      </c>
      <c r="V17" s="24">
        <v>-96.834999999999994</v>
      </c>
      <c r="W17" s="4">
        <f t="shared" si="5"/>
        <v>93.902999999999992</v>
      </c>
      <c r="X17" s="19">
        <f t="shared" si="6"/>
        <v>6.290393890675241</v>
      </c>
      <c r="Y17">
        <v>1</v>
      </c>
      <c r="Z17" s="12">
        <f t="shared" si="7"/>
        <v>6.290393890675241</v>
      </c>
      <c r="AA17" s="12">
        <v>16.613399999999999</v>
      </c>
      <c r="AB17" s="12">
        <f t="shared" si="8"/>
        <v>0.37863374689559282</v>
      </c>
      <c r="AC17" s="12">
        <f t="shared" si="9"/>
        <v>3.7863374689559279</v>
      </c>
      <c r="AD17" s="4"/>
      <c r="AF17" s="4"/>
      <c r="AG17" s="4"/>
      <c r="AH17" s="4"/>
      <c r="AI17" s="4"/>
      <c r="AJ17" s="4"/>
      <c r="AK17" s="4"/>
    </row>
    <row r="18" spans="1:37" x14ac:dyDescent="0.2">
      <c r="D18" s="4">
        <v>20</v>
      </c>
      <c r="E18" s="26">
        <v>9.4359999999999999</v>
      </c>
      <c r="F18" s="26">
        <v>-114.965</v>
      </c>
      <c r="G18" s="4">
        <f t="shared" si="0"/>
        <v>105.529</v>
      </c>
      <c r="H18" s="19">
        <f t="shared" si="1"/>
        <v>7.0691988210075039</v>
      </c>
      <c r="I18">
        <v>1</v>
      </c>
      <c r="J18" s="12">
        <f t="shared" si="2"/>
        <v>7.0691988210075039</v>
      </c>
      <c r="K18" s="4">
        <v>12.710649999999998</v>
      </c>
      <c r="L18" s="12">
        <f t="shared" si="3"/>
        <v>0.55616343939983437</v>
      </c>
      <c r="M18" s="12">
        <f t="shared" si="4"/>
        <v>5.5616343939983439</v>
      </c>
      <c r="T18">
        <v>24</v>
      </c>
      <c r="U18" s="24">
        <v>-8.5269999999999992</v>
      </c>
      <c r="V18" s="24">
        <v>-116.571</v>
      </c>
      <c r="W18" s="4">
        <f t="shared" si="5"/>
        <v>108.044</v>
      </c>
      <c r="X18" s="19">
        <f t="shared" si="6"/>
        <v>7.2376741693461959</v>
      </c>
      <c r="Y18">
        <v>1</v>
      </c>
      <c r="Z18" s="12">
        <f t="shared" si="7"/>
        <v>7.2376741693461959</v>
      </c>
      <c r="AA18" s="12">
        <v>18.535749999999997</v>
      </c>
      <c r="AB18" s="12">
        <f t="shared" si="8"/>
        <v>0.39047107181237323</v>
      </c>
      <c r="AC18" s="12">
        <f t="shared" si="9"/>
        <v>3.9047107181237322</v>
      </c>
      <c r="AD18" s="4"/>
      <c r="AF18" s="4"/>
      <c r="AG18" s="4"/>
      <c r="AH18" s="4"/>
      <c r="AI18" s="4"/>
      <c r="AJ18" s="4"/>
      <c r="AK18" s="4"/>
    </row>
    <row r="19" spans="1:37" x14ac:dyDescent="0.2">
      <c r="A19">
        <v>12</v>
      </c>
      <c r="D19" s="4">
        <v>25</v>
      </c>
      <c r="E19" s="26">
        <v>-7.7869999999999999</v>
      </c>
      <c r="F19" s="26">
        <v>-107.16500000000001</v>
      </c>
      <c r="G19" s="4">
        <f t="shared" si="0"/>
        <v>99.378</v>
      </c>
      <c r="H19" s="19">
        <f t="shared" si="1"/>
        <v>6.6571543408360139</v>
      </c>
      <c r="I19">
        <v>1</v>
      </c>
      <c r="J19" s="12">
        <f t="shared" si="2"/>
        <v>6.6571543408360139</v>
      </c>
      <c r="K19" s="4">
        <v>18.504049999999999</v>
      </c>
      <c r="L19" s="12">
        <f t="shared" si="3"/>
        <v>0.35976742069093059</v>
      </c>
      <c r="M19" s="12">
        <f t="shared" si="4"/>
        <v>3.5976742069093062</v>
      </c>
      <c r="Q19">
        <v>14</v>
      </c>
      <c r="T19">
        <v>29</v>
      </c>
      <c r="U19" s="24">
        <v>-4.2160000000000002</v>
      </c>
      <c r="V19" s="24">
        <v>-97.453999999999994</v>
      </c>
      <c r="W19" s="4">
        <f t="shared" si="5"/>
        <v>93.238</v>
      </c>
      <c r="X19" s="19">
        <f t="shared" si="6"/>
        <v>6.2458467309753489</v>
      </c>
      <c r="Y19">
        <v>1</v>
      </c>
      <c r="Z19" s="12">
        <f t="shared" si="7"/>
        <v>6.2458467309753489</v>
      </c>
      <c r="AA19" s="12">
        <v>19.296250000000001</v>
      </c>
      <c r="AB19" s="12">
        <f t="shared" si="8"/>
        <v>0.32368189316449303</v>
      </c>
      <c r="AC19" s="12">
        <f t="shared" si="9"/>
        <v>3.2368189316449305</v>
      </c>
      <c r="AD19" s="4"/>
      <c r="AF19" s="4"/>
      <c r="AG19" s="4"/>
      <c r="AH19" s="4"/>
      <c r="AI19" s="4"/>
      <c r="AJ19" s="4"/>
      <c r="AK19" s="4"/>
    </row>
    <row r="20" spans="1:37" x14ac:dyDescent="0.2">
      <c r="D20" s="8">
        <v>26</v>
      </c>
      <c r="E20" s="28">
        <v>-7.7220000000000004</v>
      </c>
      <c r="F20" s="28">
        <v>-161.983</v>
      </c>
      <c r="G20" s="8">
        <f t="shared" si="0"/>
        <v>154.261</v>
      </c>
      <c r="H20" s="30">
        <f t="shared" si="1"/>
        <v>10.33366827438371</v>
      </c>
      <c r="I20" s="8">
        <v>1</v>
      </c>
      <c r="J20" s="13">
        <f t="shared" si="2"/>
        <v>10.33366827438371</v>
      </c>
      <c r="K20" s="8">
        <v>17.63795</v>
      </c>
      <c r="L20" s="13">
        <f t="shared" si="3"/>
        <v>0.58587694569854831</v>
      </c>
      <c r="M20" s="13">
        <f t="shared" si="4"/>
        <v>5.8587694569854829</v>
      </c>
      <c r="N20" t="s">
        <v>344</v>
      </c>
      <c r="T20">
        <v>30</v>
      </c>
      <c r="U20" s="24">
        <v>-4.0640000000000001</v>
      </c>
      <c r="V20" s="24">
        <v>-159.42099999999999</v>
      </c>
      <c r="W20" s="4">
        <f t="shared" si="5"/>
        <v>155.357</v>
      </c>
      <c r="X20" s="19">
        <f t="shared" si="6"/>
        <v>10.40708735262594</v>
      </c>
      <c r="Y20">
        <v>1</v>
      </c>
      <c r="Z20" s="12">
        <f t="shared" si="7"/>
        <v>10.40708735262594</v>
      </c>
      <c r="AA20" s="12">
        <v>20.458099999999998</v>
      </c>
      <c r="AB20" s="12">
        <f t="shared" si="8"/>
        <v>0.5087025360432269</v>
      </c>
      <c r="AC20" s="12">
        <f t="shared" si="9"/>
        <v>5.0870253604322695</v>
      </c>
      <c r="AD20" s="4"/>
      <c r="AF20" s="4"/>
      <c r="AG20" s="4"/>
      <c r="AH20" s="4"/>
      <c r="AI20" s="4"/>
      <c r="AJ20" s="4"/>
      <c r="AK20" s="4"/>
    </row>
    <row r="21" spans="1:37" x14ac:dyDescent="0.2">
      <c r="D21" s="4">
        <v>27</v>
      </c>
      <c r="E21" s="26">
        <v>15.375999999999999</v>
      </c>
      <c r="F21" s="26">
        <v>-130.75399999999999</v>
      </c>
      <c r="G21" s="4">
        <f t="shared" si="0"/>
        <v>115.37799999999999</v>
      </c>
      <c r="H21" s="19">
        <f t="shared" si="1"/>
        <v>7.728965702036442</v>
      </c>
      <c r="I21">
        <v>1</v>
      </c>
      <c r="J21" s="12">
        <f t="shared" si="2"/>
        <v>7.728965702036442</v>
      </c>
      <c r="K21" s="4">
        <v>18.989900000000002</v>
      </c>
      <c r="L21" s="12">
        <f t="shared" si="3"/>
        <v>0.40700402329851348</v>
      </c>
      <c r="M21" s="12">
        <f t="shared" si="4"/>
        <v>4.0700402329851348</v>
      </c>
      <c r="T21">
        <v>31</v>
      </c>
      <c r="U21" s="24">
        <v>9.9589999999999996</v>
      </c>
      <c r="V21" s="24">
        <v>-103.288</v>
      </c>
      <c r="W21" s="4">
        <f t="shared" si="5"/>
        <v>93.328999999999994</v>
      </c>
      <c r="X21" s="19">
        <f t="shared" si="6"/>
        <v>6.2519426580921769</v>
      </c>
      <c r="Y21">
        <v>1</v>
      </c>
      <c r="Z21" s="12">
        <f t="shared" si="7"/>
        <v>6.2519426580921769</v>
      </c>
      <c r="AA21" s="12">
        <v>19.7029</v>
      </c>
      <c r="AB21" s="12">
        <f t="shared" si="8"/>
        <v>0.31731078460999024</v>
      </c>
      <c r="AC21" s="12">
        <f t="shared" si="9"/>
        <v>3.1731078460999025</v>
      </c>
      <c r="AD21" s="4"/>
      <c r="AF21" s="4"/>
      <c r="AG21" s="4"/>
      <c r="AH21" s="4"/>
      <c r="AI21" s="4"/>
      <c r="AJ21" s="4"/>
      <c r="AK21" s="4"/>
    </row>
    <row r="22" spans="1:37" x14ac:dyDescent="0.2">
      <c r="D22" s="4">
        <v>28</v>
      </c>
      <c r="E22" s="26">
        <v>5.5890000000000004</v>
      </c>
      <c r="F22" s="26">
        <v>-108.738</v>
      </c>
      <c r="G22" s="4">
        <f t="shared" si="0"/>
        <v>103.149</v>
      </c>
      <c r="H22" s="19">
        <f t="shared" si="1"/>
        <v>6.9097668810289399</v>
      </c>
      <c r="I22">
        <v>1</v>
      </c>
      <c r="J22" s="12">
        <f t="shared" si="2"/>
        <v>6.9097668810289399</v>
      </c>
      <c r="K22" s="4">
        <v>20.621799999999997</v>
      </c>
      <c r="L22" s="12">
        <f t="shared" si="3"/>
        <v>0.33507098706363853</v>
      </c>
      <c r="M22" s="12">
        <f t="shared" si="4"/>
        <v>3.3507098706363854</v>
      </c>
      <c r="T22">
        <v>32</v>
      </c>
      <c r="U22" s="24">
        <v>-13.608000000000001</v>
      </c>
      <c r="V22" s="24">
        <v>-98.846000000000004</v>
      </c>
      <c r="W22" s="4">
        <f t="shared" si="5"/>
        <v>85.238</v>
      </c>
      <c r="X22" s="19">
        <f t="shared" si="6"/>
        <v>5.7099410503751349</v>
      </c>
      <c r="Y22">
        <v>1</v>
      </c>
      <c r="Z22" s="12">
        <f t="shared" si="7"/>
        <v>5.7099410503751349</v>
      </c>
      <c r="AA22" s="12">
        <v>18.271700000000003</v>
      </c>
      <c r="AB22" s="12">
        <f t="shared" si="8"/>
        <v>0.31250190460521649</v>
      </c>
      <c r="AC22" s="12">
        <f t="shared" si="9"/>
        <v>3.1250190460521647</v>
      </c>
      <c r="AD22" s="4"/>
      <c r="AF22" s="4"/>
      <c r="AG22" s="4"/>
      <c r="AH22" s="4"/>
      <c r="AI22" s="4"/>
      <c r="AJ22" s="4"/>
      <c r="AK22" s="4"/>
    </row>
    <row r="23" spans="1:37" x14ac:dyDescent="0.2">
      <c r="A23">
        <v>12</v>
      </c>
      <c r="D23" s="4">
        <v>73</v>
      </c>
      <c r="E23" s="26">
        <v>-2.7450000000000001</v>
      </c>
      <c r="F23" s="26">
        <v>-123.27800000000001</v>
      </c>
      <c r="G23" s="4">
        <f t="shared" si="0"/>
        <v>120.533</v>
      </c>
      <c r="H23" s="19">
        <f t="shared" si="1"/>
        <v>8.0742899249732059</v>
      </c>
      <c r="I23">
        <v>1</v>
      </c>
      <c r="J23" s="12">
        <f t="shared" si="2"/>
        <v>8.0742899249732059</v>
      </c>
      <c r="K23" s="4">
        <v>18.604400000000002</v>
      </c>
      <c r="L23" s="12">
        <f t="shared" si="3"/>
        <v>0.43399894245303289</v>
      </c>
      <c r="M23" s="12">
        <f t="shared" si="4"/>
        <v>4.3399894245303292</v>
      </c>
      <c r="Q23">
        <v>15</v>
      </c>
      <c r="T23">
        <v>78</v>
      </c>
      <c r="U23" s="24">
        <v>-2.794</v>
      </c>
      <c r="V23" s="24">
        <v>-111.88800000000001</v>
      </c>
      <c r="W23" s="4">
        <f t="shared" si="5"/>
        <v>109.09400000000001</v>
      </c>
      <c r="X23" s="19">
        <f t="shared" si="6"/>
        <v>7.3080117899249748</v>
      </c>
      <c r="Y23">
        <v>1</v>
      </c>
      <c r="Z23" s="12">
        <f t="shared" si="7"/>
        <v>7.3080117899249748</v>
      </c>
      <c r="AA23" s="12">
        <v>20.3736</v>
      </c>
      <c r="AB23" s="12">
        <f t="shared" si="8"/>
        <v>0.35870007214851451</v>
      </c>
      <c r="AC23" s="12">
        <f t="shared" si="9"/>
        <v>3.5870007214851451</v>
      </c>
      <c r="AD23" s="4"/>
      <c r="AF23" s="4"/>
      <c r="AG23" s="4"/>
      <c r="AH23" s="4"/>
      <c r="AI23" s="4"/>
      <c r="AJ23" s="4"/>
      <c r="AK23" s="4"/>
    </row>
    <row r="24" spans="1:37" x14ac:dyDescent="0.2">
      <c r="D24" s="4">
        <v>74</v>
      </c>
      <c r="E24" s="26">
        <v>-4.3620000000000001</v>
      </c>
      <c r="F24" s="26">
        <v>-100.747</v>
      </c>
      <c r="G24" s="4">
        <f t="shared" si="0"/>
        <v>96.385000000000005</v>
      </c>
      <c r="H24" s="19">
        <f t="shared" si="1"/>
        <v>6.4566586280814589</v>
      </c>
      <c r="I24">
        <v>1</v>
      </c>
      <c r="J24" s="12">
        <f t="shared" si="2"/>
        <v>6.4566586280814589</v>
      </c>
      <c r="K24" s="4">
        <v>17.875599999999999</v>
      </c>
      <c r="L24" s="12">
        <f t="shared" si="3"/>
        <v>0.36119954732045129</v>
      </c>
      <c r="M24" s="12">
        <f t="shared" si="4"/>
        <v>3.6119954732045128</v>
      </c>
      <c r="T24">
        <v>79</v>
      </c>
      <c r="U24" s="24">
        <v>-2.37</v>
      </c>
      <c r="V24" s="24">
        <v>-97.537999999999997</v>
      </c>
      <c r="W24" s="4">
        <f t="shared" si="5"/>
        <v>95.167999999999992</v>
      </c>
      <c r="X24" s="19">
        <f t="shared" si="6"/>
        <v>6.37513397642015</v>
      </c>
      <c r="Y24">
        <v>1</v>
      </c>
      <c r="Z24" s="12">
        <f t="shared" si="7"/>
        <v>6.37513397642015</v>
      </c>
      <c r="AA24" s="12">
        <v>20.389399999999998</v>
      </c>
      <c r="AB24" s="12">
        <f t="shared" si="8"/>
        <v>0.31266903275330077</v>
      </c>
      <c r="AC24" s="12">
        <f t="shared" si="9"/>
        <v>3.1266903275330078</v>
      </c>
      <c r="AD24" s="4"/>
      <c r="AF24" s="4"/>
      <c r="AG24" s="4"/>
      <c r="AH24" s="4"/>
      <c r="AI24" s="4"/>
      <c r="AJ24" s="4"/>
      <c r="AK24" s="4"/>
    </row>
    <row r="25" spans="1:37" x14ac:dyDescent="0.2">
      <c r="D25" s="4">
        <v>75</v>
      </c>
      <c r="E25" s="26">
        <v>-1.1519999999999999</v>
      </c>
      <c r="F25" s="26">
        <v>-119.827</v>
      </c>
      <c r="G25" s="4">
        <f t="shared" si="0"/>
        <v>118.675</v>
      </c>
      <c r="H25" s="19">
        <f t="shared" si="1"/>
        <v>7.9498258306538059</v>
      </c>
      <c r="I25">
        <v>1</v>
      </c>
      <c r="J25" s="12">
        <f t="shared" si="2"/>
        <v>7.9498258306538059</v>
      </c>
      <c r="K25" s="4">
        <v>18.97935</v>
      </c>
      <c r="L25" s="12">
        <f t="shared" si="3"/>
        <v>0.41886712825538314</v>
      </c>
      <c r="M25" s="12">
        <f t="shared" si="4"/>
        <v>4.1886712825538313</v>
      </c>
      <c r="T25">
        <v>80</v>
      </c>
      <c r="U25" s="24">
        <v>-6.7869999999999999</v>
      </c>
      <c r="V25" s="24">
        <v>-119.07599999999999</v>
      </c>
      <c r="W25" s="4">
        <f t="shared" si="5"/>
        <v>112.28899999999999</v>
      </c>
      <c r="X25" s="19">
        <f t="shared" si="6"/>
        <v>7.522039121114684</v>
      </c>
      <c r="Y25">
        <v>1</v>
      </c>
      <c r="Z25" s="12">
        <f t="shared" si="7"/>
        <v>7.522039121114684</v>
      </c>
      <c r="AA25" s="12">
        <v>21.2925</v>
      </c>
      <c r="AB25" s="12">
        <f t="shared" si="8"/>
        <v>0.35327176804577592</v>
      </c>
      <c r="AC25" s="12">
        <f t="shared" si="9"/>
        <v>3.5327176804577594</v>
      </c>
      <c r="AD25" s="4"/>
      <c r="AF25" s="4"/>
      <c r="AG25" s="4"/>
      <c r="AH25" s="4"/>
      <c r="AI25" s="4"/>
      <c r="AJ25" s="4"/>
      <c r="AK25" s="4"/>
    </row>
    <row r="26" spans="1:37" x14ac:dyDescent="0.2">
      <c r="D26" s="4">
        <v>76</v>
      </c>
      <c r="E26" s="26">
        <v>-2.2989999999999999</v>
      </c>
      <c r="F26" s="26">
        <v>-101.312</v>
      </c>
      <c r="G26" s="4">
        <f t="shared" si="0"/>
        <v>99.012999999999991</v>
      </c>
      <c r="H26" s="19">
        <f t="shared" si="1"/>
        <v>6.632703644158628</v>
      </c>
      <c r="I26">
        <v>1</v>
      </c>
      <c r="J26" s="12">
        <f t="shared" si="2"/>
        <v>6.632703644158628</v>
      </c>
      <c r="K26" s="4">
        <v>17.8809</v>
      </c>
      <c r="L26" s="12">
        <f t="shared" si="3"/>
        <v>0.37093790827970785</v>
      </c>
      <c r="M26" s="12">
        <f t="shared" si="4"/>
        <v>3.7093790827970787</v>
      </c>
      <c r="T26">
        <v>81</v>
      </c>
      <c r="U26" s="24">
        <v>-1.2470000000000001</v>
      </c>
      <c r="V26" s="24">
        <v>-99.552000000000007</v>
      </c>
      <c r="W26" s="4">
        <f t="shared" si="5"/>
        <v>98.305000000000007</v>
      </c>
      <c r="X26" s="19">
        <f t="shared" si="6"/>
        <v>6.5852759914255099</v>
      </c>
      <c r="Y26">
        <v>1</v>
      </c>
      <c r="Z26" s="12">
        <f t="shared" si="7"/>
        <v>6.5852759914255099</v>
      </c>
      <c r="AA26" s="12">
        <v>17.315799999999999</v>
      </c>
      <c r="AB26" s="12">
        <f t="shared" si="8"/>
        <v>0.38030446132581286</v>
      </c>
      <c r="AC26" s="12">
        <f t="shared" si="9"/>
        <v>3.8030446132581286</v>
      </c>
      <c r="AD26" s="4"/>
      <c r="AF26" s="4"/>
      <c r="AG26" s="4"/>
      <c r="AH26" s="4"/>
      <c r="AI26" s="4"/>
      <c r="AJ26" s="4"/>
      <c r="AK26" s="4"/>
    </row>
    <row r="27" spans="1:37" x14ac:dyDescent="0.2">
      <c r="D27" s="4">
        <v>77</v>
      </c>
      <c r="E27" s="26">
        <v>1.0209999999999999</v>
      </c>
      <c r="F27" s="26">
        <v>-91.013999999999996</v>
      </c>
      <c r="G27" s="4">
        <f t="shared" si="0"/>
        <v>89.992999999999995</v>
      </c>
      <c r="H27" s="19">
        <f t="shared" si="1"/>
        <v>6.0284699892818869</v>
      </c>
      <c r="I27">
        <v>1</v>
      </c>
      <c r="J27" s="12">
        <f t="shared" si="2"/>
        <v>6.0284699892818869</v>
      </c>
      <c r="K27" s="4">
        <v>19.882449999999999</v>
      </c>
      <c r="L27" s="12">
        <f t="shared" si="3"/>
        <v>0.30320559032120725</v>
      </c>
      <c r="M27" s="12">
        <f t="shared" si="4"/>
        <v>3.0320559032120724</v>
      </c>
      <c r="T27">
        <v>82</v>
      </c>
      <c r="U27" s="24">
        <v>1.8180000000000001</v>
      </c>
      <c r="V27" s="24">
        <v>-98.152000000000001</v>
      </c>
      <c r="W27" s="4">
        <f t="shared" si="5"/>
        <v>96.334000000000003</v>
      </c>
      <c r="X27" s="19">
        <f t="shared" si="6"/>
        <v>6.4532422293676319</v>
      </c>
      <c r="Y27">
        <v>1</v>
      </c>
      <c r="Z27" s="12">
        <f t="shared" si="7"/>
        <v>6.4532422293676319</v>
      </c>
      <c r="AA27" s="12">
        <v>17.706600000000002</v>
      </c>
      <c r="AB27" s="12">
        <f t="shared" si="8"/>
        <v>0.36445405833800004</v>
      </c>
      <c r="AC27" s="12">
        <f t="shared" si="9"/>
        <v>3.6445405833800004</v>
      </c>
      <c r="AD27" s="4"/>
      <c r="AF27" s="4"/>
      <c r="AG27" s="4"/>
      <c r="AH27" s="4"/>
      <c r="AI27" s="4"/>
      <c r="AJ27" s="4"/>
      <c r="AK27" s="4"/>
    </row>
    <row r="28" spans="1:37" x14ac:dyDescent="0.2">
      <c r="A28">
        <v>11</v>
      </c>
      <c r="C28" t="s">
        <v>12</v>
      </c>
      <c r="D28" s="4">
        <v>33</v>
      </c>
      <c r="E28" s="26">
        <v>-18.399000000000001</v>
      </c>
      <c r="F28" s="26">
        <v>-108.908</v>
      </c>
      <c r="G28" s="4">
        <f t="shared" si="0"/>
        <v>90.509</v>
      </c>
      <c r="H28" s="19">
        <f t="shared" si="1"/>
        <v>6.0630359056806009</v>
      </c>
      <c r="I28">
        <v>1</v>
      </c>
      <c r="J28" s="12">
        <f t="shared" si="2"/>
        <v>6.0630359056806009</v>
      </c>
      <c r="K28" s="4">
        <v>21.41395</v>
      </c>
      <c r="L28" s="12">
        <f t="shared" si="3"/>
        <v>0.28313486795666382</v>
      </c>
      <c r="M28" s="12">
        <f t="shared" si="4"/>
        <v>2.8313486795666383</v>
      </c>
      <c r="Q28">
        <v>15</v>
      </c>
      <c r="S28" t="s">
        <v>12</v>
      </c>
      <c r="T28">
        <v>37</v>
      </c>
      <c r="U28" s="24">
        <v>-1.7</v>
      </c>
      <c r="V28" s="24">
        <v>-101.355</v>
      </c>
      <c r="W28" s="4">
        <f t="shared" si="5"/>
        <v>99.655000000000001</v>
      </c>
      <c r="X28" s="19">
        <f t="shared" si="6"/>
        <v>6.6757100750267959</v>
      </c>
      <c r="Y28">
        <v>1</v>
      </c>
      <c r="Z28" s="12">
        <f t="shared" si="7"/>
        <v>6.6757100750267959</v>
      </c>
      <c r="AA28" s="12">
        <v>18.065750000000001</v>
      </c>
      <c r="AB28" s="12">
        <f t="shared" si="8"/>
        <v>0.36952299655573645</v>
      </c>
      <c r="AC28" s="12">
        <f t="shared" si="9"/>
        <v>3.6952299655573646</v>
      </c>
      <c r="AD28" s="23">
        <f>AVERAGE(AC28:AC38)</f>
        <v>3.942204220921786</v>
      </c>
      <c r="AE28" t="s">
        <v>12</v>
      </c>
      <c r="AF28" s="4"/>
      <c r="AG28" s="4"/>
      <c r="AH28" s="4"/>
      <c r="AI28" s="4"/>
      <c r="AJ28" s="4"/>
      <c r="AK28" s="4"/>
    </row>
    <row r="29" spans="1:37" x14ac:dyDescent="0.2">
      <c r="D29" s="4">
        <v>34</v>
      </c>
      <c r="E29" s="26">
        <v>-2.8279999999999998</v>
      </c>
      <c r="F29" s="26">
        <v>-104.636</v>
      </c>
      <c r="G29" s="4">
        <f t="shared" si="0"/>
        <v>101.80799999999999</v>
      </c>
      <c r="H29" s="19">
        <f t="shared" si="1"/>
        <v>6.8199356913183289</v>
      </c>
      <c r="I29">
        <v>1</v>
      </c>
      <c r="J29" s="12">
        <f t="shared" si="2"/>
        <v>6.8199356913183289</v>
      </c>
      <c r="K29" s="4">
        <v>19.977499999999999</v>
      </c>
      <c r="L29" s="12">
        <f t="shared" si="3"/>
        <v>0.34138083800867625</v>
      </c>
      <c r="M29" s="12">
        <f t="shared" si="4"/>
        <v>3.4138083800867625</v>
      </c>
      <c r="T29" s="4">
        <v>38</v>
      </c>
      <c r="U29" s="24">
        <v>4.9240000000000004</v>
      </c>
      <c r="V29" s="24">
        <v>-108.29300000000001</v>
      </c>
      <c r="W29" s="4">
        <f t="shared" si="5"/>
        <v>103.369</v>
      </c>
      <c r="X29" s="19">
        <f t="shared" si="6"/>
        <v>6.9245042872454459</v>
      </c>
      <c r="Y29">
        <v>1</v>
      </c>
      <c r="Z29" s="12">
        <f t="shared" si="7"/>
        <v>6.9245042872454459</v>
      </c>
      <c r="AA29" s="12">
        <v>16.777149999999999</v>
      </c>
      <c r="AB29" s="12">
        <f t="shared" si="8"/>
        <v>0.41273424194487418</v>
      </c>
      <c r="AC29" s="12">
        <f t="shared" si="9"/>
        <v>4.127342419448742</v>
      </c>
      <c r="AD29" s="4"/>
      <c r="AF29" s="4"/>
      <c r="AG29" s="4"/>
      <c r="AH29" s="4"/>
      <c r="AI29" s="4"/>
      <c r="AJ29" s="4"/>
      <c r="AK29" s="4"/>
    </row>
    <row r="30" spans="1:37" x14ac:dyDescent="0.2">
      <c r="D30" s="4">
        <v>35</v>
      </c>
      <c r="E30" s="26">
        <v>-2.5470000000000002</v>
      </c>
      <c r="F30" s="26">
        <v>-125.18899999999999</v>
      </c>
      <c r="G30" s="4">
        <f t="shared" si="0"/>
        <v>122.642</v>
      </c>
      <c r="H30" s="19">
        <f t="shared" si="1"/>
        <v>8.2155680600214378</v>
      </c>
      <c r="I30">
        <v>1</v>
      </c>
      <c r="J30" s="12">
        <f t="shared" si="2"/>
        <v>8.2155680600214378</v>
      </c>
      <c r="K30" s="4">
        <v>19.966950000000001</v>
      </c>
      <c r="L30" s="12">
        <f t="shared" si="3"/>
        <v>0.41145833790445902</v>
      </c>
      <c r="M30" s="12">
        <f t="shared" si="4"/>
        <v>4.11458337904459</v>
      </c>
      <c r="T30">
        <v>39</v>
      </c>
      <c r="U30" s="24">
        <v>0.66600000000000004</v>
      </c>
      <c r="V30" s="24">
        <v>-136.1</v>
      </c>
      <c r="W30" s="4">
        <f t="shared" si="5"/>
        <v>135.434</v>
      </c>
      <c r="X30" s="19">
        <f t="shared" si="6"/>
        <v>9.0724812433011799</v>
      </c>
      <c r="Y30">
        <v>1</v>
      </c>
      <c r="Z30" s="12">
        <f t="shared" si="7"/>
        <v>9.0724812433011799</v>
      </c>
      <c r="AA30" s="12">
        <v>16.956699999999998</v>
      </c>
      <c r="AB30" s="12">
        <f t="shared" si="8"/>
        <v>0.53503814087063994</v>
      </c>
      <c r="AC30" s="12">
        <f t="shared" si="9"/>
        <v>5.350381408706399</v>
      </c>
      <c r="AD30" s="4"/>
      <c r="AF30" s="4"/>
      <c r="AG30" s="4"/>
      <c r="AH30" s="4"/>
      <c r="AI30" s="4"/>
      <c r="AJ30" s="4"/>
      <c r="AK30" s="4"/>
    </row>
    <row r="31" spans="1:37" x14ac:dyDescent="0.2">
      <c r="D31" s="4">
        <v>36</v>
      </c>
      <c r="E31" s="26">
        <v>5.2069999999999999</v>
      </c>
      <c r="F31" s="26">
        <v>-106.821</v>
      </c>
      <c r="G31" s="4">
        <f t="shared" si="0"/>
        <v>101.614</v>
      </c>
      <c r="H31" s="19">
        <f t="shared" si="1"/>
        <v>6.8069399785637739</v>
      </c>
      <c r="I31">
        <v>1</v>
      </c>
      <c r="J31" s="12">
        <f t="shared" si="2"/>
        <v>6.8069399785637739</v>
      </c>
      <c r="K31" s="4">
        <v>20.537299999999998</v>
      </c>
      <c r="L31" s="12">
        <f t="shared" si="3"/>
        <v>0.33144278841735642</v>
      </c>
      <c r="M31" s="12">
        <f t="shared" si="4"/>
        <v>3.3144278841735639</v>
      </c>
      <c r="T31">
        <v>40</v>
      </c>
      <c r="U31" s="24">
        <v>-16.245000000000001</v>
      </c>
      <c r="V31" s="24">
        <v>-100.967</v>
      </c>
      <c r="W31" s="4">
        <f t="shared" si="5"/>
        <v>84.721999999999994</v>
      </c>
      <c r="X31" s="19">
        <f t="shared" si="6"/>
        <v>5.6753751339764209</v>
      </c>
      <c r="Y31">
        <v>1</v>
      </c>
      <c r="Z31" s="12">
        <f t="shared" si="7"/>
        <v>5.6753751339764209</v>
      </c>
      <c r="AA31" s="12">
        <v>17.19435</v>
      </c>
      <c r="AB31" s="12">
        <f t="shared" si="8"/>
        <v>0.33007209542532406</v>
      </c>
      <c r="AC31" s="12">
        <f t="shared" si="9"/>
        <v>3.3007209542532405</v>
      </c>
      <c r="AD31" s="4"/>
      <c r="AF31" s="4"/>
      <c r="AG31" s="4"/>
      <c r="AH31" s="4"/>
      <c r="AI31" s="4"/>
      <c r="AJ31" s="4"/>
      <c r="AK31" s="4"/>
    </row>
    <row r="32" spans="1:37" x14ac:dyDescent="0.2">
      <c r="A32">
        <v>12</v>
      </c>
      <c r="B32" t="s">
        <v>222</v>
      </c>
      <c r="D32" s="4">
        <v>41</v>
      </c>
      <c r="E32" s="26">
        <v>12.196999999999999</v>
      </c>
      <c r="F32" s="26">
        <v>-115.11499999999999</v>
      </c>
      <c r="G32" s="4">
        <f t="shared" si="0"/>
        <v>102.91799999999999</v>
      </c>
      <c r="H32" s="19">
        <f t="shared" si="1"/>
        <v>6.894292604501608</v>
      </c>
      <c r="I32">
        <v>1</v>
      </c>
      <c r="J32" s="12">
        <f t="shared" si="2"/>
        <v>6.894292604501608</v>
      </c>
      <c r="K32" s="4">
        <v>21.683299999999999</v>
      </c>
      <c r="L32" s="12">
        <f t="shared" si="3"/>
        <v>0.31795402934523842</v>
      </c>
      <c r="M32" s="12">
        <f t="shared" si="4"/>
        <v>3.1795402934523844</v>
      </c>
      <c r="Q32">
        <v>14</v>
      </c>
      <c r="T32">
        <v>45</v>
      </c>
      <c r="U32" s="24">
        <v>13.805</v>
      </c>
      <c r="V32" s="24">
        <v>-114.93600000000001</v>
      </c>
      <c r="W32" s="4">
        <f t="shared" si="5"/>
        <v>101.131</v>
      </c>
      <c r="X32" s="19">
        <f t="shared" si="6"/>
        <v>6.7745846730975359</v>
      </c>
      <c r="Y32">
        <v>1</v>
      </c>
      <c r="Z32" s="12">
        <f t="shared" si="7"/>
        <v>6.7745846730975359</v>
      </c>
      <c r="AA32" s="12">
        <v>21.762500000000003</v>
      </c>
      <c r="AB32" s="12">
        <f t="shared" si="8"/>
        <v>0.31129625149213258</v>
      </c>
      <c r="AC32" s="12">
        <f t="shared" si="9"/>
        <v>3.1129625149213256</v>
      </c>
      <c r="AD32" s="4"/>
      <c r="AF32" s="4"/>
      <c r="AG32" s="4"/>
      <c r="AH32" s="4"/>
      <c r="AI32" s="4"/>
      <c r="AJ32" s="4"/>
      <c r="AK32" s="4"/>
    </row>
    <row r="33" spans="1:37" x14ac:dyDescent="0.2">
      <c r="D33" s="4">
        <v>42</v>
      </c>
      <c r="E33" s="26">
        <v>2.96</v>
      </c>
      <c r="F33" s="26">
        <v>-138.30500000000001</v>
      </c>
      <c r="G33" s="4">
        <f t="shared" si="0"/>
        <v>135.345</v>
      </c>
      <c r="H33" s="19">
        <f t="shared" si="1"/>
        <v>9.066519292604502</v>
      </c>
      <c r="I33">
        <v>1</v>
      </c>
      <c r="J33" s="12">
        <f t="shared" si="2"/>
        <v>9.066519292604502</v>
      </c>
      <c r="K33" s="4">
        <v>19.9194</v>
      </c>
      <c r="L33" s="12">
        <f t="shared" si="3"/>
        <v>0.45516026047995933</v>
      </c>
      <c r="M33" s="12">
        <f t="shared" si="4"/>
        <v>4.5516026047995934</v>
      </c>
      <c r="T33">
        <v>46</v>
      </c>
      <c r="U33" s="24">
        <v>7.8090000000000002</v>
      </c>
      <c r="V33" s="24">
        <v>-105.929</v>
      </c>
      <c r="W33" s="4">
        <f t="shared" si="5"/>
        <v>98.12</v>
      </c>
      <c r="X33" s="19">
        <f t="shared" si="6"/>
        <v>6.5728831725616299</v>
      </c>
      <c r="Y33">
        <v>1</v>
      </c>
      <c r="Z33" s="12">
        <f t="shared" si="7"/>
        <v>6.5728831725616299</v>
      </c>
      <c r="AA33" s="12">
        <v>19.62895</v>
      </c>
      <c r="AB33" s="12">
        <f t="shared" si="8"/>
        <v>0.33485658542925778</v>
      </c>
      <c r="AC33" s="12">
        <f t="shared" si="9"/>
        <v>3.3485658542925778</v>
      </c>
      <c r="AD33" s="4"/>
      <c r="AF33" s="4"/>
      <c r="AG33" s="4"/>
      <c r="AH33" s="4"/>
      <c r="AI33" s="4"/>
      <c r="AJ33" s="4"/>
      <c r="AK33" s="4"/>
    </row>
    <row r="34" spans="1:37" x14ac:dyDescent="0.2">
      <c r="D34" s="4">
        <v>43</v>
      </c>
      <c r="E34" s="26">
        <v>-5.4039999999999999</v>
      </c>
      <c r="F34" s="26">
        <v>-142.952</v>
      </c>
      <c r="G34" s="4">
        <f t="shared" si="0"/>
        <v>137.548</v>
      </c>
      <c r="H34" s="19">
        <f t="shared" si="1"/>
        <v>9.214094319399786</v>
      </c>
      <c r="I34">
        <v>1</v>
      </c>
      <c r="J34" s="12">
        <f t="shared" si="2"/>
        <v>9.214094319399786</v>
      </c>
      <c r="K34" s="4">
        <v>22.126899999999999</v>
      </c>
      <c r="L34" s="12">
        <f t="shared" si="3"/>
        <v>0.41642048002204496</v>
      </c>
      <c r="M34" s="12">
        <f t="shared" si="4"/>
        <v>4.1642048002204497</v>
      </c>
      <c r="T34">
        <v>47</v>
      </c>
      <c r="U34" s="24">
        <v>3.3220000000000001</v>
      </c>
      <c r="V34" s="24">
        <v>-125.965</v>
      </c>
      <c r="W34" s="4">
        <f t="shared" si="5"/>
        <v>122.643</v>
      </c>
      <c r="X34" s="19">
        <f t="shared" si="6"/>
        <v>8.2156350482315119</v>
      </c>
      <c r="Y34">
        <v>1</v>
      </c>
      <c r="Z34" s="12">
        <f t="shared" si="7"/>
        <v>8.2156350482315119</v>
      </c>
      <c r="AA34" s="12">
        <v>19.507450000000002</v>
      </c>
      <c r="AB34" s="12">
        <f t="shared" si="8"/>
        <v>0.42115371554106307</v>
      </c>
      <c r="AC34" s="12">
        <f t="shared" si="9"/>
        <v>4.2115371554106309</v>
      </c>
      <c r="AD34" s="4"/>
      <c r="AF34" s="4"/>
      <c r="AG34" s="4"/>
      <c r="AH34" s="4"/>
      <c r="AI34" s="4"/>
      <c r="AJ34" s="4"/>
      <c r="AK34" s="4"/>
    </row>
    <row r="35" spans="1:37" x14ac:dyDescent="0.2">
      <c r="D35" s="4">
        <v>44</v>
      </c>
      <c r="E35" s="26">
        <v>13.343</v>
      </c>
      <c r="F35" s="26">
        <v>-134.05699999999999</v>
      </c>
      <c r="G35" s="4">
        <f t="shared" si="0"/>
        <v>120.71399999999998</v>
      </c>
      <c r="H35" s="19">
        <f t="shared" si="1"/>
        <v>8.0864147909967841</v>
      </c>
      <c r="I35">
        <v>1</v>
      </c>
      <c r="J35" s="12">
        <f t="shared" si="2"/>
        <v>8.0864147909967841</v>
      </c>
      <c r="K35" s="4">
        <v>20.579549999999998</v>
      </c>
      <c r="L35" s="12">
        <f t="shared" si="3"/>
        <v>0.39293448063717551</v>
      </c>
      <c r="M35" s="12">
        <f t="shared" si="4"/>
        <v>3.9293448063717551</v>
      </c>
      <c r="T35">
        <v>48</v>
      </c>
      <c r="U35" s="24">
        <v>0.43099999999999999</v>
      </c>
      <c r="V35" s="24">
        <v>-116.544</v>
      </c>
      <c r="W35" s="4">
        <f t="shared" si="5"/>
        <v>116.113</v>
      </c>
      <c r="X35" s="19">
        <f t="shared" si="6"/>
        <v>7.7782020364415869</v>
      </c>
      <c r="Y35">
        <v>1</v>
      </c>
      <c r="Z35" s="12">
        <f t="shared" si="7"/>
        <v>7.7782020364415869</v>
      </c>
      <c r="AA35" s="12">
        <v>17.595700000000001</v>
      </c>
      <c r="AB35" s="12">
        <f t="shared" si="8"/>
        <v>0.44205129869465759</v>
      </c>
      <c r="AC35" s="12">
        <f t="shared" si="9"/>
        <v>4.4205129869465756</v>
      </c>
      <c r="AD35" s="4"/>
      <c r="AF35" s="4"/>
      <c r="AG35" s="4"/>
      <c r="AH35" s="4"/>
      <c r="AI35" s="4"/>
      <c r="AJ35" s="4"/>
      <c r="AK35" s="4"/>
    </row>
    <row r="36" spans="1:37" x14ac:dyDescent="0.2">
      <c r="A36">
        <v>12</v>
      </c>
      <c r="D36" s="4">
        <v>83</v>
      </c>
      <c r="E36" s="26">
        <v>-2.0659999999999998</v>
      </c>
      <c r="F36" s="26">
        <v>-97.245000000000005</v>
      </c>
      <c r="G36" s="4">
        <f t="shared" si="0"/>
        <v>95.179000000000002</v>
      </c>
      <c r="H36" s="19">
        <f t="shared" si="1"/>
        <v>6.3758708467309759</v>
      </c>
      <c r="I36">
        <v>1</v>
      </c>
      <c r="J36" s="12">
        <f t="shared" si="2"/>
        <v>6.3758708467309759</v>
      </c>
      <c r="K36" s="4">
        <v>15.594149999999999</v>
      </c>
      <c r="L36" s="12">
        <f t="shared" si="3"/>
        <v>0.40886299328472386</v>
      </c>
      <c r="M36" s="12">
        <f t="shared" si="4"/>
        <v>4.0886299328472386</v>
      </c>
      <c r="Q36">
        <v>15</v>
      </c>
      <c r="T36">
        <v>87</v>
      </c>
      <c r="U36" s="24">
        <v>-0.93500000000000005</v>
      </c>
      <c r="V36" s="24">
        <v>-105.29600000000001</v>
      </c>
      <c r="W36" s="4">
        <f t="shared" si="5"/>
        <v>104.361</v>
      </c>
      <c r="X36" s="19">
        <f t="shared" si="6"/>
        <v>6.9909565916398719</v>
      </c>
      <c r="Y36">
        <v>1</v>
      </c>
      <c r="Z36" s="12">
        <f t="shared" si="7"/>
        <v>6.9909565916398719</v>
      </c>
      <c r="AA36" s="12">
        <v>18.725850000000001</v>
      </c>
      <c r="AB36" s="12">
        <f t="shared" si="8"/>
        <v>0.37333186966892673</v>
      </c>
      <c r="AC36" s="12">
        <f t="shared" si="9"/>
        <v>3.7333186966892673</v>
      </c>
      <c r="AD36" s="4"/>
      <c r="AF36" s="4"/>
      <c r="AG36" s="4"/>
      <c r="AH36" s="4"/>
      <c r="AI36" s="4"/>
      <c r="AJ36" s="4"/>
      <c r="AK36" s="4"/>
    </row>
    <row r="37" spans="1:37" x14ac:dyDescent="0.2">
      <c r="D37" s="4">
        <v>84</v>
      </c>
      <c r="E37" s="26">
        <v>0.19500000000000001</v>
      </c>
      <c r="F37" s="26">
        <v>-89.784999999999997</v>
      </c>
      <c r="G37" s="4">
        <f t="shared" si="0"/>
        <v>89.59</v>
      </c>
      <c r="H37" s="19">
        <f t="shared" si="1"/>
        <v>6.001473740621651</v>
      </c>
      <c r="I37">
        <v>1</v>
      </c>
      <c r="J37" s="12">
        <f t="shared" si="2"/>
        <v>6.001473740621651</v>
      </c>
      <c r="K37" s="4">
        <v>16.861650000000001</v>
      </c>
      <c r="L37" s="12">
        <f t="shared" si="3"/>
        <v>0.35592446413142548</v>
      </c>
      <c r="M37" s="12">
        <f t="shared" si="4"/>
        <v>3.5592446413142547</v>
      </c>
      <c r="T37">
        <v>89</v>
      </c>
      <c r="U37" s="24">
        <v>-1.1040000000000001</v>
      </c>
      <c r="V37" s="24">
        <v>-117.95099999999999</v>
      </c>
      <c r="W37" s="4">
        <f t="shared" si="5"/>
        <v>116.84699999999999</v>
      </c>
      <c r="X37" s="19">
        <f t="shared" si="6"/>
        <v>7.8273713826366569</v>
      </c>
      <c r="Y37">
        <v>1</v>
      </c>
      <c r="Z37" s="12">
        <f t="shared" si="7"/>
        <v>7.8273713826366569</v>
      </c>
      <c r="AA37" s="12">
        <v>17.02535</v>
      </c>
      <c r="AB37" s="12">
        <f t="shared" si="8"/>
        <v>0.45974804527581853</v>
      </c>
      <c r="AC37" s="12">
        <f t="shared" si="9"/>
        <v>4.5974804527581856</v>
      </c>
      <c r="AD37" s="4"/>
      <c r="AF37" s="4"/>
      <c r="AG37" s="4"/>
      <c r="AH37" s="4"/>
      <c r="AI37" s="4"/>
      <c r="AJ37" s="4"/>
      <c r="AK37" s="4"/>
    </row>
    <row r="38" spans="1:37" x14ac:dyDescent="0.2">
      <c r="D38" s="4">
        <v>85</v>
      </c>
      <c r="E38" s="26">
        <v>-1.478</v>
      </c>
      <c r="F38" s="26">
        <v>-97.418000000000006</v>
      </c>
      <c r="G38" s="4">
        <f t="shared" si="0"/>
        <v>95.940000000000012</v>
      </c>
      <c r="H38" s="19">
        <f t="shared" si="1"/>
        <v>6.4268488745980727</v>
      </c>
      <c r="I38">
        <v>1</v>
      </c>
      <c r="J38" s="12">
        <f t="shared" si="2"/>
        <v>6.4268488745980727</v>
      </c>
      <c r="K38" s="4">
        <v>17.146799999999999</v>
      </c>
      <c r="L38" s="12">
        <f t="shared" si="3"/>
        <v>0.3748133106234442</v>
      </c>
      <c r="M38" s="12">
        <f t="shared" si="4"/>
        <v>3.7481331062344418</v>
      </c>
      <c r="T38">
        <v>90</v>
      </c>
      <c r="U38" s="24">
        <v>-27.916</v>
      </c>
      <c r="V38" s="24">
        <v>-121.55800000000001</v>
      </c>
      <c r="W38" s="4">
        <f t="shared" si="5"/>
        <v>93.64200000000001</v>
      </c>
      <c r="X38" s="19">
        <f t="shared" si="6"/>
        <v>6.2729099678456608</v>
      </c>
      <c r="Y38">
        <v>1</v>
      </c>
      <c r="Z38" s="12">
        <f t="shared" si="7"/>
        <v>6.2729099678456608</v>
      </c>
      <c r="AA38" s="12">
        <v>18.0974</v>
      </c>
      <c r="AB38" s="12">
        <f t="shared" si="8"/>
        <v>0.34661940211553377</v>
      </c>
      <c r="AC38" s="12">
        <f t="shared" si="9"/>
        <v>3.4661940211553377</v>
      </c>
      <c r="AD38" s="4"/>
      <c r="AF38" s="4"/>
      <c r="AG38" s="4"/>
      <c r="AH38" s="4"/>
      <c r="AI38" s="4"/>
      <c r="AJ38" s="4"/>
      <c r="AK38" s="4"/>
    </row>
    <row r="39" spans="1:37" x14ac:dyDescent="0.2">
      <c r="D39" s="4">
        <v>86</v>
      </c>
      <c r="E39" s="26">
        <v>2.609</v>
      </c>
      <c r="F39" s="26">
        <v>-85.802999999999997</v>
      </c>
      <c r="G39" s="4">
        <f t="shared" si="0"/>
        <v>83.194000000000003</v>
      </c>
      <c r="H39" s="19">
        <f t="shared" si="1"/>
        <v>5.5730171489817799</v>
      </c>
      <c r="I39">
        <v>1</v>
      </c>
      <c r="J39" s="12">
        <f t="shared" si="2"/>
        <v>5.5730171489817799</v>
      </c>
      <c r="K39" s="4">
        <v>19.121950000000002</v>
      </c>
      <c r="L39" s="12">
        <f t="shared" si="3"/>
        <v>0.29144606847009741</v>
      </c>
      <c r="M39" s="12">
        <f t="shared" si="4"/>
        <v>2.9144606847009742</v>
      </c>
      <c r="Q39">
        <v>15</v>
      </c>
      <c r="S39" t="s">
        <v>13</v>
      </c>
      <c r="T39">
        <v>53</v>
      </c>
      <c r="U39" s="24">
        <v>-0.05</v>
      </c>
      <c r="V39" s="24">
        <v>-107.167</v>
      </c>
      <c r="W39" s="4">
        <f t="shared" si="5"/>
        <v>107.117</v>
      </c>
      <c r="X39" s="19">
        <f t="shared" si="6"/>
        <v>7.1755760986066459</v>
      </c>
      <c r="Y39">
        <v>1</v>
      </c>
      <c r="Z39" s="12">
        <f t="shared" si="7"/>
        <v>7.1755760986066459</v>
      </c>
      <c r="AA39" s="12">
        <v>18.863199999999999</v>
      </c>
      <c r="AB39" s="12">
        <f t="shared" si="8"/>
        <v>0.38040078558286222</v>
      </c>
      <c r="AC39" s="12">
        <f t="shared" si="9"/>
        <v>3.8040078558286221</v>
      </c>
      <c r="AD39" s="23">
        <f>AVERAGE(AC39:AC50)</f>
        <v>3.4779302003240642</v>
      </c>
      <c r="AE39" t="s">
        <v>13</v>
      </c>
      <c r="AF39" s="4"/>
      <c r="AG39" s="4"/>
      <c r="AH39" s="4"/>
      <c r="AI39" s="4"/>
      <c r="AJ39" s="4"/>
      <c r="AK39" s="4"/>
    </row>
    <row r="40" spans="1:37" x14ac:dyDescent="0.2">
      <c r="A40">
        <v>11</v>
      </c>
      <c r="C40" t="s">
        <v>13</v>
      </c>
      <c r="D40" s="4">
        <v>49</v>
      </c>
      <c r="E40" s="26">
        <v>1.8959999999999999</v>
      </c>
      <c r="F40" s="26">
        <v>-91.528000000000006</v>
      </c>
      <c r="G40" s="4">
        <f t="shared" si="0"/>
        <v>89.632000000000005</v>
      </c>
      <c r="H40" s="19">
        <f t="shared" si="1"/>
        <v>6.0042872454448029</v>
      </c>
      <c r="I40">
        <v>1</v>
      </c>
      <c r="J40" s="12">
        <f t="shared" si="2"/>
        <v>6.0042872454448029</v>
      </c>
      <c r="K40" s="4">
        <v>17.616849999999999</v>
      </c>
      <c r="L40" s="12">
        <f t="shared" si="3"/>
        <v>0.34082638186990316</v>
      </c>
      <c r="M40" s="12">
        <f t="shared" si="4"/>
        <v>3.4082638186990315</v>
      </c>
      <c r="T40">
        <v>54</v>
      </c>
      <c r="U40" s="24">
        <v>-0.375</v>
      </c>
      <c r="V40" s="24">
        <v>-95.394999999999996</v>
      </c>
      <c r="W40" s="4">
        <f t="shared" si="5"/>
        <v>95.02</v>
      </c>
      <c r="X40" s="19">
        <f t="shared" si="6"/>
        <v>6.3652197213290469</v>
      </c>
      <c r="Y40">
        <v>1</v>
      </c>
      <c r="Z40" s="12">
        <f t="shared" si="7"/>
        <v>6.3652197213290469</v>
      </c>
      <c r="AA40" s="12">
        <v>27.59815</v>
      </c>
      <c r="AB40" s="12">
        <f t="shared" si="8"/>
        <v>0.23063936246918895</v>
      </c>
      <c r="AC40" s="12">
        <f t="shared" si="9"/>
        <v>2.3063936246918897</v>
      </c>
      <c r="AD40" s="4"/>
      <c r="AF40" s="4"/>
      <c r="AG40" s="4"/>
      <c r="AH40" s="4"/>
      <c r="AI40" s="4"/>
      <c r="AJ40" s="4"/>
      <c r="AK40" s="4"/>
    </row>
    <row r="41" spans="1:37" x14ac:dyDescent="0.2">
      <c r="D41" s="4">
        <v>50</v>
      </c>
      <c r="E41" s="26">
        <v>3.048</v>
      </c>
      <c r="F41" s="26">
        <v>-117.349</v>
      </c>
      <c r="G41" s="4">
        <f t="shared" si="0"/>
        <v>114.301</v>
      </c>
      <c r="H41" s="19">
        <f t="shared" si="1"/>
        <v>7.6568193997856389</v>
      </c>
      <c r="I41">
        <v>1</v>
      </c>
      <c r="J41" s="12">
        <f t="shared" si="2"/>
        <v>7.6568193997856389</v>
      </c>
      <c r="K41" s="4">
        <v>21.4298</v>
      </c>
      <c r="L41" s="12">
        <f t="shared" si="3"/>
        <v>0.35729775358545757</v>
      </c>
      <c r="M41" s="12">
        <f t="shared" si="4"/>
        <v>3.5729775358545757</v>
      </c>
      <c r="T41">
        <v>55</v>
      </c>
      <c r="U41" s="24">
        <v>-0.41799999999999998</v>
      </c>
      <c r="V41" s="24">
        <v>-105.21</v>
      </c>
      <c r="W41" s="4">
        <f t="shared" si="5"/>
        <v>104.79199999999999</v>
      </c>
      <c r="X41" s="19">
        <f t="shared" si="6"/>
        <v>7.019828510182208</v>
      </c>
      <c r="Y41">
        <v>1</v>
      </c>
      <c r="Z41" s="12">
        <f t="shared" si="7"/>
        <v>7.019828510182208</v>
      </c>
      <c r="AA41" s="12">
        <v>19.565549999999998</v>
      </c>
      <c r="AB41" s="12">
        <f t="shared" si="8"/>
        <v>0.35878513561756292</v>
      </c>
      <c r="AC41" s="12">
        <f t="shared" si="9"/>
        <v>3.5878513561756291</v>
      </c>
      <c r="AD41" s="4"/>
      <c r="AF41" s="4"/>
      <c r="AG41" s="4"/>
      <c r="AH41" s="4"/>
      <c r="AI41" s="4"/>
      <c r="AJ41" s="4"/>
      <c r="AK41" s="4"/>
    </row>
    <row r="42" spans="1:37" x14ac:dyDescent="0.2">
      <c r="D42" s="4">
        <v>51</v>
      </c>
      <c r="E42" s="26">
        <v>-1.181</v>
      </c>
      <c r="F42" s="26">
        <v>-104.43300000000001</v>
      </c>
      <c r="G42" s="4">
        <f t="shared" si="0"/>
        <v>103.25200000000001</v>
      </c>
      <c r="H42" s="19">
        <f t="shared" si="1"/>
        <v>6.9166666666666687</v>
      </c>
      <c r="I42">
        <v>1</v>
      </c>
      <c r="J42" s="12">
        <f t="shared" si="2"/>
        <v>6.9166666666666687</v>
      </c>
      <c r="K42" s="4">
        <v>20.648199999999999</v>
      </c>
      <c r="L42" s="12">
        <f t="shared" si="3"/>
        <v>0.33497673727814864</v>
      </c>
      <c r="M42" s="12">
        <f t="shared" si="4"/>
        <v>3.3497673727814865</v>
      </c>
      <c r="T42">
        <v>56</v>
      </c>
      <c r="U42" s="24">
        <v>11.157999999999999</v>
      </c>
      <c r="V42" s="24">
        <v>-115.852</v>
      </c>
      <c r="W42" s="4">
        <f t="shared" si="5"/>
        <v>104.694</v>
      </c>
      <c r="X42" s="19">
        <f t="shared" si="6"/>
        <v>7.0132636655948559</v>
      </c>
      <c r="Y42">
        <v>1</v>
      </c>
      <c r="Z42" s="12">
        <f t="shared" si="7"/>
        <v>7.0132636655948559</v>
      </c>
      <c r="AA42" s="12">
        <v>19.544449999999998</v>
      </c>
      <c r="AB42" s="12">
        <f t="shared" si="8"/>
        <v>0.35883658356182224</v>
      </c>
      <c r="AC42" s="12">
        <f t="shared" si="9"/>
        <v>3.5883658356182222</v>
      </c>
      <c r="AD42" s="4"/>
      <c r="AF42" s="4"/>
      <c r="AG42" s="4"/>
      <c r="AH42" s="4"/>
      <c r="AI42" s="4"/>
      <c r="AJ42" s="4"/>
      <c r="AK42" s="4"/>
    </row>
    <row r="43" spans="1:37" x14ac:dyDescent="0.2">
      <c r="D43" s="4">
        <v>52</v>
      </c>
      <c r="E43" s="26">
        <v>9.5399999999999991</v>
      </c>
      <c r="F43" s="26">
        <v>-107.682</v>
      </c>
      <c r="G43" s="4">
        <f t="shared" si="0"/>
        <v>98.141999999999996</v>
      </c>
      <c r="H43" s="19">
        <f t="shared" si="1"/>
        <v>6.5743569131832809</v>
      </c>
      <c r="I43">
        <v>1</v>
      </c>
      <c r="J43" s="12">
        <f t="shared" si="2"/>
        <v>6.5743569131832809</v>
      </c>
      <c r="K43" s="4">
        <v>18.319199999999999</v>
      </c>
      <c r="L43" s="12">
        <f t="shared" si="3"/>
        <v>0.35887794844661786</v>
      </c>
      <c r="M43" s="12">
        <f t="shared" si="4"/>
        <v>3.5887794844661784</v>
      </c>
      <c r="Q43">
        <v>14</v>
      </c>
      <c r="T43">
        <v>61</v>
      </c>
      <c r="U43" s="24">
        <v>1.6240000000000001</v>
      </c>
      <c r="V43" s="24">
        <v>-87.48</v>
      </c>
      <c r="W43" s="4">
        <f t="shared" si="5"/>
        <v>85.856000000000009</v>
      </c>
      <c r="X43" s="19">
        <f t="shared" si="6"/>
        <v>5.7513397642015018</v>
      </c>
      <c r="Y43">
        <v>1</v>
      </c>
      <c r="Z43" s="12">
        <f t="shared" si="7"/>
        <v>5.7513397642015018</v>
      </c>
      <c r="AA43" s="10">
        <v>18.187200000000001</v>
      </c>
      <c r="AB43" s="12">
        <f t="shared" si="8"/>
        <v>0.31623008292653632</v>
      </c>
      <c r="AC43" s="12">
        <f t="shared" si="9"/>
        <v>3.1623008292653632</v>
      </c>
      <c r="AD43" s="4"/>
      <c r="AF43" s="4"/>
      <c r="AG43" s="4"/>
      <c r="AH43" s="4"/>
      <c r="AI43" s="4"/>
      <c r="AJ43" s="4"/>
      <c r="AK43" s="4"/>
    </row>
    <row r="44" spans="1:37" x14ac:dyDescent="0.2">
      <c r="A44">
        <v>12</v>
      </c>
      <c r="D44" s="4">
        <v>57</v>
      </c>
      <c r="E44" s="26">
        <v>-8.0000000000000002E-3</v>
      </c>
      <c r="F44" s="26">
        <v>-108.974</v>
      </c>
      <c r="G44" s="4">
        <f t="shared" si="0"/>
        <v>108.96600000000001</v>
      </c>
      <c r="H44" s="19">
        <f t="shared" si="1"/>
        <v>7.2994372990353718</v>
      </c>
      <c r="I44">
        <v>1</v>
      </c>
      <c r="J44" s="12">
        <f t="shared" si="2"/>
        <v>7.2994372990353718</v>
      </c>
      <c r="K44" s="4">
        <v>18.73115</v>
      </c>
      <c r="L44" s="12">
        <f t="shared" si="3"/>
        <v>0.38969509608515079</v>
      </c>
      <c r="M44" s="12">
        <f t="shared" si="4"/>
        <v>3.8969509608515081</v>
      </c>
      <c r="T44">
        <v>62</v>
      </c>
      <c r="U44" s="24">
        <v>1.1220000000000001</v>
      </c>
      <c r="V44" s="24">
        <v>-85.403000000000006</v>
      </c>
      <c r="W44" s="4">
        <f t="shared" si="5"/>
        <v>84.281000000000006</v>
      </c>
      <c r="X44" s="19">
        <f t="shared" si="6"/>
        <v>5.6458333333333339</v>
      </c>
      <c r="Y44">
        <v>1</v>
      </c>
      <c r="Z44" s="12">
        <f t="shared" si="7"/>
        <v>5.6458333333333339</v>
      </c>
      <c r="AA44" s="10">
        <v>18.699449999999999</v>
      </c>
      <c r="AB44" s="12">
        <f t="shared" si="8"/>
        <v>0.30192510118390298</v>
      </c>
      <c r="AC44" s="12">
        <f t="shared" si="9"/>
        <v>3.0192510118390299</v>
      </c>
      <c r="AD44" s="4"/>
      <c r="AF44" s="4"/>
      <c r="AG44" s="4"/>
      <c r="AH44" s="4"/>
      <c r="AI44" s="4"/>
      <c r="AJ44" s="4"/>
      <c r="AK44" s="4"/>
    </row>
    <row r="45" spans="1:37" x14ac:dyDescent="0.2">
      <c r="D45" s="4">
        <v>58</v>
      </c>
      <c r="E45" s="26">
        <v>-0.311</v>
      </c>
      <c r="F45" s="26">
        <v>-102.94</v>
      </c>
      <c r="G45" s="4">
        <f t="shared" si="0"/>
        <v>102.62899999999999</v>
      </c>
      <c r="H45" s="19">
        <f t="shared" si="1"/>
        <v>6.874933011789925</v>
      </c>
      <c r="I45">
        <v>1</v>
      </c>
      <c r="J45" s="12">
        <f t="shared" si="2"/>
        <v>6.874933011789925</v>
      </c>
      <c r="K45" s="4">
        <v>20.3947</v>
      </c>
      <c r="L45" s="12">
        <f t="shared" si="3"/>
        <v>0.33709409855452271</v>
      </c>
      <c r="M45" s="12">
        <f t="shared" si="4"/>
        <v>3.3709409855452273</v>
      </c>
      <c r="T45">
        <v>64</v>
      </c>
      <c r="U45" s="24">
        <v>3.149</v>
      </c>
      <c r="V45" s="24">
        <v>-94.856999999999999</v>
      </c>
      <c r="W45" s="4">
        <f t="shared" si="5"/>
        <v>91.707999999999998</v>
      </c>
      <c r="X45" s="19">
        <f t="shared" si="6"/>
        <v>6.1433547695605579</v>
      </c>
      <c r="Y45">
        <v>1</v>
      </c>
      <c r="Z45" s="12">
        <f t="shared" si="7"/>
        <v>6.1433547695605579</v>
      </c>
      <c r="AA45" s="10">
        <v>17.358049999999999</v>
      </c>
      <c r="AB45" s="12">
        <f t="shared" si="8"/>
        <v>0.35391963783723163</v>
      </c>
      <c r="AC45" s="12">
        <f t="shared" si="9"/>
        <v>3.5391963783723162</v>
      </c>
      <c r="AD45" s="4"/>
      <c r="AF45" s="4"/>
      <c r="AG45" s="4"/>
      <c r="AH45" s="4"/>
      <c r="AI45" s="4"/>
      <c r="AJ45" s="4"/>
      <c r="AK45" s="4"/>
    </row>
    <row r="46" spans="1:37" x14ac:dyDescent="0.2">
      <c r="D46" s="4">
        <v>59</v>
      </c>
      <c r="E46" s="26">
        <v>0.25600000000000001</v>
      </c>
      <c r="F46" s="26">
        <v>-94.629000000000005</v>
      </c>
      <c r="G46" s="4">
        <f t="shared" si="0"/>
        <v>94.373000000000005</v>
      </c>
      <c r="H46" s="19">
        <f t="shared" si="1"/>
        <v>6.3218783494105049</v>
      </c>
      <c r="I46">
        <v>1</v>
      </c>
      <c r="J46" s="12">
        <f t="shared" si="2"/>
        <v>6.3218783494105049</v>
      </c>
      <c r="K46" s="4">
        <v>19.908850000000001</v>
      </c>
      <c r="L46" s="12">
        <f t="shared" si="3"/>
        <v>0.31754111108429189</v>
      </c>
      <c r="M46" s="12">
        <f t="shared" si="4"/>
        <v>3.1754111108429188</v>
      </c>
      <c r="Q46">
        <v>15</v>
      </c>
      <c r="T46">
        <v>96</v>
      </c>
      <c r="U46" s="24">
        <v>1.161</v>
      </c>
      <c r="V46" s="24">
        <v>-109.294</v>
      </c>
      <c r="W46" s="4">
        <f t="shared" si="5"/>
        <v>108.133</v>
      </c>
      <c r="X46" s="19">
        <f t="shared" si="6"/>
        <v>7.2436361200428729</v>
      </c>
      <c r="Y46">
        <v>1</v>
      </c>
      <c r="Z46" s="12">
        <f t="shared" si="7"/>
        <v>7.2436361200428729</v>
      </c>
      <c r="AA46" s="10">
        <v>20.294350000000001</v>
      </c>
      <c r="AB46" s="12">
        <f t="shared" si="8"/>
        <v>0.35692870774589341</v>
      </c>
      <c r="AC46" s="12">
        <f t="shared" si="9"/>
        <v>3.569287077458934</v>
      </c>
      <c r="AD46" s="4"/>
      <c r="AF46" s="4"/>
      <c r="AG46" s="4"/>
      <c r="AH46" s="4"/>
      <c r="AI46" s="4"/>
      <c r="AJ46" s="4"/>
      <c r="AK46" s="4"/>
    </row>
    <row r="47" spans="1:37" x14ac:dyDescent="0.2">
      <c r="D47" s="4">
        <v>60</v>
      </c>
      <c r="E47" s="26">
        <v>-5.5819999999999999</v>
      </c>
      <c r="F47" s="26">
        <v>-95.527000000000001</v>
      </c>
      <c r="G47" s="4">
        <f t="shared" si="0"/>
        <v>89.945000000000007</v>
      </c>
      <c r="H47" s="19">
        <f t="shared" si="1"/>
        <v>6.0252545551982868</v>
      </c>
      <c r="I47">
        <v>1</v>
      </c>
      <c r="J47" s="12">
        <f t="shared" si="2"/>
        <v>6.0252545551982868</v>
      </c>
      <c r="K47" s="4">
        <v>19.063849999999999</v>
      </c>
      <c r="L47" s="12">
        <f t="shared" si="3"/>
        <v>0.3160565444649579</v>
      </c>
      <c r="M47" s="12">
        <f t="shared" si="4"/>
        <v>3.160565444649579</v>
      </c>
      <c r="T47">
        <v>97</v>
      </c>
      <c r="U47" s="24">
        <v>-0.92700000000000005</v>
      </c>
      <c r="V47" s="24">
        <v>-103.967</v>
      </c>
      <c r="W47" s="4">
        <f t="shared" si="5"/>
        <v>103.03999999999999</v>
      </c>
      <c r="X47" s="19">
        <f t="shared" si="6"/>
        <v>6.902465166130761</v>
      </c>
      <c r="Y47">
        <v>1</v>
      </c>
      <c r="Z47" s="12">
        <f t="shared" si="7"/>
        <v>6.902465166130761</v>
      </c>
      <c r="AA47" s="12">
        <v>19.174750000000003</v>
      </c>
      <c r="AB47" s="12">
        <f t="shared" si="8"/>
        <v>0.35997680106028812</v>
      </c>
      <c r="AC47" s="12">
        <f t="shared" si="9"/>
        <v>3.5997680106028813</v>
      </c>
      <c r="AD47" s="4"/>
      <c r="AF47" s="4"/>
      <c r="AG47" s="4"/>
      <c r="AH47" s="4"/>
      <c r="AI47" s="4"/>
      <c r="AJ47" s="4"/>
      <c r="AK47" s="4"/>
    </row>
    <row r="48" spans="1:37" x14ac:dyDescent="0.2">
      <c r="A48">
        <v>12</v>
      </c>
      <c r="D48" s="4">
        <v>91</v>
      </c>
      <c r="E48" s="26">
        <v>-0.158</v>
      </c>
      <c r="F48" s="26">
        <v>-95.054000000000002</v>
      </c>
      <c r="G48" s="4">
        <f t="shared" si="0"/>
        <v>94.896000000000001</v>
      </c>
      <c r="H48" s="19">
        <f t="shared" si="1"/>
        <v>6.3569131832797439</v>
      </c>
      <c r="I48">
        <v>1</v>
      </c>
      <c r="J48" s="12">
        <f t="shared" si="2"/>
        <v>6.3569131832797439</v>
      </c>
      <c r="K48" s="4">
        <v>17.812249999999999</v>
      </c>
      <c r="L48" s="12">
        <f t="shared" si="3"/>
        <v>0.35688434550827347</v>
      </c>
      <c r="M48" s="12">
        <f t="shared" si="4"/>
        <v>3.5688434550827348</v>
      </c>
      <c r="T48">
        <v>98</v>
      </c>
      <c r="U48" s="24">
        <v>2.4990000000000001</v>
      </c>
      <c r="V48" s="24">
        <v>-110.17</v>
      </c>
      <c r="W48" s="4">
        <f t="shared" si="5"/>
        <v>107.67100000000001</v>
      </c>
      <c r="X48" s="19">
        <f t="shared" si="6"/>
        <v>7.2126875669882109</v>
      </c>
      <c r="Y48">
        <v>1</v>
      </c>
      <c r="Z48" s="12">
        <f t="shared" si="7"/>
        <v>7.2126875669882109</v>
      </c>
      <c r="AA48" s="12">
        <v>19.407149999999998</v>
      </c>
      <c r="AB48" s="12">
        <f t="shared" si="8"/>
        <v>0.37165104443404684</v>
      </c>
      <c r="AC48" s="12">
        <f t="shared" si="9"/>
        <v>3.7165104443404684</v>
      </c>
      <c r="AD48" s="4"/>
      <c r="AF48" s="4"/>
      <c r="AG48" s="4"/>
      <c r="AH48" s="4"/>
      <c r="AI48" s="4"/>
      <c r="AJ48" s="4"/>
      <c r="AK48" s="4"/>
    </row>
    <row r="49" spans="1:37" x14ac:dyDescent="0.2">
      <c r="D49" s="4">
        <v>92</v>
      </c>
      <c r="E49" s="26">
        <v>-1.5620000000000001</v>
      </c>
      <c r="F49" s="26">
        <v>-87.786000000000001</v>
      </c>
      <c r="G49" s="4">
        <f t="shared" si="0"/>
        <v>86.224000000000004</v>
      </c>
      <c r="H49" s="19">
        <f t="shared" si="1"/>
        <v>5.7759914255091109</v>
      </c>
      <c r="I49">
        <v>1</v>
      </c>
      <c r="J49" s="12">
        <f t="shared" si="2"/>
        <v>5.7759914255091109</v>
      </c>
      <c r="K49" s="4">
        <v>20.077850000000002</v>
      </c>
      <c r="L49" s="12">
        <f t="shared" si="3"/>
        <v>0.28767977774060022</v>
      </c>
      <c r="M49" s="12">
        <f t="shared" si="4"/>
        <v>2.8767977774060021</v>
      </c>
      <c r="T49">
        <v>99</v>
      </c>
      <c r="U49" s="24">
        <v>-1.6519999999999999</v>
      </c>
      <c r="V49" s="24">
        <v>-120.223</v>
      </c>
      <c r="W49" s="4">
        <f t="shared" si="5"/>
        <v>118.571</v>
      </c>
      <c r="X49" s="19">
        <f t="shared" si="6"/>
        <v>7.9428590568060029</v>
      </c>
      <c r="Y49">
        <v>1</v>
      </c>
      <c r="Z49" s="12">
        <f t="shared" si="7"/>
        <v>7.9428590568060029</v>
      </c>
      <c r="AA49" s="12">
        <v>20.109500000000001</v>
      </c>
      <c r="AB49" s="12">
        <f t="shared" si="8"/>
        <v>0.39498043495890017</v>
      </c>
      <c r="AC49" s="12">
        <f t="shared" si="9"/>
        <v>3.9498043495890016</v>
      </c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D50" s="4">
        <v>93</v>
      </c>
      <c r="E50" s="26">
        <v>-2.6549999999999998</v>
      </c>
      <c r="F50" s="26">
        <v>-96.629000000000005</v>
      </c>
      <c r="G50" s="4">
        <f t="shared" si="0"/>
        <v>93.974000000000004</v>
      </c>
      <c r="H50" s="19">
        <f t="shared" si="1"/>
        <v>6.2951500535905689</v>
      </c>
      <c r="I50">
        <v>1</v>
      </c>
      <c r="J50" s="12">
        <f t="shared" si="2"/>
        <v>6.2951500535905689</v>
      </c>
      <c r="K50" s="4">
        <v>19.486349999999998</v>
      </c>
      <c r="L50" s="12">
        <f t="shared" si="3"/>
        <v>0.32305434591858245</v>
      </c>
      <c r="M50" s="12">
        <f t="shared" si="4"/>
        <v>3.2305434591858244</v>
      </c>
      <c r="T50">
        <v>100</v>
      </c>
      <c r="U50" s="24">
        <v>0.32900000000000001</v>
      </c>
      <c r="V50" s="24">
        <v>-119.602</v>
      </c>
      <c r="W50" s="4">
        <f t="shared" si="5"/>
        <v>119.27300000000001</v>
      </c>
      <c r="X50" s="19">
        <f t="shared" si="6"/>
        <v>7.9898847802786728</v>
      </c>
      <c r="Y50">
        <v>1</v>
      </c>
      <c r="Z50" s="12">
        <f t="shared" si="7"/>
        <v>7.9898847802786728</v>
      </c>
      <c r="AA50" s="12">
        <v>20.526750000000003</v>
      </c>
      <c r="AB50" s="12">
        <f t="shared" si="8"/>
        <v>0.38924256301064081</v>
      </c>
      <c r="AC50" s="12">
        <f t="shared" si="9"/>
        <v>3.8924256301064082</v>
      </c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D51" s="4">
        <v>94</v>
      </c>
      <c r="E51" s="26">
        <v>6.718</v>
      </c>
      <c r="F51" s="26">
        <v>-95.364999999999995</v>
      </c>
      <c r="G51" s="4">
        <f t="shared" si="0"/>
        <v>88.646999999999991</v>
      </c>
      <c r="H51" s="19">
        <f t="shared" si="1"/>
        <v>5.9383038585209</v>
      </c>
      <c r="I51">
        <v>1</v>
      </c>
      <c r="J51" s="12">
        <f t="shared" si="2"/>
        <v>5.9383038585209</v>
      </c>
      <c r="K51" s="4">
        <v>18.09215</v>
      </c>
      <c r="L51" s="12">
        <f t="shared" si="3"/>
        <v>0.32822543802261755</v>
      </c>
      <c r="M51" s="12">
        <f t="shared" si="4"/>
        <v>3.2822543802261754</v>
      </c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D52" s="4">
        <v>95</v>
      </c>
      <c r="E52" s="26">
        <v>-3.742</v>
      </c>
      <c r="F52" s="26">
        <v>-108.63200000000001</v>
      </c>
      <c r="G52" s="4">
        <f t="shared" si="0"/>
        <v>104.89</v>
      </c>
      <c r="H52" s="19">
        <f t="shared" si="1"/>
        <v>7.0263933547695618</v>
      </c>
      <c r="I52">
        <v>1</v>
      </c>
      <c r="J52" s="12">
        <f t="shared" si="2"/>
        <v>7.0263933547695618</v>
      </c>
      <c r="K52" s="4">
        <v>19.2804</v>
      </c>
      <c r="L52" s="12">
        <f t="shared" si="3"/>
        <v>0.36443192852687506</v>
      </c>
      <c r="M52" s="12">
        <f t="shared" si="4"/>
        <v>3.6443192852687507</v>
      </c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15"/>
      <c r="C53" s="4"/>
      <c r="D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15"/>
      <c r="C54" s="4"/>
      <c r="D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15"/>
      <c r="C55" s="4"/>
      <c r="D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15"/>
      <c r="C56" s="4"/>
      <c r="D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15"/>
      <c r="C57" s="4"/>
      <c r="D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15"/>
      <c r="C58" s="4"/>
      <c r="D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D64" s="4"/>
      <c r="AE64" s="4"/>
      <c r="AF64" s="4"/>
      <c r="AG64" s="4"/>
      <c r="AH64" s="4"/>
      <c r="AI64" s="4"/>
      <c r="AJ64" s="4"/>
      <c r="AK64" s="4"/>
    </row>
    <row r="65" spans="30:37" x14ac:dyDescent="0.2">
      <c r="AD65" s="4"/>
      <c r="AE65" s="4"/>
      <c r="AF65" s="4"/>
      <c r="AG65" s="4"/>
      <c r="AH65" s="4"/>
      <c r="AI65" s="4"/>
      <c r="AJ65" s="4"/>
      <c r="AK65" s="4"/>
    </row>
    <row r="66" spans="30:37" x14ac:dyDescent="0.2">
      <c r="AD66" s="4"/>
      <c r="AE66" s="4"/>
      <c r="AF66" s="4"/>
      <c r="AG66" s="4"/>
      <c r="AH66" s="4"/>
      <c r="AI66" s="4"/>
      <c r="AJ66" s="4"/>
      <c r="AK66" s="4"/>
    </row>
    <row r="67" spans="30:37" x14ac:dyDescent="0.2">
      <c r="AD67" s="4"/>
      <c r="AE67" s="4"/>
      <c r="AF67" s="4"/>
      <c r="AG67" s="4"/>
      <c r="AH67" s="4"/>
      <c r="AI67" s="4"/>
      <c r="AJ67" s="4"/>
      <c r="AK67" s="4"/>
    </row>
    <row r="68" spans="30:37" x14ac:dyDescent="0.2">
      <c r="AD68" s="4"/>
      <c r="AE68" s="4"/>
      <c r="AF68" s="4"/>
      <c r="AG68" s="4"/>
      <c r="AH68" s="4"/>
      <c r="AI68" s="4"/>
      <c r="AJ68" s="4"/>
      <c r="AK68" s="4"/>
    </row>
    <row r="69" spans="30:37" x14ac:dyDescent="0.2">
      <c r="AD69" s="4"/>
      <c r="AE69" s="4"/>
      <c r="AF69" s="4"/>
      <c r="AG69" s="4"/>
      <c r="AH69" s="4"/>
      <c r="AI69" s="4"/>
      <c r="AJ69" s="4"/>
      <c r="AK69" s="4"/>
    </row>
    <row r="70" spans="30:37" x14ac:dyDescent="0.2">
      <c r="AD70" s="4"/>
      <c r="AE70" s="4"/>
      <c r="AF70" s="4"/>
      <c r="AG70" s="4"/>
      <c r="AH70" s="4"/>
      <c r="AI70" s="4"/>
      <c r="AJ70" s="4"/>
      <c r="AK70" s="4"/>
    </row>
    <row r="71" spans="30:37" x14ac:dyDescent="0.2">
      <c r="AD71" s="4"/>
      <c r="AE71" s="4"/>
      <c r="AF71" s="4"/>
      <c r="AG71" s="4"/>
      <c r="AH71" s="4"/>
      <c r="AI71" s="4"/>
      <c r="AJ71" s="4"/>
      <c r="AK71" s="4"/>
    </row>
    <row r="72" spans="30:37" x14ac:dyDescent="0.2">
      <c r="AD72" s="4"/>
      <c r="AE72" s="4"/>
      <c r="AF72" s="4"/>
      <c r="AG72" s="4"/>
      <c r="AH72" s="4"/>
      <c r="AI72" s="4"/>
      <c r="AJ72" s="4"/>
      <c r="AK72" s="4"/>
    </row>
    <row r="73" spans="30:37" x14ac:dyDescent="0.2">
      <c r="AD73" s="4"/>
      <c r="AE73" s="4"/>
      <c r="AF73" s="4"/>
      <c r="AG73" s="4"/>
      <c r="AH73" s="4"/>
      <c r="AI73" s="4"/>
      <c r="AJ73" s="4"/>
      <c r="AK73" s="4"/>
    </row>
    <row r="74" spans="30:37" x14ac:dyDescent="0.2">
      <c r="AD74" s="4"/>
      <c r="AE74" s="4"/>
      <c r="AF74" s="4"/>
      <c r="AG74" s="4"/>
      <c r="AH74" s="4"/>
      <c r="AI74" s="4"/>
      <c r="AJ74" s="4"/>
      <c r="AK74" s="4"/>
    </row>
    <row r="75" spans="30:37" x14ac:dyDescent="0.2">
      <c r="AD75" s="4"/>
      <c r="AE75" s="4"/>
      <c r="AF75" s="4"/>
      <c r="AG75" s="4"/>
      <c r="AH75" s="4"/>
      <c r="AI75" s="4"/>
      <c r="AJ75" s="4"/>
      <c r="AK75" s="4"/>
    </row>
    <row r="76" spans="30:37" x14ac:dyDescent="0.2">
      <c r="AD76" s="4"/>
      <c r="AE76" s="4"/>
      <c r="AF76" s="4"/>
      <c r="AG76" s="4"/>
      <c r="AH76" s="4"/>
      <c r="AI76" s="4"/>
      <c r="AJ76" s="4"/>
      <c r="AK76" s="4"/>
    </row>
    <row r="77" spans="30:37" x14ac:dyDescent="0.2">
      <c r="AD77" s="4"/>
      <c r="AE77" s="4"/>
      <c r="AF77" s="4"/>
      <c r="AG77" s="4"/>
      <c r="AH77" s="4"/>
      <c r="AI77" s="4"/>
      <c r="AJ77" s="4"/>
      <c r="AK77" s="4"/>
    </row>
    <row r="78" spans="30:37" x14ac:dyDescent="0.2">
      <c r="AD78" s="4"/>
      <c r="AE78" s="4"/>
      <c r="AF78" s="4"/>
      <c r="AG78" s="4"/>
      <c r="AH78" s="4"/>
      <c r="AI78" s="4"/>
      <c r="AJ78" s="4"/>
      <c r="AK78" s="4"/>
    </row>
    <row r="79" spans="30:37" x14ac:dyDescent="0.2">
      <c r="AD79" s="4"/>
      <c r="AE79" s="4"/>
      <c r="AF79" s="4"/>
      <c r="AG79" s="4"/>
      <c r="AH79" s="4"/>
      <c r="AI79" s="4"/>
      <c r="AJ79" s="4"/>
      <c r="AK79" s="4"/>
    </row>
    <row r="80" spans="30:37" x14ac:dyDescent="0.2">
      <c r="AD80" s="4"/>
      <c r="AE80" s="4"/>
      <c r="AF80" s="4"/>
      <c r="AG80" s="4"/>
      <c r="AH80" s="4"/>
      <c r="AI80" s="4"/>
      <c r="AJ80" s="4"/>
      <c r="AK80" s="4"/>
    </row>
    <row r="81" spans="30:37" x14ac:dyDescent="0.2">
      <c r="AD81" s="4"/>
      <c r="AE81" s="4"/>
      <c r="AF81" s="4"/>
      <c r="AG81" s="4"/>
      <c r="AH81" s="4"/>
      <c r="AI81" s="4"/>
      <c r="AJ81" s="4"/>
      <c r="AK81" s="4"/>
    </row>
    <row r="82" spans="30:37" x14ac:dyDescent="0.2">
      <c r="AD82" s="4"/>
      <c r="AE82" s="4"/>
      <c r="AF82" s="4"/>
      <c r="AG82" s="4"/>
      <c r="AH82" s="4"/>
      <c r="AI82" s="4"/>
      <c r="AJ82" s="4"/>
      <c r="AK82" s="4"/>
    </row>
    <row r="83" spans="30:37" x14ac:dyDescent="0.2">
      <c r="AD83" s="4"/>
      <c r="AE83" s="4"/>
      <c r="AF83" s="4"/>
      <c r="AG83" s="4"/>
      <c r="AH83" s="4"/>
      <c r="AI83" s="4"/>
      <c r="AJ83" s="4"/>
      <c r="AK83" s="4"/>
    </row>
    <row r="84" spans="30:37" x14ac:dyDescent="0.2">
      <c r="AD84" s="4"/>
      <c r="AE84" s="4"/>
      <c r="AF84" s="4"/>
      <c r="AG84" s="4"/>
      <c r="AH84" s="4"/>
      <c r="AI84" s="4"/>
      <c r="AJ84" s="4"/>
      <c r="AK84" s="4"/>
    </row>
    <row r="85" spans="30:37" x14ac:dyDescent="0.2">
      <c r="AD85" s="4"/>
      <c r="AE85" s="4"/>
      <c r="AF85" s="4"/>
      <c r="AG85" s="4"/>
      <c r="AH85" s="4"/>
      <c r="AI85" s="4"/>
      <c r="AJ85" s="4"/>
      <c r="AK85" s="4"/>
    </row>
    <row r="86" spans="30:37" x14ac:dyDescent="0.2">
      <c r="AD86" s="4"/>
      <c r="AE86" s="4"/>
      <c r="AF86" s="4"/>
      <c r="AG86" s="4"/>
      <c r="AH86" s="4"/>
      <c r="AI86" s="4"/>
      <c r="AJ86" s="4"/>
      <c r="AK86" s="4"/>
    </row>
    <row r="87" spans="30:37" x14ac:dyDescent="0.2">
      <c r="AD87" s="4"/>
      <c r="AE87" s="4"/>
      <c r="AF87" s="4"/>
      <c r="AG87" s="4"/>
      <c r="AH87" s="4"/>
      <c r="AI87" s="4"/>
      <c r="AJ87" s="4"/>
      <c r="AK87" s="4"/>
    </row>
    <row r="88" spans="30:37" x14ac:dyDescent="0.2">
      <c r="AD88" s="4"/>
      <c r="AE88" s="4"/>
      <c r="AF88" s="4"/>
      <c r="AG88" s="4"/>
      <c r="AH88" s="4"/>
      <c r="AI88" s="4"/>
      <c r="AJ88" s="4"/>
      <c r="AK88" s="4"/>
    </row>
    <row r="89" spans="30:37" x14ac:dyDescent="0.2">
      <c r="AD89" s="4"/>
      <c r="AE89" s="4"/>
      <c r="AF89" s="4"/>
      <c r="AG89" s="4"/>
      <c r="AH89" s="4"/>
      <c r="AI89" s="4"/>
      <c r="AJ89" s="4"/>
      <c r="AK89" s="4"/>
    </row>
    <row r="90" spans="30:37" x14ac:dyDescent="0.2">
      <c r="AD90" s="4"/>
      <c r="AE90" s="4"/>
      <c r="AF90" s="4"/>
      <c r="AG90" s="4"/>
      <c r="AH90" s="4"/>
      <c r="AI90" s="4"/>
      <c r="AJ90" s="4"/>
      <c r="AK90" s="4"/>
    </row>
    <row r="91" spans="30:37" x14ac:dyDescent="0.2">
      <c r="AD91" s="4"/>
      <c r="AE91" s="4"/>
      <c r="AF91" s="4"/>
      <c r="AG91" s="4"/>
      <c r="AH91" s="4"/>
      <c r="AI91" s="4"/>
      <c r="AJ91" s="4"/>
      <c r="AK91" s="4"/>
    </row>
    <row r="92" spans="30:37" x14ac:dyDescent="0.2">
      <c r="AD92" s="4"/>
      <c r="AE92" s="4"/>
      <c r="AF92" s="4"/>
      <c r="AG92" s="4"/>
      <c r="AH92" s="4"/>
      <c r="AI92" s="4"/>
      <c r="AJ92" s="4"/>
      <c r="AK92" s="4"/>
    </row>
    <row r="93" spans="30:37" x14ac:dyDescent="0.2">
      <c r="AD93" s="4"/>
      <c r="AE93" s="4"/>
      <c r="AF93" s="4"/>
      <c r="AG93" s="4"/>
      <c r="AH93" s="4"/>
      <c r="AI93" s="4"/>
      <c r="AJ93" s="4"/>
      <c r="AK93" s="4"/>
    </row>
    <row r="94" spans="30:37" x14ac:dyDescent="0.2">
      <c r="AD94" s="4"/>
      <c r="AE94" s="4"/>
      <c r="AF94" s="4"/>
      <c r="AG94" s="4"/>
      <c r="AH94" s="4"/>
      <c r="AI94" s="4"/>
      <c r="AJ94" s="4"/>
      <c r="AK94" s="4"/>
    </row>
    <row r="95" spans="30:37" x14ac:dyDescent="0.2">
      <c r="AD95" s="4"/>
      <c r="AE95" s="4"/>
      <c r="AF95" s="4"/>
      <c r="AG95" s="4"/>
      <c r="AH95" s="4"/>
      <c r="AI95" s="4"/>
      <c r="AJ95" s="4"/>
      <c r="AK95" s="4"/>
    </row>
    <row r="96" spans="30:37" x14ac:dyDescent="0.2">
      <c r="AD96" s="4"/>
      <c r="AE96" s="4"/>
      <c r="AF96" s="4"/>
      <c r="AG96" s="4"/>
      <c r="AH96" s="4"/>
      <c r="AI96" s="4"/>
      <c r="AJ96" s="4"/>
      <c r="AK96" s="4"/>
    </row>
    <row r="97" spans="30:37" x14ac:dyDescent="0.2">
      <c r="AD97" s="4"/>
      <c r="AE97" s="4"/>
      <c r="AF97" s="4"/>
      <c r="AG97" s="4"/>
      <c r="AH97" s="4"/>
      <c r="AI97" s="4"/>
      <c r="AJ97" s="4"/>
      <c r="AK97" s="4"/>
    </row>
    <row r="98" spans="30:37" x14ac:dyDescent="0.2">
      <c r="AD98" s="4"/>
      <c r="AE98" s="4"/>
      <c r="AF98" s="4"/>
      <c r="AG98" s="4"/>
      <c r="AH98" s="4"/>
      <c r="AI98" s="4"/>
      <c r="AJ98" s="4"/>
      <c r="AK98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N1" workbookViewId="0">
      <selection activeCell="Q3" sqref="Q3"/>
    </sheetView>
  </sheetViews>
  <sheetFormatPr baseColWidth="10" defaultColWidth="8.796875" defaultRowHeight="15" x14ac:dyDescent="0.2"/>
  <cols>
    <col min="2" max="2" width="10.3984375" bestFit="1" customWidth="1"/>
    <col min="8" max="8" width="12.3984375" bestFit="1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bestFit="1" customWidth="1"/>
    <col min="18" max="18" width="10.3984375" bestFit="1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7" ht="20" x14ac:dyDescent="0.2">
      <c r="A1" s="14" t="s">
        <v>330</v>
      </c>
      <c r="B1" s="15"/>
      <c r="C1" s="4"/>
      <c r="M1" s="21"/>
      <c r="AG1" s="2" t="s">
        <v>333</v>
      </c>
      <c r="AH1" s="1"/>
      <c r="AI1" s="1"/>
      <c r="AJ1" s="1"/>
      <c r="AK1" s="1"/>
    </row>
    <row r="2" spans="1:37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333</v>
      </c>
      <c r="AJ2" s="5" t="s">
        <v>65</v>
      </c>
      <c r="AK2" s="5" t="s">
        <v>66</v>
      </c>
    </row>
    <row r="3" spans="1:37" x14ac:dyDescent="0.2">
      <c r="A3">
        <v>11</v>
      </c>
      <c r="B3" s="18" t="s">
        <v>9</v>
      </c>
      <c r="C3" t="s">
        <v>10</v>
      </c>
      <c r="D3" s="4">
        <v>1</v>
      </c>
      <c r="E3" s="27">
        <v>3.1110000000000002</v>
      </c>
      <c r="F3" s="27">
        <v>-170.553</v>
      </c>
      <c r="G3" s="4">
        <f>IF(E3&lt;0,F3*-1+E3,F3*-1-E3)</f>
        <v>167.44200000000001</v>
      </c>
      <c r="H3" s="19">
        <f>(G3*250*1*1*1000)/(6.22*2*0.3*1000*1000*1)</f>
        <v>11.216639871382638</v>
      </c>
      <c r="I3">
        <v>2</v>
      </c>
      <c r="J3" s="12">
        <f>H3*I3</f>
        <v>22.433279742765276</v>
      </c>
      <c r="K3" s="4">
        <v>18.815650000000002</v>
      </c>
      <c r="L3" s="12">
        <f>J3/K3</f>
        <v>1.1922670618748368</v>
      </c>
      <c r="M3" s="12">
        <f>L3*10</f>
        <v>11.922670618748368</v>
      </c>
      <c r="Q3">
        <v>15</v>
      </c>
      <c r="R3" s="18" t="s">
        <v>18</v>
      </c>
      <c r="S3" t="s">
        <v>10</v>
      </c>
      <c r="T3">
        <v>5</v>
      </c>
      <c r="U3" s="24">
        <v>-0.72799999999999998</v>
      </c>
      <c r="V3" s="24">
        <v>-258.91899999999998</v>
      </c>
      <c r="W3" s="4">
        <f>IF(U3&lt;0,V3*-1+U3,V3*-1-U3)</f>
        <v>258.19099999999997</v>
      </c>
      <c r="X3" s="19">
        <f>(W3*250*1*1*1000)/(6.22*2*0.3*1000*1000*1)</f>
        <v>17.295752947481244</v>
      </c>
      <c r="Y3">
        <v>2</v>
      </c>
      <c r="Z3" s="12">
        <f>X3*Y3</f>
        <v>34.591505894962488</v>
      </c>
      <c r="AA3" s="12">
        <v>17.822800000000001</v>
      </c>
      <c r="AB3" s="12">
        <f>Z3/AA3</f>
        <v>1.9408569862739011</v>
      </c>
      <c r="AC3" s="12">
        <f>AB3*10</f>
        <v>19.408569862739011</v>
      </c>
      <c r="AD3" s="23">
        <f>AVERAGE(AC3:AC14)</f>
        <v>13.38078486274493</v>
      </c>
      <c r="AE3" t="s">
        <v>10</v>
      </c>
      <c r="AF3" s="4"/>
      <c r="AG3" s="4" t="s">
        <v>18</v>
      </c>
      <c r="AH3" s="4">
        <v>0</v>
      </c>
      <c r="AI3" s="23">
        <f>AVERAGE(AC3:AC14)</f>
        <v>13.38078486274493</v>
      </c>
      <c r="AJ3" s="4">
        <f>COUNT(AC3:AC14)</f>
        <v>12</v>
      </c>
      <c r="AK3" s="4">
        <f>STDEV(AC3:AC14)/SQRT(AJ3)</f>
        <v>1.319617496310314</v>
      </c>
    </row>
    <row r="4" spans="1:37" x14ac:dyDescent="0.2">
      <c r="D4" s="4">
        <v>2</v>
      </c>
      <c r="E4" s="27">
        <v>-1.1890000000000001</v>
      </c>
      <c r="F4" s="27">
        <v>-177.964</v>
      </c>
      <c r="G4" s="4">
        <f t="shared" ref="G4:G52" si="0">IF(E4&lt;0,F4*-1+E4,F4*-1-E4)</f>
        <v>176.77500000000001</v>
      </c>
      <c r="H4" s="19">
        <f t="shared" ref="H4:H52" si="1">(G4*250*1*1*1000)/(6.22*2*0.3*1000*1000*1)</f>
        <v>11.841840836012864</v>
      </c>
      <c r="I4">
        <v>2</v>
      </c>
      <c r="J4" s="12">
        <f t="shared" ref="J4:J52" si="2">H4*I4</f>
        <v>23.683681672025727</v>
      </c>
      <c r="K4" s="4">
        <v>21.588250000000002</v>
      </c>
      <c r="L4" s="12">
        <f t="shared" ref="L4:L52" si="3">J4/K4</f>
        <v>1.0970635263175905</v>
      </c>
      <c r="M4" s="12">
        <f t="shared" ref="M4:M52" si="4">L4*10</f>
        <v>10.970635263175906</v>
      </c>
      <c r="T4">
        <v>6</v>
      </c>
      <c r="U4" s="24">
        <v>3.4380000000000002</v>
      </c>
      <c r="V4" s="24">
        <v>-170.31399999999999</v>
      </c>
      <c r="W4" s="4">
        <f t="shared" ref="W4:W50" si="5">IF(U4&lt;0,V4*-1+U4,V4*-1-U4)</f>
        <v>166.876</v>
      </c>
      <c r="X4" s="19">
        <f t="shared" ref="X4:X50" si="6">(W4*250*1*1*1000)/(6.22*2*0.3*1000*1000*1)</f>
        <v>11.178724544480174</v>
      </c>
      <c r="Y4">
        <v>2</v>
      </c>
      <c r="Z4" s="12">
        <f t="shared" ref="Z4:Z50" si="7">X4*Y4</f>
        <v>22.357449088960347</v>
      </c>
      <c r="AA4" s="12">
        <v>19.3279</v>
      </c>
      <c r="AB4" s="12">
        <f t="shared" ref="AB4:AB50" si="8">Z4/AA4</f>
        <v>1.1567448656584702</v>
      </c>
      <c r="AC4" s="12">
        <f t="shared" ref="AC4:AC50" si="9">AB4*10</f>
        <v>11.567448656584702</v>
      </c>
      <c r="AD4" s="4"/>
      <c r="AF4" s="4"/>
      <c r="AG4" s="4"/>
      <c r="AH4" s="4">
        <v>1</v>
      </c>
      <c r="AI4" s="23">
        <f>AVERAGE(AC15:AC27)</f>
        <v>13.481945823032085</v>
      </c>
      <c r="AJ4" s="4">
        <f>COUNT(AC15:AC27)</f>
        <v>13</v>
      </c>
      <c r="AK4" s="4">
        <f>STDEV(AC15:AC27)/SQRT(AJ4)</f>
        <v>0.85967744321706208</v>
      </c>
    </row>
    <row r="5" spans="1:37" x14ac:dyDescent="0.2">
      <c r="D5" s="4">
        <v>3</v>
      </c>
      <c r="E5" s="27">
        <v>5.1269999999999998</v>
      </c>
      <c r="F5" s="27">
        <v>-138.12299999999999</v>
      </c>
      <c r="G5" s="4">
        <f t="shared" si="0"/>
        <v>132.99599999999998</v>
      </c>
      <c r="H5" s="19">
        <f t="shared" si="1"/>
        <v>8.9091639871382622</v>
      </c>
      <c r="I5">
        <v>2</v>
      </c>
      <c r="J5" s="12">
        <f t="shared" si="2"/>
        <v>17.818327974276524</v>
      </c>
      <c r="K5" s="4">
        <v>21.028450000000003</v>
      </c>
      <c r="L5" s="12">
        <f t="shared" si="3"/>
        <v>0.84734385911831456</v>
      </c>
      <c r="M5" s="12">
        <f t="shared" si="4"/>
        <v>8.4734385911831449</v>
      </c>
      <c r="T5">
        <v>7</v>
      </c>
      <c r="U5" s="24">
        <v>3.6789999999999998</v>
      </c>
      <c r="V5" s="24">
        <v>-289.37099999999998</v>
      </c>
      <c r="W5" s="4">
        <f t="shared" si="5"/>
        <v>285.69200000000001</v>
      </c>
      <c r="X5" s="19">
        <f t="shared" si="6"/>
        <v>19.137995712754556</v>
      </c>
      <c r="Y5">
        <v>2</v>
      </c>
      <c r="Z5" s="12">
        <f t="shared" si="7"/>
        <v>38.275991425509112</v>
      </c>
      <c r="AA5" s="12">
        <v>18.651949999999999</v>
      </c>
      <c r="AB5" s="12">
        <f t="shared" si="8"/>
        <v>2.0521174153645658</v>
      </c>
      <c r="AC5" s="12">
        <f t="shared" si="9"/>
        <v>20.52117415364566</v>
      </c>
      <c r="AD5" s="4"/>
      <c r="AF5" s="4"/>
      <c r="AG5" s="4"/>
      <c r="AH5" s="4">
        <v>4</v>
      </c>
      <c r="AI5" s="23">
        <f>AVERAGE(AC28:AC38)</f>
        <v>12.93076498778859</v>
      </c>
      <c r="AJ5" s="4">
        <f>COUNT(AC28:AC38)</f>
        <v>11</v>
      </c>
      <c r="AK5" s="4">
        <f>STDEV(AC28:AC38)/SQRT(AJ5)</f>
        <v>1.0930536777706152</v>
      </c>
    </row>
    <row r="6" spans="1:37" x14ac:dyDescent="0.2">
      <c r="D6" s="4">
        <v>4</v>
      </c>
      <c r="E6" s="27">
        <v>3.2469999999999999</v>
      </c>
      <c r="F6" s="27">
        <v>-140.422</v>
      </c>
      <c r="G6" s="4">
        <f t="shared" si="0"/>
        <v>137.17500000000001</v>
      </c>
      <c r="H6" s="19">
        <f t="shared" si="1"/>
        <v>9.1891077170418018</v>
      </c>
      <c r="I6">
        <v>2</v>
      </c>
      <c r="J6" s="12">
        <f t="shared" si="2"/>
        <v>18.378215434083604</v>
      </c>
      <c r="K6" s="4">
        <v>20.046150000000001</v>
      </c>
      <c r="L6" s="12">
        <f t="shared" si="3"/>
        <v>0.91679526662643962</v>
      </c>
      <c r="M6" s="12">
        <f t="shared" si="4"/>
        <v>9.1679526662643962</v>
      </c>
      <c r="T6">
        <v>8</v>
      </c>
      <c r="U6" s="24">
        <v>4.3369999999999997</v>
      </c>
      <c r="V6" s="24">
        <v>-177.27799999999999</v>
      </c>
      <c r="W6" s="4">
        <f t="shared" si="5"/>
        <v>172.941</v>
      </c>
      <c r="X6" s="19">
        <f t="shared" si="6"/>
        <v>11.58500803858521</v>
      </c>
      <c r="Y6">
        <v>2</v>
      </c>
      <c r="Z6" s="12">
        <f t="shared" si="7"/>
        <v>23.17001607717042</v>
      </c>
      <c r="AA6" s="12">
        <v>18.878999999999998</v>
      </c>
      <c r="AB6" s="12">
        <f t="shared" si="8"/>
        <v>1.2272904326060927</v>
      </c>
      <c r="AC6" s="12">
        <f t="shared" si="9"/>
        <v>12.272904326060928</v>
      </c>
      <c r="AD6" s="4"/>
      <c r="AF6" s="4"/>
      <c r="AG6" s="4"/>
      <c r="AH6" s="4">
        <v>24</v>
      </c>
      <c r="AI6" s="23">
        <f>AVERAGE(AC39:AC50)</f>
        <v>12.950562175709853</v>
      </c>
      <c r="AJ6" s="4">
        <f>COUNT(AC39:AC50)</f>
        <v>12</v>
      </c>
      <c r="AK6" s="4">
        <f>STDEV(AC39:AC50)/SQRT(AJ6)</f>
        <v>1.0189830502581028</v>
      </c>
    </row>
    <row r="7" spans="1:37" x14ac:dyDescent="0.2">
      <c r="A7">
        <v>12</v>
      </c>
      <c r="D7" s="4">
        <v>9</v>
      </c>
      <c r="E7" s="27">
        <v>7.65</v>
      </c>
      <c r="F7" s="27">
        <v>-203.51300000000001</v>
      </c>
      <c r="G7" s="4">
        <f t="shared" si="0"/>
        <v>195.863</v>
      </c>
      <c r="H7" s="19">
        <f t="shared" si="1"/>
        <v>13.120511789924976</v>
      </c>
      <c r="I7">
        <v>2</v>
      </c>
      <c r="J7" s="12">
        <f t="shared" si="2"/>
        <v>26.241023579849951</v>
      </c>
      <c r="K7" s="4">
        <v>18.255850000000002</v>
      </c>
      <c r="L7" s="12">
        <f t="shared" si="3"/>
        <v>1.4374035489911425</v>
      </c>
      <c r="M7" s="12">
        <f t="shared" si="4"/>
        <v>14.374035489911424</v>
      </c>
      <c r="Q7">
        <v>14</v>
      </c>
      <c r="T7">
        <v>13</v>
      </c>
      <c r="U7" s="24">
        <v>4.6429999999999998</v>
      </c>
      <c r="V7" s="24">
        <v>-114.488</v>
      </c>
      <c r="W7" s="4">
        <f t="shared" si="5"/>
        <v>109.845</v>
      </c>
      <c r="X7" s="19">
        <f t="shared" si="6"/>
        <v>7.3583199356913189</v>
      </c>
      <c r="Y7">
        <v>2</v>
      </c>
      <c r="Z7" s="12">
        <f t="shared" si="7"/>
        <v>14.716639871382638</v>
      </c>
      <c r="AA7" s="12">
        <v>20.563700000000001</v>
      </c>
      <c r="AB7" s="12">
        <f t="shared" si="8"/>
        <v>0.71566108586405353</v>
      </c>
      <c r="AC7" s="12">
        <f t="shared" si="9"/>
        <v>7.1566108586405353</v>
      </c>
      <c r="AD7" s="4"/>
      <c r="AF7" s="4"/>
      <c r="AG7" s="4"/>
      <c r="AH7" s="4"/>
      <c r="AI7" s="4"/>
      <c r="AJ7" s="4"/>
      <c r="AK7" s="4"/>
    </row>
    <row r="8" spans="1:37" x14ac:dyDescent="0.2">
      <c r="D8" s="4">
        <v>10</v>
      </c>
      <c r="E8" s="27">
        <v>3.4359999999999999</v>
      </c>
      <c r="F8" s="27">
        <v>-160.04</v>
      </c>
      <c r="G8" s="4">
        <f t="shared" si="0"/>
        <v>156.60399999999998</v>
      </c>
      <c r="H8" s="19">
        <f t="shared" si="1"/>
        <v>10.490621650589496</v>
      </c>
      <c r="I8">
        <v>2</v>
      </c>
      <c r="J8" s="12">
        <f t="shared" si="2"/>
        <v>20.981243301178992</v>
      </c>
      <c r="K8" s="4">
        <v>16.666249999999998</v>
      </c>
      <c r="L8" s="12">
        <f t="shared" si="3"/>
        <v>1.2589060707225077</v>
      </c>
      <c r="M8" s="12">
        <f t="shared" si="4"/>
        <v>12.589060707225077</v>
      </c>
      <c r="T8">
        <v>14</v>
      </c>
      <c r="U8" s="24">
        <v>0.89</v>
      </c>
      <c r="V8" s="24">
        <v>-134.81899999999999</v>
      </c>
      <c r="W8" s="4">
        <f t="shared" si="5"/>
        <v>133.929</v>
      </c>
      <c r="X8" s="19">
        <f t="shared" si="6"/>
        <v>8.971663987138264</v>
      </c>
      <c r="Y8">
        <v>2</v>
      </c>
      <c r="Z8" s="12">
        <f t="shared" si="7"/>
        <v>17.943327974276528</v>
      </c>
      <c r="AA8" s="12">
        <v>18.22945</v>
      </c>
      <c r="AB8" s="12">
        <f t="shared" si="8"/>
        <v>0.98430440711467038</v>
      </c>
      <c r="AC8" s="12">
        <f t="shared" si="9"/>
        <v>9.8430440711467035</v>
      </c>
      <c r="AD8" s="4"/>
      <c r="AF8" s="4"/>
      <c r="AG8" s="4" t="s">
        <v>9</v>
      </c>
      <c r="AH8" s="4">
        <v>0</v>
      </c>
      <c r="AI8" s="20">
        <f>AVERAGE(M3:M14)</f>
        <v>13.267344894753402</v>
      </c>
      <c r="AJ8" s="4">
        <f>COUNT(M3:M14)</f>
        <v>12</v>
      </c>
      <c r="AK8" s="4">
        <f>STDEV(M3:M14)/SQRT(AJ8)</f>
        <v>1.121183443264316</v>
      </c>
    </row>
    <row r="9" spans="1:37" x14ac:dyDescent="0.2">
      <c r="D9" s="4">
        <v>11</v>
      </c>
      <c r="E9" s="27">
        <v>7.0170000000000003</v>
      </c>
      <c r="F9" s="27">
        <v>-218.23599999999999</v>
      </c>
      <c r="G9" s="4">
        <f t="shared" si="0"/>
        <v>211.21899999999999</v>
      </c>
      <c r="H9" s="19">
        <f t="shared" si="1"/>
        <v>14.149182743837086</v>
      </c>
      <c r="I9">
        <v>2</v>
      </c>
      <c r="J9" s="12">
        <f t="shared" si="2"/>
        <v>28.298365487674172</v>
      </c>
      <c r="K9" s="4">
        <v>21.820599999999999</v>
      </c>
      <c r="L9" s="12">
        <f t="shared" si="3"/>
        <v>1.2968646823494392</v>
      </c>
      <c r="M9" s="12">
        <f t="shared" si="4"/>
        <v>12.968646823494392</v>
      </c>
      <c r="T9">
        <v>15</v>
      </c>
      <c r="U9" s="24">
        <v>2.08</v>
      </c>
      <c r="V9" s="24">
        <v>-197.684</v>
      </c>
      <c r="W9" s="4">
        <f t="shared" si="5"/>
        <v>195.60399999999998</v>
      </c>
      <c r="X9" s="19">
        <f t="shared" si="6"/>
        <v>13.10316184351554</v>
      </c>
      <c r="Y9">
        <v>2</v>
      </c>
      <c r="Z9" s="12">
        <f t="shared" si="7"/>
        <v>26.20632368703108</v>
      </c>
      <c r="AA9" s="12">
        <v>17.236600000000003</v>
      </c>
      <c r="AB9" s="12">
        <f t="shared" si="8"/>
        <v>1.520388225463901</v>
      </c>
      <c r="AC9" s="12">
        <f t="shared" si="9"/>
        <v>15.203882254639009</v>
      </c>
      <c r="AD9" s="4"/>
      <c r="AF9" s="4"/>
      <c r="AG9" s="4"/>
      <c r="AH9" s="4">
        <v>1</v>
      </c>
      <c r="AI9" s="20">
        <f>AVERAGE(M15:M27)</f>
        <v>13.989375451277397</v>
      </c>
      <c r="AJ9" s="4">
        <f>COUNT(M15:M27)</f>
        <v>13</v>
      </c>
      <c r="AK9" s="4">
        <f>STDEV(M15:M27)/SQRT(AJ9)</f>
        <v>1.0831686254467796</v>
      </c>
    </row>
    <row r="10" spans="1:37" x14ac:dyDescent="0.2">
      <c r="D10" s="4">
        <v>12</v>
      </c>
      <c r="E10" s="27">
        <v>3.2069999999999999</v>
      </c>
      <c r="F10" s="27">
        <v>-127.43600000000001</v>
      </c>
      <c r="G10" s="4">
        <f t="shared" si="0"/>
        <v>124.22900000000001</v>
      </c>
      <c r="H10" s="19">
        <f t="shared" si="1"/>
        <v>8.3218783494105057</v>
      </c>
      <c r="I10">
        <v>2</v>
      </c>
      <c r="J10" s="12">
        <f t="shared" si="2"/>
        <v>16.643756698821011</v>
      </c>
      <c r="K10" s="4">
        <v>18.741700000000002</v>
      </c>
      <c r="L10" s="12">
        <f t="shared" si="3"/>
        <v>0.88806013855845578</v>
      </c>
      <c r="M10" s="12">
        <f t="shared" si="4"/>
        <v>8.8806013855845585</v>
      </c>
      <c r="T10">
        <v>16</v>
      </c>
      <c r="U10" s="24">
        <v>5.6849999999999996</v>
      </c>
      <c r="V10" s="24">
        <v>-140.11099999999999</v>
      </c>
      <c r="W10" s="4">
        <f t="shared" si="5"/>
        <v>134.42599999999999</v>
      </c>
      <c r="X10" s="19">
        <f t="shared" si="6"/>
        <v>9.0049571275455538</v>
      </c>
      <c r="Y10">
        <v>2</v>
      </c>
      <c r="Z10" s="12">
        <f t="shared" si="7"/>
        <v>18.009914255091108</v>
      </c>
      <c r="AA10" s="12">
        <v>17.27355</v>
      </c>
      <c r="AB10" s="12">
        <f t="shared" si="8"/>
        <v>1.0426295842540247</v>
      </c>
      <c r="AC10" s="12">
        <f t="shared" si="9"/>
        <v>10.426295842540247</v>
      </c>
      <c r="AD10" s="4"/>
      <c r="AF10" s="4"/>
      <c r="AG10" s="4"/>
      <c r="AH10" s="4">
        <v>4</v>
      </c>
      <c r="AI10" s="20">
        <f>AVERAGE(M28:M39)</f>
        <v>13.001081557998496</v>
      </c>
      <c r="AJ10" s="4">
        <f>COUNT(M28:M39)</f>
        <v>12</v>
      </c>
      <c r="AK10" s="4">
        <f>STDEV(M28:M39)/SQRT(AJ10)</f>
        <v>1.189985326699956</v>
      </c>
    </row>
    <row r="11" spans="1:37" x14ac:dyDescent="0.2">
      <c r="A11">
        <v>12</v>
      </c>
      <c r="D11" s="4">
        <v>65</v>
      </c>
      <c r="E11" s="27">
        <v>-1.2649999999999999</v>
      </c>
      <c r="F11" s="27">
        <v>-263.36</v>
      </c>
      <c r="G11" s="4">
        <f t="shared" si="0"/>
        <v>262.09500000000003</v>
      </c>
      <c r="H11" s="19">
        <f t="shared" si="1"/>
        <v>17.557274919614152</v>
      </c>
      <c r="I11">
        <v>2</v>
      </c>
      <c r="J11" s="12">
        <f t="shared" si="2"/>
        <v>35.114549839228303</v>
      </c>
      <c r="K11" s="4">
        <v>17.997049999999998</v>
      </c>
      <c r="L11" s="12">
        <f t="shared" si="3"/>
        <v>1.9511280926167516</v>
      </c>
      <c r="M11" s="12">
        <f t="shared" si="4"/>
        <v>19.511280926167515</v>
      </c>
      <c r="Q11">
        <v>15</v>
      </c>
      <c r="T11">
        <v>69</v>
      </c>
      <c r="U11" s="24">
        <v>0.23699999999999999</v>
      </c>
      <c r="V11" s="24">
        <v>-147.99199999999999</v>
      </c>
      <c r="W11" s="4">
        <f t="shared" si="5"/>
        <v>147.755</v>
      </c>
      <c r="X11" s="19">
        <f t="shared" si="6"/>
        <v>9.8978429796355858</v>
      </c>
      <c r="Y11">
        <v>2</v>
      </c>
      <c r="Z11" s="12">
        <f t="shared" si="7"/>
        <v>19.795685959271172</v>
      </c>
      <c r="AA11" s="12">
        <v>19.354299999999999</v>
      </c>
      <c r="AB11" s="12">
        <f t="shared" si="8"/>
        <v>1.0228055759842087</v>
      </c>
      <c r="AC11" s="12">
        <f t="shared" si="9"/>
        <v>10.228055759842087</v>
      </c>
      <c r="AD11" s="4"/>
      <c r="AF11" s="4"/>
      <c r="AG11" s="4"/>
      <c r="AH11" s="4">
        <v>24</v>
      </c>
      <c r="AI11" s="20">
        <f>AVERAGE(M40:M52)</f>
        <v>13.649680281094929</v>
      </c>
      <c r="AJ11" s="4">
        <f>COUNT(M40:M52)</f>
        <v>13</v>
      </c>
      <c r="AK11" s="4">
        <f>STDEV(M40:M52)/SQRT(AJ11)</f>
        <v>1.1267441207732463</v>
      </c>
    </row>
    <row r="12" spans="1:37" x14ac:dyDescent="0.2">
      <c r="D12" s="4">
        <v>66</v>
      </c>
      <c r="E12" s="27">
        <v>1.3939999999999999</v>
      </c>
      <c r="F12" s="27">
        <v>-275.87900000000002</v>
      </c>
      <c r="G12" s="4">
        <f t="shared" si="0"/>
        <v>274.48500000000001</v>
      </c>
      <c r="H12" s="19">
        <f t="shared" si="1"/>
        <v>18.387258842443732</v>
      </c>
      <c r="I12">
        <v>2</v>
      </c>
      <c r="J12" s="12">
        <f t="shared" si="2"/>
        <v>36.774517684887464</v>
      </c>
      <c r="K12" s="4">
        <v>17.965400000000002</v>
      </c>
      <c r="L12" s="12">
        <f t="shared" si="3"/>
        <v>2.0469634789588573</v>
      </c>
      <c r="M12" s="12">
        <f t="shared" si="4"/>
        <v>20.469634789588575</v>
      </c>
      <c r="T12">
        <v>70</v>
      </c>
      <c r="U12" s="24">
        <v>0.96099999999999997</v>
      </c>
      <c r="V12" s="24">
        <v>-168.637</v>
      </c>
      <c r="W12" s="4">
        <f t="shared" si="5"/>
        <v>167.67599999999999</v>
      </c>
      <c r="X12" s="19">
        <f t="shared" si="6"/>
        <v>11.232315112540194</v>
      </c>
      <c r="Y12">
        <v>2</v>
      </c>
      <c r="Z12" s="12">
        <f t="shared" si="7"/>
        <v>22.464630225080388</v>
      </c>
      <c r="AA12" s="12">
        <v>19.169499999999999</v>
      </c>
      <c r="AB12" s="12">
        <f t="shared" si="8"/>
        <v>1.1718944273497165</v>
      </c>
      <c r="AC12" s="12">
        <f t="shared" si="9"/>
        <v>11.718944273497165</v>
      </c>
      <c r="AD12" s="4"/>
      <c r="AF12" s="4"/>
      <c r="AG12" s="4"/>
      <c r="AH12" s="4"/>
      <c r="AI12" s="4"/>
      <c r="AJ12" s="4"/>
      <c r="AK12" s="4"/>
    </row>
    <row r="13" spans="1:37" x14ac:dyDescent="0.2">
      <c r="D13" s="4">
        <v>67</v>
      </c>
      <c r="E13" s="27">
        <v>-1.4550000000000001</v>
      </c>
      <c r="F13" s="27">
        <v>-214.42699999999999</v>
      </c>
      <c r="G13" s="4">
        <f t="shared" si="0"/>
        <v>212.97199999999998</v>
      </c>
      <c r="H13" s="19">
        <f t="shared" si="1"/>
        <v>14.266613076098606</v>
      </c>
      <c r="I13">
        <v>2</v>
      </c>
      <c r="J13" s="12">
        <f t="shared" si="2"/>
        <v>28.533226152197212</v>
      </c>
      <c r="K13" s="4">
        <v>18.023500000000002</v>
      </c>
      <c r="L13" s="12">
        <f t="shared" si="3"/>
        <v>1.583112389502439</v>
      </c>
      <c r="M13" s="12">
        <f t="shared" si="4"/>
        <v>15.83112389502439</v>
      </c>
      <c r="T13">
        <v>71</v>
      </c>
      <c r="U13" s="24">
        <v>1.5960000000000001</v>
      </c>
      <c r="V13" s="24">
        <v>-162.011</v>
      </c>
      <c r="W13" s="4">
        <f t="shared" si="5"/>
        <v>160.41499999999999</v>
      </c>
      <c r="X13" s="19">
        <f t="shared" si="6"/>
        <v>10.745913719185424</v>
      </c>
      <c r="Y13">
        <v>2</v>
      </c>
      <c r="Z13" s="12">
        <f t="shared" si="7"/>
        <v>21.491827438370848</v>
      </c>
      <c r="AA13" s="12">
        <v>19.090250000000001</v>
      </c>
      <c r="AB13" s="12">
        <f t="shared" si="8"/>
        <v>1.1258012565770927</v>
      </c>
      <c r="AC13" s="12">
        <f t="shared" si="9"/>
        <v>11.258012565770928</v>
      </c>
      <c r="AD13" s="4"/>
      <c r="AF13" s="4"/>
      <c r="AG13" s="4"/>
      <c r="AH13" s="4"/>
      <c r="AI13" s="4"/>
      <c r="AJ13" s="4"/>
      <c r="AK13" s="4"/>
    </row>
    <row r="14" spans="1:37" x14ac:dyDescent="0.2">
      <c r="D14" s="4">
        <v>68</v>
      </c>
      <c r="E14" s="27">
        <v>-2.5979999999999999</v>
      </c>
      <c r="F14" s="27">
        <v>-189.71299999999999</v>
      </c>
      <c r="G14" s="4">
        <f t="shared" si="0"/>
        <v>187.11499999999998</v>
      </c>
      <c r="H14" s="19">
        <f t="shared" si="1"/>
        <v>12.534498928188638</v>
      </c>
      <c r="I14">
        <v>2</v>
      </c>
      <c r="J14" s="12">
        <f t="shared" si="2"/>
        <v>25.068997856377276</v>
      </c>
      <c r="K14" s="4">
        <v>17.843899999999998</v>
      </c>
      <c r="L14" s="12">
        <f t="shared" si="3"/>
        <v>1.4049057580673103</v>
      </c>
      <c r="M14" s="12">
        <f t="shared" si="4"/>
        <v>14.049057580673104</v>
      </c>
      <c r="T14">
        <v>72</v>
      </c>
      <c r="U14" s="24">
        <v>-2.9489999999999998</v>
      </c>
      <c r="V14" s="24">
        <v>-286.714</v>
      </c>
      <c r="W14" s="4">
        <f t="shared" si="5"/>
        <v>283.76499999999999</v>
      </c>
      <c r="X14" s="19">
        <f t="shared" si="6"/>
        <v>19.00890943193998</v>
      </c>
      <c r="Y14">
        <v>2</v>
      </c>
      <c r="Z14" s="12">
        <f t="shared" si="7"/>
        <v>38.01781886387996</v>
      </c>
      <c r="AA14" s="12">
        <v>18.134399999999999</v>
      </c>
      <c r="AB14" s="12">
        <f t="shared" si="8"/>
        <v>2.0964475727832164</v>
      </c>
      <c r="AC14" s="12">
        <f t="shared" si="9"/>
        <v>20.964475727832163</v>
      </c>
      <c r="AD14" s="4"/>
      <c r="AF14" s="4"/>
      <c r="AG14" s="4"/>
      <c r="AH14" s="4"/>
      <c r="AI14" s="4"/>
      <c r="AJ14" s="4"/>
      <c r="AK14" s="4"/>
    </row>
    <row r="15" spans="1:37" x14ac:dyDescent="0.2">
      <c r="A15">
        <v>11</v>
      </c>
      <c r="C15" t="s">
        <v>11</v>
      </c>
      <c r="D15" s="4">
        <v>17</v>
      </c>
      <c r="E15" s="27">
        <v>4.7050000000000001</v>
      </c>
      <c r="F15" s="27">
        <v>-265.15499999999997</v>
      </c>
      <c r="G15" s="4">
        <f t="shared" si="0"/>
        <v>260.45</v>
      </c>
      <c r="H15" s="19">
        <f t="shared" si="1"/>
        <v>17.447079314040732</v>
      </c>
      <c r="I15">
        <v>2</v>
      </c>
      <c r="J15" s="12">
        <f t="shared" si="2"/>
        <v>34.894158628081463</v>
      </c>
      <c r="K15" s="4">
        <v>19.982800000000001</v>
      </c>
      <c r="L15" s="12">
        <f t="shared" si="3"/>
        <v>1.7462096717217537</v>
      </c>
      <c r="M15" s="12">
        <f t="shared" si="4"/>
        <v>17.462096717217538</v>
      </c>
      <c r="Q15">
        <v>15</v>
      </c>
      <c r="S15" t="s">
        <v>11</v>
      </c>
      <c r="T15">
        <v>21</v>
      </c>
      <c r="U15" s="24">
        <v>4.048</v>
      </c>
      <c r="V15" s="24">
        <v>-240.84899999999999</v>
      </c>
      <c r="W15" s="4">
        <f t="shared" si="5"/>
        <v>236.80099999999999</v>
      </c>
      <c r="X15" s="19">
        <f t="shared" si="6"/>
        <v>15.862875133976422</v>
      </c>
      <c r="Y15">
        <v>2</v>
      </c>
      <c r="Z15" s="12">
        <f t="shared" si="7"/>
        <v>31.725750267952844</v>
      </c>
      <c r="AA15" s="12">
        <v>18.361449999999998</v>
      </c>
      <c r="AB15" s="12">
        <f t="shared" si="8"/>
        <v>1.7278455823452312</v>
      </c>
      <c r="AC15" s="12">
        <f t="shared" si="9"/>
        <v>17.278455823452312</v>
      </c>
      <c r="AD15" s="23">
        <f>AVERAGE(AC15:AC27)</f>
        <v>13.481945823032085</v>
      </c>
      <c r="AE15" t="s">
        <v>11</v>
      </c>
      <c r="AF15" s="4"/>
      <c r="AG15" s="4"/>
      <c r="AH15" s="4"/>
      <c r="AI15" s="4"/>
      <c r="AJ15" s="4"/>
      <c r="AK15" s="4"/>
    </row>
    <row r="16" spans="1:37" x14ac:dyDescent="0.2">
      <c r="D16" s="4">
        <v>18</v>
      </c>
      <c r="E16" s="27">
        <v>2.2959999999999998</v>
      </c>
      <c r="F16" s="27">
        <v>-132.203</v>
      </c>
      <c r="G16" s="4">
        <f t="shared" si="0"/>
        <v>129.90700000000001</v>
      </c>
      <c r="H16" s="19">
        <f t="shared" si="1"/>
        <v>8.7022374062165078</v>
      </c>
      <c r="I16">
        <v>2</v>
      </c>
      <c r="J16" s="12">
        <f t="shared" si="2"/>
        <v>17.404474812433016</v>
      </c>
      <c r="K16" s="4">
        <v>19.62895</v>
      </c>
      <c r="L16" s="12">
        <f t="shared" si="3"/>
        <v>0.88667375547000815</v>
      </c>
      <c r="M16" s="12">
        <f t="shared" si="4"/>
        <v>8.866737554700082</v>
      </c>
      <c r="T16">
        <v>22</v>
      </c>
      <c r="U16" s="24">
        <v>3.2320000000000002</v>
      </c>
      <c r="V16" s="24">
        <v>-191.16499999999999</v>
      </c>
      <c r="W16" s="4">
        <f t="shared" si="5"/>
        <v>187.93299999999999</v>
      </c>
      <c r="X16" s="19">
        <f t="shared" si="6"/>
        <v>12.589295284030012</v>
      </c>
      <c r="Y16">
        <v>2</v>
      </c>
      <c r="Z16" s="12">
        <f t="shared" si="7"/>
        <v>25.178590568060024</v>
      </c>
      <c r="AA16" s="12">
        <v>18.937100000000001</v>
      </c>
      <c r="AB16" s="12">
        <f t="shared" si="8"/>
        <v>1.3295906220097069</v>
      </c>
      <c r="AC16" s="12">
        <f t="shared" si="9"/>
        <v>13.29590622009707</v>
      </c>
      <c r="AD16" s="4"/>
      <c r="AF16" s="4"/>
      <c r="AG16" s="4"/>
      <c r="AH16" s="4"/>
      <c r="AI16" s="4"/>
      <c r="AJ16" s="4"/>
      <c r="AK16" s="4"/>
    </row>
    <row r="17" spans="1:37" x14ac:dyDescent="0.2">
      <c r="D17" s="4">
        <v>19</v>
      </c>
      <c r="E17" s="27">
        <v>3.601</v>
      </c>
      <c r="F17" s="27">
        <v>-194.892</v>
      </c>
      <c r="G17" s="4">
        <f t="shared" si="0"/>
        <v>191.291</v>
      </c>
      <c r="H17" s="19">
        <f t="shared" si="1"/>
        <v>12.814241693461952</v>
      </c>
      <c r="I17">
        <v>2</v>
      </c>
      <c r="J17" s="12">
        <f t="shared" si="2"/>
        <v>25.628483386923904</v>
      </c>
      <c r="K17" s="4">
        <v>18.783950000000001</v>
      </c>
      <c r="L17" s="12">
        <f t="shared" si="3"/>
        <v>1.3643820062832313</v>
      </c>
      <c r="M17" s="12">
        <f t="shared" si="4"/>
        <v>13.643820062832312</v>
      </c>
      <c r="T17">
        <v>23</v>
      </c>
      <c r="U17" s="24">
        <v>3.5129999999999999</v>
      </c>
      <c r="V17" s="24">
        <v>-108.446</v>
      </c>
      <c r="W17" s="4">
        <f t="shared" si="5"/>
        <v>104.93299999999999</v>
      </c>
      <c r="X17" s="19">
        <f t="shared" si="6"/>
        <v>7.0292738478027879</v>
      </c>
      <c r="Y17">
        <v>2</v>
      </c>
      <c r="Z17" s="12">
        <f t="shared" si="7"/>
        <v>14.058547695605576</v>
      </c>
      <c r="AA17" s="12">
        <v>16.613399999999999</v>
      </c>
      <c r="AB17" s="12">
        <f t="shared" si="8"/>
        <v>0.84621737245871265</v>
      </c>
      <c r="AC17" s="12">
        <f t="shared" si="9"/>
        <v>8.4621737245871262</v>
      </c>
      <c r="AD17" s="4"/>
      <c r="AF17" s="4"/>
      <c r="AG17" s="4"/>
      <c r="AH17" s="4"/>
      <c r="AI17" s="4"/>
      <c r="AJ17" s="4"/>
      <c r="AK17" s="4"/>
    </row>
    <row r="18" spans="1:37" x14ac:dyDescent="0.2">
      <c r="D18" s="4">
        <v>20</v>
      </c>
      <c r="E18" s="27">
        <v>6.0289999999999999</v>
      </c>
      <c r="F18" s="27">
        <v>-172.78200000000001</v>
      </c>
      <c r="G18" s="4">
        <f t="shared" si="0"/>
        <v>166.75300000000001</v>
      </c>
      <c r="H18" s="19">
        <f t="shared" si="1"/>
        <v>11.170484994640944</v>
      </c>
      <c r="I18">
        <v>2</v>
      </c>
      <c r="J18" s="12">
        <f t="shared" si="2"/>
        <v>22.340969989281888</v>
      </c>
      <c r="K18" s="4">
        <v>12.710649999999998</v>
      </c>
      <c r="L18" s="12">
        <f t="shared" si="3"/>
        <v>1.7576575540418382</v>
      </c>
      <c r="M18" s="12">
        <f t="shared" si="4"/>
        <v>17.576575540418382</v>
      </c>
      <c r="T18">
        <v>24</v>
      </c>
      <c r="U18" s="24">
        <v>4.9370000000000003</v>
      </c>
      <c r="V18" s="24">
        <v>-184.53800000000001</v>
      </c>
      <c r="W18" s="4">
        <f t="shared" si="5"/>
        <v>179.601</v>
      </c>
      <c r="X18" s="19">
        <f t="shared" si="6"/>
        <v>12.03114951768489</v>
      </c>
      <c r="Y18">
        <v>2</v>
      </c>
      <c r="Z18" s="12">
        <f t="shared" si="7"/>
        <v>24.062299035369779</v>
      </c>
      <c r="AA18" s="12">
        <v>18.535749999999997</v>
      </c>
      <c r="AB18" s="12">
        <f t="shared" si="8"/>
        <v>1.2981562135532569</v>
      </c>
      <c r="AC18" s="12">
        <f t="shared" si="9"/>
        <v>12.98156213553257</v>
      </c>
      <c r="AD18" s="4"/>
      <c r="AF18" s="4"/>
      <c r="AG18" s="4"/>
      <c r="AH18" s="4"/>
      <c r="AI18" s="4"/>
      <c r="AJ18" s="4"/>
      <c r="AK18" s="4"/>
    </row>
    <row r="19" spans="1:37" x14ac:dyDescent="0.2">
      <c r="A19">
        <v>12</v>
      </c>
      <c r="D19" s="4">
        <v>25</v>
      </c>
      <c r="E19" s="27">
        <v>3.4430000000000001</v>
      </c>
      <c r="F19" s="27">
        <v>-269.29300000000001</v>
      </c>
      <c r="G19" s="4">
        <f t="shared" si="0"/>
        <v>265.85000000000002</v>
      </c>
      <c r="H19" s="19">
        <f t="shared" si="1"/>
        <v>17.808815648445876</v>
      </c>
      <c r="I19">
        <v>2</v>
      </c>
      <c r="J19" s="12">
        <f t="shared" si="2"/>
        <v>35.617631296891751</v>
      </c>
      <c r="K19" s="4">
        <v>18.504049999999999</v>
      </c>
      <c r="L19" s="12">
        <f t="shared" si="3"/>
        <v>1.9248559800093359</v>
      </c>
      <c r="M19" s="12">
        <f t="shared" si="4"/>
        <v>19.248559800093361</v>
      </c>
      <c r="Q19">
        <v>14</v>
      </c>
      <c r="T19">
        <v>29</v>
      </c>
      <c r="U19" s="24">
        <v>3.8820000000000001</v>
      </c>
      <c r="V19" s="24">
        <v>-210.33799999999999</v>
      </c>
      <c r="W19" s="4">
        <f t="shared" si="5"/>
        <v>206.45599999999999</v>
      </c>
      <c r="X19" s="19">
        <f t="shared" si="6"/>
        <v>13.830117899249734</v>
      </c>
      <c r="Y19">
        <v>2</v>
      </c>
      <c r="Z19" s="12">
        <f t="shared" si="7"/>
        <v>27.660235798499468</v>
      </c>
      <c r="AA19" s="12">
        <v>19.296250000000001</v>
      </c>
      <c r="AB19" s="12">
        <f t="shared" si="8"/>
        <v>1.4334513596423899</v>
      </c>
      <c r="AC19" s="12">
        <f t="shared" si="9"/>
        <v>14.3345135964239</v>
      </c>
      <c r="AD19" s="4"/>
      <c r="AF19" s="4"/>
      <c r="AG19" s="4"/>
      <c r="AH19" s="4"/>
      <c r="AI19" s="4"/>
      <c r="AJ19" s="4"/>
      <c r="AK19" s="4"/>
    </row>
    <row r="20" spans="1:37" x14ac:dyDescent="0.2">
      <c r="D20" s="4">
        <v>26</v>
      </c>
      <c r="E20" s="27">
        <v>4.7549999999999999</v>
      </c>
      <c r="F20" s="27">
        <v>-139.05600000000001</v>
      </c>
      <c r="G20" s="4">
        <f t="shared" si="0"/>
        <v>134.30100000000002</v>
      </c>
      <c r="H20" s="19">
        <f t="shared" si="1"/>
        <v>8.9965836012861775</v>
      </c>
      <c r="I20">
        <v>2</v>
      </c>
      <c r="J20" s="12">
        <f t="shared" si="2"/>
        <v>17.993167202572355</v>
      </c>
      <c r="K20" s="4">
        <v>17.63795</v>
      </c>
      <c r="L20" s="12">
        <f t="shared" si="3"/>
        <v>1.0201393700839585</v>
      </c>
      <c r="M20" s="12">
        <f t="shared" si="4"/>
        <v>10.201393700839585</v>
      </c>
      <c r="T20">
        <v>30</v>
      </c>
      <c r="U20" s="24">
        <v>3.6280000000000001</v>
      </c>
      <c r="V20" s="24">
        <v>-214.333</v>
      </c>
      <c r="W20" s="4">
        <f t="shared" si="5"/>
        <v>210.70499999999998</v>
      </c>
      <c r="X20" s="19">
        <f t="shared" si="6"/>
        <v>14.11475080385852</v>
      </c>
      <c r="Y20">
        <v>2</v>
      </c>
      <c r="Z20" s="12">
        <f t="shared" si="7"/>
        <v>28.22950160771704</v>
      </c>
      <c r="AA20" s="12">
        <v>20.458099999999998</v>
      </c>
      <c r="AB20" s="12">
        <f t="shared" si="8"/>
        <v>1.3798691768892049</v>
      </c>
      <c r="AC20" s="12">
        <f t="shared" si="9"/>
        <v>13.798691768892049</v>
      </c>
      <c r="AD20" s="4"/>
      <c r="AF20" s="4"/>
      <c r="AG20" s="4"/>
      <c r="AH20" s="4"/>
      <c r="AI20" s="4"/>
      <c r="AJ20" s="4"/>
      <c r="AK20" s="4"/>
    </row>
    <row r="21" spans="1:37" x14ac:dyDescent="0.2">
      <c r="D21" s="4">
        <v>27</v>
      </c>
      <c r="E21" s="27">
        <v>3.2810000000000001</v>
      </c>
      <c r="F21" s="27">
        <v>-140.57499999999999</v>
      </c>
      <c r="G21" s="4">
        <f t="shared" si="0"/>
        <v>137.29399999999998</v>
      </c>
      <c r="H21" s="19">
        <f t="shared" si="1"/>
        <v>9.1970793140407281</v>
      </c>
      <c r="I21">
        <v>2</v>
      </c>
      <c r="J21" s="12">
        <f t="shared" si="2"/>
        <v>18.394158628081456</v>
      </c>
      <c r="K21" s="4">
        <v>18.989900000000002</v>
      </c>
      <c r="L21" s="12">
        <f t="shared" si="3"/>
        <v>0.96862851453043219</v>
      </c>
      <c r="M21" s="12">
        <f t="shared" si="4"/>
        <v>9.6862851453043213</v>
      </c>
      <c r="T21">
        <v>31</v>
      </c>
      <c r="U21" s="24">
        <v>4.5780000000000003</v>
      </c>
      <c r="V21" s="24">
        <v>-155.905</v>
      </c>
      <c r="W21" s="4">
        <f t="shared" si="5"/>
        <v>151.327</v>
      </c>
      <c r="X21" s="19">
        <f t="shared" si="6"/>
        <v>10.137124866023582</v>
      </c>
      <c r="Y21">
        <v>2</v>
      </c>
      <c r="Z21" s="12">
        <f t="shared" si="7"/>
        <v>20.274249732047164</v>
      </c>
      <c r="AA21" s="12">
        <v>19.7029</v>
      </c>
      <c r="AB21" s="12">
        <f t="shared" si="8"/>
        <v>1.0289982556906427</v>
      </c>
      <c r="AC21" s="12">
        <f t="shared" si="9"/>
        <v>10.289982556906427</v>
      </c>
      <c r="AD21" s="4"/>
      <c r="AF21" s="4"/>
      <c r="AG21" s="4"/>
      <c r="AH21" s="4"/>
      <c r="AI21" s="4"/>
      <c r="AJ21" s="4"/>
      <c r="AK21" s="4"/>
    </row>
    <row r="22" spans="1:37" x14ac:dyDescent="0.2">
      <c r="D22" s="4">
        <v>28</v>
      </c>
      <c r="E22" s="27">
        <v>1.4239999999999999</v>
      </c>
      <c r="F22" s="27">
        <v>-179.22300000000001</v>
      </c>
      <c r="G22" s="4">
        <f t="shared" si="0"/>
        <v>177.79900000000001</v>
      </c>
      <c r="H22" s="19">
        <f t="shared" si="1"/>
        <v>11.91043676312969</v>
      </c>
      <c r="I22">
        <v>2</v>
      </c>
      <c r="J22" s="12">
        <f t="shared" si="2"/>
        <v>23.82087352625938</v>
      </c>
      <c r="K22" s="4">
        <v>20.621799999999997</v>
      </c>
      <c r="L22" s="12">
        <f t="shared" si="3"/>
        <v>1.1551306639701375</v>
      </c>
      <c r="M22" s="12">
        <f t="shared" si="4"/>
        <v>11.551306639701375</v>
      </c>
      <c r="T22">
        <v>32</v>
      </c>
      <c r="U22" s="24">
        <v>-4.2000000000000003E-2</v>
      </c>
      <c r="V22" s="24">
        <v>-277.91199999999998</v>
      </c>
      <c r="W22" s="4">
        <f t="shared" si="5"/>
        <v>277.87</v>
      </c>
      <c r="X22" s="19">
        <f t="shared" si="6"/>
        <v>18.6140139335477</v>
      </c>
      <c r="Y22">
        <v>2</v>
      </c>
      <c r="Z22" s="12">
        <f t="shared" si="7"/>
        <v>37.228027867095399</v>
      </c>
      <c r="AA22" s="12">
        <v>18.271700000000003</v>
      </c>
      <c r="AB22" s="12">
        <f t="shared" si="8"/>
        <v>2.0374693031899271</v>
      </c>
      <c r="AC22" s="12">
        <f t="shared" si="9"/>
        <v>20.37469303189927</v>
      </c>
      <c r="AD22" s="4"/>
      <c r="AF22" s="4"/>
      <c r="AG22" s="4"/>
      <c r="AH22" s="4"/>
      <c r="AI22" s="4"/>
      <c r="AJ22" s="4"/>
      <c r="AK22" s="4"/>
    </row>
    <row r="23" spans="1:37" x14ac:dyDescent="0.2">
      <c r="A23">
        <v>12</v>
      </c>
      <c r="D23" s="4">
        <v>73</v>
      </c>
      <c r="E23" s="27">
        <v>4.9000000000000002E-2</v>
      </c>
      <c r="F23" s="27">
        <v>-203.65799999999999</v>
      </c>
      <c r="G23" s="4">
        <f t="shared" si="0"/>
        <v>203.60899999999998</v>
      </c>
      <c r="H23" s="19">
        <f t="shared" si="1"/>
        <v>13.63940246516613</v>
      </c>
      <c r="I23">
        <v>2</v>
      </c>
      <c r="J23" s="12">
        <f t="shared" si="2"/>
        <v>27.27880493033226</v>
      </c>
      <c r="K23" s="4">
        <v>18.604400000000002</v>
      </c>
      <c r="L23" s="12">
        <f t="shared" si="3"/>
        <v>1.4662555594554114</v>
      </c>
      <c r="M23" s="12">
        <f t="shared" si="4"/>
        <v>14.662555594554114</v>
      </c>
      <c r="Q23">
        <v>15</v>
      </c>
      <c r="T23">
        <v>78</v>
      </c>
      <c r="U23" s="24">
        <v>-5.6680000000000001</v>
      </c>
      <c r="V23" s="24">
        <v>-194.77799999999999</v>
      </c>
      <c r="W23" s="4">
        <f t="shared" si="5"/>
        <v>189.10999999999999</v>
      </c>
      <c r="X23" s="19">
        <f t="shared" si="6"/>
        <v>12.668140407288316</v>
      </c>
      <c r="Y23">
        <v>2</v>
      </c>
      <c r="Z23" s="12">
        <f t="shared" si="7"/>
        <v>25.336280814576632</v>
      </c>
      <c r="AA23" s="12">
        <v>20.3736</v>
      </c>
      <c r="AB23" s="12">
        <f t="shared" si="8"/>
        <v>1.2435838935964501</v>
      </c>
      <c r="AC23" s="12">
        <f t="shared" si="9"/>
        <v>12.435838935964501</v>
      </c>
      <c r="AD23" s="4"/>
      <c r="AF23" s="4"/>
      <c r="AG23" s="4"/>
      <c r="AH23" s="4"/>
      <c r="AI23" s="4"/>
      <c r="AJ23" s="4"/>
      <c r="AK23" s="4"/>
    </row>
    <row r="24" spans="1:37" x14ac:dyDescent="0.2">
      <c r="D24" s="4">
        <v>74</v>
      </c>
      <c r="E24" s="27">
        <v>5.2999999999999999E-2</v>
      </c>
      <c r="F24" s="27">
        <v>-259.21600000000001</v>
      </c>
      <c r="G24" s="4">
        <f t="shared" si="0"/>
        <v>259.16300000000001</v>
      </c>
      <c r="H24" s="19">
        <f t="shared" si="1"/>
        <v>17.360865487674172</v>
      </c>
      <c r="I24">
        <v>2</v>
      </c>
      <c r="J24" s="12">
        <f t="shared" si="2"/>
        <v>34.721730975348343</v>
      </c>
      <c r="K24" s="4">
        <v>17.875599999999999</v>
      </c>
      <c r="L24" s="12">
        <f t="shared" si="3"/>
        <v>1.9424092604079497</v>
      </c>
      <c r="M24" s="12">
        <f t="shared" si="4"/>
        <v>19.424092604079497</v>
      </c>
      <c r="T24">
        <v>79</v>
      </c>
      <c r="U24" s="24">
        <v>1.117</v>
      </c>
      <c r="V24" s="24">
        <v>-227.92699999999999</v>
      </c>
      <c r="W24" s="4">
        <f t="shared" si="5"/>
        <v>226.81</v>
      </c>
      <c r="X24" s="19">
        <f t="shared" si="6"/>
        <v>15.19359592711683</v>
      </c>
      <c r="Y24">
        <v>2</v>
      </c>
      <c r="Z24" s="12">
        <f t="shared" si="7"/>
        <v>30.387191854233659</v>
      </c>
      <c r="AA24" s="12">
        <v>20.389399999999998</v>
      </c>
      <c r="AB24" s="12">
        <f t="shared" si="8"/>
        <v>1.4903426218639912</v>
      </c>
      <c r="AC24" s="12">
        <f t="shared" si="9"/>
        <v>14.903426218639913</v>
      </c>
      <c r="AD24" s="4"/>
      <c r="AF24" s="4"/>
      <c r="AG24" s="4"/>
      <c r="AH24" s="4"/>
      <c r="AI24" s="4"/>
      <c r="AJ24" s="4"/>
      <c r="AK24" s="4"/>
    </row>
    <row r="25" spans="1:37" x14ac:dyDescent="0.2">
      <c r="D25" s="4">
        <v>75</v>
      </c>
      <c r="E25" s="27">
        <v>8.2149999999999999</v>
      </c>
      <c r="F25" s="27">
        <v>-147.91</v>
      </c>
      <c r="G25" s="4">
        <f t="shared" si="0"/>
        <v>139.69499999999999</v>
      </c>
      <c r="H25" s="19">
        <f t="shared" si="1"/>
        <v>9.3579180064308698</v>
      </c>
      <c r="I25">
        <v>2</v>
      </c>
      <c r="J25" s="12">
        <f t="shared" si="2"/>
        <v>18.71583601286174</v>
      </c>
      <c r="K25" s="4">
        <v>18.97935</v>
      </c>
      <c r="L25" s="12">
        <f t="shared" si="3"/>
        <v>0.98611575279773755</v>
      </c>
      <c r="M25" s="12">
        <f t="shared" si="4"/>
        <v>9.861157527977376</v>
      </c>
      <c r="T25">
        <v>80</v>
      </c>
      <c r="U25" s="24">
        <v>7.6020000000000003</v>
      </c>
      <c r="V25" s="24">
        <v>-230.69900000000001</v>
      </c>
      <c r="W25" s="4">
        <f t="shared" si="5"/>
        <v>223.09700000000001</v>
      </c>
      <c r="X25" s="19">
        <f t="shared" si="6"/>
        <v>14.944868703108256</v>
      </c>
      <c r="Y25">
        <v>2</v>
      </c>
      <c r="Z25" s="12">
        <f t="shared" si="7"/>
        <v>29.889737406216511</v>
      </c>
      <c r="AA25" s="12">
        <v>21.2925</v>
      </c>
      <c r="AB25" s="12">
        <f t="shared" si="8"/>
        <v>1.4037683412570863</v>
      </c>
      <c r="AC25" s="12">
        <f t="shared" si="9"/>
        <v>14.037683412570862</v>
      </c>
      <c r="AD25" s="4"/>
      <c r="AF25" s="4"/>
      <c r="AG25" s="4"/>
      <c r="AH25" s="4"/>
      <c r="AI25" s="4"/>
      <c r="AJ25" s="4"/>
      <c r="AK25" s="4"/>
    </row>
    <row r="26" spans="1:37" x14ac:dyDescent="0.2">
      <c r="D26" s="4">
        <v>76</v>
      </c>
      <c r="E26" s="27">
        <v>-1.837</v>
      </c>
      <c r="F26" s="27">
        <v>-161.20099999999999</v>
      </c>
      <c r="G26" s="4">
        <f t="shared" si="0"/>
        <v>159.364</v>
      </c>
      <c r="H26" s="19">
        <f t="shared" si="1"/>
        <v>10.675509110396572</v>
      </c>
      <c r="I26">
        <v>2</v>
      </c>
      <c r="J26" s="12">
        <f t="shared" si="2"/>
        <v>21.351018220793144</v>
      </c>
      <c r="K26" s="4">
        <v>17.8809</v>
      </c>
      <c r="L26" s="12">
        <f t="shared" si="3"/>
        <v>1.1940684317228518</v>
      </c>
      <c r="M26" s="12">
        <f t="shared" si="4"/>
        <v>11.940684317228518</v>
      </c>
      <c r="T26">
        <v>81</v>
      </c>
      <c r="U26" s="24">
        <v>4.0019999999999998</v>
      </c>
      <c r="V26" s="24">
        <v>-130.95400000000001</v>
      </c>
      <c r="W26" s="4">
        <f t="shared" si="5"/>
        <v>126.95200000000001</v>
      </c>
      <c r="X26" s="19">
        <f t="shared" si="6"/>
        <v>8.5042872454448037</v>
      </c>
      <c r="Y26">
        <v>2</v>
      </c>
      <c r="Z26" s="12">
        <f t="shared" si="7"/>
        <v>17.008574490889607</v>
      </c>
      <c r="AA26" s="12">
        <v>17.315799999999999</v>
      </c>
      <c r="AB26" s="12">
        <f t="shared" si="8"/>
        <v>0.98225750418055235</v>
      </c>
      <c r="AC26" s="12">
        <f t="shared" si="9"/>
        <v>9.8225750418055231</v>
      </c>
      <c r="AD26" s="4"/>
      <c r="AF26" s="4"/>
      <c r="AG26" s="4"/>
      <c r="AH26" s="4"/>
      <c r="AI26" s="4"/>
      <c r="AJ26" s="4"/>
      <c r="AK26" s="4"/>
    </row>
    <row r="27" spans="1:37" x14ac:dyDescent="0.2">
      <c r="D27" s="4">
        <v>77</v>
      </c>
      <c r="E27" s="27">
        <v>2.0510000000000002</v>
      </c>
      <c r="F27" s="27">
        <v>-265.267</v>
      </c>
      <c r="G27" s="4">
        <f t="shared" si="0"/>
        <v>263.21600000000001</v>
      </c>
      <c r="H27" s="19">
        <f t="shared" si="1"/>
        <v>17.632368703108256</v>
      </c>
      <c r="I27">
        <v>2</v>
      </c>
      <c r="J27" s="12">
        <f t="shared" si="2"/>
        <v>35.264737406216511</v>
      </c>
      <c r="K27" s="4">
        <v>19.882449999999999</v>
      </c>
      <c r="L27" s="12">
        <f t="shared" si="3"/>
        <v>1.7736615661659663</v>
      </c>
      <c r="M27" s="12">
        <f t="shared" si="4"/>
        <v>17.736615661659663</v>
      </c>
      <c r="T27">
        <v>82</v>
      </c>
      <c r="U27" s="24">
        <v>1.4359999999999999</v>
      </c>
      <c r="V27" s="24">
        <v>-176.548</v>
      </c>
      <c r="W27" s="4">
        <f t="shared" si="5"/>
        <v>175.11199999999999</v>
      </c>
      <c r="X27" s="19">
        <f t="shared" si="6"/>
        <v>11.730439442658094</v>
      </c>
      <c r="Y27">
        <v>2</v>
      </c>
      <c r="Z27" s="12">
        <f t="shared" si="7"/>
        <v>23.460878885316188</v>
      </c>
      <c r="AA27" s="12">
        <v>17.706600000000002</v>
      </c>
      <c r="AB27" s="12">
        <f t="shared" si="8"/>
        <v>1.3249793232645559</v>
      </c>
      <c r="AC27" s="12">
        <f t="shared" si="9"/>
        <v>13.249793232645558</v>
      </c>
      <c r="AD27" s="4"/>
      <c r="AF27" s="4"/>
      <c r="AG27" s="4"/>
      <c r="AH27" s="4"/>
      <c r="AI27" s="4"/>
      <c r="AJ27" s="4"/>
      <c r="AK27" s="4"/>
    </row>
    <row r="28" spans="1:37" x14ac:dyDescent="0.2">
      <c r="A28">
        <v>11</v>
      </c>
      <c r="C28" t="s">
        <v>12</v>
      </c>
      <c r="D28" s="4">
        <v>33</v>
      </c>
      <c r="E28" s="27">
        <v>7.5439999999999996</v>
      </c>
      <c r="F28" s="27">
        <v>-224.92400000000001</v>
      </c>
      <c r="G28" s="4">
        <f t="shared" si="0"/>
        <v>217.38</v>
      </c>
      <c r="H28" s="19">
        <f t="shared" si="1"/>
        <v>14.561897106109326</v>
      </c>
      <c r="I28">
        <v>2</v>
      </c>
      <c r="J28" s="12">
        <f t="shared" si="2"/>
        <v>29.123794212218652</v>
      </c>
      <c r="K28" s="4">
        <v>21.41395</v>
      </c>
      <c r="L28" s="12">
        <f t="shared" si="3"/>
        <v>1.3600383961024778</v>
      </c>
      <c r="M28" s="12">
        <f t="shared" si="4"/>
        <v>13.600383961024779</v>
      </c>
      <c r="Q28">
        <v>15</v>
      </c>
      <c r="S28" t="s">
        <v>12</v>
      </c>
      <c r="T28">
        <v>37</v>
      </c>
      <c r="U28" s="24">
        <v>3.1269999999999998</v>
      </c>
      <c r="V28" s="24">
        <v>-155.47</v>
      </c>
      <c r="W28" s="4">
        <f t="shared" si="5"/>
        <v>152.34299999999999</v>
      </c>
      <c r="X28" s="19">
        <f t="shared" si="6"/>
        <v>10.205184887459808</v>
      </c>
      <c r="Y28">
        <v>2</v>
      </c>
      <c r="Z28" s="12">
        <f t="shared" si="7"/>
        <v>20.410369774919616</v>
      </c>
      <c r="AA28" s="12">
        <v>18.065750000000001</v>
      </c>
      <c r="AB28" s="12">
        <f t="shared" si="8"/>
        <v>1.1297825872116913</v>
      </c>
      <c r="AC28" s="12">
        <f t="shared" si="9"/>
        <v>11.297825872116913</v>
      </c>
      <c r="AD28" s="23">
        <f>AVERAGE(AC28:AC38)</f>
        <v>12.93076498778859</v>
      </c>
      <c r="AE28" t="s">
        <v>12</v>
      </c>
      <c r="AF28" s="4"/>
      <c r="AG28" s="4"/>
      <c r="AH28" s="4"/>
      <c r="AI28" s="4"/>
      <c r="AJ28" s="4"/>
      <c r="AK28" s="4"/>
    </row>
    <row r="29" spans="1:37" x14ac:dyDescent="0.2">
      <c r="D29" s="4">
        <v>34</v>
      </c>
      <c r="E29" s="27">
        <v>4.6639999999999997</v>
      </c>
      <c r="F29" s="27">
        <v>-298.06400000000002</v>
      </c>
      <c r="G29" s="4">
        <f t="shared" si="0"/>
        <v>293.40000000000003</v>
      </c>
      <c r="H29" s="19">
        <f t="shared" si="1"/>
        <v>19.654340836012867</v>
      </c>
      <c r="I29">
        <v>2</v>
      </c>
      <c r="J29" s="12">
        <f t="shared" si="2"/>
        <v>39.308681672025735</v>
      </c>
      <c r="K29" s="4">
        <v>19.977499999999999</v>
      </c>
      <c r="L29" s="12">
        <f t="shared" si="3"/>
        <v>1.9676476872494424</v>
      </c>
      <c r="M29" s="12">
        <f t="shared" si="4"/>
        <v>19.676476872494423</v>
      </c>
      <c r="T29" s="4">
        <v>38</v>
      </c>
      <c r="U29" s="24">
        <v>6.0039999999999996</v>
      </c>
      <c r="V29" s="24">
        <v>-142.97</v>
      </c>
      <c r="W29" s="4">
        <f t="shared" si="5"/>
        <v>136.96600000000001</v>
      </c>
      <c r="X29" s="19">
        <f t="shared" si="6"/>
        <v>9.1751071811361218</v>
      </c>
      <c r="Y29">
        <v>2</v>
      </c>
      <c r="Z29" s="12">
        <f t="shared" si="7"/>
        <v>18.350214362272244</v>
      </c>
      <c r="AA29" s="12">
        <v>16.777149999999999</v>
      </c>
      <c r="AB29" s="12">
        <f t="shared" si="8"/>
        <v>1.093762311374235</v>
      </c>
      <c r="AC29" s="12">
        <f t="shared" si="9"/>
        <v>10.937623113742349</v>
      </c>
      <c r="AD29" s="4"/>
      <c r="AF29" s="4"/>
      <c r="AG29" s="4"/>
      <c r="AH29" s="4"/>
      <c r="AI29" s="4"/>
      <c r="AJ29" s="4"/>
      <c r="AK29" s="4"/>
    </row>
    <row r="30" spans="1:37" x14ac:dyDescent="0.2">
      <c r="D30" s="4">
        <v>35</v>
      </c>
      <c r="E30" s="27">
        <v>0.84099999999999997</v>
      </c>
      <c r="F30" s="27">
        <v>-304.05799999999999</v>
      </c>
      <c r="G30" s="4">
        <f t="shared" si="0"/>
        <v>303.21699999999998</v>
      </c>
      <c r="H30" s="19">
        <f t="shared" si="1"/>
        <v>20.311964094319404</v>
      </c>
      <c r="I30">
        <v>2</v>
      </c>
      <c r="J30" s="12">
        <f t="shared" si="2"/>
        <v>40.623928188638807</v>
      </c>
      <c r="K30" s="4">
        <v>19.966950000000001</v>
      </c>
      <c r="L30" s="12">
        <f t="shared" si="3"/>
        <v>2.0345585173819138</v>
      </c>
      <c r="M30" s="12">
        <f t="shared" si="4"/>
        <v>20.345585173819138</v>
      </c>
      <c r="T30">
        <v>39</v>
      </c>
      <c r="U30" s="24">
        <v>6.524</v>
      </c>
      <c r="V30" s="24">
        <v>-200.35499999999999</v>
      </c>
      <c r="W30" s="4">
        <f t="shared" si="5"/>
        <v>193.83099999999999</v>
      </c>
      <c r="X30" s="19">
        <f t="shared" si="6"/>
        <v>12.98439174705252</v>
      </c>
      <c r="Y30">
        <v>2</v>
      </c>
      <c r="Z30" s="12">
        <f t="shared" si="7"/>
        <v>25.96878349410504</v>
      </c>
      <c r="AA30" s="12">
        <v>16.956699999999998</v>
      </c>
      <c r="AB30" s="12">
        <f t="shared" si="8"/>
        <v>1.5314762597737204</v>
      </c>
      <c r="AC30" s="12">
        <f t="shared" si="9"/>
        <v>15.314762597737204</v>
      </c>
      <c r="AD30" s="4"/>
      <c r="AF30" s="4"/>
      <c r="AG30" s="4"/>
      <c r="AH30" s="4"/>
      <c r="AI30" s="4"/>
      <c r="AJ30" s="4"/>
      <c r="AK30" s="4"/>
    </row>
    <row r="31" spans="1:37" x14ac:dyDescent="0.2">
      <c r="D31" s="4">
        <v>36</v>
      </c>
      <c r="E31" s="27">
        <v>7.0629999999999997</v>
      </c>
      <c r="F31" s="27">
        <v>-152.536</v>
      </c>
      <c r="G31" s="4">
        <f t="shared" si="0"/>
        <v>145.47300000000001</v>
      </c>
      <c r="H31" s="19">
        <f t="shared" si="1"/>
        <v>9.7449758842443739</v>
      </c>
      <c r="I31">
        <v>2</v>
      </c>
      <c r="J31" s="12">
        <f t="shared" si="2"/>
        <v>19.489951768488748</v>
      </c>
      <c r="K31" s="4">
        <v>20.537299999999998</v>
      </c>
      <c r="L31" s="12">
        <f t="shared" si="3"/>
        <v>0.94900263269703167</v>
      </c>
      <c r="M31" s="12">
        <f t="shared" si="4"/>
        <v>9.490026326970316</v>
      </c>
      <c r="T31">
        <v>40</v>
      </c>
      <c r="U31" s="24">
        <v>6.117</v>
      </c>
      <c r="V31" s="24">
        <v>-108.148</v>
      </c>
      <c r="W31" s="4">
        <f t="shared" si="5"/>
        <v>102.03099999999999</v>
      </c>
      <c r="X31" s="19">
        <f t="shared" si="6"/>
        <v>6.834874062165059</v>
      </c>
      <c r="Y31">
        <v>2</v>
      </c>
      <c r="Z31" s="12">
        <f t="shared" si="7"/>
        <v>13.669748124330118</v>
      </c>
      <c r="AA31" s="12">
        <v>17.19435</v>
      </c>
      <c r="AB31" s="12">
        <f t="shared" si="8"/>
        <v>0.79501395076464754</v>
      </c>
      <c r="AC31" s="12">
        <f t="shared" si="9"/>
        <v>7.9501395076464751</v>
      </c>
      <c r="AD31" s="4"/>
      <c r="AF31" s="4"/>
      <c r="AG31" s="4"/>
      <c r="AH31" s="4"/>
      <c r="AI31" s="4"/>
      <c r="AJ31" s="4"/>
      <c r="AK31" s="4"/>
    </row>
    <row r="32" spans="1:37" x14ac:dyDescent="0.2">
      <c r="A32">
        <v>12</v>
      </c>
      <c r="B32" t="s">
        <v>222</v>
      </c>
      <c r="D32" s="4">
        <v>41</v>
      </c>
      <c r="E32" s="27">
        <v>3.778</v>
      </c>
      <c r="F32" s="27">
        <v>-235.511</v>
      </c>
      <c r="G32" s="4">
        <f t="shared" si="0"/>
        <v>231.733</v>
      </c>
      <c r="H32" s="19">
        <f t="shared" si="1"/>
        <v>15.523378885316186</v>
      </c>
      <c r="I32">
        <v>2</v>
      </c>
      <c r="J32" s="12">
        <f t="shared" si="2"/>
        <v>31.046757770632372</v>
      </c>
      <c r="K32" s="4">
        <v>21.683299999999999</v>
      </c>
      <c r="L32" s="12">
        <f t="shared" si="3"/>
        <v>1.4318280783198301</v>
      </c>
      <c r="M32" s="12">
        <f t="shared" si="4"/>
        <v>14.318280783198301</v>
      </c>
      <c r="Q32">
        <v>14</v>
      </c>
      <c r="T32">
        <v>45</v>
      </c>
      <c r="U32" s="24">
        <v>5.798</v>
      </c>
      <c r="V32" s="24">
        <v>-247.88200000000001</v>
      </c>
      <c r="W32" s="4">
        <f t="shared" si="5"/>
        <v>242.084</v>
      </c>
      <c r="X32" s="19">
        <f t="shared" si="6"/>
        <v>16.216773847802788</v>
      </c>
      <c r="Y32">
        <v>2</v>
      </c>
      <c r="Z32" s="12">
        <f t="shared" si="7"/>
        <v>32.433547695605576</v>
      </c>
      <c r="AA32" s="12">
        <v>21.762500000000003</v>
      </c>
      <c r="AB32" s="12">
        <f t="shared" si="8"/>
        <v>1.4903410773397161</v>
      </c>
      <c r="AC32" s="12">
        <f t="shared" si="9"/>
        <v>14.903410773397161</v>
      </c>
      <c r="AD32" s="4"/>
      <c r="AF32" s="4"/>
      <c r="AG32" s="4"/>
      <c r="AH32" s="4"/>
      <c r="AI32" s="4"/>
      <c r="AJ32" s="4"/>
      <c r="AK32" s="4"/>
    </row>
    <row r="33" spans="1:37" x14ac:dyDescent="0.2">
      <c r="D33" s="4">
        <v>42</v>
      </c>
      <c r="E33" s="27">
        <v>4.7619999999999996</v>
      </c>
      <c r="F33" s="27">
        <v>-125.20399999999999</v>
      </c>
      <c r="G33" s="4">
        <f t="shared" si="0"/>
        <v>120.44199999999999</v>
      </c>
      <c r="H33" s="19">
        <f t="shared" si="1"/>
        <v>8.0681939978563779</v>
      </c>
      <c r="I33">
        <v>2</v>
      </c>
      <c r="J33" s="12">
        <f t="shared" si="2"/>
        <v>16.136387995712756</v>
      </c>
      <c r="K33" s="4">
        <v>19.9194</v>
      </c>
      <c r="L33" s="12">
        <f t="shared" si="3"/>
        <v>0.81008403846063415</v>
      </c>
      <c r="M33" s="12">
        <f t="shared" si="4"/>
        <v>8.1008403846063413</v>
      </c>
      <c r="T33">
        <v>46</v>
      </c>
      <c r="U33" s="24">
        <v>0.46800000000000003</v>
      </c>
      <c r="V33" s="24">
        <v>-231.05699999999999</v>
      </c>
      <c r="W33" s="4">
        <f t="shared" si="5"/>
        <v>230.589</v>
      </c>
      <c r="X33" s="19">
        <f t="shared" si="6"/>
        <v>15.446744372990356</v>
      </c>
      <c r="Y33">
        <v>2</v>
      </c>
      <c r="Z33" s="12">
        <f t="shared" si="7"/>
        <v>30.893488745980711</v>
      </c>
      <c r="AA33" s="12">
        <v>19.62895</v>
      </c>
      <c r="AB33" s="12">
        <f t="shared" si="8"/>
        <v>1.5738737296687144</v>
      </c>
      <c r="AC33" s="12">
        <f t="shared" si="9"/>
        <v>15.738737296687145</v>
      </c>
      <c r="AD33" s="4"/>
      <c r="AF33" s="4"/>
      <c r="AG33" s="4"/>
      <c r="AH33" s="4"/>
      <c r="AI33" s="4"/>
      <c r="AJ33" s="4"/>
      <c r="AK33" s="4"/>
    </row>
    <row r="34" spans="1:37" x14ac:dyDescent="0.2">
      <c r="D34" s="4">
        <v>43</v>
      </c>
      <c r="E34" s="27">
        <v>3.0539999999999998</v>
      </c>
      <c r="F34" s="27">
        <v>-162.83099999999999</v>
      </c>
      <c r="G34" s="4">
        <f t="shared" si="0"/>
        <v>159.77699999999999</v>
      </c>
      <c r="H34" s="19">
        <f t="shared" si="1"/>
        <v>10.703175241157558</v>
      </c>
      <c r="I34">
        <v>2</v>
      </c>
      <c r="J34" s="12">
        <f t="shared" si="2"/>
        <v>21.406350482315116</v>
      </c>
      <c r="K34" s="4">
        <v>22.126899999999999</v>
      </c>
      <c r="L34" s="12">
        <f t="shared" si="3"/>
        <v>0.96743558665312879</v>
      </c>
      <c r="M34" s="12">
        <f t="shared" si="4"/>
        <v>9.6743558665312879</v>
      </c>
      <c r="T34">
        <v>47</v>
      </c>
      <c r="U34" s="24">
        <v>0.60699999999999998</v>
      </c>
      <c r="V34" s="24">
        <v>-207.84100000000001</v>
      </c>
      <c r="W34" s="4">
        <f t="shared" si="5"/>
        <v>207.23400000000001</v>
      </c>
      <c r="X34" s="19">
        <f t="shared" si="6"/>
        <v>13.882234726688104</v>
      </c>
      <c r="Y34">
        <v>2</v>
      </c>
      <c r="Z34" s="12">
        <f t="shared" si="7"/>
        <v>27.764469453376208</v>
      </c>
      <c r="AA34" s="12">
        <v>19.507450000000002</v>
      </c>
      <c r="AB34" s="12">
        <f t="shared" si="8"/>
        <v>1.4232751822189063</v>
      </c>
      <c r="AC34" s="12">
        <f t="shared" si="9"/>
        <v>14.232751822189062</v>
      </c>
      <c r="AD34" s="4"/>
      <c r="AF34" s="4"/>
      <c r="AG34" s="4"/>
      <c r="AH34" s="4"/>
      <c r="AI34" s="4"/>
      <c r="AJ34" s="4"/>
      <c r="AK34" s="4"/>
    </row>
    <row r="35" spans="1:37" x14ac:dyDescent="0.2">
      <c r="D35" s="4">
        <v>44</v>
      </c>
      <c r="E35" s="27">
        <v>4.5270000000000001</v>
      </c>
      <c r="F35" s="27">
        <v>-207.066</v>
      </c>
      <c r="G35" s="4">
        <f t="shared" si="0"/>
        <v>202.53900000000002</v>
      </c>
      <c r="H35" s="19">
        <f t="shared" si="1"/>
        <v>13.567725080385856</v>
      </c>
      <c r="I35">
        <v>2</v>
      </c>
      <c r="J35" s="12">
        <f t="shared" si="2"/>
        <v>27.135450160771711</v>
      </c>
      <c r="K35" s="4">
        <v>20.579549999999998</v>
      </c>
      <c r="L35" s="12">
        <f t="shared" si="3"/>
        <v>1.3185638248052904</v>
      </c>
      <c r="M35" s="12">
        <f t="shared" si="4"/>
        <v>13.185638248052904</v>
      </c>
      <c r="T35">
        <v>48</v>
      </c>
      <c r="U35" s="24">
        <v>2.3580000000000001</v>
      </c>
      <c r="V35" s="24">
        <v>-197.11500000000001</v>
      </c>
      <c r="W35" s="4">
        <f t="shared" si="5"/>
        <v>194.75700000000001</v>
      </c>
      <c r="X35" s="19">
        <f t="shared" si="6"/>
        <v>13.046422829581996</v>
      </c>
      <c r="Y35">
        <v>2</v>
      </c>
      <c r="Z35" s="12">
        <f t="shared" si="7"/>
        <v>26.092845659163991</v>
      </c>
      <c r="AA35" s="12">
        <v>17.595700000000001</v>
      </c>
      <c r="AB35" s="12">
        <f t="shared" si="8"/>
        <v>1.4829103507768369</v>
      </c>
      <c r="AC35" s="12">
        <f t="shared" si="9"/>
        <v>14.829103507768369</v>
      </c>
      <c r="AD35" s="4"/>
      <c r="AF35" s="4"/>
      <c r="AG35" s="4"/>
      <c r="AH35" s="4"/>
      <c r="AI35" s="4"/>
      <c r="AJ35" s="4"/>
      <c r="AK35" s="4"/>
    </row>
    <row r="36" spans="1:37" x14ac:dyDescent="0.2">
      <c r="A36">
        <v>12</v>
      </c>
      <c r="D36" s="4">
        <v>83</v>
      </c>
      <c r="E36" s="27">
        <v>6.6760000000000002</v>
      </c>
      <c r="F36" s="27">
        <v>-115.26600000000001</v>
      </c>
      <c r="G36" s="4">
        <f t="shared" si="0"/>
        <v>108.59</v>
      </c>
      <c r="H36" s="19">
        <f t="shared" si="1"/>
        <v>7.2742497320471609</v>
      </c>
      <c r="I36">
        <v>2</v>
      </c>
      <c r="J36" s="12">
        <f t="shared" si="2"/>
        <v>14.548499464094322</v>
      </c>
      <c r="K36" s="4">
        <v>15.594149999999999</v>
      </c>
      <c r="L36" s="12">
        <f t="shared" si="3"/>
        <v>0.9329459742335634</v>
      </c>
      <c r="M36" s="12">
        <f t="shared" si="4"/>
        <v>9.3294597423356347</v>
      </c>
      <c r="Q36">
        <v>15</v>
      </c>
      <c r="T36">
        <v>87</v>
      </c>
      <c r="U36" s="24">
        <v>1.0089999999999999</v>
      </c>
      <c r="V36" s="24">
        <v>-86.456999999999994</v>
      </c>
      <c r="W36" s="4">
        <f t="shared" si="5"/>
        <v>85.447999999999993</v>
      </c>
      <c r="X36" s="19">
        <f t="shared" si="6"/>
        <v>5.72400857449089</v>
      </c>
      <c r="Y36">
        <v>2</v>
      </c>
      <c r="Z36" s="12">
        <f t="shared" si="7"/>
        <v>11.44801714898178</v>
      </c>
      <c r="AA36" s="12">
        <v>18.725850000000001</v>
      </c>
      <c r="AB36" s="12">
        <f t="shared" si="8"/>
        <v>0.61134833126302834</v>
      </c>
      <c r="AC36" s="12">
        <f t="shared" si="9"/>
        <v>6.113483312630283</v>
      </c>
      <c r="AD36" s="4"/>
      <c r="AF36" s="4"/>
      <c r="AG36" s="4"/>
      <c r="AH36" s="4"/>
      <c r="AI36" s="4"/>
      <c r="AJ36" s="4"/>
      <c r="AK36" s="4"/>
    </row>
    <row r="37" spans="1:37" x14ac:dyDescent="0.2">
      <c r="D37" s="4">
        <v>84</v>
      </c>
      <c r="E37" s="27">
        <v>-0.128</v>
      </c>
      <c r="F37" s="27">
        <v>-124.592</v>
      </c>
      <c r="G37" s="4">
        <f t="shared" si="0"/>
        <v>124.464</v>
      </c>
      <c r="H37" s="19">
        <f t="shared" si="1"/>
        <v>8.3376205787781359</v>
      </c>
      <c r="I37">
        <v>2</v>
      </c>
      <c r="J37" s="12">
        <f t="shared" si="2"/>
        <v>16.675241157556272</v>
      </c>
      <c r="K37" s="4">
        <v>16.861650000000001</v>
      </c>
      <c r="L37" s="12">
        <f t="shared" si="3"/>
        <v>0.98894480418916719</v>
      </c>
      <c r="M37" s="12">
        <f t="shared" si="4"/>
        <v>9.8894480418916721</v>
      </c>
      <c r="T37">
        <v>89</v>
      </c>
      <c r="U37" s="24">
        <v>-0.57999999999999996</v>
      </c>
      <c r="V37" s="24">
        <v>-235.113</v>
      </c>
      <c r="W37" s="4">
        <f t="shared" si="5"/>
        <v>234.53299999999999</v>
      </c>
      <c r="X37" s="19">
        <f t="shared" si="6"/>
        <v>15.710945873526262</v>
      </c>
      <c r="Y37">
        <v>2</v>
      </c>
      <c r="Z37" s="12">
        <f t="shared" si="7"/>
        <v>31.421891747052523</v>
      </c>
      <c r="AA37" s="12">
        <v>17.02535</v>
      </c>
      <c r="AB37" s="12">
        <f t="shared" si="8"/>
        <v>1.8455944663136161</v>
      </c>
      <c r="AC37" s="12">
        <f t="shared" si="9"/>
        <v>18.455944663136162</v>
      </c>
      <c r="AD37" s="4"/>
      <c r="AF37" s="4"/>
      <c r="AG37" s="4"/>
      <c r="AH37" s="4"/>
      <c r="AI37" s="4"/>
      <c r="AJ37" s="4"/>
      <c r="AK37" s="4"/>
    </row>
    <row r="38" spans="1:37" x14ac:dyDescent="0.2">
      <c r="D38" s="4">
        <v>85</v>
      </c>
      <c r="E38" s="27">
        <v>2.577</v>
      </c>
      <c r="F38" s="27">
        <v>-151.90299999999999</v>
      </c>
      <c r="G38" s="4">
        <f t="shared" si="0"/>
        <v>149.32599999999999</v>
      </c>
      <c r="H38" s="19">
        <f t="shared" si="1"/>
        <v>10.003081457663452</v>
      </c>
      <c r="I38">
        <v>2</v>
      </c>
      <c r="J38" s="12">
        <f t="shared" si="2"/>
        <v>20.006162915326904</v>
      </c>
      <c r="K38" s="4">
        <v>17.146799999999999</v>
      </c>
      <c r="L38" s="12">
        <f t="shared" si="3"/>
        <v>1.1667578157631107</v>
      </c>
      <c r="M38" s="12">
        <f t="shared" si="4"/>
        <v>11.667578157631107</v>
      </c>
      <c r="T38">
        <v>90</v>
      </c>
      <c r="U38" s="24">
        <v>4.548</v>
      </c>
      <c r="V38" s="24">
        <v>-172.91900000000001</v>
      </c>
      <c r="W38" s="4">
        <f t="shared" si="5"/>
        <v>168.37100000000001</v>
      </c>
      <c r="X38" s="19">
        <f t="shared" si="6"/>
        <v>11.278871918542338</v>
      </c>
      <c r="Y38">
        <v>2</v>
      </c>
      <c r="Z38" s="12">
        <f t="shared" si="7"/>
        <v>22.557743837084676</v>
      </c>
      <c r="AA38" s="12">
        <v>18.0974</v>
      </c>
      <c r="AB38" s="12">
        <f t="shared" si="8"/>
        <v>1.2464632398623379</v>
      </c>
      <c r="AC38" s="12">
        <f t="shared" si="9"/>
        <v>12.46463239862338</v>
      </c>
      <c r="AD38" s="4"/>
      <c r="AF38" s="4"/>
      <c r="AG38" s="4"/>
      <c r="AH38" s="4"/>
      <c r="AI38" s="4"/>
      <c r="AJ38" s="4"/>
      <c r="AK38" s="4"/>
    </row>
    <row r="39" spans="1:37" x14ac:dyDescent="0.2">
      <c r="D39" s="4">
        <v>86</v>
      </c>
      <c r="E39" s="27">
        <v>1.764</v>
      </c>
      <c r="F39" s="27">
        <v>-240.61500000000001</v>
      </c>
      <c r="G39" s="4">
        <f t="shared" si="0"/>
        <v>238.851</v>
      </c>
      <c r="H39" s="19">
        <f t="shared" si="1"/>
        <v>16.000200964630228</v>
      </c>
      <c r="I39">
        <v>2</v>
      </c>
      <c r="J39" s="12">
        <f t="shared" si="2"/>
        <v>32.000401929260455</v>
      </c>
      <c r="K39" s="4">
        <v>19.121950000000002</v>
      </c>
      <c r="L39" s="12">
        <f t="shared" si="3"/>
        <v>1.6734905137426075</v>
      </c>
      <c r="M39" s="12">
        <f t="shared" si="4"/>
        <v>16.734905137426075</v>
      </c>
      <c r="Q39">
        <v>15</v>
      </c>
      <c r="S39" t="s">
        <v>13</v>
      </c>
      <c r="T39">
        <v>53</v>
      </c>
      <c r="U39" s="24">
        <v>1.155</v>
      </c>
      <c r="V39" s="24">
        <v>-157.44399999999999</v>
      </c>
      <c r="W39" s="4">
        <f t="shared" si="5"/>
        <v>156.28899999999999</v>
      </c>
      <c r="X39" s="19">
        <f t="shared" si="6"/>
        <v>10.469520364415864</v>
      </c>
      <c r="Y39">
        <v>2</v>
      </c>
      <c r="Z39" s="12">
        <f t="shared" si="7"/>
        <v>20.939040728831728</v>
      </c>
      <c r="AA39" s="12">
        <v>18.863199999999999</v>
      </c>
      <c r="AB39" s="12">
        <f t="shared" si="8"/>
        <v>1.1100471144255337</v>
      </c>
      <c r="AC39" s="12">
        <f t="shared" si="9"/>
        <v>11.100471144255337</v>
      </c>
      <c r="AD39" s="23">
        <f>AVERAGE(AC39:AC50)</f>
        <v>12.950562175709853</v>
      </c>
      <c r="AE39" t="s">
        <v>13</v>
      </c>
      <c r="AF39" s="4"/>
      <c r="AG39" s="4"/>
      <c r="AH39" s="4"/>
      <c r="AI39" s="4"/>
      <c r="AJ39" s="4"/>
      <c r="AK39" s="4"/>
    </row>
    <row r="40" spans="1:37" x14ac:dyDescent="0.2">
      <c r="A40">
        <v>11</v>
      </c>
      <c r="C40" t="s">
        <v>13</v>
      </c>
      <c r="D40" s="4">
        <v>49</v>
      </c>
      <c r="E40" s="27">
        <v>3.8220000000000001</v>
      </c>
      <c r="F40" s="27">
        <v>-143.92699999999999</v>
      </c>
      <c r="G40" s="4">
        <f t="shared" si="0"/>
        <v>140.10499999999999</v>
      </c>
      <c r="H40" s="19">
        <f t="shared" si="1"/>
        <v>9.3853831725616299</v>
      </c>
      <c r="I40">
        <v>2</v>
      </c>
      <c r="J40" s="12">
        <f t="shared" si="2"/>
        <v>18.77076634512326</v>
      </c>
      <c r="K40" s="4">
        <v>17.616849999999999</v>
      </c>
      <c r="L40" s="12">
        <f t="shared" si="3"/>
        <v>1.0655007192048103</v>
      </c>
      <c r="M40" s="12">
        <f t="shared" si="4"/>
        <v>10.655007192048103</v>
      </c>
      <c r="T40">
        <v>54</v>
      </c>
      <c r="U40" s="24">
        <v>-2.1680000000000001</v>
      </c>
      <c r="V40" s="24">
        <v>-137.62299999999999</v>
      </c>
      <c r="W40" s="4">
        <f t="shared" si="5"/>
        <v>135.45499999999998</v>
      </c>
      <c r="X40" s="19">
        <f t="shared" si="6"/>
        <v>9.0738879957127541</v>
      </c>
      <c r="Y40">
        <v>2</v>
      </c>
      <c r="Z40" s="12">
        <f t="shared" si="7"/>
        <v>18.147775991425508</v>
      </c>
      <c r="AA40" s="12">
        <v>27.59815</v>
      </c>
      <c r="AB40" s="12">
        <f t="shared" si="8"/>
        <v>0.65757219202828843</v>
      </c>
      <c r="AC40" s="12">
        <f t="shared" si="9"/>
        <v>6.5757219202828843</v>
      </c>
      <c r="AD40" s="4"/>
      <c r="AF40" s="4"/>
      <c r="AG40" s="4"/>
      <c r="AH40" s="4"/>
      <c r="AI40" s="4"/>
      <c r="AJ40" s="4"/>
      <c r="AK40" s="4"/>
    </row>
    <row r="41" spans="1:37" x14ac:dyDescent="0.2">
      <c r="D41" s="4">
        <v>50</v>
      </c>
      <c r="E41" s="27">
        <v>1.613</v>
      </c>
      <c r="F41" s="27">
        <v>-237.268</v>
      </c>
      <c r="G41" s="4">
        <f t="shared" si="0"/>
        <v>235.655</v>
      </c>
      <c r="H41" s="19">
        <f t="shared" si="1"/>
        <v>15.786106645230442</v>
      </c>
      <c r="I41">
        <v>2</v>
      </c>
      <c r="J41" s="12">
        <f t="shared" si="2"/>
        <v>31.572213290460883</v>
      </c>
      <c r="K41" s="4">
        <v>21.4298</v>
      </c>
      <c r="L41" s="12">
        <f t="shared" si="3"/>
        <v>1.4732854851870238</v>
      </c>
      <c r="M41" s="12">
        <f t="shared" si="4"/>
        <v>14.732854851870238</v>
      </c>
      <c r="T41">
        <v>55</v>
      </c>
      <c r="U41" s="24">
        <v>2.1160000000000001</v>
      </c>
      <c r="V41" s="24">
        <v>-214.22200000000001</v>
      </c>
      <c r="W41" s="4">
        <f t="shared" si="5"/>
        <v>212.10599999999999</v>
      </c>
      <c r="X41" s="19">
        <f t="shared" si="6"/>
        <v>14.208601286173636</v>
      </c>
      <c r="Y41">
        <v>2</v>
      </c>
      <c r="Z41" s="12">
        <f t="shared" si="7"/>
        <v>28.417202572347271</v>
      </c>
      <c r="AA41" s="12">
        <v>19.565549999999998</v>
      </c>
      <c r="AB41" s="12">
        <f t="shared" si="8"/>
        <v>1.4524101071703721</v>
      </c>
      <c r="AC41" s="12">
        <f t="shared" si="9"/>
        <v>14.524101071703722</v>
      </c>
      <c r="AD41" s="4"/>
      <c r="AF41" s="4"/>
      <c r="AG41" s="4"/>
      <c r="AH41" s="4"/>
      <c r="AI41" s="4"/>
      <c r="AJ41" s="4"/>
      <c r="AK41" s="4"/>
    </row>
    <row r="42" spans="1:37" x14ac:dyDescent="0.2">
      <c r="D42" s="4">
        <v>51</v>
      </c>
      <c r="E42" s="27">
        <v>4.0629999999999997</v>
      </c>
      <c r="F42" s="27">
        <v>-113.24</v>
      </c>
      <c r="G42" s="4">
        <f t="shared" si="0"/>
        <v>109.17699999999999</v>
      </c>
      <c r="H42" s="19">
        <f t="shared" si="1"/>
        <v>7.3135718113612</v>
      </c>
      <c r="I42">
        <v>2</v>
      </c>
      <c r="J42" s="12">
        <f t="shared" si="2"/>
        <v>14.6271436227224</v>
      </c>
      <c r="K42" s="4">
        <v>20.648199999999999</v>
      </c>
      <c r="L42" s="12">
        <f t="shared" si="3"/>
        <v>0.70839800189471236</v>
      </c>
      <c r="M42" s="12">
        <f t="shared" si="4"/>
        <v>7.0839800189471234</v>
      </c>
      <c r="T42">
        <v>56</v>
      </c>
      <c r="U42" s="24">
        <v>3.3730000000000002</v>
      </c>
      <c r="V42" s="24">
        <v>-232.41499999999999</v>
      </c>
      <c r="W42" s="4">
        <f t="shared" si="5"/>
        <v>229.042</v>
      </c>
      <c r="X42" s="19">
        <f t="shared" si="6"/>
        <v>15.34311361200429</v>
      </c>
      <c r="Y42">
        <v>2</v>
      </c>
      <c r="Z42" s="12">
        <f t="shared" si="7"/>
        <v>30.686227224008579</v>
      </c>
      <c r="AA42" s="12">
        <v>19.544449999999998</v>
      </c>
      <c r="AB42" s="12">
        <f t="shared" si="8"/>
        <v>1.5700737152495252</v>
      </c>
      <c r="AC42" s="12">
        <f t="shared" si="9"/>
        <v>15.700737152495252</v>
      </c>
      <c r="AD42" s="4"/>
      <c r="AF42" s="4"/>
      <c r="AG42" s="4"/>
      <c r="AH42" s="4"/>
      <c r="AI42" s="4"/>
      <c r="AJ42" s="4"/>
      <c r="AK42" s="4"/>
    </row>
    <row r="43" spans="1:37" x14ac:dyDescent="0.2">
      <c r="D43" s="4">
        <v>52</v>
      </c>
      <c r="E43" s="27">
        <v>1.42</v>
      </c>
      <c r="F43" s="27">
        <v>-157.63300000000001</v>
      </c>
      <c r="G43" s="4">
        <f t="shared" si="0"/>
        <v>156.21300000000002</v>
      </c>
      <c r="H43" s="19">
        <f t="shared" si="1"/>
        <v>10.464429260450164</v>
      </c>
      <c r="I43">
        <v>2</v>
      </c>
      <c r="J43" s="12">
        <f t="shared" si="2"/>
        <v>20.928858520900327</v>
      </c>
      <c r="K43" s="4">
        <v>18.319199999999999</v>
      </c>
      <c r="L43" s="12">
        <f t="shared" si="3"/>
        <v>1.1424548299543829</v>
      </c>
      <c r="M43" s="12">
        <f t="shared" si="4"/>
        <v>11.424548299543829</v>
      </c>
      <c r="Q43">
        <v>14</v>
      </c>
      <c r="T43">
        <v>61</v>
      </c>
      <c r="U43" s="24">
        <v>1.091</v>
      </c>
      <c r="V43" s="24">
        <v>-88.06</v>
      </c>
      <c r="W43" s="4">
        <f t="shared" si="5"/>
        <v>86.969000000000008</v>
      </c>
      <c r="X43" s="19">
        <f t="shared" si="6"/>
        <v>5.8258976420150068</v>
      </c>
      <c r="Y43">
        <v>2</v>
      </c>
      <c r="Z43" s="12">
        <f t="shared" si="7"/>
        <v>11.651795284030014</v>
      </c>
      <c r="AA43" s="10">
        <v>18.187200000000001</v>
      </c>
      <c r="AB43" s="12">
        <f t="shared" si="8"/>
        <v>0.64065910552641492</v>
      </c>
      <c r="AC43" s="12">
        <f t="shared" si="9"/>
        <v>6.4065910552641494</v>
      </c>
      <c r="AD43" s="4"/>
      <c r="AF43" s="4"/>
      <c r="AG43" s="4"/>
      <c r="AH43" s="4"/>
      <c r="AI43" s="4"/>
      <c r="AJ43" s="4"/>
      <c r="AK43" s="4"/>
    </row>
    <row r="44" spans="1:37" x14ac:dyDescent="0.2">
      <c r="A44">
        <v>12</v>
      </c>
      <c r="D44" s="4">
        <v>57</v>
      </c>
      <c r="E44" s="27">
        <v>0.58199999999999996</v>
      </c>
      <c r="F44" s="27">
        <v>-125.36799999999999</v>
      </c>
      <c r="G44" s="4">
        <f t="shared" si="0"/>
        <v>124.786</v>
      </c>
      <c r="H44" s="19">
        <f t="shared" si="1"/>
        <v>8.359190782422294</v>
      </c>
      <c r="I44">
        <v>2</v>
      </c>
      <c r="J44" s="12">
        <f t="shared" si="2"/>
        <v>16.718381564844588</v>
      </c>
      <c r="K44" s="4">
        <v>18.73115</v>
      </c>
      <c r="L44" s="12">
        <f t="shared" si="3"/>
        <v>0.89254432134944139</v>
      </c>
      <c r="M44" s="12">
        <f t="shared" si="4"/>
        <v>8.9254432134944146</v>
      </c>
      <c r="T44">
        <v>62</v>
      </c>
      <c r="U44" s="24">
        <v>6.2510000000000003</v>
      </c>
      <c r="V44" s="24">
        <v>-220.82900000000001</v>
      </c>
      <c r="W44" s="4">
        <f t="shared" si="5"/>
        <v>214.578</v>
      </c>
      <c r="X44" s="19">
        <f t="shared" si="6"/>
        <v>14.374196141479102</v>
      </c>
      <c r="Y44">
        <v>2</v>
      </c>
      <c r="Z44" s="12">
        <f t="shared" si="7"/>
        <v>28.748392282958203</v>
      </c>
      <c r="AA44" s="10">
        <v>18.699449999999999</v>
      </c>
      <c r="AB44" s="12">
        <f t="shared" si="8"/>
        <v>1.5373923983303361</v>
      </c>
      <c r="AC44" s="12">
        <f t="shared" si="9"/>
        <v>15.373923983303362</v>
      </c>
      <c r="AD44" s="4"/>
      <c r="AF44" s="4"/>
      <c r="AG44" s="4"/>
      <c r="AH44" s="4"/>
      <c r="AI44" s="4"/>
      <c r="AJ44" s="4"/>
      <c r="AK44" s="4"/>
    </row>
    <row r="45" spans="1:37" x14ac:dyDescent="0.2">
      <c r="D45" s="4">
        <v>58</v>
      </c>
      <c r="E45" s="27">
        <v>1.4179999999999999</v>
      </c>
      <c r="F45" s="27">
        <v>-207.31100000000001</v>
      </c>
      <c r="G45" s="4">
        <f t="shared" si="0"/>
        <v>205.893</v>
      </c>
      <c r="H45" s="19">
        <f t="shared" si="1"/>
        <v>13.792403536977494</v>
      </c>
      <c r="I45">
        <v>2</v>
      </c>
      <c r="J45" s="12">
        <f t="shared" si="2"/>
        <v>27.584807073954988</v>
      </c>
      <c r="K45" s="4">
        <v>20.3947</v>
      </c>
      <c r="L45" s="12">
        <f t="shared" si="3"/>
        <v>1.3525478224222462</v>
      </c>
      <c r="M45" s="12">
        <f t="shared" si="4"/>
        <v>13.525478224222462</v>
      </c>
      <c r="T45">
        <v>64</v>
      </c>
      <c r="U45" s="24">
        <v>0.85299999999999998</v>
      </c>
      <c r="V45" s="24">
        <v>-204.804</v>
      </c>
      <c r="W45" s="4">
        <f t="shared" si="5"/>
        <v>203.95099999999999</v>
      </c>
      <c r="X45" s="19">
        <f t="shared" si="6"/>
        <v>13.662312433011792</v>
      </c>
      <c r="Y45">
        <v>2</v>
      </c>
      <c r="Z45" s="12">
        <f t="shared" si="7"/>
        <v>27.324624866023584</v>
      </c>
      <c r="AA45" s="10">
        <v>17.358049999999999</v>
      </c>
      <c r="AB45" s="12">
        <f t="shared" si="8"/>
        <v>1.5741759509866364</v>
      </c>
      <c r="AC45" s="12">
        <f t="shared" si="9"/>
        <v>15.741759509866364</v>
      </c>
      <c r="AD45" s="4"/>
      <c r="AF45" s="4"/>
      <c r="AG45" s="4"/>
      <c r="AH45" s="4"/>
      <c r="AI45" s="4"/>
      <c r="AJ45" s="4"/>
      <c r="AK45" s="4"/>
    </row>
    <row r="46" spans="1:37" x14ac:dyDescent="0.2">
      <c r="D46" s="4">
        <v>59</v>
      </c>
      <c r="E46" s="27">
        <v>-0.71899999999999997</v>
      </c>
      <c r="F46" s="27">
        <v>-289.142</v>
      </c>
      <c r="G46" s="4">
        <f t="shared" si="0"/>
        <v>288.423</v>
      </c>
      <c r="H46" s="19">
        <f t="shared" si="1"/>
        <v>19.320940514469456</v>
      </c>
      <c r="I46">
        <v>2</v>
      </c>
      <c r="J46" s="12">
        <f t="shared" si="2"/>
        <v>38.641881028938911</v>
      </c>
      <c r="K46" s="4">
        <v>19.908850000000001</v>
      </c>
      <c r="L46" s="12">
        <f t="shared" si="3"/>
        <v>1.9409398849727086</v>
      </c>
      <c r="M46" s="12">
        <f t="shared" si="4"/>
        <v>19.409398849727086</v>
      </c>
      <c r="Q46">
        <v>15</v>
      </c>
      <c r="T46">
        <v>96</v>
      </c>
      <c r="U46" s="24">
        <v>1.39</v>
      </c>
      <c r="V46" s="24">
        <v>-165.69399999999999</v>
      </c>
      <c r="W46" s="4">
        <f t="shared" si="5"/>
        <v>164.304</v>
      </c>
      <c r="X46" s="19">
        <f t="shared" si="6"/>
        <v>11.006430868167204</v>
      </c>
      <c r="Y46">
        <v>2</v>
      </c>
      <c r="Z46" s="12">
        <f t="shared" si="7"/>
        <v>22.012861736334408</v>
      </c>
      <c r="AA46" s="10">
        <v>20.294350000000001</v>
      </c>
      <c r="AB46" s="12">
        <f t="shared" si="8"/>
        <v>1.0846793189402177</v>
      </c>
      <c r="AC46" s="12">
        <f t="shared" si="9"/>
        <v>10.846793189402177</v>
      </c>
      <c r="AD46" s="4"/>
      <c r="AF46" s="4"/>
      <c r="AG46" s="4"/>
      <c r="AH46" s="4"/>
      <c r="AI46" s="4"/>
      <c r="AJ46" s="4"/>
      <c r="AK46" s="4"/>
    </row>
    <row r="47" spans="1:37" x14ac:dyDescent="0.2">
      <c r="D47" s="4">
        <v>60</v>
      </c>
      <c r="E47" s="27">
        <v>-1.478</v>
      </c>
      <c r="F47" s="27">
        <v>-272.40800000000002</v>
      </c>
      <c r="G47" s="4">
        <f t="shared" si="0"/>
        <v>270.93</v>
      </c>
      <c r="H47" s="19">
        <f t="shared" si="1"/>
        <v>18.149115755627012</v>
      </c>
      <c r="I47">
        <v>2</v>
      </c>
      <c r="J47" s="12">
        <f t="shared" si="2"/>
        <v>36.298231511254023</v>
      </c>
      <c r="K47" s="4">
        <v>19.063849999999999</v>
      </c>
      <c r="L47" s="12">
        <f t="shared" si="3"/>
        <v>1.9040346787901723</v>
      </c>
      <c r="M47" s="12">
        <f t="shared" si="4"/>
        <v>19.040346787901722</v>
      </c>
      <c r="T47">
        <v>97</v>
      </c>
      <c r="U47" s="24">
        <v>-0.92300000000000004</v>
      </c>
      <c r="V47" s="24">
        <v>-241.756</v>
      </c>
      <c r="W47" s="4">
        <f t="shared" si="5"/>
        <v>240.833</v>
      </c>
      <c r="X47" s="19">
        <f t="shared" si="6"/>
        <v>16.132971596998932</v>
      </c>
      <c r="Y47">
        <v>2</v>
      </c>
      <c r="Z47" s="12">
        <f t="shared" si="7"/>
        <v>32.265943193997863</v>
      </c>
      <c r="AA47" s="12">
        <v>19.174750000000003</v>
      </c>
      <c r="AB47" s="12">
        <f t="shared" si="8"/>
        <v>1.6827308410278026</v>
      </c>
      <c r="AC47" s="12">
        <f t="shared" si="9"/>
        <v>16.827308410278025</v>
      </c>
      <c r="AD47" s="4"/>
      <c r="AF47" s="4"/>
      <c r="AG47" s="4"/>
      <c r="AH47" s="4"/>
      <c r="AI47" s="4"/>
      <c r="AJ47" s="4"/>
      <c r="AK47" s="4"/>
    </row>
    <row r="48" spans="1:37" x14ac:dyDescent="0.2">
      <c r="A48">
        <v>12</v>
      </c>
      <c r="D48" s="4">
        <v>91</v>
      </c>
      <c r="E48" s="27">
        <v>1.327</v>
      </c>
      <c r="F48" s="27">
        <v>-248.09899999999999</v>
      </c>
      <c r="G48" s="4">
        <f t="shared" si="0"/>
        <v>246.77199999999999</v>
      </c>
      <c r="H48" s="19">
        <f t="shared" si="1"/>
        <v>16.530814576634516</v>
      </c>
      <c r="I48">
        <v>2</v>
      </c>
      <c r="J48" s="12">
        <f t="shared" si="2"/>
        <v>33.061629153269031</v>
      </c>
      <c r="K48" s="4">
        <v>17.812249999999999</v>
      </c>
      <c r="L48" s="12">
        <f t="shared" si="3"/>
        <v>1.8561175120082547</v>
      </c>
      <c r="M48" s="12">
        <f t="shared" si="4"/>
        <v>18.561175120082545</v>
      </c>
      <c r="T48">
        <v>98</v>
      </c>
      <c r="U48" s="24">
        <v>-1.556</v>
      </c>
      <c r="V48" s="24">
        <v>-185.51900000000001</v>
      </c>
      <c r="W48" s="4">
        <f t="shared" si="5"/>
        <v>183.96299999999999</v>
      </c>
      <c r="X48" s="19">
        <f t="shared" si="6"/>
        <v>12.323352090032156</v>
      </c>
      <c r="Y48">
        <v>2</v>
      </c>
      <c r="Z48" s="12">
        <f t="shared" si="7"/>
        <v>24.646704180064312</v>
      </c>
      <c r="AA48" s="12">
        <v>19.407149999999998</v>
      </c>
      <c r="AB48" s="12">
        <f t="shared" si="8"/>
        <v>1.2699806092117758</v>
      </c>
      <c r="AC48" s="12">
        <f t="shared" si="9"/>
        <v>12.699806092117758</v>
      </c>
      <c r="AD48" s="4"/>
      <c r="AF48" s="4"/>
      <c r="AG48" s="4"/>
      <c r="AH48" s="4"/>
      <c r="AI48" s="4"/>
      <c r="AJ48" s="4"/>
      <c r="AK48" s="4"/>
    </row>
    <row r="49" spans="1:37" x14ac:dyDescent="0.2">
      <c r="D49" s="4">
        <v>92</v>
      </c>
      <c r="E49" s="27">
        <v>1.673</v>
      </c>
      <c r="F49" s="27">
        <v>-226.18899999999999</v>
      </c>
      <c r="G49" s="4">
        <f t="shared" si="0"/>
        <v>224.51599999999999</v>
      </c>
      <c r="H49" s="19">
        <f t="shared" si="1"/>
        <v>15.039924973204718</v>
      </c>
      <c r="I49">
        <v>2</v>
      </c>
      <c r="J49" s="12">
        <f t="shared" si="2"/>
        <v>30.079849946409436</v>
      </c>
      <c r="K49" s="4">
        <v>20.077850000000002</v>
      </c>
      <c r="L49" s="12">
        <f t="shared" si="3"/>
        <v>1.4981609059938905</v>
      </c>
      <c r="M49" s="12">
        <f t="shared" si="4"/>
        <v>14.981609059938904</v>
      </c>
      <c r="T49">
        <v>99</v>
      </c>
      <c r="U49" s="24">
        <v>2.6280000000000001</v>
      </c>
      <c r="V49" s="24">
        <v>-221.89599999999999</v>
      </c>
      <c r="W49" s="4">
        <f t="shared" si="5"/>
        <v>219.26799999999997</v>
      </c>
      <c r="X49" s="19">
        <f t="shared" si="6"/>
        <v>14.688370846730976</v>
      </c>
      <c r="Y49">
        <v>2</v>
      </c>
      <c r="Z49" s="12">
        <f t="shared" si="7"/>
        <v>29.376741693461952</v>
      </c>
      <c r="AA49" s="12">
        <v>20.109500000000001</v>
      </c>
      <c r="AB49" s="12">
        <f t="shared" si="8"/>
        <v>1.4608389911962978</v>
      </c>
      <c r="AC49" s="12">
        <f t="shared" si="9"/>
        <v>14.608389911962977</v>
      </c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D50" s="4">
        <v>93</v>
      </c>
      <c r="E50" s="27">
        <v>-0.84499999999999997</v>
      </c>
      <c r="F50" s="27">
        <v>-198.88200000000001</v>
      </c>
      <c r="G50" s="4">
        <f t="shared" si="0"/>
        <v>198.03700000000001</v>
      </c>
      <c r="H50" s="19">
        <f t="shared" si="1"/>
        <v>13.266144158628084</v>
      </c>
      <c r="I50">
        <v>2</v>
      </c>
      <c r="J50" s="12">
        <f t="shared" si="2"/>
        <v>26.532288317256167</v>
      </c>
      <c r="K50" s="4">
        <v>19.486349999999998</v>
      </c>
      <c r="L50" s="12">
        <f t="shared" si="3"/>
        <v>1.3615832784105883</v>
      </c>
      <c r="M50" s="12">
        <f t="shared" si="4"/>
        <v>13.615832784105883</v>
      </c>
      <c r="T50">
        <v>100</v>
      </c>
      <c r="U50" s="24">
        <v>4.5579999999999998</v>
      </c>
      <c r="V50" s="24">
        <v>-234.393</v>
      </c>
      <c r="W50" s="4">
        <f t="shared" si="5"/>
        <v>229.83500000000001</v>
      </c>
      <c r="X50" s="19">
        <f t="shared" si="6"/>
        <v>15.396235262593786</v>
      </c>
      <c r="Y50">
        <v>2</v>
      </c>
      <c r="Z50" s="12">
        <f t="shared" si="7"/>
        <v>30.792470525187571</v>
      </c>
      <c r="AA50" s="12">
        <v>20.526750000000003</v>
      </c>
      <c r="AB50" s="12">
        <f t="shared" si="8"/>
        <v>1.5001142667586231</v>
      </c>
      <c r="AC50" s="12">
        <f t="shared" si="9"/>
        <v>15.001142667586231</v>
      </c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D51" s="4">
        <v>94</v>
      </c>
      <c r="E51" s="27">
        <v>-1.946</v>
      </c>
      <c r="F51" s="27">
        <v>-224.35400000000001</v>
      </c>
      <c r="G51" s="4">
        <f t="shared" si="0"/>
        <v>222.40800000000002</v>
      </c>
      <c r="H51" s="19">
        <f t="shared" si="1"/>
        <v>14.898713826366563</v>
      </c>
      <c r="I51">
        <v>2</v>
      </c>
      <c r="J51" s="12">
        <f t="shared" si="2"/>
        <v>29.797427652733127</v>
      </c>
      <c r="K51" s="4">
        <v>18.09215</v>
      </c>
      <c r="L51" s="12">
        <f t="shared" si="3"/>
        <v>1.6469810195434553</v>
      </c>
      <c r="M51" s="12">
        <f t="shared" si="4"/>
        <v>16.469810195434555</v>
      </c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D52" s="4">
        <v>95</v>
      </c>
      <c r="E52" s="27">
        <v>0.84899999999999998</v>
      </c>
      <c r="F52" s="27">
        <v>-130.66</v>
      </c>
      <c r="G52" s="4">
        <f t="shared" si="0"/>
        <v>129.81100000000001</v>
      </c>
      <c r="H52" s="19">
        <f t="shared" si="1"/>
        <v>8.6958065380493039</v>
      </c>
      <c r="I52">
        <v>2</v>
      </c>
      <c r="J52" s="12">
        <f t="shared" si="2"/>
        <v>17.391613076098608</v>
      </c>
      <c r="K52" s="4">
        <v>19.2804</v>
      </c>
      <c r="L52" s="12">
        <f t="shared" si="3"/>
        <v>0.90203590569171843</v>
      </c>
      <c r="M52" s="12">
        <f t="shared" si="4"/>
        <v>9.0203590569171848</v>
      </c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15"/>
      <c r="C53" s="4"/>
      <c r="D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15"/>
      <c r="C54" s="4"/>
      <c r="D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15"/>
      <c r="C55" s="4"/>
      <c r="D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15"/>
      <c r="C56" s="4"/>
      <c r="D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15"/>
      <c r="C57" s="4"/>
      <c r="D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15"/>
      <c r="C58" s="4"/>
      <c r="D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D64" s="4"/>
      <c r="AE64" s="4"/>
      <c r="AF64" s="4"/>
      <c r="AG64" s="4"/>
      <c r="AH64" s="4"/>
      <c r="AI64" s="4"/>
      <c r="AJ64" s="4"/>
      <c r="AK64" s="4"/>
    </row>
    <row r="65" spans="30:37" x14ac:dyDescent="0.2">
      <c r="AD65" s="4"/>
      <c r="AE65" s="4"/>
      <c r="AF65" s="4"/>
      <c r="AG65" s="4"/>
      <c r="AH65" s="4"/>
      <c r="AI65" s="4"/>
      <c r="AJ65" s="4"/>
      <c r="AK65" s="4"/>
    </row>
    <row r="66" spans="30:37" x14ac:dyDescent="0.2">
      <c r="AD66" s="4"/>
      <c r="AE66" s="4"/>
      <c r="AF66" s="4"/>
      <c r="AG66" s="4"/>
      <c r="AH66" s="4"/>
      <c r="AI66" s="4"/>
      <c r="AJ66" s="4"/>
      <c r="AK66" s="4"/>
    </row>
    <row r="67" spans="30:37" x14ac:dyDescent="0.2">
      <c r="AD67" s="4"/>
      <c r="AE67" s="4"/>
      <c r="AF67" s="4"/>
      <c r="AG67" s="4"/>
      <c r="AH67" s="4"/>
      <c r="AI67" s="4"/>
      <c r="AJ67" s="4"/>
      <c r="AK67" s="4"/>
    </row>
    <row r="68" spans="30:37" x14ac:dyDescent="0.2">
      <c r="AD68" s="4"/>
      <c r="AE68" s="4"/>
      <c r="AF68" s="4"/>
      <c r="AG68" s="4"/>
      <c r="AH68" s="4"/>
      <c r="AI68" s="4"/>
      <c r="AJ68" s="4"/>
      <c r="AK68" s="4"/>
    </row>
    <row r="69" spans="30:37" x14ac:dyDescent="0.2">
      <c r="AD69" s="4"/>
      <c r="AE69" s="4"/>
      <c r="AF69" s="4"/>
      <c r="AG69" s="4"/>
      <c r="AH69" s="4"/>
      <c r="AI69" s="4"/>
      <c r="AJ69" s="4"/>
      <c r="AK69" s="4"/>
    </row>
    <row r="70" spans="30:37" x14ac:dyDescent="0.2">
      <c r="AD70" s="4"/>
      <c r="AE70" s="4"/>
      <c r="AF70" s="4"/>
      <c r="AG70" s="4"/>
      <c r="AH70" s="4"/>
      <c r="AI70" s="4"/>
      <c r="AJ70" s="4"/>
      <c r="AK70" s="4"/>
    </row>
    <row r="71" spans="30:37" x14ac:dyDescent="0.2">
      <c r="AD71" s="4"/>
      <c r="AE71" s="4"/>
      <c r="AF71" s="4"/>
      <c r="AG71" s="4"/>
      <c r="AH71" s="4"/>
      <c r="AI71" s="4"/>
      <c r="AJ71" s="4"/>
      <c r="AK71" s="4"/>
    </row>
    <row r="72" spans="30:37" x14ac:dyDescent="0.2">
      <c r="AD72" s="4"/>
      <c r="AE72" s="4"/>
      <c r="AF72" s="4"/>
      <c r="AG72" s="4"/>
      <c r="AH72" s="4"/>
      <c r="AI72" s="4"/>
      <c r="AJ72" s="4"/>
      <c r="AK72" s="4"/>
    </row>
    <row r="73" spans="30:37" x14ac:dyDescent="0.2">
      <c r="AD73" s="4"/>
      <c r="AE73" s="4"/>
      <c r="AF73" s="4"/>
      <c r="AG73" s="4"/>
      <c r="AH73" s="4"/>
      <c r="AI73" s="4"/>
      <c r="AJ73" s="4"/>
      <c r="AK73" s="4"/>
    </row>
    <row r="74" spans="30:37" x14ac:dyDescent="0.2">
      <c r="AD74" s="4"/>
      <c r="AE74" s="4"/>
      <c r="AF74" s="4"/>
      <c r="AG74" s="4"/>
      <c r="AH74" s="4"/>
      <c r="AI74" s="4"/>
      <c r="AJ74" s="4"/>
      <c r="AK74" s="4"/>
    </row>
    <row r="75" spans="30:37" x14ac:dyDescent="0.2">
      <c r="AD75" s="4"/>
      <c r="AE75" s="4"/>
      <c r="AF75" s="4"/>
      <c r="AG75" s="4"/>
      <c r="AH75" s="4"/>
      <c r="AI75" s="4"/>
      <c r="AJ75" s="4"/>
      <c r="AK75" s="4"/>
    </row>
    <row r="76" spans="30:37" x14ac:dyDescent="0.2">
      <c r="AD76" s="4"/>
      <c r="AE76" s="4"/>
      <c r="AF76" s="4"/>
      <c r="AG76" s="4"/>
      <c r="AH76" s="4"/>
      <c r="AI76" s="4"/>
      <c r="AJ76" s="4"/>
      <c r="AK76" s="4"/>
    </row>
    <row r="77" spans="30:37" x14ac:dyDescent="0.2">
      <c r="AD77" s="4"/>
      <c r="AE77" s="4"/>
      <c r="AF77" s="4"/>
      <c r="AG77" s="4"/>
      <c r="AH77" s="4"/>
      <c r="AI77" s="4"/>
      <c r="AJ77" s="4"/>
      <c r="AK77" s="4"/>
    </row>
    <row r="78" spans="30:37" x14ac:dyDescent="0.2">
      <c r="AD78" s="4"/>
      <c r="AE78" s="4"/>
      <c r="AF78" s="4"/>
      <c r="AG78" s="4"/>
      <c r="AH78" s="4"/>
      <c r="AI78" s="4"/>
      <c r="AJ78" s="4"/>
      <c r="AK78" s="4"/>
    </row>
    <row r="79" spans="30:37" x14ac:dyDescent="0.2">
      <c r="AD79" s="4"/>
      <c r="AE79" s="4"/>
      <c r="AF79" s="4"/>
      <c r="AG79" s="4"/>
      <c r="AH79" s="4"/>
      <c r="AI79" s="4"/>
      <c r="AJ79" s="4"/>
      <c r="AK79" s="4"/>
    </row>
    <row r="80" spans="30:37" x14ac:dyDescent="0.2">
      <c r="AD80" s="4"/>
      <c r="AE80" s="4"/>
      <c r="AF80" s="4"/>
      <c r="AG80" s="4"/>
      <c r="AH80" s="4"/>
      <c r="AI80" s="4"/>
      <c r="AJ80" s="4"/>
      <c r="AK80" s="4"/>
    </row>
    <row r="81" spans="30:37" x14ac:dyDescent="0.2">
      <c r="AD81" s="4"/>
      <c r="AE81" s="4"/>
      <c r="AF81" s="4"/>
      <c r="AG81" s="4"/>
      <c r="AH81" s="4"/>
      <c r="AI81" s="4"/>
      <c r="AJ81" s="4"/>
      <c r="AK81" s="4"/>
    </row>
    <row r="82" spans="30:37" x14ac:dyDescent="0.2">
      <c r="AD82" s="4"/>
      <c r="AE82" s="4"/>
      <c r="AF82" s="4"/>
      <c r="AG82" s="4"/>
      <c r="AH82" s="4"/>
      <c r="AI82" s="4"/>
      <c r="AJ82" s="4"/>
      <c r="AK82" s="4"/>
    </row>
    <row r="83" spans="30:37" x14ac:dyDescent="0.2">
      <c r="AD83" s="4"/>
      <c r="AE83" s="4"/>
      <c r="AF83" s="4"/>
      <c r="AG83" s="4"/>
      <c r="AH83" s="4"/>
      <c r="AI83" s="4"/>
      <c r="AJ83" s="4"/>
      <c r="AK83" s="4"/>
    </row>
    <row r="84" spans="30:37" x14ac:dyDescent="0.2">
      <c r="AD84" s="4"/>
      <c r="AE84" s="4"/>
      <c r="AF84" s="4"/>
      <c r="AG84" s="4"/>
      <c r="AH84" s="4"/>
      <c r="AI84" s="4"/>
      <c r="AJ84" s="4"/>
      <c r="AK84" s="4"/>
    </row>
    <row r="85" spans="30:37" x14ac:dyDescent="0.2">
      <c r="AD85" s="4"/>
      <c r="AE85" s="4"/>
      <c r="AF85" s="4"/>
      <c r="AG85" s="4"/>
      <c r="AH85" s="4"/>
      <c r="AI85" s="4"/>
      <c r="AJ85" s="4"/>
      <c r="AK85" s="4"/>
    </row>
    <row r="86" spans="30:37" x14ac:dyDescent="0.2">
      <c r="AD86" s="4"/>
      <c r="AE86" s="4"/>
      <c r="AF86" s="4"/>
      <c r="AG86" s="4"/>
      <c r="AH86" s="4"/>
      <c r="AI86" s="4"/>
      <c r="AJ86" s="4"/>
      <c r="AK86" s="4"/>
    </row>
    <row r="87" spans="30:37" x14ac:dyDescent="0.2">
      <c r="AD87" s="4"/>
      <c r="AE87" s="4"/>
      <c r="AF87" s="4"/>
      <c r="AG87" s="4"/>
      <c r="AH87" s="4"/>
      <c r="AI87" s="4"/>
      <c r="AJ87" s="4"/>
      <c r="AK87" s="4"/>
    </row>
    <row r="88" spans="30:37" x14ac:dyDescent="0.2">
      <c r="AD88" s="4"/>
      <c r="AE88" s="4"/>
      <c r="AF88" s="4"/>
      <c r="AG88" s="4"/>
      <c r="AH88" s="4"/>
      <c r="AI88" s="4"/>
      <c r="AJ88" s="4"/>
      <c r="AK88" s="4"/>
    </row>
    <row r="89" spans="30:37" x14ac:dyDescent="0.2">
      <c r="AD89" s="4"/>
      <c r="AE89" s="4"/>
      <c r="AF89" s="4"/>
      <c r="AG89" s="4"/>
      <c r="AH89" s="4"/>
      <c r="AI89" s="4"/>
      <c r="AJ89" s="4"/>
      <c r="AK89" s="4"/>
    </row>
    <row r="90" spans="30:37" x14ac:dyDescent="0.2">
      <c r="AD90" s="4"/>
      <c r="AE90" s="4"/>
      <c r="AF90" s="4"/>
      <c r="AG90" s="4"/>
      <c r="AH90" s="4"/>
      <c r="AI90" s="4"/>
      <c r="AJ90" s="4"/>
      <c r="AK90" s="4"/>
    </row>
    <row r="91" spans="30:37" x14ac:dyDescent="0.2">
      <c r="AD91" s="4"/>
      <c r="AE91" s="4"/>
      <c r="AF91" s="4"/>
      <c r="AG91" s="4"/>
      <c r="AH91" s="4"/>
      <c r="AI91" s="4"/>
      <c r="AJ91" s="4"/>
      <c r="AK91" s="4"/>
    </row>
    <row r="92" spans="30:37" x14ac:dyDescent="0.2">
      <c r="AD92" s="4"/>
      <c r="AE92" s="4"/>
      <c r="AF92" s="4"/>
      <c r="AG92" s="4"/>
      <c r="AH92" s="4"/>
      <c r="AI92" s="4"/>
      <c r="AJ92" s="4"/>
      <c r="AK92" s="4"/>
    </row>
    <row r="93" spans="30:37" x14ac:dyDescent="0.2">
      <c r="AD93" s="4"/>
      <c r="AE93" s="4"/>
      <c r="AF93" s="4"/>
      <c r="AG93" s="4"/>
      <c r="AH93" s="4"/>
      <c r="AI93" s="4"/>
      <c r="AJ93" s="4"/>
      <c r="AK93" s="4"/>
    </row>
    <row r="94" spans="30:37" x14ac:dyDescent="0.2">
      <c r="AD94" s="4"/>
      <c r="AE94" s="4"/>
      <c r="AF94" s="4"/>
      <c r="AG94" s="4"/>
      <c r="AH94" s="4"/>
      <c r="AI94" s="4"/>
      <c r="AJ94" s="4"/>
      <c r="AK94" s="4"/>
    </row>
    <row r="95" spans="30:37" x14ac:dyDescent="0.2">
      <c r="AD95" s="4"/>
      <c r="AE95" s="4"/>
      <c r="AF95" s="4"/>
      <c r="AG95" s="4"/>
      <c r="AH95" s="4"/>
      <c r="AI95" s="4"/>
      <c r="AJ95" s="4"/>
      <c r="AK95" s="4"/>
    </row>
    <row r="96" spans="30:37" x14ac:dyDescent="0.2">
      <c r="AD96" s="4"/>
      <c r="AE96" s="4"/>
      <c r="AF96" s="4"/>
      <c r="AG96" s="4"/>
      <c r="AH96" s="4"/>
      <c r="AI96" s="4"/>
      <c r="AJ96" s="4"/>
      <c r="AK96" s="4"/>
    </row>
    <row r="97" spans="30:37" x14ac:dyDescent="0.2">
      <c r="AD97" s="4"/>
      <c r="AE97" s="4"/>
      <c r="AF97" s="4"/>
      <c r="AG97" s="4"/>
      <c r="AH97" s="4"/>
      <c r="AI97" s="4"/>
      <c r="AJ97" s="4"/>
      <c r="AK97" s="4"/>
    </row>
    <row r="98" spans="30:37" x14ac:dyDescent="0.2">
      <c r="AD98" s="4"/>
      <c r="AE98" s="4"/>
      <c r="AF98" s="4"/>
      <c r="AG98" s="4"/>
      <c r="AH98" s="4"/>
      <c r="AI98" s="4"/>
      <c r="AJ98" s="4"/>
      <c r="AK98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F4" workbookViewId="0">
      <selection activeCell="AC3" sqref="AC3"/>
    </sheetView>
  </sheetViews>
  <sheetFormatPr baseColWidth="10" defaultColWidth="8.796875" defaultRowHeight="15" x14ac:dyDescent="0.2"/>
  <cols>
    <col min="2" max="2" width="10.3984375" bestFit="1" customWidth="1"/>
    <col min="8" max="8" width="12.3984375" bestFit="1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bestFit="1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7" ht="20" x14ac:dyDescent="0.2">
      <c r="A1" s="14" t="s">
        <v>329</v>
      </c>
      <c r="B1" s="15"/>
      <c r="C1" s="4"/>
      <c r="M1" s="21"/>
      <c r="AG1" s="2" t="s">
        <v>329</v>
      </c>
      <c r="AH1" s="1"/>
      <c r="AI1" s="1"/>
      <c r="AJ1" s="1"/>
      <c r="AK1" s="1"/>
    </row>
    <row r="2" spans="1:37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329</v>
      </c>
      <c r="AJ2" s="5" t="s">
        <v>65</v>
      </c>
      <c r="AK2" s="5" t="s">
        <v>66</v>
      </c>
    </row>
    <row r="3" spans="1:37" x14ac:dyDescent="0.2">
      <c r="A3">
        <v>11</v>
      </c>
      <c r="B3" s="18" t="s">
        <v>9</v>
      </c>
      <c r="C3" t="s">
        <v>10</v>
      </c>
      <c r="D3" s="4">
        <v>1</v>
      </c>
      <c r="E3" s="27">
        <v>-6.2439999999999998</v>
      </c>
      <c r="F3" s="27">
        <v>-53.968000000000004</v>
      </c>
      <c r="G3" s="4">
        <f>IF(E3&lt;0,F3*-1+E3,F3*-1-E3)</f>
        <v>47.724000000000004</v>
      </c>
      <c r="H3" s="19">
        <f>(G3*250*1*1*1000)/(6.22*2*0.3*1000*1000*1)</f>
        <v>3.1969453376205799</v>
      </c>
      <c r="I3">
        <v>1</v>
      </c>
      <c r="J3" s="12">
        <f>H3*I3</f>
        <v>3.1969453376205799</v>
      </c>
      <c r="K3" s="4">
        <v>18.815650000000002</v>
      </c>
      <c r="L3" s="12">
        <f>J3/K3</f>
        <v>0.16990884384119495</v>
      </c>
      <c r="M3" s="12">
        <f>L3*10</f>
        <v>1.6990884384119496</v>
      </c>
      <c r="Q3">
        <v>15</v>
      </c>
      <c r="R3" s="18" t="s">
        <v>18</v>
      </c>
      <c r="S3" t="s">
        <v>10</v>
      </c>
      <c r="T3">
        <v>5</v>
      </c>
      <c r="U3" s="24">
        <v>-4.8970000000000002</v>
      </c>
      <c r="V3" s="24">
        <v>-31.317</v>
      </c>
      <c r="W3" s="4">
        <f>IF(U3&lt;0,V3*-1+U3,V3*-1-U3)</f>
        <v>26.42</v>
      </c>
      <c r="X3" s="19">
        <f>(W3*250*1*1*1000)/(6.22*2*0.3*1000*1000*1)</f>
        <v>1.7698285101822082</v>
      </c>
      <c r="Y3">
        <v>1</v>
      </c>
      <c r="Z3" s="12">
        <f>X3*Y3</f>
        <v>1.7698285101822082</v>
      </c>
      <c r="AA3" s="12">
        <v>17.822800000000001</v>
      </c>
      <c r="AB3" s="12">
        <f>Z3/AA3</f>
        <v>9.9301372970700907E-2</v>
      </c>
      <c r="AC3" s="12" t="s">
        <v>490</v>
      </c>
      <c r="AD3" s="23">
        <f>AVERAGE(AC3:AC14)</f>
        <v>1.2851140506957803</v>
      </c>
      <c r="AE3" t="s">
        <v>10</v>
      </c>
      <c r="AF3" s="4"/>
      <c r="AG3" s="4" t="s">
        <v>18</v>
      </c>
      <c r="AH3" s="4">
        <v>0</v>
      </c>
      <c r="AI3" s="23">
        <f>AVERAGE(AC3:AC14)</f>
        <v>1.2851140506957803</v>
      </c>
      <c r="AJ3" s="4">
        <f>COUNT(AC3:AC14)</f>
        <v>11</v>
      </c>
      <c r="AK3" s="4">
        <f>STDEV(AC3:AC14)/SQRT(AJ3)</f>
        <v>4.3262857085301837E-2</v>
      </c>
    </row>
    <row r="4" spans="1:37" x14ac:dyDescent="0.2">
      <c r="D4" s="4">
        <v>2</v>
      </c>
      <c r="E4" s="27">
        <v>-11.929</v>
      </c>
      <c r="F4" s="27">
        <v>-47.796999999999997</v>
      </c>
      <c r="G4" s="4">
        <f t="shared" ref="G4:G52" si="0">IF(E4&lt;0,F4*-1+E4,F4*-1-E4)</f>
        <v>35.867999999999995</v>
      </c>
      <c r="H4" s="19">
        <f t="shared" ref="H4:H52" si="1">(G4*250*1*1*1000)/(6.22*2*0.3*1000*1000*1)</f>
        <v>2.402733118971061</v>
      </c>
      <c r="I4">
        <v>1</v>
      </c>
      <c r="J4" s="12">
        <f t="shared" ref="J4:J52" si="2">H4*I4</f>
        <v>2.402733118971061</v>
      </c>
      <c r="K4" s="4">
        <v>21.588250000000002</v>
      </c>
      <c r="L4" s="12">
        <f t="shared" ref="L4:L52" si="3">J4/K4</f>
        <v>0.11129818855030217</v>
      </c>
      <c r="M4" s="12">
        <f t="shared" ref="M4:M52" si="4">L4*10</f>
        <v>1.1129818855030218</v>
      </c>
      <c r="T4">
        <v>6</v>
      </c>
      <c r="U4" s="24">
        <v>-5.2590000000000003</v>
      </c>
      <c r="V4" s="24">
        <v>-42.942999999999998</v>
      </c>
      <c r="W4" s="4">
        <f t="shared" ref="W4:W50" si="5">IF(U4&lt;0,V4*-1+U4,V4*-1-U4)</f>
        <v>37.683999999999997</v>
      </c>
      <c r="X4" s="19">
        <f t="shared" ref="X4:X50" si="6">(W4*250*1*1*1000)/(6.22*2*0.3*1000*1000*1)</f>
        <v>2.52438370846731</v>
      </c>
      <c r="Y4">
        <v>1</v>
      </c>
      <c r="Z4" s="12">
        <f t="shared" ref="Z4:Z50" si="7">X4*Y4</f>
        <v>2.52438370846731</v>
      </c>
      <c r="AA4" s="12">
        <v>19.3279</v>
      </c>
      <c r="AB4" s="12">
        <f t="shared" ref="AB4:AB50" si="8">Z4/AA4</f>
        <v>0.13060827655706569</v>
      </c>
      <c r="AC4" s="12">
        <f t="shared" ref="AC4:AC50" si="9">AB4*10</f>
        <v>1.3060827655706571</v>
      </c>
      <c r="AD4" s="4"/>
      <c r="AF4" s="4"/>
      <c r="AG4" s="4"/>
      <c r="AH4" s="4">
        <v>1</v>
      </c>
      <c r="AI4" s="23">
        <f>AVERAGE(AC15:AC27)</f>
        <v>1.3468985681244139</v>
      </c>
      <c r="AJ4" s="4">
        <f>COUNT(AC15:AC27)</f>
        <v>13</v>
      </c>
      <c r="AK4" s="4">
        <f>STDEV(AC15:AC27)/SQRT(AJ4)</f>
        <v>3.8068881359916505E-2</v>
      </c>
    </row>
    <row r="5" spans="1:37" x14ac:dyDescent="0.2">
      <c r="D5" s="4">
        <v>3</v>
      </c>
      <c r="E5" s="27">
        <v>-6.0540000000000003</v>
      </c>
      <c r="F5" s="27">
        <v>-52.042000000000002</v>
      </c>
      <c r="G5" s="4">
        <f t="shared" si="0"/>
        <v>45.988</v>
      </c>
      <c r="H5" s="19">
        <f t="shared" si="1"/>
        <v>3.0806538049303325</v>
      </c>
      <c r="I5">
        <v>1</v>
      </c>
      <c r="J5" s="12">
        <f t="shared" si="2"/>
        <v>3.0806538049303325</v>
      </c>
      <c r="K5" s="4">
        <v>21.028450000000003</v>
      </c>
      <c r="L5" s="12">
        <f t="shared" si="3"/>
        <v>0.14649932852541828</v>
      </c>
      <c r="M5" s="12">
        <f t="shared" si="4"/>
        <v>1.4649932852541827</v>
      </c>
      <c r="T5">
        <v>7</v>
      </c>
      <c r="U5" s="24">
        <v>-6.1459999999999999</v>
      </c>
      <c r="V5" s="24">
        <v>-49.887999999999998</v>
      </c>
      <c r="W5" s="4">
        <f t="shared" si="5"/>
        <v>43.741999999999997</v>
      </c>
      <c r="X5" s="19">
        <f t="shared" si="6"/>
        <v>2.9301982851018225</v>
      </c>
      <c r="Y5">
        <v>1</v>
      </c>
      <c r="Z5" s="12">
        <f t="shared" si="7"/>
        <v>2.9301982851018225</v>
      </c>
      <c r="AA5" s="12">
        <v>18.651949999999999</v>
      </c>
      <c r="AB5" s="12">
        <f t="shared" si="8"/>
        <v>0.15709876367360101</v>
      </c>
      <c r="AC5" s="12">
        <f t="shared" si="9"/>
        <v>1.5709876367360101</v>
      </c>
      <c r="AD5" s="4"/>
      <c r="AF5" s="4"/>
      <c r="AG5" s="4"/>
      <c r="AH5" s="4">
        <v>4</v>
      </c>
      <c r="AI5" s="23">
        <f>AVERAGE(AC28:AC38)</f>
        <v>1.3394146995114833</v>
      </c>
      <c r="AJ5" s="4">
        <f>COUNT(AC28:AC38)</f>
        <v>11</v>
      </c>
      <c r="AK5" s="4">
        <f>STDEV(AC28:AC38)/SQRT(AJ5)</f>
        <v>3.6531955300121578E-2</v>
      </c>
    </row>
    <row r="6" spans="1:37" x14ac:dyDescent="0.2">
      <c r="D6" s="4">
        <v>4</v>
      </c>
      <c r="E6" s="27">
        <v>-5.7439999999999998</v>
      </c>
      <c r="F6" s="27">
        <v>-53.133000000000003</v>
      </c>
      <c r="G6" s="4">
        <f t="shared" si="0"/>
        <v>47.389000000000003</v>
      </c>
      <c r="H6" s="19">
        <f t="shared" si="1"/>
        <v>3.174504287245445</v>
      </c>
      <c r="I6">
        <v>1</v>
      </c>
      <c r="J6" s="12">
        <f t="shared" si="2"/>
        <v>3.174504287245445</v>
      </c>
      <c r="K6" s="4">
        <v>20.046150000000001</v>
      </c>
      <c r="L6" s="12">
        <f t="shared" si="3"/>
        <v>0.15835979912578949</v>
      </c>
      <c r="M6" s="12">
        <f t="shared" si="4"/>
        <v>1.5835979912578948</v>
      </c>
      <c r="T6">
        <v>8</v>
      </c>
      <c r="U6" s="24">
        <v>-6.0519999999999996</v>
      </c>
      <c r="V6" s="24">
        <v>-43.594000000000001</v>
      </c>
      <c r="W6" s="4">
        <f t="shared" si="5"/>
        <v>37.542000000000002</v>
      </c>
      <c r="X6" s="19">
        <f t="shared" si="6"/>
        <v>2.5148713826366564</v>
      </c>
      <c r="Y6">
        <v>1</v>
      </c>
      <c r="Z6" s="12">
        <f t="shared" si="7"/>
        <v>2.5148713826366564</v>
      </c>
      <c r="AA6" s="12">
        <v>18.878999999999998</v>
      </c>
      <c r="AB6" s="12">
        <f t="shared" si="8"/>
        <v>0.1332099890161903</v>
      </c>
      <c r="AC6" s="12">
        <f t="shared" si="9"/>
        <v>1.332099890161903</v>
      </c>
      <c r="AD6" s="4"/>
      <c r="AF6" s="4"/>
      <c r="AG6" s="4"/>
      <c r="AH6" s="4">
        <v>24</v>
      </c>
      <c r="AI6" s="23">
        <f>AVERAGE(AC39,AC41:AC50)</f>
        <v>1.2966320258816268</v>
      </c>
      <c r="AJ6" s="4">
        <f>COUNT(AC39,AC41:AC50)</f>
        <v>11</v>
      </c>
      <c r="AK6" s="4">
        <f>STDEV(AC39,AC41:AC50)/SQRT(AJ6)</f>
        <v>4.3917193383604343E-2</v>
      </c>
    </row>
    <row r="7" spans="1:37" x14ac:dyDescent="0.2">
      <c r="A7">
        <v>12</v>
      </c>
      <c r="D7" s="4">
        <v>9</v>
      </c>
      <c r="E7" s="27">
        <v>-6.1470000000000002</v>
      </c>
      <c r="F7" s="27">
        <v>-44.268999999999998</v>
      </c>
      <c r="G7" s="4">
        <f t="shared" si="0"/>
        <v>38.122</v>
      </c>
      <c r="H7" s="19">
        <f t="shared" si="1"/>
        <v>2.5537245444801719</v>
      </c>
      <c r="I7">
        <v>1</v>
      </c>
      <c r="J7" s="12">
        <f t="shared" si="2"/>
        <v>2.5537245444801719</v>
      </c>
      <c r="K7" s="4">
        <v>18.255850000000002</v>
      </c>
      <c r="L7" s="12">
        <f t="shared" si="3"/>
        <v>0.13988527208977788</v>
      </c>
      <c r="M7" s="12">
        <f t="shared" si="4"/>
        <v>1.3988527208977788</v>
      </c>
      <c r="Q7">
        <v>14</v>
      </c>
      <c r="T7">
        <v>13</v>
      </c>
      <c r="U7" s="24">
        <v>-6.89</v>
      </c>
      <c r="V7" s="24">
        <v>-44.296999999999997</v>
      </c>
      <c r="W7" s="4">
        <f t="shared" si="5"/>
        <v>37.406999999999996</v>
      </c>
      <c r="X7" s="19">
        <f t="shared" si="6"/>
        <v>2.5058279742765275</v>
      </c>
      <c r="Y7">
        <v>1</v>
      </c>
      <c r="Z7" s="12">
        <f t="shared" si="7"/>
        <v>2.5058279742765275</v>
      </c>
      <c r="AA7" s="12">
        <v>20.563700000000001</v>
      </c>
      <c r="AB7" s="12">
        <f t="shared" si="8"/>
        <v>0.1218568630293443</v>
      </c>
      <c r="AC7" s="12">
        <f t="shared" si="9"/>
        <v>1.2185686302934431</v>
      </c>
      <c r="AD7" s="4"/>
      <c r="AF7" s="4"/>
      <c r="AG7" s="4"/>
      <c r="AH7" s="4"/>
      <c r="AI7" s="4"/>
      <c r="AJ7" s="4"/>
      <c r="AK7" s="4"/>
    </row>
    <row r="8" spans="1:37" x14ac:dyDescent="0.2">
      <c r="D8" s="4">
        <v>10</v>
      </c>
      <c r="E8" s="27">
        <v>-5.8380000000000001</v>
      </c>
      <c r="F8" s="27">
        <v>-33.777000000000001</v>
      </c>
      <c r="G8" s="4">
        <f t="shared" si="0"/>
        <v>27.939</v>
      </c>
      <c r="H8" s="19">
        <f t="shared" si="1"/>
        <v>1.871583601286174</v>
      </c>
      <c r="I8">
        <v>1</v>
      </c>
      <c r="J8" s="12">
        <f t="shared" si="2"/>
        <v>1.871583601286174</v>
      </c>
      <c r="K8" s="4">
        <v>16.666249999999998</v>
      </c>
      <c r="L8" s="12">
        <f t="shared" si="3"/>
        <v>0.11229782352275852</v>
      </c>
      <c r="M8" s="12">
        <f t="shared" si="4"/>
        <v>1.1229782352275852</v>
      </c>
      <c r="T8">
        <v>14</v>
      </c>
      <c r="U8" s="24">
        <v>-6.4870000000000001</v>
      </c>
      <c r="V8" s="24">
        <v>-43.095999999999997</v>
      </c>
      <c r="W8" s="4">
        <f t="shared" si="5"/>
        <v>36.608999999999995</v>
      </c>
      <c r="X8" s="19">
        <f t="shared" si="6"/>
        <v>2.4523713826366556</v>
      </c>
      <c r="Y8">
        <v>1</v>
      </c>
      <c r="Z8" s="12">
        <f t="shared" si="7"/>
        <v>2.4523713826366556</v>
      </c>
      <c r="AA8" s="12">
        <v>18.22945</v>
      </c>
      <c r="AB8" s="12">
        <f t="shared" si="8"/>
        <v>0.13452799632663934</v>
      </c>
      <c r="AC8" s="12">
        <f t="shared" si="9"/>
        <v>1.3452799632663934</v>
      </c>
      <c r="AD8" s="4"/>
      <c r="AF8" s="4"/>
      <c r="AG8" s="4" t="s">
        <v>9</v>
      </c>
      <c r="AH8" s="4">
        <v>0</v>
      </c>
      <c r="AI8" s="20">
        <f>AVERAGE(M3:M14)</f>
        <v>1.3147474089082445</v>
      </c>
      <c r="AJ8" s="4">
        <f>COUNT(M3:M14)</f>
        <v>12</v>
      </c>
      <c r="AK8" s="4">
        <f>STDEV(M3:M14)/SQRT(AJ8)</f>
        <v>6.03735837308889E-2</v>
      </c>
    </row>
    <row r="9" spans="1:37" x14ac:dyDescent="0.2">
      <c r="D9" s="4">
        <v>11</v>
      </c>
      <c r="E9" s="27">
        <v>-6.7359999999999998</v>
      </c>
      <c r="F9" s="27">
        <v>-46.563000000000002</v>
      </c>
      <c r="G9" s="4">
        <f t="shared" si="0"/>
        <v>39.827000000000005</v>
      </c>
      <c r="H9" s="19">
        <f t="shared" si="1"/>
        <v>2.6679394426580929</v>
      </c>
      <c r="I9">
        <v>1</v>
      </c>
      <c r="J9" s="12">
        <f t="shared" si="2"/>
        <v>2.6679394426580929</v>
      </c>
      <c r="K9" s="4">
        <v>21.820599999999999</v>
      </c>
      <c r="L9" s="12">
        <f t="shared" si="3"/>
        <v>0.12226700652860567</v>
      </c>
      <c r="M9" s="12">
        <f t="shared" si="4"/>
        <v>1.2226700652860567</v>
      </c>
      <c r="T9">
        <v>15</v>
      </c>
      <c r="U9" s="24">
        <v>-5.9969999999999999</v>
      </c>
      <c r="V9" s="24">
        <v>-40.408999999999999</v>
      </c>
      <c r="W9" s="4">
        <f t="shared" si="5"/>
        <v>34.411999999999999</v>
      </c>
      <c r="X9" s="19">
        <f t="shared" si="6"/>
        <v>2.3051982851018225</v>
      </c>
      <c r="Y9">
        <v>1</v>
      </c>
      <c r="Z9" s="12">
        <f t="shared" si="7"/>
        <v>2.3051982851018225</v>
      </c>
      <c r="AA9" s="12">
        <v>17.236600000000003</v>
      </c>
      <c r="AB9" s="12">
        <f t="shared" si="8"/>
        <v>0.13373857286830476</v>
      </c>
      <c r="AC9" s="12">
        <f t="shared" si="9"/>
        <v>1.3373857286830475</v>
      </c>
      <c r="AD9" s="4"/>
      <c r="AF9" s="4"/>
      <c r="AG9" s="4"/>
      <c r="AH9" s="4">
        <v>1</v>
      </c>
      <c r="AI9" s="20">
        <f>AVERAGE(M15:M17,M19:M27)</f>
        <v>1.3685791335179347</v>
      </c>
      <c r="AJ9" s="4">
        <f>COUNT(M15:M17,M19:M27)</f>
        <v>12</v>
      </c>
      <c r="AK9" s="4">
        <f>STDEV(M15:M17,M19:M27)/SQRT(AJ9)</f>
        <v>4.4009878981042777E-2</v>
      </c>
    </row>
    <row r="10" spans="1:37" x14ac:dyDescent="0.2">
      <c r="D10" s="4">
        <v>12</v>
      </c>
      <c r="E10" s="27">
        <v>-6.8440000000000003</v>
      </c>
      <c r="F10" s="27">
        <v>-44.165999999999997</v>
      </c>
      <c r="G10" s="4">
        <f t="shared" si="0"/>
        <v>37.321999999999996</v>
      </c>
      <c r="H10" s="19">
        <f t="shared" si="1"/>
        <v>2.50013397642015</v>
      </c>
      <c r="I10">
        <v>1</v>
      </c>
      <c r="J10" s="12">
        <f t="shared" si="2"/>
        <v>2.50013397642015</v>
      </c>
      <c r="K10" s="4">
        <v>18.741700000000002</v>
      </c>
      <c r="L10" s="12">
        <f t="shared" si="3"/>
        <v>0.13339953026780654</v>
      </c>
      <c r="M10" s="12">
        <f t="shared" si="4"/>
        <v>1.3339953026780655</v>
      </c>
      <c r="T10">
        <v>16</v>
      </c>
      <c r="U10" s="24">
        <v>-6.9989999999999997</v>
      </c>
      <c r="V10" s="24">
        <v>-41.838999999999999</v>
      </c>
      <c r="W10" s="4">
        <f t="shared" si="5"/>
        <v>34.839999999999996</v>
      </c>
      <c r="X10" s="19">
        <f t="shared" si="6"/>
        <v>2.3338692390139335</v>
      </c>
      <c r="Y10">
        <v>1</v>
      </c>
      <c r="Z10" s="12">
        <f t="shared" si="7"/>
        <v>2.3338692390139335</v>
      </c>
      <c r="AA10" s="12">
        <v>17.27355</v>
      </c>
      <c r="AB10" s="12">
        <f t="shared" si="8"/>
        <v>0.13511230980394495</v>
      </c>
      <c r="AC10" s="12">
        <f t="shared" si="9"/>
        <v>1.3511230980394495</v>
      </c>
      <c r="AD10" s="4"/>
      <c r="AF10" s="4"/>
      <c r="AG10" s="4"/>
      <c r="AH10" s="4">
        <v>4</v>
      </c>
      <c r="AI10" s="20">
        <f>AVERAGE(M28:M39)</f>
        <v>1.3666803152166935</v>
      </c>
      <c r="AJ10" s="4">
        <f>COUNT(M28:M39)</f>
        <v>12</v>
      </c>
      <c r="AK10" s="4">
        <f>STDEV(M28:M39)/SQRT(AJ10)</f>
        <v>5.4293918810257351E-2</v>
      </c>
    </row>
    <row r="11" spans="1:37" x14ac:dyDescent="0.2">
      <c r="A11">
        <v>12</v>
      </c>
      <c r="D11" s="4">
        <v>65</v>
      </c>
      <c r="E11" s="27">
        <v>-3.843</v>
      </c>
      <c r="F11" s="27">
        <v>-41.512999999999998</v>
      </c>
      <c r="G11" s="4">
        <f t="shared" si="0"/>
        <v>37.67</v>
      </c>
      <c r="H11" s="19">
        <f t="shared" si="1"/>
        <v>2.5234458735262595</v>
      </c>
      <c r="I11">
        <v>1</v>
      </c>
      <c r="J11" s="12">
        <f t="shared" si="2"/>
        <v>2.5234458735262595</v>
      </c>
      <c r="K11" s="4">
        <v>17.997049999999998</v>
      </c>
      <c r="L11" s="12">
        <f t="shared" si="3"/>
        <v>0.14021441700313439</v>
      </c>
      <c r="M11" s="12">
        <f t="shared" si="4"/>
        <v>1.402144170031344</v>
      </c>
      <c r="Q11">
        <v>15</v>
      </c>
      <c r="T11">
        <v>69</v>
      </c>
      <c r="U11" s="24">
        <v>-4.9989999999999997</v>
      </c>
      <c r="V11" s="24">
        <v>-35.793999999999997</v>
      </c>
      <c r="W11" s="4">
        <f t="shared" si="5"/>
        <v>30.794999999999998</v>
      </c>
      <c r="X11" s="19">
        <f t="shared" si="6"/>
        <v>2.06290192926045</v>
      </c>
      <c r="Y11">
        <v>1</v>
      </c>
      <c r="Z11" s="12">
        <f t="shared" si="7"/>
        <v>2.06290192926045</v>
      </c>
      <c r="AA11" s="12">
        <v>19.354299999999999</v>
      </c>
      <c r="AB11" s="12">
        <f t="shared" si="8"/>
        <v>0.10658623299527496</v>
      </c>
      <c r="AC11" s="12">
        <f t="shared" si="9"/>
        <v>1.0658623299527497</v>
      </c>
      <c r="AD11" s="4"/>
      <c r="AF11" s="4"/>
      <c r="AG11" s="4"/>
      <c r="AH11" s="4">
        <v>24</v>
      </c>
      <c r="AI11" s="20">
        <f>AVERAGE(M40:M52)</f>
        <v>1.329547570256717</v>
      </c>
      <c r="AJ11" s="4">
        <f>COUNT(M40:M52)</f>
        <v>13</v>
      </c>
      <c r="AK11" s="4">
        <f>STDEV(M40:M52)/SQRT(AJ11)</f>
        <v>3.1847058595496282E-2</v>
      </c>
    </row>
    <row r="12" spans="1:37" x14ac:dyDescent="0.2">
      <c r="D12" s="4">
        <v>66</v>
      </c>
      <c r="E12" s="27">
        <v>-3.8639999999999999</v>
      </c>
      <c r="F12" s="27">
        <v>-36.728000000000002</v>
      </c>
      <c r="G12" s="4">
        <f t="shared" si="0"/>
        <v>32.864000000000004</v>
      </c>
      <c r="H12" s="19">
        <f t="shared" si="1"/>
        <v>2.2015005359056814</v>
      </c>
      <c r="I12">
        <v>1</v>
      </c>
      <c r="J12" s="12">
        <f t="shared" si="2"/>
        <v>2.2015005359056814</v>
      </c>
      <c r="K12" s="4">
        <v>17.965400000000002</v>
      </c>
      <c r="L12" s="12">
        <f t="shared" si="3"/>
        <v>0.12254113662404852</v>
      </c>
      <c r="M12" s="12">
        <f t="shared" si="4"/>
        <v>1.2254113662404851</v>
      </c>
      <c r="T12">
        <v>70</v>
      </c>
      <c r="U12" s="24">
        <v>-5.6390000000000002</v>
      </c>
      <c r="V12" s="24">
        <v>-42.773000000000003</v>
      </c>
      <c r="W12" s="4">
        <f t="shared" si="5"/>
        <v>37.134</v>
      </c>
      <c r="X12" s="19">
        <f t="shared" si="6"/>
        <v>2.4875401929260454</v>
      </c>
      <c r="Y12">
        <v>1</v>
      </c>
      <c r="Z12" s="12">
        <f t="shared" si="7"/>
        <v>2.4875401929260454</v>
      </c>
      <c r="AA12" s="12">
        <v>19.169499999999999</v>
      </c>
      <c r="AB12" s="12">
        <f t="shared" si="8"/>
        <v>0.12976552298839539</v>
      </c>
      <c r="AC12" s="12">
        <f t="shared" si="9"/>
        <v>1.2976552298839539</v>
      </c>
      <c r="AD12" s="4"/>
      <c r="AF12" s="4"/>
      <c r="AG12" s="4"/>
      <c r="AH12" s="4"/>
      <c r="AI12" s="4"/>
      <c r="AJ12" s="4"/>
      <c r="AK12" s="4"/>
    </row>
    <row r="13" spans="1:37" x14ac:dyDescent="0.2">
      <c r="D13" s="4">
        <v>67</v>
      </c>
      <c r="E13" s="27">
        <v>-3.855</v>
      </c>
      <c r="F13" s="27">
        <v>-29.706</v>
      </c>
      <c r="G13" s="4">
        <f t="shared" si="0"/>
        <v>25.850999999999999</v>
      </c>
      <c r="H13" s="19">
        <f t="shared" si="1"/>
        <v>1.731712218649518</v>
      </c>
      <c r="I13">
        <v>1</v>
      </c>
      <c r="J13" s="12">
        <f t="shared" si="2"/>
        <v>1.731712218649518</v>
      </c>
      <c r="K13" s="4">
        <v>18.023500000000002</v>
      </c>
      <c r="L13" s="12">
        <f t="shared" si="3"/>
        <v>9.6080795553001239E-2</v>
      </c>
      <c r="M13" s="12">
        <f t="shared" si="4"/>
        <v>0.96080795553001241</v>
      </c>
      <c r="T13">
        <v>71</v>
      </c>
      <c r="U13" s="24">
        <v>-1.2170000000000001</v>
      </c>
      <c r="V13" s="24">
        <v>-37.31</v>
      </c>
      <c r="W13" s="4">
        <f t="shared" si="5"/>
        <v>36.093000000000004</v>
      </c>
      <c r="X13" s="19">
        <f t="shared" si="6"/>
        <v>2.4178054662379425</v>
      </c>
      <c r="Y13">
        <v>1</v>
      </c>
      <c r="Z13" s="12">
        <f t="shared" si="7"/>
        <v>2.4178054662379425</v>
      </c>
      <c r="AA13" s="12">
        <v>19.090250000000001</v>
      </c>
      <c r="AB13" s="12">
        <f t="shared" si="8"/>
        <v>0.12665132547965283</v>
      </c>
      <c r="AC13" s="12">
        <f t="shared" si="9"/>
        <v>1.2665132547965283</v>
      </c>
      <c r="AD13" s="4"/>
      <c r="AF13" s="4"/>
      <c r="AG13" s="4"/>
      <c r="AH13" s="4"/>
      <c r="AI13" s="4"/>
      <c r="AJ13" s="4"/>
      <c r="AK13" s="4"/>
    </row>
    <row r="14" spans="1:37" x14ac:dyDescent="0.2">
      <c r="D14" s="4">
        <v>68</v>
      </c>
      <c r="E14" s="27">
        <v>-2.9159999999999999</v>
      </c>
      <c r="F14" s="27">
        <v>-36.198</v>
      </c>
      <c r="G14" s="4">
        <f t="shared" si="0"/>
        <v>33.282000000000004</v>
      </c>
      <c r="H14" s="19">
        <f t="shared" si="1"/>
        <v>2.229501607717042</v>
      </c>
      <c r="I14">
        <v>1</v>
      </c>
      <c r="J14" s="12">
        <f t="shared" si="2"/>
        <v>2.229501607717042</v>
      </c>
      <c r="K14" s="4">
        <v>17.843899999999998</v>
      </c>
      <c r="L14" s="12">
        <f t="shared" si="3"/>
        <v>0.12494474905805582</v>
      </c>
      <c r="M14" s="12">
        <f t="shared" si="4"/>
        <v>1.2494474905805582</v>
      </c>
      <c r="T14">
        <v>72</v>
      </c>
      <c r="U14" s="24">
        <v>-5.5439999999999996</v>
      </c>
      <c r="V14" s="24">
        <v>-33.825000000000003</v>
      </c>
      <c r="W14" s="4">
        <f t="shared" si="5"/>
        <v>28.281000000000002</v>
      </c>
      <c r="X14" s="19">
        <f t="shared" si="6"/>
        <v>1.8944935691318332</v>
      </c>
      <c r="Y14">
        <v>1</v>
      </c>
      <c r="Z14" s="12">
        <f t="shared" si="7"/>
        <v>1.8944935691318332</v>
      </c>
      <c r="AA14" s="12">
        <v>18.134399999999999</v>
      </c>
      <c r="AB14" s="12">
        <f t="shared" si="8"/>
        <v>0.10446960302694511</v>
      </c>
      <c r="AC14" s="12">
        <f t="shared" si="9"/>
        <v>1.044696030269451</v>
      </c>
      <c r="AD14" s="4"/>
      <c r="AF14" s="4"/>
      <c r="AG14" s="4"/>
      <c r="AH14" s="4"/>
      <c r="AI14" s="4"/>
      <c r="AJ14" s="4"/>
      <c r="AK14" s="4"/>
    </row>
    <row r="15" spans="1:37" x14ac:dyDescent="0.2">
      <c r="A15">
        <v>11</v>
      </c>
      <c r="C15" t="s">
        <v>11</v>
      </c>
      <c r="D15" s="4">
        <v>17</v>
      </c>
      <c r="E15" s="27">
        <v>-6.7919999999999998</v>
      </c>
      <c r="F15" s="27">
        <v>-48.396000000000001</v>
      </c>
      <c r="G15" s="4">
        <f t="shared" si="0"/>
        <v>41.603999999999999</v>
      </c>
      <c r="H15" s="19">
        <f t="shared" si="1"/>
        <v>2.786977491961415</v>
      </c>
      <c r="I15">
        <v>1</v>
      </c>
      <c r="J15" s="12">
        <f t="shared" si="2"/>
        <v>2.786977491961415</v>
      </c>
      <c r="K15" s="4">
        <v>19.982800000000001</v>
      </c>
      <c r="L15" s="12">
        <f t="shared" si="3"/>
        <v>0.13946881778136272</v>
      </c>
      <c r="M15" s="12">
        <f t="shared" si="4"/>
        <v>1.3946881778136273</v>
      </c>
      <c r="Q15">
        <v>15</v>
      </c>
      <c r="S15" t="s">
        <v>11</v>
      </c>
      <c r="T15">
        <v>21</v>
      </c>
      <c r="U15" s="24">
        <v>-4.99</v>
      </c>
      <c r="V15" s="24">
        <v>-39.613999999999997</v>
      </c>
      <c r="W15" s="4">
        <f t="shared" si="5"/>
        <v>34.623999999999995</v>
      </c>
      <c r="X15" s="19">
        <f t="shared" si="6"/>
        <v>2.3193997856377275</v>
      </c>
      <c r="Y15">
        <v>1</v>
      </c>
      <c r="Z15" s="12">
        <f t="shared" si="7"/>
        <v>2.3193997856377275</v>
      </c>
      <c r="AA15" s="12">
        <v>18.361449999999998</v>
      </c>
      <c r="AB15" s="12">
        <f t="shared" si="8"/>
        <v>0.12631898818653908</v>
      </c>
      <c r="AC15" s="12">
        <f t="shared" si="9"/>
        <v>1.2631898818653908</v>
      </c>
      <c r="AD15" s="23">
        <f>AVERAGE(AC15:AC27)</f>
        <v>1.3468985681244139</v>
      </c>
      <c r="AE15" t="s">
        <v>11</v>
      </c>
      <c r="AF15" s="4"/>
      <c r="AG15" s="4"/>
      <c r="AH15" s="4"/>
      <c r="AI15" s="4"/>
      <c r="AJ15" s="4"/>
      <c r="AK15" s="4"/>
    </row>
    <row r="16" spans="1:37" x14ac:dyDescent="0.2">
      <c r="D16" s="4">
        <v>18</v>
      </c>
      <c r="E16" s="27">
        <v>-5.0460000000000003</v>
      </c>
      <c r="F16" s="27">
        <v>-38.258000000000003</v>
      </c>
      <c r="G16" s="4">
        <f t="shared" si="0"/>
        <v>33.212000000000003</v>
      </c>
      <c r="H16" s="19">
        <f t="shared" si="1"/>
        <v>2.22481243301179</v>
      </c>
      <c r="I16">
        <v>1</v>
      </c>
      <c r="J16" s="12">
        <f t="shared" si="2"/>
        <v>2.22481243301179</v>
      </c>
      <c r="K16" s="4">
        <v>19.62895</v>
      </c>
      <c r="L16" s="12">
        <f t="shared" si="3"/>
        <v>0.11334342555316458</v>
      </c>
      <c r="M16" s="12">
        <f t="shared" si="4"/>
        <v>1.1334342555316459</v>
      </c>
      <c r="T16">
        <v>22</v>
      </c>
      <c r="U16" s="24">
        <v>-5.2850000000000001</v>
      </c>
      <c r="V16" s="24">
        <v>-40.936</v>
      </c>
      <c r="W16" s="4">
        <f t="shared" si="5"/>
        <v>35.650999999999996</v>
      </c>
      <c r="X16" s="19">
        <f t="shared" si="6"/>
        <v>2.38819667738478</v>
      </c>
      <c r="Y16">
        <v>1</v>
      </c>
      <c r="Z16" s="12">
        <f t="shared" si="7"/>
        <v>2.38819667738478</v>
      </c>
      <c r="AA16" s="12">
        <v>18.937100000000001</v>
      </c>
      <c r="AB16" s="12">
        <f t="shared" si="8"/>
        <v>0.12611205925853378</v>
      </c>
      <c r="AC16" s="12">
        <f t="shared" si="9"/>
        <v>1.2611205925853377</v>
      </c>
      <c r="AD16" s="4"/>
      <c r="AF16" s="4"/>
      <c r="AG16" s="4"/>
      <c r="AH16" s="4"/>
      <c r="AI16" s="4"/>
      <c r="AJ16" s="4"/>
      <c r="AK16" s="4"/>
    </row>
    <row r="17" spans="1:37" x14ac:dyDescent="0.2">
      <c r="D17" s="4">
        <v>19</v>
      </c>
      <c r="E17" s="27">
        <v>-6.2759999999999998</v>
      </c>
      <c r="F17" s="27">
        <v>-47.04</v>
      </c>
      <c r="G17" s="4">
        <f t="shared" si="0"/>
        <v>40.763999999999996</v>
      </c>
      <c r="H17" s="19">
        <f t="shared" si="1"/>
        <v>2.730707395498392</v>
      </c>
      <c r="I17">
        <v>1</v>
      </c>
      <c r="J17" s="12">
        <f t="shared" si="2"/>
        <v>2.730707395498392</v>
      </c>
      <c r="K17" s="4">
        <v>18.783950000000001</v>
      </c>
      <c r="L17" s="12">
        <f t="shared" si="3"/>
        <v>0.14537450299316129</v>
      </c>
      <c r="M17" s="12">
        <f t="shared" si="4"/>
        <v>1.4537450299316128</v>
      </c>
      <c r="T17">
        <v>23</v>
      </c>
      <c r="U17" s="24">
        <v>-4.9870000000000001</v>
      </c>
      <c r="V17" s="24">
        <v>-46.917000000000002</v>
      </c>
      <c r="W17" s="4">
        <f t="shared" si="5"/>
        <v>41.93</v>
      </c>
      <c r="X17" s="19">
        <f t="shared" si="6"/>
        <v>2.8088156484458739</v>
      </c>
      <c r="Y17">
        <v>1</v>
      </c>
      <c r="Z17" s="12">
        <f t="shared" si="7"/>
        <v>2.8088156484458739</v>
      </c>
      <c r="AA17" s="12">
        <v>16.613399999999999</v>
      </c>
      <c r="AB17" s="12">
        <f t="shared" si="8"/>
        <v>0.1690692843395015</v>
      </c>
      <c r="AC17" s="12">
        <f t="shared" si="9"/>
        <v>1.690692843395015</v>
      </c>
      <c r="AD17" s="4"/>
      <c r="AF17" s="4"/>
      <c r="AG17" s="4"/>
      <c r="AH17" s="4"/>
      <c r="AI17" s="4"/>
      <c r="AJ17" s="4"/>
      <c r="AK17" s="4"/>
    </row>
    <row r="18" spans="1:37" x14ac:dyDescent="0.2">
      <c r="D18" s="8">
        <v>20</v>
      </c>
      <c r="E18" s="28">
        <v>-5.7329999999999997</v>
      </c>
      <c r="F18" s="28">
        <v>-47.621000000000002</v>
      </c>
      <c r="G18" s="8">
        <f t="shared" si="0"/>
        <v>41.888000000000005</v>
      </c>
      <c r="H18" s="30">
        <f t="shared" si="1"/>
        <v>2.8060021436227234</v>
      </c>
      <c r="I18" s="8">
        <v>1</v>
      </c>
      <c r="J18" s="13">
        <f t="shared" si="2"/>
        <v>2.8060021436227234</v>
      </c>
      <c r="K18" s="8">
        <v>12.710649999999998</v>
      </c>
      <c r="L18" s="13">
        <f t="shared" si="3"/>
        <v>0.22075992522984458</v>
      </c>
      <c r="M18" s="13">
        <f t="shared" si="4"/>
        <v>2.2075992522984458</v>
      </c>
      <c r="N18" t="s">
        <v>344</v>
      </c>
      <c r="T18">
        <v>24</v>
      </c>
      <c r="U18" s="24">
        <v>-5.7629999999999999</v>
      </c>
      <c r="V18" s="24">
        <v>-45.470999999999997</v>
      </c>
      <c r="W18" s="4">
        <f t="shared" si="5"/>
        <v>39.707999999999998</v>
      </c>
      <c r="X18" s="19">
        <f t="shared" si="6"/>
        <v>2.6599678456591644</v>
      </c>
      <c r="Y18">
        <v>1</v>
      </c>
      <c r="Z18" s="12">
        <f t="shared" si="7"/>
        <v>2.6599678456591644</v>
      </c>
      <c r="AA18" s="12">
        <v>18.535749999999997</v>
      </c>
      <c r="AB18" s="12">
        <f t="shared" si="8"/>
        <v>0.1435047325119925</v>
      </c>
      <c r="AC18" s="12">
        <f t="shared" si="9"/>
        <v>1.4350473251199249</v>
      </c>
      <c r="AD18" s="4"/>
      <c r="AF18" s="4"/>
      <c r="AG18" s="4"/>
      <c r="AH18" s="4"/>
      <c r="AI18" s="4"/>
      <c r="AJ18" s="4"/>
      <c r="AK18" s="4"/>
    </row>
    <row r="19" spans="1:37" x14ac:dyDescent="0.2">
      <c r="A19">
        <v>12</v>
      </c>
      <c r="D19" s="4">
        <v>25</v>
      </c>
      <c r="E19" s="27">
        <v>-6.6669999999999998</v>
      </c>
      <c r="F19" s="27">
        <v>-45.536000000000001</v>
      </c>
      <c r="G19" s="4">
        <f t="shared" si="0"/>
        <v>38.869</v>
      </c>
      <c r="H19" s="19">
        <f t="shared" si="1"/>
        <v>2.6037647374062169</v>
      </c>
      <c r="I19">
        <v>1</v>
      </c>
      <c r="J19" s="12">
        <f t="shared" si="2"/>
        <v>2.6037647374062169</v>
      </c>
      <c r="K19" s="4">
        <v>18.504049999999999</v>
      </c>
      <c r="L19" s="12">
        <f t="shared" si="3"/>
        <v>0.1407132350704963</v>
      </c>
      <c r="M19" s="12">
        <f t="shared" si="4"/>
        <v>1.4071323507049629</v>
      </c>
      <c r="Q19">
        <v>14</v>
      </c>
      <c r="T19">
        <v>29</v>
      </c>
      <c r="U19" s="24">
        <v>-5.4969999999999999</v>
      </c>
      <c r="V19" s="24">
        <v>-38.35</v>
      </c>
      <c r="W19" s="4">
        <f t="shared" si="5"/>
        <v>32.853000000000002</v>
      </c>
      <c r="X19" s="19">
        <f t="shared" si="6"/>
        <v>2.2007636655948555</v>
      </c>
      <c r="Y19">
        <v>1</v>
      </c>
      <c r="Z19" s="12">
        <f t="shared" si="7"/>
        <v>2.2007636655948555</v>
      </c>
      <c r="AA19" s="12">
        <v>19.296250000000001</v>
      </c>
      <c r="AB19" s="12">
        <f t="shared" si="8"/>
        <v>0.11405136571068759</v>
      </c>
      <c r="AC19" s="12">
        <f t="shared" si="9"/>
        <v>1.1405136571068759</v>
      </c>
      <c r="AD19" s="4"/>
      <c r="AF19" s="4"/>
      <c r="AG19" s="4"/>
      <c r="AH19" s="4"/>
      <c r="AI19" s="4"/>
      <c r="AJ19" s="4"/>
      <c r="AK19" s="4"/>
    </row>
    <row r="20" spans="1:37" x14ac:dyDescent="0.2">
      <c r="D20" s="4">
        <v>26</v>
      </c>
      <c r="E20" s="27">
        <v>-7.4470000000000001</v>
      </c>
      <c r="F20" s="27">
        <v>-50.124000000000002</v>
      </c>
      <c r="G20" s="4">
        <f t="shared" si="0"/>
        <v>42.677</v>
      </c>
      <c r="H20" s="19">
        <f t="shared" si="1"/>
        <v>2.8588558413719189</v>
      </c>
      <c r="I20">
        <v>1</v>
      </c>
      <c r="J20" s="12">
        <f t="shared" si="2"/>
        <v>2.8588558413719189</v>
      </c>
      <c r="K20" s="4">
        <v>17.63795</v>
      </c>
      <c r="L20" s="12">
        <f t="shared" si="3"/>
        <v>0.16208549414030082</v>
      </c>
      <c r="M20" s="12">
        <f t="shared" si="4"/>
        <v>1.6208549414030082</v>
      </c>
      <c r="T20">
        <v>30</v>
      </c>
      <c r="U20" s="24">
        <v>-6.0880000000000001</v>
      </c>
      <c r="V20" s="24">
        <v>-48.101999999999997</v>
      </c>
      <c r="W20" s="4">
        <f t="shared" si="5"/>
        <v>42.013999999999996</v>
      </c>
      <c r="X20" s="19">
        <f t="shared" si="6"/>
        <v>2.8144426580921755</v>
      </c>
      <c r="Y20">
        <v>1</v>
      </c>
      <c r="Z20" s="12">
        <f t="shared" si="7"/>
        <v>2.8144426580921755</v>
      </c>
      <c r="AA20" s="12">
        <v>20.458099999999998</v>
      </c>
      <c r="AB20" s="12">
        <f t="shared" si="8"/>
        <v>0.13757106760120322</v>
      </c>
      <c r="AC20" s="12">
        <f t="shared" si="9"/>
        <v>1.3757106760120321</v>
      </c>
      <c r="AD20" s="4"/>
      <c r="AF20" s="4"/>
      <c r="AG20" s="4"/>
      <c r="AH20" s="4"/>
      <c r="AI20" s="4"/>
      <c r="AJ20" s="4"/>
      <c r="AK20" s="4"/>
    </row>
    <row r="21" spans="1:37" x14ac:dyDescent="0.2">
      <c r="D21" s="4">
        <v>27</v>
      </c>
      <c r="E21" s="27">
        <v>-5.9539999999999997</v>
      </c>
      <c r="F21" s="27">
        <v>-48.054000000000002</v>
      </c>
      <c r="G21" s="4">
        <f t="shared" si="0"/>
        <v>42.1</v>
      </c>
      <c r="H21" s="19">
        <f t="shared" si="1"/>
        <v>2.8202036441586285</v>
      </c>
      <c r="I21">
        <v>1</v>
      </c>
      <c r="J21" s="12">
        <f t="shared" si="2"/>
        <v>2.8202036441586285</v>
      </c>
      <c r="K21" s="4">
        <v>18.989900000000002</v>
      </c>
      <c r="L21" s="12">
        <f t="shared" si="3"/>
        <v>0.1485107159152301</v>
      </c>
      <c r="M21" s="12">
        <f t="shared" si="4"/>
        <v>1.4851071591523011</v>
      </c>
      <c r="T21">
        <v>31</v>
      </c>
      <c r="U21" s="24">
        <v>-6.702</v>
      </c>
      <c r="V21" s="24">
        <v>-44.982999999999997</v>
      </c>
      <c r="W21" s="4">
        <f t="shared" si="5"/>
        <v>38.280999999999999</v>
      </c>
      <c r="X21" s="19">
        <f t="shared" si="6"/>
        <v>2.564375669882101</v>
      </c>
      <c r="Y21">
        <v>1</v>
      </c>
      <c r="Z21" s="12">
        <f t="shared" si="7"/>
        <v>2.564375669882101</v>
      </c>
      <c r="AA21" s="12">
        <v>19.7029</v>
      </c>
      <c r="AB21" s="12">
        <f t="shared" si="8"/>
        <v>0.13015219434104122</v>
      </c>
      <c r="AC21" s="12">
        <f t="shared" si="9"/>
        <v>1.3015219434104122</v>
      </c>
      <c r="AD21" s="4"/>
      <c r="AF21" s="4"/>
      <c r="AG21" s="4"/>
      <c r="AH21" s="4"/>
      <c r="AI21" s="4"/>
      <c r="AJ21" s="4"/>
      <c r="AK21" s="4"/>
    </row>
    <row r="22" spans="1:37" x14ac:dyDescent="0.2">
      <c r="D22" s="4">
        <v>28</v>
      </c>
      <c r="E22" s="27">
        <v>-8.1880000000000006</v>
      </c>
      <c r="F22" s="27">
        <v>-50.780999999999999</v>
      </c>
      <c r="G22" s="4">
        <f t="shared" si="0"/>
        <v>42.592999999999996</v>
      </c>
      <c r="H22" s="19">
        <f t="shared" si="1"/>
        <v>2.8532288317256165</v>
      </c>
      <c r="I22">
        <v>1</v>
      </c>
      <c r="J22" s="12">
        <f t="shared" si="2"/>
        <v>2.8532288317256165</v>
      </c>
      <c r="K22" s="4">
        <v>20.621799999999997</v>
      </c>
      <c r="L22" s="12">
        <f t="shared" si="3"/>
        <v>0.13835983433675125</v>
      </c>
      <c r="M22" s="12">
        <f t="shared" si="4"/>
        <v>1.3835983433675125</v>
      </c>
      <c r="T22">
        <v>32</v>
      </c>
      <c r="U22" s="24">
        <v>-5.2930000000000001</v>
      </c>
      <c r="V22" s="24">
        <v>-38.713000000000001</v>
      </c>
      <c r="W22" s="4">
        <f t="shared" si="5"/>
        <v>33.42</v>
      </c>
      <c r="X22" s="19">
        <f t="shared" si="6"/>
        <v>2.2387459807073959</v>
      </c>
      <c r="Y22">
        <v>1</v>
      </c>
      <c r="Z22" s="12">
        <f t="shared" si="7"/>
        <v>2.2387459807073959</v>
      </c>
      <c r="AA22" s="12">
        <v>18.271700000000003</v>
      </c>
      <c r="AB22" s="12">
        <f t="shared" si="8"/>
        <v>0.12252532499479499</v>
      </c>
      <c r="AC22" s="12">
        <f t="shared" si="9"/>
        <v>1.2252532499479498</v>
      </c>
      <c r="AD22" s="4"/>
      <c r="AF22" s="4"/>
      <c r="AG22" s="4"/>
      <c r="AH22" s="4"/>
      <c r="AI22" s="4"/>
      <c r="AJ22" s="4"/>
      <c r="AK22" s="4"/>
    </row>
    <row r="23" spans="1:37" x14ac:dyDescent="0.2">
      <c r="A23">
        <v>12</v>
      </c>
      <c r="D23" s="4">
        <v>73</v>
      </c>
      <c r="E23" s="27">
        <v>-3.9239999999999999</v>
      </c>
      <c r="F23" s="27">
        <v>-42.658999999999999</v>
      </c>
      <c r="G23" s="4">
        <f t="shared" si="0"/>
        <v>38.734999999999999</v>
      </c>
      <c r="H23" s="19">
        <f t="shared" si="1"/>
        <v>2.5947883172561634</v>
      </c>
      <c r="I23">
        <v>1</v>
      </c>
      <c r="J23" s="12">
        <f t="shared" si="2"/>
        <v>2.5947883172561634</v>
      </c>
      <c r="K23" s="4">
        <v>18.604400000000002</v>
      </c>
      <c r="L23" s="12">
        <f t="shared" si="3"/>
        <v>0.13947175492121019</v>
      </c>
      <c r="M23" s="12">
        <f t="shared" si="4"/>
        <v>1.394717549212102</v>
      </c>
      <c r="Q23">
        <v>15</v>
      </c>
      <c r="T23">
        <v>78</v>
      </c>
      <c r="U23" s="24">
        <v>-4.2370000000000001</v>
      </c>
      <c r="V23" s="24">
        <v>-41.850999999999999</v>
      </c>
      <c r="W23" s="4">
        <f t="shared" si="5"/>
        <v>37.613999999999997</v>
      </c>
      <c r="X23" s="19">
        <f t="shared" si="6"/>
        <v>2.519694533762058</v>
      </c>
      <c r="Y23">
        <v>1</v>
      </c>
      <c r="Z23" s="12">
        <f t="shared" si="7"/>
        <v>2.519694533762058</v>
      </c>
      <c r="AA23" s="12">
        <v>20.3736</v>
      </c>
      <c r="AB23" s="12">
        <f t="shared" si="8"/>
        <v>0.12367448726597449</v>
      </c>
      <c r="AC23" s="12">
        <f t="shared" si="9"/>
        <v>1.236744872659745</v>
      </c>
      <c r="AD23" s="4"/>
      <c r="AF23" s="4"/>
      <c r="AG23" s="4"/>
      <c r="AH23" s="4"/>
      <c r="AI23" s="4"/>
      <c r="AJ23" s="4"/>
      <c r="AK23" s="4"/>
    </row>
    <row r="24" spans="1:37" x14ac:dyDescent="0.2">
      <c r="D24" s="4">
        <v>74</v>
      </c>
      <c r="E24" s="27">
        <v>-5.9189999999999996</v>
      </c>
      <c r="F24" s="27">
        <v>-46.247</v>
      </c>
      <c r="G24" s="4">
        <f t="shared" si="0"/>
        <v>40.328000000000003</v>
      </c>
      <c r="H24" s="19">
        <f t="shared" si="1"/>
        <v>2.701500535905681</v>
      </c>
      <c r="I24">
        <v>1</v>
      </c>
      <c r="J24" s="12">
        <f t="shared" si="2"/>
        <v>2.701500535905681</v>
      </c>
      <c r="K24" s="4">
        <v>17.875599999999999</v>
      </c>
      <c r="L24" s="12">
        <f t="shared" si="3"/>
        <v>0.15112782429153043</v>
      </c>
      <c r="M24" s="12">
        <f t="shared" si="4"/>
        <v>1.5112782429153042</v>
      </c>
      <c r="T24">
        <v>79</v>
      </c>
      <c r="U24" s="24">
        <v>-3.9060000000000001</v>
      </c>
      <c r="V24" s="24">
        <v>-45.970999999999997</v>
      </c>
      <c r="W24" s="4">
        <f t="shared" si="5"/>
        <v>42.064999999999998</v>
      </c>
      <c r="X24" s="19">
        <f t="shared" si="6"/>
        <v>2.8178590568060025</v>
      </c>
      <c r="Y24">
        <v>1</v>
      </c>
      <c r="Z24" s="12">
        <f t="shared" si="7"/>
        <v>2.8178590568060025</v>
      </c>
      <c r="AA24" s="12">
        <v>20.389399999999998</v>
      </c>
      <c r="AB24" s="12">
        <f t="shared" si="8"/>
        <v>0.13820215684649881</v>
      </c>
      <c r="AC24" s="12">
        <f t="shared" si="9"/>
        <v>1.3820215684649881</v>
      </c>
      <c r="AD24" s="4"/>
      <c r="AF24" s="4"/>
      <c r="AG24" s="4"/>
      <c r="AH24" s="4"/>
      <c r="AI24" s="4"/>
      <c r="AJ24" s="4"/>
      <c r="AK24" s="4"/>
    </row>
    <row r="25" spans="1:37" x14ac:dyDescent="0.2">
      <c r="D25" s="4">
        <v>75</v>
      </c>
      <c r="E25" s="27">
        <v>-5.2190000000000003</v>
      </c>
      <c r="F25" s="27">
        <v>-40.789000000000001</v>
      </c>
      <c r="G25" s="4">
        <f t="shared" si="0"/>
        <v>35.57</v>
      </c>
      <c r="H25" s="19">
        <f t="shared" si="1"/>
        <v>2.3827706323687035</v>
      </c>
      <c r="I25">
        <v>1</v>
      </c>
      <c r="J25" s="12">
        <f t="shared" si="2"/>
        <v>2.3827706323687035</v>
      </c>
      <c r="K25" s="4">
        <v>18.97935</v>
      </c>
      <c r="L25" s="12">
        <f t="shared" si="3"/>
        <v>0.12554542870902868</v>
      </c>
      <c r="M25" s="12">
        <f t="shared" si="4"/>
        <v>1.2554542870902869</v>
      </c>
      <c r="T25">
        <v>80</v>
      </c>
      <c r="U25" s="24">
        <v>-2.5720000000000001</v>
      </c>
      <c r="V25" s="24">
        <v>-48.662999999999997</v>
      </c>
      <c r="W25" s="4">
        <f t="shared" si="5"/>
        <v>46.090999999999994</v>
      </c>
      <c r="X25" s="19">
        <f t="shared" si="6"/>
        <v>3.08755359056806</v>
      </c>
      <c r="Y25">
        <v>1</v>
      </c>
      <c r="Z25" s="12">
        <f t="shared" si="7"/>
        <v>3.08755359056806</v>
      </c>
      <c r="AA25" s="12">
        <v>21.2925</v>
      </c>
      <c r="AB25" s="12">
        <f t="shared" si="8"/>
        <v>0.14500662630353692</v>
      </c>
      <c r="AC25" s="12">
        <f t="shared" si="9"/>
        <v>1.4500662630353691</v>
      </c>
      <c r="AD25" s="4"/>
      <c r="AF25" s="4"/>
      <c r="AG25" s="4"/>
      <c r="AH25" s="4"/>
      <c r="AI25" s="4"/>
      <c r="AJ25" s="4"/>
      <c r="AK25" s="4"/>
    </row>
    <row r="26" spans="1:37" x14ac:dyDescent="0.2">
      <c r="D26" s="4">
        <v>76</v>
      </c>
      <c r="E26" s="27">
        <v>-4.4489999999999998</v>
      </c>
      <c r="F26" s="27">
        <v>-38.707999999999998</v>
      </c>
      <c r="G26" s="4">
        <f t="shared" si="0"/>
        <v>34.259</v>
      </c>
      <c r="H26" s="19">
        <f t="shared" si="1"/>
        <v>2.2949490889603434</v>
      </c>
      <c r="I26">
        <v>1</v>
      </c>
      <c r="J26" s="12">
        <f t="shared" si="2"/>
        <v>2.2949490889603434</v>
      </c>
      <c r="K26" s="4">
        <v>17.8809</v>
      </c>
      <c r="L26" s="12">
        <f t="shared" si="3"/>
        <v>0.12834639693529651</v>
      </c>
      <c r="M26" s="12">
        <f t="shared" si="4"/>
        <v>1.283463969352965</v>
      </c>
      <c r="T26">
        <v>81</v>
      </c>
      <c r="U26" s="24">
        <v>-3.0179999999999998</v>
      </c>
      <c r="V26" s="24">
        <v>-38.551000000000002</v>
      </c>
      <c r="W26" s="4">
        <f t="shared" si="5"/>
        <v>35.533000000000001</v>
      </c>
      <c r="X26" s="19">
        <f t="shared" si="6"/>
        <v>2.3802920685959275</v>
      </c>
      <c r="Y26">
        <v>1</v>
      </c>
      <c r="Z26" s="12">
        <f t="shared" si="7"/>
        <v>2.3802920685959275</v>
      </c>
      <c r="AA26" s="12">
        <v>17.315799999999999</v>
      </c>
      <c r="AB26" s="12">
        <f t="shared" si="8"/>
        <v>0.13746359212949605</v>
      </c>
      <c r="AC26" s="12">
        <f t="shared" si="9"/>
        <v>1.3746359212949604</v>
      </c>
      <c r="AD26" s="4"/>
      <c r="AF26" s="4"/>
      <c r="AG26" s="4"/>
      <c r="AH26" s="4"/>
      <c r="AI26" s="4"/>
      <c r="AJ26" s="4"/>
      <c r="AK26" s="4"/>
    </row>
    <row r="27" spans="1:37" x14ac:dyDescent="0.2">
      <c r="D27" s="4">
        <v>77</v>
      </c>
      <c r="E27" s="27">
        <v>-5.0670000000000002</v>
      </c>
      <c r="F27" s="27">
        <v>-37.700000000000003</v>
      </c>
      <c r="G27" s="4">
        <f t="shared" si="0"/>
        <v>32.633000000000003</v>
      </c>
      <c r="H27" s="19">
        <f t="shared" si="1"/>
        <v>2.1860262593783499</v>
      </c>
      <c r="I27">
        <v>1</v>
      </c>
      <c r="J27" s="12">
        <f t="shared" si="2"/>
        <v>2.1860262593783499</v>
      </c>
      <c r="K27" s="4">
        <v>19.882449999999999</v>
      </c>
      <c r="L27" s="12">
        <f t="shared" si="3"/>
        <v>0.10994752957398862</v>
      </c>
      <c r="M27" s="12">
        <f t="shared" si="4"/>
        <v>1.0994752957398863</v>
      </c>
      <c r="T27">
        <v>82</v>
      </c>
      <c r="U27" s="24">
        <v>-4.6920000000000002</v>
      </c>
      <c r="V27" s="24">
        <v>-40.988</v>
      </c>
      <c r="W27" s="4">
        <f t="shared" si="5"/>
        <v>36.295999999999999</v>
      </c>
      <c r="X27" s="19">
        <f t="shared" si="6"/>
        <v>2.431404072883173</v>
      </c>
      <c r="Y27">
        <v>1</v>
      </c>
      <c r="Z27" s="12">
        <f t="shared" si="7"/>
        <v>2.431404072883173</v>
      </c>
      <c r="AA27" s="12">
        <v>17.706600000000002</v>
      </c>
      <c r="AB27" s="12">
        <f t="shared" si="8"/>
        <v>0.13731625907193773</v>
      </c>
      <c r="AC27" s="12">
        <f t="shared" si="9"/>
        <v>1.3731625907193772</v>
      </c>
      <c r="AD27" s="4"/>
      <c r="AF27" s="4"/>
      <c r="AG27" s="4"/>
      <c r="AH27" s="4"/>
      <c r="AI27" s="4"/>
      <c r="AJ27" s="4"/>
      <c r="AK27" s="4"/>
    </row>
    <row r="28" spans="1:37" x14ac:dyDescent="0.2">
      <c r="A28">
        <v>11</v>
      </c>
      <c r="C28" t="s">
        <v>12</v>
      </c>
      <c r="D28" s="4">
        <v>33</v>
      </c>
      <c r="E28" s="27">
        <v>-6.5629999999999997</v>
      </c>
      <c r="F28" s="27">
        <v>-48.707999999999998</v>
      </c>
      <c r="G28" s="4">
        <f t="shared" si="0"/>
        <v>42.144999999999996</v>
      </c>
      <c r="H28" s="19">
        <f t="shared" si="1"/>
        <v>2.823218113612004</v>
      </c>
      <c r="I28">
        <v>1</v>
      </c>
      <c r="J28" s="12">
        <f t="shared" si="2"/>
        <v>2.823218113612004</v>
      </c>
      <c r="K28" s="4">
        <v>21.41395</v>
      </c>
      <c r="L28" s="12">
        <f t="shared" si="3"/>
        <v>0.13184013755575238</v>
      </c>
      <c r="M28" s="12">
        <f t="shared" si="4"/>
        <v>1.3184013755575239</v>
      </c>
      <c r="Q28">
        <v>15</v>
      </c>
      <c r="S28" t="s">
        <v>12</v>
      </c>
      <c r="T28">
        <v>37</v>
      </c>
      <c r="U28" s="24">
        <v>-5.7759999999999998</v>
      </c>
      <c r="V28" s="24">
        <v>-45.572000000000003</v>
      </c>
      <c r="W28" s="4">
        <f t="shared" si="5"/>
        <v>39.796000000000006</v>
      </c>
      <c r="X28" s="19">
        <f t="shared" si="6"/>
        <v>2.6658628081457674</v>
      </c>
      <c r="Y28">
        <v>1</v>
      </c>
      <c r="Z28" s="12">
        <f t="shared" si="7"/>
        <v>2.6658628081457674</v>
      </c>
      <c r="AA28" s="12">
        <v>18.065750000000001</v>
      </c>
      <c r="AB28" s="12">
        <f t="shared" si="8"/>
        <v>0.14756446912781188</v>
      </c>
      <c r="AC28" s="12">
        <f t="shared" si="9"/>
        <v>1.4756446912781187</v>
      </c>
      <c r="AD28" s="23">
        <f>AVERAGE(AC28:AC38)</f>
        <v>1.3394146995114833</v>
      </c>
      <c r="AE28" t="s">
        <v>12</v>
      </c>
      <c r="AF28" s="4"/>
      <c r="AG28" s="4"/>
      <c r="AH28" s="4"/>
      <c r="AI28" s="4"/>
      <c r="AJ28" s="4"/>
      <c r="AK28" s="4"/>
    </row>
    <row r="29" spans="1:37" x14ac:dyDescent="0.2">
      <c r="D29" s="4">
        <v>34</v>
      </c>
      <c r="E29" s="27">
        <v>-6.4269999999999996</v>
      </c>
      <c r="F29" s="27">
        <v>-52.042999999999999</v>
      </c>
      <c r="G29" s="4">
        <f t="shared" si="0"/>
        <v>45.616</v>
      </c>
      <c r="H29" s="19">
        <f t="shared" si="1"/>
        <v>3.0557341907824225</v>
      </c>
      <c r="I29">
        <v>1</v>
      </c>
      <c r="J29" s="12">
        <f t="shared" si="2"/>
        <v>3.0557341907824225</v>
      </c>
      <c r="K29" s="4">
        <v>19.977499999999999</v>
      </c>
      <c r="L29" s="12">
        <f t="shared" si="3"/>
        <v>0.15295878817581893</v>
      </c>
      <c r="M29" s="12">
        <f t="shared" si="4"/>
        <v>1.5295878817581894</v>
      </c>
      <c r="T29" s="4">
        <v>38</v>
      </c>
      <c r="U29" s="24">
        <v>-6.5839999999999996</v>
      </c>
      <c r="V29" s="24">
        <v>-39.734000000000002</v>
      </c>
      <c r="W29" s="4">
        <f t="shared" si="5"/>
        <v>33.150000000000006</v>
      </c>
      <c r="X29" s="19">
        <f t="shared" si="6"/>
        <v>2.2206591639871389</v>
      </c>
      <c r="Y29">
        <v>1</v>
      </c>
      <c r="Z29" s="12">
        <f t="shared" si="7"/>
        <v>2.2206591639871389</v>
      </c>
      <c r="AA29" s="12">
        <v>16.777149999999999</v>
      </c>
      <c r="AB29" s="12">
        <f t="shared" si="8"/>
        <v>0.13236212133688613</v>
      </c>
      <c r="AC29" s="12">
        <f t="shared" si="9"/>
        <v>1.3236212133688614</v>
      </c>
      <c r="AD29" s="4"/>
      <c r="AF29" s="4"/>
      <c r="AG29" s="4"/>
      <c r="AH29" s="4"/>
      <c r="AI29" s="4"/>
      <c r="AJ29" s="4"/>
      <c r="AK29" s="4"/>
    </row>
    <row r="30" spans="1:37" x14ac:dyDescent="0.2">
      <c r="D30" s="4">
        <v>35</v>
      </c>
      <c r="E30" s="27">
        <v>-8.8480000000000008</v>
      </c>
      <c r="F30" s="27">
        <v>-47.395000000000003</v>
      </c>
      <c r="G30" s="4">
        <f t="shared" si="0"/>
        <v>38.547000000000004</v>
      </c>
      <c r="H30" s="19">
        <f t="shared" si="1"/>
        <v>2.5821945337620589</v>
      </c>
      <c r="I30">
        <v>1</v>
      </c>
      <c r="J30" s="12">
        <f t="shared" si="2"/>
        <v>2.5821945337620589</v>
      </c>
      <c r="K30" s="4">
        <v>19.966950000000001</v>
      </c>
      <c r="L30" s="12">
        <f t="shared" si="3"/>
        <v>0.12932343366222979</v>
      </c>
      <c r="M30" s="12">
        <f t="shared" si="4"/>
        <v>1.2932343366222978</v>
      </c>
      <c r="T30">
        <v>39</v>
      </c>
      <c r="U30" s="24">
        <v>-5.37</v>
      </c>
      <c r="V30" s="24">
        <v>-43.603000000000002</v>
      </c>
      <c r="W30" s="4">
        <f t="shared" si="5"/>
        <v>38.233000000000004</v>
      </c>
      <c r="X30" s="19">
        <f t="shared" si="6"/>
        <v>2.5611602357985004</v>
      </c>
      <c r="Y30">
        <v>1</v>
      </c>
      <c r="Z30" s="12">
        <f t="shared" si="7"/>
        <v>2.5611602357985004</v>
      </c>
      <c r="AA30" s="12">
        <v>16.956699999999998</v>
      </c>
      <c r="AB30" s="12">
        <f t="shared" si="8"/>
        <v>0.15104119526785875</v>
      </c>
      <c r="AC30" s="12">
        <f t="shared" si="9"/>
        <v>1.5104119526785875</v>
      </c>
      <c r="AD30" s="4"/>
      <c r="AF30" s="4"/>
      <c r="AG30" s="4"/>
      <c r="AH30" s="4"/>
      <c r="AI30" s="4"/>
      <c r="AJ30" s="4"/>
      <c r="AK30" s="4"/>
    </row>
    <row r="31" spans="1:37" x14ac:dyDescent="0.2">
      <c r="D31" s="4">
        <v>36</v>
      </c>
      <c r="E31" s="27">
        <v>-0.37</v>
      </c>
      <c r="F31" s="27">
        <v>-47.92</v>
      </c>
      <c r="G31" s="4">
        <f t="shared" si="0"/>
        <v>47.550000000000004</v>
      </c>
      <c r="H31" s="19">
        <f t="shared" si="1"/>
        <v>3.1852893890675249</v>
      </c>
      <c r="I31">
        <v>1</v>
      </c>
      <c r="J31" s="12">
        <f t="shared" si="2"/>
        <v>3.1852893890675249</v>
      </c>
      <c r="K31" s="4">
        <v>20.537299999999998</v>
      </c>
      <c r="L31" s="12">
        <f t="shared" si="3"/>
        <v>0.15509776791825242</v>
      </c>
      <c r="M31" s="12">
        <f t="shared" si="4"/>
        <v>1.550977679182524</v>
      </c>
      <c r="T31">
        <v>40</v>
      </c>
      <c r="U31" s="24">
        <v>-5.9420000000000002</v>
      </c>
      <c r="V31" s="24">
        <v>-40.857999999999997</v>
      </c>
      <c r="W31" s="4">
        <f t="shared" si="5"/>
        <v>34.915999999999997</v>
      </c>
      <c r="X31" s="19">
        <f t="shared" si="6"/>
        <v>2.338960342979636</v>
      </c>
      <c r="Y31">
        <v>1</v>
      </c>
      <c r="Z31" s="12">
        <f t="shared" si="7"/>
        <v>2.338960342979636</v>
      </c>
      <c r="AA31" s="12">
        <v>17.19435</v>
      </c>
      <c r="AB31" s="12">
        <f t="shared" si="8"/>
        <v>0.13603075097224587</v>
      </c>
      <c r="AC31" s="12">
        <f t="shared" si="9"/>
        <v>1.3603075097224586</v>
      </c>
      <c r="AD31" s="4"/>
      <c r="AF31" s="4"/>
      <c r="AG31" s="4"/>
      <c r="AH31" s="4"/>
      <c r="AI31" s="4"/>
      <c r="AJ31" s="4"/>
      <c r="AK31" s="4"/>
    </row>
    <row r="32" spans="1:37" x14ac:dyDescent="0.2">
      <c r="A32">
        <v>12</v>
      </c>
      <c r="B32" t="s">
        <v>222</v>
      </c>
      <c r="D32" s="4">
        <v>41</v>
      </c>
      <c r="E32" s="27">
        <v>-8.6989999999999998</v>
      </c>
      <c r="F32" s="27">
        <v>-49.923999999999999</v>
      </c>
      <c r="G32" s="4">
        <f t="shared" si="0"/>
        <v>41.225000000000001</v>
      </c>
      <c r="H32" s="19">
        <f t="shared" si="1"/>
        <v>2.76158896034298</v>
      </c>
      <c r="I32">
        <v>1</v>
      </c>
      <c r="J32" s="12">
        <f t="shared" si="2"/>
        <v>2.76158896034298</v>
      </c>
      <c r="K32" s="4">
        <v>21.683299999999999</v>
      </c>
      <c r="L32" s="12">
        <f t="shared" si="3"/>
        <v>0.12736017858642273</v>
      </c>
      <c r="M32" s="12">
        <f t="shared" si="4"/>
        <v>1.2736017858642272</v>
      </c>
      <c r="Q32">
        <v>14</v>
      </c>
      <c r="T32">
        <v>45</v>
      </c>
      <c r="U32" s="24">
        <v>-7.99</v>
      </c>
      <c r="V32" s="24">
        <v>-52.13</v>
      </c>
      <c r="W32" s="4">
        <f t="shared" si="5"/>
        <v>44.14</v>
      </c>
      <c r="X32" s="19">
        <f t="shared" si="6"/>
        <v>2.956859592711683</v>
      </c>
      <c r="Y32">
        <v>1</v>
      </c>
      <c r="Z32" s="12">
        <f t="shared" si="7"/>
        <v>2.956859592711683</v>
      </c>
      <c r="AA32" s="12">
        <v>21.762500000000003</v>
      </c>
      <c r="AB32" s="12">
        <f t="shared" si="8"/>
        <v>0.13586948157204745</v>
      </c>
      <c r="AC32" s="12">
        <f t="shared" si="9"/>
        <v>1.3586948157204746</v>
      </c>
      <c r="AD32" s="4"/>
      <c r="AF32" s="4"/>
      <c r="AG32" s="4"/>
      <c r="AH32" s="4"/>
      <c r="AI32" s="4"/>
      <c r="AJ32" s="4"/>
      <c r="AK32" s="4"/>
    </row>
    <row r="33" spans="1:37" x14ac:dyDescent="0.2">
      <c r="D33" s="4">
        <v>42</v>
      </c>
      <c r="E33" s="27">
        <v>-6.3070000000000004</v>
      </c>
      <c r="F33" s="27">
        <v>-47.701999999999998</v>
      </c>
      <c r="G33" s="4">
        <f t="shared" si="0"/>
        <v>41.394999999999996</v>
      </c>
      <c r="H33" s="19">
        <f t="shared" si="1"/>
        <v>2.772976956055734</v>
      </c>
      <c r="I33">
        <v>1</v>
      </c>
      <c r="J33" s="12">
        <f t="shared" si="2"/>
        <v>2.772976956055734</v>
      </c>
      <c r="K33" s="4">
        <v>19.9194</v>
      </c>
      <c r="L33" s="12">
        <f t="shared" si="3"/>
        <v>0.13920986355290491</v>
      </c>
      <c r="M33" s="12">
        <f t="shared" si="4"/>
        <v>1.392098635529049</v>
      </c>
      <c r="T33">
        <v>46</v>
      </c>
      <c r="U33" s="24">
        <v>-7.2789999999999999</v>
      </c>
      <c r="V33" s="24">
        <v>-42.658999999999999</v>
      </c>
      <c r="W33" s="4">
        <f t="shared" si="5"/>
        <v>35.379999999999995</v>
      </c>
      <c r="X33" s="19">
        <f t="shared" si="6"/>
        <v>2.370042872454448</v>
      </c>
      <c r="Y33">
        <v>1</v>
      </c>
      <c r="Z33" s="12">
        <f t="shared" si="7"/>
        <v>2.370042872454448</v>
      </c>
      <c r="AA33" s="12">
        <v>19.62895</v>
      </c>
      <c r="AB33" s="12">
        <f t="shared" si="8"/>
        <v>0.12074221353941235</v>
      </c>
      <c r="AC33" s="12">
        <f t="shared" si="9"/>
        <v>1.2074221353941235</v>
      </c>
      <c r="AD33" s="4"/>
      <c r="AF33" s="4"/>
      <c r="AG33" s="4"/>
      <c r="AH33" s="4"/>
      <c r="AI33" s="4"/>
      <c r="AJ33" s="4"/>
      <c r="AK33" s="4"/>
    </row>
    <row r="34" spans="1:37" x14ac:dyDescent="0.2">
      <c r="D34" s="4">
        <v>43</v>
      </c>
      <c r="E34" s="27">
        <v>-7.048</v>
      </c>
      <c r="F34" s="27">
        <v>-57.338000000000001</v>
      </c>
      <c r="G34" s="4">
        <f t="shared" si="0"/>
        <v>50.29</v>
      </c>
      <c r="H34" s="19">
        <f t="shared" si="1"/>
        <v>3.3688370846730979</v>
      </c>
      <c r="I34">
        <v>1</v>
      </c>
      <c r="J34" s="12">
        <f t="shared" si="2"/>
        <v>3.3688370846730979</v>
      </c>
      <c r="K34" s="4">
        <v>22.126899999999999</v>
      </c>
      <c r="L34" s="12">
        <f t="shared" si="3"/>
        <v>0.15225074839553204</v>
      </c>
      <c r="M34" s="12">
        <f t="shared" si="4"/>
        <v>1.5225074839553203</v>
      </c>
      <c r="T34">
        <v>47</v>
      </c>
      <c r="U34" s="24">
        <v>-9.0069999999999997</v>
      </c>
      <c r="V34" s="24">
        <v>-50.942</v>
      </c>
      <c r="W34" s="4">
        <f t="shared" si="5"/>
        <v>41.935000000000002</v>
      </c>
      <c r="X34" s="19">
        <f t="shared" si="6"/>
        <v>2.809150589496249</v>
      </c>
      <c r="Y34">
        <v>1</v>
      </c>
      <c r="Z34" s="12">
        <f t="shared" si="7"/>
        <v>2.809150589496249</v>
      </c>
      <c r="AA34" s="12">
        <v>19.507450000000002</v>
      </c>
      <c r="AB34" s="12">
        <f t="shared" si="8"/>
        <v>0.14400398768143702</v>
      </c>
      <c r="AC34" s="12">
        <f t="shared" si="9"/>
        <v>1.4400398768143701</v>
      </c>
      <c r="AD34" s="4"/>
      <c r="AF34" s="4"/>
      <c r="AG34" s="4"/>
      <c r="AH34" s="4"/>
      <c r="AI34" s="4"/>
      <c r="AJ34" s="4"/>
      <c r="AK34" s="4"/>
    </row>
    <row r="35" spans="1:37" x14ac:dyDescent="0.2">
      <c r="D35" s="4">
        <v>44</v>
      </c>
      <c r="E35" s="27">
        <v>-5.5949999999999998</v>
      </c>
      <c r="F35" s="27">
        <v>-57.618000000000002</v>
      </c>
      <c r="G35" s="4">
        <f t="shared" si="0"/>
        <v>52.023000000000003</v>
      </c>
      <c r="H35" s="19">
        <f t="shared" si="1"/>
        <v>3.4849276527331194</v>
      </c>
      <c r="I35">
        <v>1</v>
      </c>
      <c r="J35" s="12">
        <f t="shared" si="2"/>
        <v>3.4849276527331194</v>
      </c>
      <c r="K35" s="4">
        <v>20.579549999999998</v>
      </c>
      <c r="L35" s="12">
        <f t="shared" si="3"/>
        <v>0.16933935157635224</v>
      </c>
      <c r="M35" s="12">
        <f t="shared" si="4"/>
        <v>1.6933935157635225</v>
      </c>
      <c r="T35">
        <v>48</v>
      </c>
      <c r="U35" s="24">
        <v>-4.9160000000000004</v>
      </c>
      <c r="V35" s="24">
        <v>-37.164999999999999</v>
      </c>
      <c r="W35" s="4">
        <f t="shared" si="5"/>
        <v>32.248999999999995</v>
      </c>
      <c r="X35" s="19">
        <f t="shared" si="6"/>
        <v>2.160302786709539</v>
      </c>
      <c r="Y35">
        <v>1</v>
      </c>
      <c r="Z35" s="12">
        <f t="shared" si="7"/>
        <v>2.160302786709539</v>
      </c>
      <c r="AA35" s="12">
        <v>17.595700000000001</v>
      </c>
      <c r="AB35" s="12">
        <f t="shared" si="8"/>
        <v>0.1227744725534954</v>
      </c>
      <c r="AC35" s="12">
        <f t="shared" si="9"/>
        <v>1.2277447255349541</v>
      </c>
      <c r="AD35" s="4"/>
      <c r="AF35" s="4"/>
      <c r="AG35" s="4"/>
      <c r="AH35" s="4"/>
      <c r="AI35" s="4"/>
      <c r="AJ35" s="4"/>
      <c r="AK35" s="4"/>
    </row>
    <row r="36" spans="1:37" x14ac:dyDescent="0.2">
      <c r="A36">
        <v>12</v>
      </c>
      <c r="D36" s="4">
        <v>83</v>
      </c>
      <c r="E36" s="27">
        <v>-5.5439999999999996</v>
      </c>
      <c r="F36" s="27">
        <v>-37.545000000000002</v>
      </c>
      <c r="G36" s="4">
        <f t="shared" si="0"/>
        <v>32.001000000000005</v>
      </c>
      <c r="H36" s="19">
        <f t="shared" si="1"/>
        <v>2.1436897106109329</v>
      </c>
      <c r="I36">
        <v>1</v>
      </c>
      <c r="J36" s="12">
        <f t="shared" si="2"/>
        <v>2.1436897106109329</v>
      </c>
      <c r="K36" s="4">
        <v>15.594149999999999</v>
      </c>
      <c r="L36" s="12">
        <f t="shared" si="3"/>
        <v>0.13746755742447861</v>
      </c>
      <c r="M36" s="12">
        <f t="shared" si="4"/>
        <v>1.374675574244786</v>
      </c>
      <c r="Q36">
        <v>15</v>
      </c>
      <c r="T36">
        <v>87</v>
      </c>
      <c r="U36" s="24">
        <v>-5.2539999999999996</v>
      </c>
      <c r="V36" s="24">
        <v>-42.51</v>
      </c>
      <c r="W36" s="4">
        <f t="shared" si="5"/>
        <v>37.256</v>
      </c>
      <c r="X36" s="19">
        <f t="shared" si="6"/>
        <v>2.4957127545551985</v>
      </c>
      <c r="Y36">
        <v>1</v>
      </c>
      <c r="Z36" s="12">
        <f t="shared" si="7"/>
        <v>2.4957127545551985</v>
      </c>
      <c r="AA36" s="12">
        <v>18.725850000000001</v>
      </c>
      <c r="AB36" s="12">
        <f t="shared" si="8"/>
        <v>0.13327634016908169</v>
      </c>
      <c r="AC36" s="12">
        <f t="shared" si="9"/>
        <v>1.332763401690817</v>
      </c>
      <c r="AD36" s="4"/>
      <c r="AF36" s="4"/>
      <c r="AG36" s="4"/>
      <c r="AH36" s="4"/>
      <c r="AI36" s="4"/>
      <c r="AJ36" s="4"/>
      <c r="AK36" s="4"/>
    </row>
    <row r="37" spans="1:37" x14ac:dyDescent="0.2">
      <c r="D37" s="4">
        <v>84</v>
      </c>
      <c r="E37" s="27">
        <v>-4.34</v>
      </c>
      <c r="F37" s="27">
        <v>-30.466000000000001</v>
      </c>
      <c r="G37" s="4">
        <f t="shared" si="0"/>
        <v>26.126000000000001</v>
      </c>
      <c r="H37" s="19">
        <f t="shared" si="1"/>
        <v>1.7501339764201502</v>
      </c>
      <c r="I37">
        <v>1</v>
      </c>
      <c r="J37" s="12">
        <f t="shared" si="2"/>
        <v>1.7501339764201502</v>
      </c>
      <c r="K37" s="4">
        <v>16.861650000000001</v>
      </c>
      <c r="L37" s="12">
        <f t="shared" si="3"/>
        <v>0.10379375544031279</v>
      </c>
      <c r="M37" s="12">
        <f t="shared" si="4"/>
        <v>1.037937554403128</v>
      </c>
      <c r="T37">
        <v>89</v>
      </c>
      <c r="U37" s="24">
        <v>-4.4589999999999996</v>
      </c>
      <c r="V37" s="24">
        <v>-39.843000000000004</v>
      </c>
      <c r="W37" s="4">
        <f t="shared" si="5"/>
        <v>35.384</v>
      </c>
      <c r="X37" s="19">
        <f t="shared" si="6"/>
        <v>2.3703108252947485</v>
      </c>
      <c r="Y37">
        <v>1</v>
      </c>
      <c r="Z37" s="12">
        <f t="shared" si="7"/>
        <v>2.3703108252947485</v>
      </c>
      <c r="AA37" s="12">
        <v>17.02535</v>
      </c>
      <c r="AB37" s="12">
        <f t="shared" si="8"/>
        <v>0.13922244331510064</v>
      </c>
      <c r="AC37" s="12">
        <f t="shared" si="9"/>
        <v>1.3922244331510063</v>
      </c>
      <c r="AD37" s="4"/>
      <c r="AF37" s="4"/>
      <c r="AG37" s="4"/>
      <c r="AH37" s="4"/>
      <c r="AI37" s="4"/>
      <c r="AJ37" s="4"/>
      <c r="AK37" s="4"/>
    </row>
    <row r="38" spans="1:37" x14ac:dyDescent="0.2">
      <c r="D38" s="4">
        <v>85</v>
      </c>
      <c r="E38" s="27">
        <v>-5.2119999999999997</v>
      </c>
      <c r="F38" s="27">
        <v>-38.747999999999998</v>
      </c>
      <c r="G38" s="4">
        <f t="shared" si="0"/>
        <v>33.536000000000001</v>
      </c>
      <c r="H38" s="19">
        <f t="shared" si="1"/>
        <v>2.246516613076099</v>
      </c>
      <c r="I38">
        <v>1</v>
      </c>
      <c r="J38" s="12">
        <f t="shared" si="2"/>
        <v>2.246516613076099</v>
      </c>
      <c r="K38" s="4">
        <v>17.146799999999999</v>
      </c>
      <c r="L38" s="12">
        <f t="shared" si="3"/>
        <v>0.13101666859566211</v>
      </c>
      <c r="M38" s="12">
        <f t="shared" si="4"/>
        <v>1.310166685956621</v>
      </c>
      <c r="T38">
        <v>90</v>
      </c>
      <c r="U38" s="24">
        <v>-5.0640000000000001</v>
      </c>
      <c r="V38" s="24">
        <v>-34.908000000000001</v>
      </c>
      <c r="W38" s="4">
        <f t="shared" si="5"/>
        <v>29.844000000000001</v>
      </c>
      <c r="X38" s="19">
        <f t="shared" si="6"/>
        <v>1.9991961414791</v>
      </c>
      <c r="Y38">
        <v>1</v>
      </c>
      <c r="Z38" s="12">
        <f t="shared" si="7"/>
        <v>1.9991961414791</v>
      </c>
      <c r="AA38" s="12">
        <v>18.0974</v>
      </c>
      <c r="AB38" s="12">
        <f t="shared" si="8"/>
        <v>0.11046869392725474</v>
      </c>
      <c r="AC38" s="12">
        <f t="shared" si="9"/>
        <v>1.1046869392725474</v>
      </c>
      <c r="AD38" s="4"/>
      <c r="AF38" s="4"/>
      <c r="AG38" s="4"/>
      <c r="AH38" s="4"/>
      <c r="AI38" s="4"/>
      <c r="AJ38" s="4"/>
      <c r="AK38" s="4"/>
    </row>
    <row r="39" spans="1:37" x14ac:dyDescent="0.2">
      <c r="D39" s="4">
        <v>86</v>
      </c>
      <c r="E39" s="27">
        <v>-5.07</v>
      </c>
      <c r="F39" s="27">
        <v>-36.572000000000003</v>
      </c>
      <c r="G39" s="4">
        <f t="shared" si="0"/>
        <v>31.502000000000002</v>
      </c>
      <c r="H39" s="19">
        <f t="shared" si="1"/>
        <v>2.1102625937834945</v>
      </c>
      <c r="I39">
        <v>1</v>
      </c>
      <c r="J39" s="12">
        <f t="shared" si="2"/>
        <v>2.1102625937834945</v>
      </c>
      <c r="K39" s="4">
        <v>19.121950000000002</v>
      </c>
      <c r="L39" s="12">
        <f t="shared" si="3"/>
        <v>0.11035812737631331</v>
      </c>
      <c r="M39" s="12">
        <f t="shared" si="4"/>
        <v>1.1035812737631332</v>
      </c>
      <c r="Q39">
        <v>15</v>
      </c>
      <c r="S39" t="s">
        <v>13</v>
      </c>
      <c r="T39">
        <v>53</v>
      </c>
      <c r="U39" s="24">
        <v>-5.82</v>
      </c>
      <c r="V39" s="24">
        <v>-44.055999999999997</v>
      </c>
      <c r="W39" s="4">
        <f t="shared" si="5"/>
        <v>38.235999999999997</v>
      </c>
      <c r="X39" s="19">
        <f t="shared" si="6"/>
        <v>2.5613612004287249</v>
      </c>
      <c r="Y39">
        <v>1</v>
      </c>
      <c r="Z39" s="12">
        <f t="shared" si="7"/>
        <v>2.5613612004287249</v>
      </c>
      <c r="AA39" s="12">
        <v>18.863199999999999</v>
      </c>
      <c r="AB39" s="12">
        <f t="shared" si="8"/>
        <v>0.13578614447329854</v>
      </c>
      <c r="AC39" s="12">
        <f t="shared" si="9"/>
        <v>1.3578614447329853</v>
      </c>
      <c r="AD39" s="23">
        <f>AVERAGE(AC39:AC50)</f>
        <v>1.2555983530299855</v>
      </c>
      <c r="AE39" t="s">
        <v>13</v>
      </c>
      <c r="AF39" s="4"/>
      <c r="AG39" s="4"/>
      <c r="AH39" s="4"/>
      <c r="AI39" s="4"/>
      <c r="AJ39" s="4"/>
      <c r="AK39" s="4"/>
    </row>
    <row r="40" spans="1:37" x14ac:dyDescent="0.2">
      <c r="A40">
        <v>11</v>
      </c>
      <c r="C40" t="s">
        <v>13</v>
      </c>
      <c r="D40" s="4">
        <v>49</v>
      </c>
      <c r="E40" s="27">
        <v>-4.97</v>
      </c>
      <c r="F40" s="27">
        <v>-41.427999999999997</v>
      </c>
      <c r="G40" s="4">
        <f t="shared" si="0"/>
        <v>36.457999999999998</v>
      </c>
      <c r="H40" s="19">
        <f t="shared" si="1"/>
        <v>2.442256162915327</v>
      </c>
      <c r="I40">
        <v>1</v>
      </c>
      <c r="J40" s="12">
        <f t="shared" si="2"/>
        <v>2.442256162915327</v>
      </c>
      <c r="K40" s="4">
        <v>17.616849999999999</v>
      </c>
      <c r="L40" s="12">
        <f t="shared" si="3"/>
        <v>0.1386318304870239</v>
      </c>
      <c r="M40" s="12">
        <f t="shared" si="4"/>
        <v>1.386318304870239</v>
      </c>
      <c r="T40" s="8">
        <v>54</v>
      </c>
      <c r="U40" s="28">
        <v>-5.68</v>
      </c>
      <c r="V40" s="28">
        <v>-38.813000000000002</v>
      </c>
      <c r="W40" s="8">
        <f t="shared" si="5"/>
        <v>33.133000000000003</v>
      </c>
      <c r="X40" s="30">
        <f t="shared" si="6"/>
        <v>2.219520364415863</v>
      </c>
      <c r="Y40" s="8">
        <v>1</v>
      </c>
      <c r="Z40" s="13">
        <f t="shared" si="7"/>
        <v>2.219520364415863</v>
      </c>
      <c r="AA40" s="13">
        <v>27.59815</v>
      </c>
      <c r="AB40" s="13">
        <f t="shared" si="8"/>
        <v>8.0422795166192773E-2</v>
      </c>
      <c r="AC40" s="13">
        <f t="shared" si="9"/>
        <v>0.80422795166192773</v>
      </c>
      <c r="AD40" s="4" t="s">
        <v>345</v>
      </c>
      <c r="AF40" s="4"/>
      <c r="AG40" s="4"/>
      <c r="AH40" s="4"/>
      <c r="AI40" s="4"/>
      <c r="AJ40" s="4"/>
      <c r="AK40" s="4"/>
    </row>
    <row r="41" spans="1:37" x14ac:dyDescent="0.2">
      <c r="D41" s="4">
        <v>50</v>
      </c>
      <c r="E41" s="27">
        <v>-5.8070000000000004</v>
      </c>
      <c r="F41" s="27">
        <v>-50.247999999999998</v>
      </c>
      <c r="G41" s="4">
        <f t="shared" si="0"/>
        <v>44.440999999999995</v>
      </c>
      <c r="H41" s="19">
        <f t="shared" si="1"/>
        <v>2.9770230439442655</v>
      </c>
      <c r="I41">
        <v>1</v>
      </c>
      <c r="J41" s="12">
        <f t="shared" si="2"/>
        <v>2.9770230439442655</v>
      </c>
      <c r="K41" s="4">
        <v>21.4298</v>
      </c>
      <c r="L41" s="12">
        <f t="shared" si="3"/>
        <v>0.13891977731683289</v>
      </c>
      <c r="M41" s="12">
        <f t="shared" si="4"/>
        <v>1.3891977731683289</v>
      </c>
      <c r="T41">
        <v>55</v>
      </c>
      <c r="U41" s="24">
        <v>-4.24</v>
      </c>
      <c r="V41" s="24">
        <v>-38.834000000000003</v>
      </c>
      <c r="W41" s="4">
        <f t="shared" si="5"/>
        <v>34.594000000000001</v>
      </c>
      <c r="X41" s="19">
        <f t="shared" si="6"/>
        <v>2.3173901393354774</v>
      </c>
      <c r="Y41">
        <v>1</v>
      </c>
      <c r="Z41" s="12">
        <f t="shared" si="7"/>
        <v>2.3173901393354774</v>
      </c>
      <c r="AA41" s="12">
        <v>19.565549999999998</v>
      </c>
      <c r="AB41" s="12">
        <f t="shared" si="8"/>
        <v>0.11844237137905542</v>
      </c>
      <c r="AC41" s="12">
        <f t="shared" si="9"/>
        <v>1.1844237137905542</v>
      </c>
      <c r="AD41" s="4"/>
      <c r="AF41" s="4"/>
      <c r="AG41" s="4"/>
      <c r="AH41" s="4"/>
      <c r="AI41" s="4"/>
      <c r="AJ41" s="4"/>
      <c r="AK41" s="4"/>
    </row>
    <row r="42" spans="1:37" x14ac:dyDescent="0.2">
      <c r="D42" s="4">
        <v>51</v>
      </c>
      <c r="E42" s="27">
        <v>-4.7</v>
      </c>
      <c r="F42" s="27">
        <v>-47.808</v>
      </c>
      <c r="G42" s="4">
        <f t="shared" si="0"/>
        <v>43.107999999999997</v>
      </c>
      <c r="H42" s="19">
        <f t="shared" si="1"/>
        <v>2.8877277599142555</v>
      </c>
      <c r="I42">
        <v>1</v>
      </c>
      <c r="J42" s="12">
        <f t="shared" si="2"/>
        <v>2.8877277599142555</v>
      </c>
      <c r="K42" s="4">
        <v>20.648199999999999</v>
      </c>
      <c r="L42" s="12">
        <f t="shared" si="3"/>
        <v>0.13985372865016105</v>
      </c>
      <c r="M42" s="12">
        <f t="shared" si="4"/>
        <v>1.3985372865016106</v>
      </c>
      <c r="T42">
        <v>56</v>
      </c>
      <c r="U42" s="24">
        <v>-7.36</v>
      </c>
      <c r="V42" s="24">
        <v>-52.747</v>
      </c>
      <c r="W42" s="4">
        <f t="shared" si="5"/>
        <v>45.387</v>
      </c>
      <c r="X42" s="19">
        <f t="shared" si="6"/>
        <v>3.0403938906752415</v>
      </c>
      <c r="Y42">
        <v>1</v>
      </c>
      <c r="Z42" s="12">
        <f t="shared" si="7"/>
        <v>3.0403938906752415</v>
      </c>
      <c r="AA42" s="12">
        <v>19.544449999999998</v>
      </c>
      <c r="AB42" s="12">
        <f t="shared" si="8"/>
        <v>0.15556303148337466</v>
      </c>
      <c r="AC42" s="12">
        <f t="shared" si="9"/>
        <v>1.5556303148337467</v>
      </c>
      <c r="AD42" s="4"/>
      <c r="AF42" s="4"/>
      <c r="AG42" s="4"/>
      <c r="AH42" s="4"/>
      <c r="AI42" s="4"/>
      <c r="AJ42" s="4"/>
      <c r="AK42" s="4"/>
    </row>
    <row r="43" spans="1:37" x14ac:dyDescent="0.2">
      <c r="D43" s="4">
        <v>52</v>
      </c>
      <c r="E43" s="27">
        <v>-5.0869999999999997</v>
      </c>
      <c r="F43" s="27">
        <v>-46.478999999999999</v>
      </c>
      <c r="G43" s="4">
        <f t="shared" si="0"/>
        <v>41.391999999999996</v>
      </c>
      <c r="H43" s="19">
        <f t="shared" si="1"/>
        <v>2.772775991425509</v>
      </c>
      <c r="I43">
        <v>1</v>
      </c>
      <c r="J43" s="12">
        <f t="shared" si="2"/>
        <v>2.772775991425509</v>
      </c>
      <c r="K43" s="4">
        <v>18.319199999999999</v>
      </c>
      <c r="L43" s="12">
        <f t="shared" si="3"/>
        <v>0.15135901084247724</v>
      </c>
      <c r="M43" s="12">
        <f t="shared" si="4"/>
        <v>1.5135901084247725</v>
      </c>
      <c r="Q43">
        <v>14</v>
      </c>
      <c r="T43">
        <v>61</v>
      </c>
      <c r="U43" s="24">
        <v>-4.4459999999999997</v>
      </c>
      <c r="V43" s="24">
        <v>-37.24</v>
      </c>
      <c r="W43" s="4">
        <f t="shared" si="5"/>
        <v>32.794000000000004</v>
      </c>
      <c r="X43" s="19">
        <f t="shared" si="6"/>
        <v>2.1968113612004294</v>
      </c>
      <c r="Y43">
        <v>1</v>
      </c>
      <c r="Z43" s="12">
        <f t="shared" si="7"/>
        <v>2.1968113612004294</v>
      </c>
      <c r="AA43" s="10">
        <v>18.187200000000001</v>
      </c>
      <c r="AB43" s="12">
        <f t="shared" si="8"/>
        <v>0.12078887136010102</v>
      </c>
      <c r="AC43" s="12">
        <f t="shared" si="9"/>
        <v>1.2078887136010104</v>
      </c>
      <c r="AD43" s="4"/>
      <c r="AF43" s="4"/>
      <c r="AG43" s="4"/>
      <c r="AH43" s="4"/>
      <c r="AI43" s="4"/>
      <c r="AJ43" s="4"/>
      <c r="AK43" s="4"/>
    </row>
    <row r="44" spans="1:37" x14ac:dyDescent="0.2">
      <c r="A44">
        <v>12</v>
      </c>
      <c r="D44" s="4">
        <v>57</v>
      </c>
      <c r="E44" s="27">
        <v>-6.1920000000000002</v>
      </c>
      <c r="F44" s="27">
        <v>-44.764000000000003</v>
      </c>
      <c r="G44" s="4">
        <f t="shared" si="0"/>
        <v>38.572000000000003</v>
      </c>
      <c r="H44" s="19">
        <f t="shared" si="1"/>
        <v>2.5838692390139339</v>
      </c>
      <c r="I44">
        <v>1</v>
      </c>
      <c r="J44" s="12">
        <f t="shared" si="2"/>
        <v>2.5838692390139339</v>
      </c>
      <c r="K44" s="4">
        <v>18.73115</v>
      </c>
      <c r="L44" s="12">
        <f t="shared" si="3"/>
        <v>0.13794504016111847</v>
      </c>
      <c r="M44" s="12">
        <f t="shared" si="4"/>
        <v>1.3794504016111846</v>
      </c>
      <c r="T44">
        <v>62</v>
      </c>
      <c r="U44" s="24">
        <v>-5.4550000000000001</v>
      </c>
      <c r="V44" s="24">
        <v>-33.831000000000003</v>
      </c>
      <c r="W44" s="4">
        <f t="shared" si="5"/>
        <v>28.376000000000005</v>
      </c>
      <c r="X44" s="19">
        <f t="shared" si="6"/>
        <v>1.9008574490889609</v>
      </c>
      <c r="Y44">
        <v>1</v>
      </c>
      <c r="Z44" s="12">
        <f t="shared" si="7"/>
        <v>1.9008574490889609</v>
      </c>
      <c r="AA44" s="10">
        <v>18.699449999999999</v>
      </c>
      <c r="AB44" s="12">
        <f t="shared" si="8"/>
        <v>0.10165312076499368</v>
      </c>
      <c r="AC44" s="12">
        <f t="shared" si="9"/>
        <v>1.0165312076499369</v>
      </c>
      <c r="AD44" s="4"/>
      <c r="AF44" s="4"/>
      <c r="AG44" s="4"/>
      <c r="AH44" s="4"/>
      <c r="AI44" s="4"/>
      <c r="AJ44" s="4"/>
      <c r="AK44" s="4"/>
    </row>
    <row r="45" spans="1:37" x14ac:dyDescent="0.2">
      <c r="D45" s="4">
        <v>58</v>
      </c>
      <c r="E45" s="27">
        <v>-4.8970000000000002</v>
      </c>
      <c r="F45" s="27">
        <v>-46.296999999999997</v>
      </c>
      <c r="G45" s="4">
        <f t="shared" si="0"/>
        <v>41.4</v>
      </c>
      <c r="H45" s="19">
        <f t="shared" si="1"/>
        <v>2.7733118971061095</v>
      </c>
      <c r="I45">
        <v>1</v>
      </c>
      <c r="J45" s="12">
        <f t="shared" si="2"/>
        <v>2.7733118971061095</v>
      </c>
      <c r="K45" s="4">
        <v>20.3947</v>
      </c>
      <c r="L45" s="12">
        <f t="shared" si="3"/>
        <v>0.13598199027718522</v>
      </c>
      <c r="M45" s="12">
        <f t="shared" si="4"/>
        <v>1.3598199027718523</v>
      </c>
      <c r="T45">
        <v>64</v>
      </c>
      <c r="U45" s="24">
        <v>-4.694</v>
      </c>
      <c r="V45" s="24">
        <v>-40.119999999999997</v>
      </c>
      <c r="W45" s="4">
        <f t="shared" si="5"/>
        <v>35.425999999999995</v>
      </c>
      <c r="X45" s="19">
        <f t="shared" si="6"/>
        <v>2.373124330117899</v>
      </c>
      <c r="Y45">
        <v>1</v>
      </c>
      <c r="Z45" s="12">
        <f t="shared" si="7"/>
        <v>2.373124330117899</v>
      </c>
      <c r="AA45" s="10">
        <v>17.358049999999999</v>
      </c>
      <c r="AB45" s="12">
        <f t="shared" si="8"/>
        <v>0.13671606719175824</v>
      </c>
      <c r="AC45" s="12">
        <f t="shared" si="9"/>
        <v>1.3671606719175824</v>
      </c>
      <c r="AD45" s="4"/>
      <c r="AF45" s="4"/>
      <c r="AG45" s="4"/>
      <c r="AH45" s="4"/>
      <c r="AI45" s="4"/>
      <c r="AJ45" s="4"/>
      <c r="AK45" s="4"/>
    </row>
    <row r="46" spans="1:37" x14ac:dyDescent="0.2">
      <c r="D46" s="4">
        <v>59</v>
      </c>
      <c r="E46" s="27">
        <v>-3.6139999999999999</v>
      </c>
      <c r="F46" s="27">
        <v>-39.103000000000002</v>
      </c>
      <c r="G46" s="4">
        <f t="shared" si="0"/>
        <v>35.489000000000004</v>
      </c>
      <c r="H46" s="19">
        <f t="shared" si="1"/>
        <v>2.3773445873526269</v>
      </c>
      <c r="I46">
        <v>1</v>
      </c>
      <c r="J46" s="12">
        <f t="shared" si="2"/>
        <v>2.3773445873526269</v>
      </c>
      <c r="K46" s="4">
        <v>19.908850000000001</v>
      </c>
      <c r="L46" s="12">
        <f t="shared" si="3"/>
        <v>0.11941144703750477</v>
      </c>
      <c r="M46" s="12">
        <f t="shared" si="4"/>
        <v>1.1941144703750477</v>
      </c>
      <c r="Q46">
        <v>15</v>
      </c>
      <c r="T46">
        <v>96</v>
      </c>
      <c r="U46" s="24">
        <v>-4.516</v>
      </c>
      <c r="V46" s="24">
        <v>-42.875</v>
      </c>
      <c r="W46" s="4">
        <f t="shared" si="5"/>
        <v>38.359000000000002</v>
      </c>
      <c r="X46" s="19">
        <f t="shared" si="6"/>
        <v>2.569600750267953</v>
      </c>
      <c r="Y46">
        <v>1</v>
      </c>
      <c r="Z46" s="12">
        <f t="shared" si="7"/>
        <v>2.569600750267953</v>
      </c>
      <c r="AA46" s="10">
        <v>20.294350000000001</v>
      </c>
      <c r="AB46" s="12">
        <f t="shared" si="8"/>
        <v>0.12661655831637636</v>
      </c>
      <c r="AC46" s="12">
        <f t="shared" si="9"/>
        <v>1.2661655831637635</v>
      </c>
      <c r="AD46" s="4"/>
      <c r="AF46" s="4"/>
      <c r="AG46" s="4"/>
      <c r="AH46" s="4"/>
      <c r="AI46" s="4"/>
      <c r="AJ46" s="4"/>
      <c r="AK46" s="4"/>
    </row>
    <row r="47" spans="1:37" x14ac:dyDescent="0.2">
      <c r="D47" s="4">
        <v>60</v>
      </c>
      <c r="E47" s="27">
        <v>-5.9269999999999996</v>
      </c>
      <c r="F47" s="27">
        <v>-47.908999999999999</v>
      </c>
      <c r="G47" s="4">
        <f t="shared" si="0"/>
        <v>41.981999999999999</v>
      </c>
      <c r="H47" s="19">
        <f t="shared" si="1"/>
        <v>2.8122990353697754</v>
      </c>
      <c r="I47">
        <v>1</v>
      </c>
      <c r="J47" s="12">
        <f t="shared" si="2"/>
        <v>2.8122990353697754</v>
      </c>
      <c r="K47" s="4">
        <v>19.063849999999999</v>
      </c>
      <c r="L47" s="12">
        <f t="shared" si="3"/>
        <v>0.14751999388212642</v>
      </c>
      <c r="M47" s="12">
        <f t="shared" si="4"/>
        <v>1.4751999388212642</v>
      </c>
      <c r="T47">
        <v>97</v>
      </c>
      <c r="U47" s="24">
        <v>-5.1429999999999998</v>
      </c>
      <c r="V47" s="24">
        <v>-39.073</v>
      </c>
      <c r="W47" s="4">
        <f t="shared" si="5"/>
        <v>33.93</v>
      </c>
      <c r="X47" s="19">
        <f t="shared" si="6"/>
        <v>2.2729099678456595</v>
      </c>
      <c r="Y47">
        <v>1</v>
      </c>
      <c r="Z47" s="12">
        <f t="shared" si="7"/>
        <v>2.2729099678456595</v>
      </c>
      <c r="AA47" s="12">
        <v>19.174750000000003</v>
      </c>
      <c r="AB47" s="12">
        <f t="shared" si="8"/>
        <v>0.11853661548889342</v>
      </c>
      <c r="AC47" s="12">
        <f t="shared" si="9"/>
        <v>1.1853661548889343</v>
      </c>
      <c r="AD47" s="4"/>
      <c r="AF47" s="4"/>
      <c r="AG47" s="4"/>
      <c r="AH47" s="4"/>
      <c r="AI47" s="4"/>
      <c r="AJ47" s="4"/>
      <c r="AK47" s="4"/>
    </row>
    <row r="48" spans="1:37" x14ac:dyDescent="0.2">
      <c r="A48">
        <v>12</v>
      </c>
      <c r="D48" s="4">
        <v>91</v>
      </c>
      <c r="E48" s="27">
        <v>-4.9909999999999997</v>
      </c>
      <c r="F48" s="27">
        <v>-39.32</v>
      </c>
      <c r="G48" s="4">
        <f t="shared" si="0"/>
        <v>34.329000000000001</v>
      </c>
      <c r="H48" s="19">
        <f t="shared" si="1"/>
        <v>2.299638263665595</v>
      </c>
      <c r="I48">
        <v>1</v>
      </c>
      <c r="J48" s="12">
        <f t="shared" si="2"/>
        <v>2.299638263665595</v>
      </c>
      <c r="K48" s="4">
        <v>17.812249999999999</v>
      </c>
      <c r="L48" s="12">
        <f t="shared" si="3"/>
        <v>0.12910431100313521</v>
      </c>
      <c r="M48" s="12">
        <f t="shared" si="4"/>
        <v>1.2910431100313522</v>
      </c>
      <c r="T48">
        <v>98</v>
      </c>
      <c r="U48" s="24">
        <v>-6.0350000000000001</v>
      </c>
      <c r="V48" s="24">
        <v>-44.738999999999997</v>
      </c>
      <c r="W48" s="4">
        <f t="shared" si="5"/>
        <v>38.703999999999994</v>
      </c>
      <c r="X48" s="19">
        <f t="shared" si="6"/>
        <v>2.592711682743837</v>
      </c>
      <c r="Y48">
        <v>1</v>
      </c>
      <c r="Z48" s="12">
        <f t="shared" si="7"/>
        <v>2.592711682743837</v>
      </c>
      <c r="AA48" s="12">
        <v>19.407149999999998</v>
      </c>
      <c r="AB48" s="12">
        <f t="shared" si="8"/>
        <v>0.1335956945117566</v>
      </c>
      <c r="AC48" s="12">
        <f t="shared" si="9"/>
        <v>1.3359569451175659</v>
      </c>
      <c r="AD48" s="4"/>
      <c r="AF48" s="4"/>
      <c r="AG48" s="4"/>
      <c r="AH48" s="4"/>
      <c r="AI48" s="4"/>
      <c r="AJ48" s="4"/>
      <c r="AK48" s="4"/>
    </row>
    <row r="49" spans="1:37" x14ac:dyDescent="0.2">
      <c r="D49" s="4">
        <v>92</v>
      </c>
      <c r="E49" s="27">
        <v>-4.617</v>
      </c>
      <c r="F49" s="27">
        <v>-37.853999999999999</v>
      </c>
      <c r="G49" s="4">
        <f t="shared" si="0"/>
        <v>33.237000000000002</v>
      </c>
      <c r="H49" s="19">
        <f t="shared" si="1"/>
        <v>2.226487138263666</v>
      </c>
      <c r="I49">
        <v>1</v>
      </c>
      <c r="J49" s="12">
        <f t="shared" si="2"/>
        <v>2.226487138263666</v>
      </c>
      <c r="K49" s="4">
        <v>20.077850000000002</v>
      </c>
      <c r="L49" s="12">
        <f t="shared" si="3"/>
        <v>0.11089270705098732</v>
      </c>
      <c r="M49" s="12">
        <f t="shared" si="4"/>
        <v>1.1089270705098733</v>
      </c>
      <c r="T49">
        <v>99</v>
      </c>
      <c r="U49" s="24">
        <v>-8.0660000000000007</v>
      </c>
      <c r="V49" s="24">
        <v>-51.226999999999997</v>
      </c>
      <c r="W49" s="4">
        <f t="shared" si="5"/>
        <v>43.160999999999994</v>
      </c>
      <c r="X49" s="19">
        <f t="shared" si="6"/>
        <v>2.8912781350482315</v>
      </c>
      <c r="Y49">
        <v>1</v>
      </c>
      <c r="Z49" s="12">
        <f t="shared" si="7"/>
        <v>2.8912781350482315</v>
      </c>
      <c r="AA49" s="12">
        <v>20.109500000000001</v>
      </c>
      <c r="AB49" s="12">
        <f t="shared" si="8"/>
        <v>0.14377672916025916</v>
      </c>
      <c r="AC49" s="12">
        <f t="shared" si="9"/>
        <v>1.4377672916025916</v>
      </c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D50" s="4">
        <v>93</v>
      </c>
      <c r="E50" s="27">
        <v>-4.0449999999999999</v>
      </c>
      <c r="F50" s="27">
        <v>-39.411999999999999</v>
      </c>
      <c r="G50" s="4">
        <f t="shared" si="0"/>
        <v>35.366999999999997</v>
      </c>
      <c r="H50" s="19">
        <f t="shared" si="1"/>
        <v>2.369172025723473</v>
      </c>
      <c r="I50">
        <v>1</v>
      </c>
      <c r="J50" s="12">
        <f t="shared" si="2"/>
        <v>2.369172025723473</v>
      </c>
      <c r="K50" s="4">
        <v>19.486349999999998</v>
      </c>
      <c r="L50" s="12">
        <f t="shared" si="3"/>
        <v>0.12158110809481884</v>
      </c>
      <c r="M50" s="12">
        <f t="shared" si="4"/>
        <v>1.2158110809481883</v>
      </c>
      <c r="T50">
        <v>100</v>
      </c>
      <c r="U50" s="24">
        <v>-10.173999999999999</v>
      </c>
      <c r="V50" s="24">
        <v>-51.485999999999997</v>
      </c>
      <c r="W50" s="4">
        <f t="shared" si="5"/>
        <v>41.311999999999998</v>
      </c>
      <c r="X50" s="19">
        <f t="shared" si="6"/>
        <v>2.7674169346195074</v>
      </c>
      <c r="Y50">
        <v>1</v>
      </c>
      <c r="Z50" s="12">
        <f t="shared" si="7"/>
        <v>2.7674169346195074</v>
      </c>
      <c r="AA50" s="12">
        <v>20.526750000000003</v>
      </c>
      <c r="AB50" s="12">
        <f t="shared" si="8"/>
        <v>0.13482002433992263</v>
      </c>
      <c r="AC50" s="12">
        <f t="shared" si="9"/>
        <v>1.3482002433992264</v>
      </c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D51" s="4">
        <v>94</v>
      </c>
      <c r="E51" s="27">
        <v>-5.1230000000000002</v>
      </c>
      <c r="F51" s="27">
        <v>-38.816000000000003</v>
      </c>
      <c r="G51" s="4">
        <f t="shared" si="0"/>
        <v>33.693000000000005</v>
      </c>
      <c r="H51" s="19">
        <f t="shared" si="1"/>
        <v>2.2570337620578784</v>
      </c>
      <c r="I51">
        <v>1</v>
      </c>
      <c r="J51" s="12">
        <f t="shared" si="2"/>
        <v>2.2570337620578784</v>
      </c>
      <c r="K51" s="4">
        <v>18.09215</v>
      </c>
      <c r="L51" s="12">
        <f t="shared" si="3"/>
        <v>0.12475210309763507</v>
      </c>
      <c r="M51" s="12">
        <f t="shared" si="4"/>
        <v>1.2475210309763507</v>
      </c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D52" s="4">
        <v>95</v>
      </c>
      <c r="E52" s="27">
        <v>-4.4080000000000004</v>
      </c>
      <c r="F52" s="27">
        <v>-42.531999999999996</v>
      </c>
      <c r="G52" s="4">
        <f t="shared" si="0"/>
        <v>38.123999999999995</v>
      </c>
      <c r="H52" s="19">
        <f t="shared" si="1"/>
        <v>2.5538585209003215</v>
      </c>
      <c r="I52">
        <v>1</v>
      </c>
      <c r="J52" s="12">
        <f t="shared" si="2"/>
        <v>2.5538585209003215</v>
      </c>
      <c r="K52" s="4">
        <v>19.2804</v>
      </c>
      <c r="L52" s="12">
        <f t="shared" si="3"/>
        <v>0.13245879343272554</v>
      </c>
      <c r="M52" s="12">
        <f t="shared" si="4"/>
        <v>1.3245879343272553</v>
      </c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15"/>
      <c r="C53" s="4"/>
      <c r="D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15"/>
      <c r="C54" s="4"/>
      <c r="D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15"/>
      <c r="C55" s="4"/>
      <c r="D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15"/>
      <c r="C56" s="4"/>
      <c r="D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15"/>
      <c r="C57" s="4"/>
      <c r="D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15"/>
      <c r="C58" s="4"/>
      <c r="D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D64" s="4"/>
      <c r="AE64" s="4"/>
      <c r="AF64" s="4"/>
      <c r="AG64" s="4"/>
      <c r="AH64" s="4"/>
      <c r="AI64" s="4"/>
      <c r="AJ64" s="4"/>
      <c r="AK64" s="4"/>
    </row>
    <row r="65" spans="30:37" x14ac:dyDescent="0.2">
      <c r="AD65" s="4"/>
      <c r="AE65" s="4"/>
      <c r="AF65" s="4"/>
      <c r="AG65" s="4"/>
      <c r="AH65" s="4"/>
      <c r="AI65" s="4"/>
      <c r="AJ65" s="4"/>
      <c r="AK65" s="4"/>
    </row>
    <row r="66" spans="30:37" x14ac:dyDescent="0.2">
      <c r="AD66" s="4"/>
      <c r="AE66" s="4"/>
      <c r="AF66" s="4"/>
      <c r="AG66" s="4"/>
      <c r="AH66" s="4"/>
      <c r="AI66" s="4"/>
      <c r="AJ66" s="4"/>
      <c r="AK66" s="4"/>
    </row>
    <row r="67" spans="30:37" x14ac:dyDescent="0.2">
      <c r="AD67" s="4"/>
      <c r="AE67" s="4"/>
      <c r="AF67" s="4"/>
      <c r="AG67" s="4"/>
      <c r="AH67" s="4"/>
      <c r="AI67" s="4"/>
      <c r="AJ67" s="4"/>
      <c r="AK67" s="4"/>
    </row>
    <row r="68" spans="30:37" x14ac:dyDescent="0.2">
      <c r="AD68" s="4"/>
      <c r="AE68" s="4"/>
      <c r="AF68" s="4"/>
      <c r="AG68" s="4"/>
      <c r="AH68" s="4"/>
      <c r="AI68" s="4"/>
      <c r="AJ68" s="4"/>
      <c r="AK68" s="4"/>
    </row>
    <row r="69" spans="30:37" x14ac:dyDescent="0.2">
      <c r="AD69" s="4"/>
      <c r="AE69" s="4"/>
      <c r="AF69" s="4"/>
      <c r="AG69" s="4"/>
      <c r="AH69" s="4"/>
      <c r="AI69" s="4"/>
      <c r="AJ69" s="4"/>
      <c r="AK69" s="4"/>
    </row>
    <row r="70" spans="30:37" x14ac:dyDescent="0.2">
      <c r="AD70" s="4"/>
      <c r="AE70" s="4"/>
      <c r="AF70" s="4"/>
      <c r="AG70" s="4"/>
      <c r="AH70" s="4"/>
      <c r="AI70" s="4"/>
      <c r="AJ70" s="4"/>
      <c r="AK70" s="4"/>
    </row>
    <row r="71" spans="30:37" x14ac:dyDescent="0.2">
      <c r="AD71" s="4"/>
      <c r="AE71" s="4"/>
      <c r="AF71" s="4"/>
      <c r="AG71" s="4"/>
      <c r="AH71" s="4"/>
      <c r="AI71" s="4"/>
      <c r="AJ71" s="4"/>
      <c r="AK71" s="4"/>
    </row>
    <row r="72" spans="30:37" x14ac:dyDescent="0.2">
      <c r="AD72" s="4"/>
      <c r="AE72" s="4"/>
      <c r="AF72" s="4"/>
      <c r="AG72" s="4"/>
      <c r="AH72" s="4"/>
      <c r="AI72" s="4"/>
      <c r="AJ72" s="4"/>
      <c r="AK72" s="4"/>
    </row>
    <row r="73" spans="30:37" x14ac:dyDescent="0.2">
      <c r="AD73" s="4"/>
      <c r="AE73" s="4"/>
      <c r="AF73" s="4"/>
      <c r="AG73" s="4"/>
      <c r="AH73" s="4"/>
      <c r="AI73" s="4"/>
      <c r="AJ73" s="4"/>
      <c r="AK73" s="4"/>
    </row>
    <row r="74" spans="30:37" x14ac:dyDescent="0.2">
      <c r="AD74" s="4"/>
      <c r="AE74" s="4"/>
      <c r="AF74" s="4"/>
      <c r="AG74" s="4"/>
      <c r="AH74" s="4"/>
      <c r="AI74" s="4"/>
      <c r="AJ74" s="4"/>
      <c r="AK74" s="4"/>
    </row>
    <row r="75" spans="30:37" x14ac:dyDescent="0.2">
      <c r="AD75" s="4"/>
      <c r="AE75" s="4"/>
      <c r="AF75" s="4"/>
      <c r="AG75" s="4"/>
      <c r="AH75" s="4"/>
      <c r="AI75" s="4"/>
      <c r="AJ75" s="4"/>
      <c r="AK75" s="4"/>
    </row>
    <row r="76" spans="30:37" x14ac:dyDescent="0.2">
      <c r="AD76" s="4"/>
      <c r="AE76" s="4"/>
      <c r="AF76" s="4"/>
      <c r="AG76" s="4"/>
      <c r="AH76" s="4"/>
      <c r="AI76" s="4"/>
      <c r="AJ76" s="4"/>
      <c r="AK76" s="4"/>
    </row>
    <row r="77" spans="30:37" x14ac:dyDescent="0.2">
      <c r="AD77" s="4"/>
      <c r="AE77" s="4"/>
      <c r="AF77" s="4"/>
      <c r="AG77" s="4"/>
      <c r="AH77" s="4"/>
      <c r="AI77" s="4"/>
      <c r="AJ77" s="4"/>
      <c r="AK77" s="4"/>
    </row>
    <row r="78" spans="30:37" x14ac:dyDescent="0.2">
      <c r="AD78" s="4"/>
      <c r="AE78" s="4"/>
      <c r="AF78" s="4"/>
      <c r="AG78" s="4"/>
      <c r="AH78" s="4"/>
      <c r="AI78" s="4"/>
      <c r="AJ78" s="4"/>
      <c r="AK78" s="4"/>
    </row>
    <row r="79" spans="30:37" x14ac:dyDescent="0.2">
      <c r="AD79" s="4"/>
      <c r="AE79" s="4"/>
      <c r="AF79" s="4"/>
      <c r="AG79" s="4"/>
      <c r="AH79" s="4"/>
      <c r="AI79" s="4"/>
      <c r="AJ79" s="4"/>
      <c r="AK79" s="4"/>
    </row>
    <row r="80" spans="30:37" x14ac:dyDescent="0.2">
      <c r="AD80" s="4"/>
      <c r="AE80" s="4"/>
      <c r="AF80" s="4"/>
      <c r="AG80" s="4"/>
      <c r="AH80" s="4"/>
      <c r="AI80" s="4"/>
      <c r="AJ80" s="4"/>
      <c r="AK80" s="4"/>
    </row>
    <row r="81" spans="30:37" x14ac:dyDescent="0.2">
      <c r="AD81" s="4"/>
      <c r="AE81" s="4"/>
      <c r="AF81" s="4"/>
      <c r="AG81" s="4"/>
      <c r="AH81" s="4"/>
      <c r="AI81" s="4"/>
      <c r="AJ81" s="4"/>
      <c r="AK81" s="4"/>
    </row>
    <row r="82" spans="30:37" x14ac:dyDescent="0.2">
      <c r="AD82" s="4"/>
      <c r="AE82" s="4"/>
      <c r="AF82" s="4"/>
      <c r="AG82" s="4"/>
      <c r="AH82" s="4"/>
      <c r="AI82" s="4"/>
      <c r="AJ82" s="4"/>
      <c r="AK82" s="4"/>
    </row>
    <row r="83" spans="30:37" x14ac:dyDescent="0.2">
      <c r="AD83" s="4"/>
      <c r="AE83" s="4"/>
      <c r="AF83" s="4"/>
      <c r="AG83" s="4"/>
      <c r="AH83" s="4"/>
      <c r="AI83" s="4"/>
      <c r="AJ83" s="4"/>
      <c r="AK83" s="4"/>
    </row>
    <row r="84" spans="30:37" x14ac:dyDescent="0.2">
      <c r="AD84" s="4"/>
      <c r="AE84" s="4"/>
      <c r="AF84" s="4"/>
      <c r="AG84" s="4"/>
      <c r="AH84" s="4"/>
      <c r="AI84" s="4"/>
      <c r="AJ84" s="4"/>
      <c r="AK84" s="4"/>
    </row>
    <row r="85" spans="30:37" x14ac:dyDescent="0.2">
      <c r="AD85" s="4"/>
      <c r="AE85" s="4"/>
      <c r="AF85" s="4"/>
      <c r="AG85" s="4"/>
      <c r="AH85" s="4"/>
      <c r="AI85" s="4"/>
      <c r="AJ85" s="4"/>
      <c r="AK85" s="4"/>
    </row>
    <row r="86" spans="30:37" x14ac:dyDescent="0.2">
      <c r="AD86" s="4"/>
      <c r="AE86" s="4"/>
      <c r="AF86" s="4"/>
      <c r="AG86" s="4"/>
      <c r="AH86" s="4"/>
      <c r="AI86" s="4"/>
      <c r="AJ86" s="4"/>
      <c r="AK86" s="4"/>
    </row>
    <row r="87" spans="30:37" x14ac:dyDescent="0.2">
      <c r="AD87" s="4"/>
      <c r="AE87" s="4"/>
      <c r="AF87" s="4"/>
      <c r="AG87" s="4"/>
      <c r="AH87" s="4"/>
      <c r="AI87" s="4"/>
      <c r="AJ87" s="4"/>
      <c r="AK87" s="4"/>
    </row>
    <row r="88" spans="30:37" x14ac:dyDescent="0.2">
      <c r="AD88" s="4"/>
      <c r="AE88" s="4"/>
      <c r="AF88" s="4"/>
      <c r="AG88" s="4"/>
      <c r="AH88" s="4"/>
      <c r="AI88" s="4"/>
      <c r="AJ88" s="4"/>
      <c r="AK88" s="4"/>
    </row>
    <row r="89" spans="30:37" x14ac:dyDescent="0.2">
      <c r="AD89" s="4"/>
      <c r="AE89" s="4"/>
      <c r="AF89" s="4"/>
      <c r="AG89" s="4"/>
      <c r="AH89" s="4"/>
      <c r="AI89" s="4"/>
      <c r="AJ89" s="4"/>
      <c r="AK89" s="4"/>
    </row>
    <row r="90" spans="30:37" x14ac:dyDescent="0.2">
      <c r="AD90" s="4"/>
      <c r="AE90" s="4"/>
      <c r="AF90" s="4"/>
      <c r="AG90" s="4"/>
      <c r="AH90" s="4"/>
      <c r="AI90" s="4"/>
      <c r="AJ90" s="4"/>
      <c r="AK90" s="4"/>
    </row>
    <row r="91" spans="30:37" x14ac:dyDescent="0.2">
      <c r="AD91" s="4"/>
      <c r="AE91" s="4"/>
      <c r="AF91" s="4"/>
      <c r="AG91" s="4"/>
      <c r="AH91" s="4"/>
      <c r="AI91" s="4"/>
      <c r="AJ91" s="4"/>
      <c r="AK91" s="4"/>
    </row>
    <row r="92" spans="30:37" x14ac:dyDescent="0.2">
      <c r="AD92" s="4"/>
      <c r="AE92" s="4"/>
      <c r="AF92" s="4"/>
      <c r="AG92" s="4"/>
      <c r="AH92" s="4"/>
      <c r="AI92" s="4"/>
      <c r="AJ92" s="4"/>
      <c r="AK92" s="4"/>
    </row>
    <row r="93" spans="30:37" x14ac:dyDescent="0.2">
      <c r="AD93" s="4"/>
      <c r="AE93" s="4"/>
      <c r="AF93" s="4"/>
      <c r="AG93" s="4"/>
      <c r="AH93" s="4"/>
      <c r="AI93" s="4"/>
      <c r="AJ93" s="4"/>
      <c r="AK93" s="4"/>
    </row>
    <row r="94" spans="30:37" x14ac:dyDescent="0.2">
      <c r="AD94" s="4"/>
      <c r="AE94" s="4"/>
      <c r="AF94" s="4"/>
      <c r="AG94" s="4"/>
      <c r="AH94" s="4"/>
      <c r="AI94" s="4"/>
      <c r="AJ94" s="4"/>
      <c r="AK94" s="4"/>
    </row>
    <row r="95" spans="30:37" x14ac:dyDescent="0.2">
      <c r="AD95" s="4"/>
      <c r="AE95" s="4"/>
      <c r="AF95" s="4"/>
      <c r="AG95" s="4"/>
      <c r="AH95" s="4"/>
      <c r="AI95" s="4"/>
      <c r="AJ95" s="4"/>
      <c r="AK95" s="4"/>
    </row>
    <row r="96" spans="30:37" x14ac:dyDescent="0.2">
      <c r="AD96" s="4"/>
      <c r="AE96" s="4"/>
      <c r="AF96" s="4"/>
      <c r="AG96" s="4"/>
      <c r="AH96" s="4"/>
      <c r="AI96" s="4"/>
      <c r="AJ96" s="4"/>
      <c r="AK96" s="4"/>
    </row>
    <row r="97" spans="30:37" x14ac:dyDescent="0.2">
      <c r="AD97" s="4"/>
      <c r="AE97" s="4"/>
      <c r="AF97" s="4"/>
      <c r="AG97" s="4"/>
      <c r="AH97" s="4"/>
      <c r="AI97" s="4"/>
      <c r="AJ97" s="4"/>
      <c r="AK97" s="4"/>
    </row>
    <row r="98" spans="30:37" x14ac:dyDescent="0.2">
      <c r="AD98" s="4"/>
      <c r="AE98" s="4"/>
      <c r="AF98" s="4"/>
      <c r="AG98" s="4"/>
      <c r="AH98" s="4"/>
      <c r="AI98" s="4"/>
      <c r="AJ98" s="4"/>
      <c r="AK98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V1" workbookViewId="0">
      <selection activeCell="AI3" sqref="AI3"/>
    </sheetView>
  </sheetViews>
  <sheetFormatPr baseColWidth="10" defaultColWidth="8.796875" defaultRowHeight="15" x14ac:dyDescent="0.2"/>
  <cols>
    <col min="2" max="2" width="10.3984375" bestFit="1" customWidth="1"/>
    <col min="8" max="8" width="12.3984375" bestFit="1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bestFit="1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7" ht="20" x14ac:dyDescent="0.2">
      <c r="A1" s="14" t="s">
        <v>331</v>
      </c>
      <c r="B1" s="15"/>
      <c r="C1" s="4"/>
      <c r="M1" s="21"/>
      <c r="AG1" s="2" t="s">
        <v>328</v>
      </c>
      <c r="AH1" s="1"/>
      <c r="AI1" s="1"/>
      <c r="AJ1" s="1"/>
      <c r="AK1" s="1"/>
    </row>
    <row r="2" spans="1:37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328</v>
      </c>
      <c r="AJ2" s="5" t="s">
        <v>65</v>
      </c>
      <c r="AK2" s="5" t="s">
        <v>66</v>
      </c>
    </row>
    <row r="3" spans="1:37" x14ac:dyDescent="0.2">
      <c r="A3">
        <v>11</v>
      </c>
      <c r="B3" s="18" t="s">
        <v>9</v>
      </c>
      <c r="C3" t="s">
        <v>10</v>
      </c>
      <c r="D3" s="4">
        <v>1</v>
      </c>
      <c r="E3" s="27">
        <v>-5.9130000000000003</v>
      </c>
      <c r="F3" s="27">
        <v>-313.90199999999999</v>
      </c>
      <c r="G3" s="4">
        <f>IF(E3&lt;0,F3*-1+E3,F3*-1-E3)</f>
        <v>307.98899999999998</v>
      </c>
      <c r="H3" s="19">
        <f>(G3*250*1*1*1000)/(6.22*2*0.3*1000*1000*1)</f>
        <v>20.631631832797432</v>
      </c>
      <c r="I3">
        <v>2</v>
      </c>
      <c r="J3" s="12">
        <f>H3*I3</f>
        <v>41.263263665594863</v>
      </c>
      <c r="K3" s="4">
        <v>18.815650000000002</v>
      </c>
      <c r="L3" s="12">
        <f>J3/K3</f>
        <v>2.1930288704134515</v>
      </c>
      <c r="M3" s="12">
        <f>L3*10</f>
        <v>21.930288704134515</v>
      </c>
      <c r="Q3">
        <v>15</v>
      </c>
      <c r="R3" s="18" t="s">
        <v>18</v>
      </c>
      <c r="S3" t="s">
        <v>10</v>
      </c>
      <c r="T3">
        <v>5</v>
      </c>
      <c r="U3" s="24">
        <v>20.123999999999999</v>
      </c>
      <c r="V3" s="24">
        <v>-211.756</v>
      </c>
      <c r="W3" s="4">
        <f>IF(U3&lt;0,V3*-1+U3,V3*-1-U3)</f>
        <v>191.63200000000001</v>
      </c>
      <c r="X3" s="19">
        <f>(W3*250*1*1*1000)/(6.22*2*0.3*1000*1000*1)</f>
        <v>12.837084673097536</v>
      </c>
      <c r="Y3">
        <v>2</v>
      </c>
      <c r="Z3" s="12">
        <f>X3*Y3</f>
        <v>25.674169346195072</v>
      </c>
      <c r="AA3" s="12">
        <v>17.822800000000001</v>
      </c>
      <c r="AB3" s="12">
        <f>Z3/AA3</f>
        <v>1.4405238989493834</v>
      </c>
      <c r="AC3" s="12">
        <f>AB3*10</f>
        <v>14.405238989493833</v>
      </c>
      <c r="AD3" s="23">
        <f>AVERAGE(AC3:AC14)</f>
        <v>19.315572069777968</v>
      </c>
      <c r="AE3" t="s">
        <v>10</v>
      </c>
      <c r="AF3" s="4"/>
      <c r="AG3" s="4" t="s">
        <v>18</v>
      </c>
      <c r="AH3" s="4">
        <v>0</v>
      </c>
      <c r="AI3" s="23">
        <f>AVERAGE(AC3:AC14)</f>
        <v>19.315572069777968</v>
      </c>
      <c r="AJ3" s="4">
        <f>COUNT(AC3:AC14)</f>
        <v>12</v>
      </c>
      <c r="AK3" s="4">
        <f>STDEV(AC3:AC14)/SQRT(AJ3)</f>
        <v>1.8545719750598531</v>
      </c>
    </row>
    <row r="4" spans="1:37" x14ac:dyDescent="0.2">
      <c r="D4" s="4">
        <v>2</v>
      </c>
      <c r="E4" s="27">
        <v>0.98499999999999999</v>
      </c>
      <c r="F4" s="27">
        <v>-328.04399999999998</v>
      </c>
      <c r="G4" s="4">
        <f t="shared" ref="G4:G52" si="0">IF(E4&lt;0,F4*-1+E4,F4*-1-E4)</f>
        <v>327.05899999999997</v>
      </c>
      <c r="H4" s="19">
        <f t="shared" ref="H4:H52" si="1">(G4*250*1*1*1000)/(6.22*2*0.3*1000*1000*1)</f>
        <v>21.909096998928188</v>
      </c>
      <c r="I4">
        <v>2</v>
      </c>
      <c r="J4" s="12">
        <f t="shared" ref="J4:J52" si="2">H4*I4</f>
        <v>43.818193997856376</v>
      </c>
      <c r="K4" s="4">
        <v>21.588250000000002</v>
      </c>
      <c r="L4" s="12">
        <f t="shared" ref="L4:L52" si="3">J4/K4</f>
        <v>2.0297242248842018</v>
      </c>
      <c r="M4" s="12">
        <f t="shared" ref="M4:M52" si="4">L4*10</f>
        <v>20.297242248842018</v>
      </c>
      <c r="T4">
        <v>6</v>
      </c>
      <c r="U4" s="24">
        <v>5.8979999999999997</v>
      </c>
      <c r="V4" s="24">
        <v>-272.56</v>
      </c>
      <c r="W4" s="4">
        <f t="shared" ref="W4:W50" si="5">IF(U4&lt;0,V4*-1+U4,V4*-1-U4)</f>
        <v>266.66199999999998</v>
      </c>
      <c r="X4" s="19">
        <f t="shared" ref="X4:X50" si="6">(W4*250*1*1*1000)/(6.22*2*0.3*1000*1000*1)</f>
        <v>17.863210075026796</v>
      </c>
      <c r="Y4">
        <v>2</v>
      </c>
      <c r="Z4" s="12">
        <f t="shared" ref="Z4:Z50" si="7">X4*Y4</f>
        <v>35.726420150053592</v>
      </c>
      <c r="AA4" s="12">
        <v>19.3279</v>
      </c>
      <c r="AB4" s="12">
        <f t="shared" ref="AB4:AB50" si="8">Z4/AA4</f>
        <v>1.8484377583727976</v>
      </c>
      <c r="AC4" s="12">
        <f t="shared" ref="AC4:AC50" si="9">AB4*10</f>
        <v>18.484377583727976</v>
      </c>
      <c r="AD4" s="4"/>
      <c r="AF4" s="4"/>
      <c r="AG4" s="4"/>
      <c r="AH4" s="4">
        <v>1</v>
      </c>
      <c r="AI4" s="23">
        <f>AVERAGE(AC15:AC27)</f>
        <v>19.561251419971899</v>
      </c>
      <c r="AJ4" s="4">
        <f>COUNT(AC15:AC27)</f>
        <v>13</v>
      </c>
      <c r="AK4" s="4">
        <f>STDEV(AC15:AC27)/SQRT(AJ4)</f>
        <v>1.6213792479955813</v>
      </c>
    </row>
    <row r="5" spans="1:37" x14ac:dyDescent="0.2">
      <c r="D5" s="4">
        <v>3</v>
      </c>
      <c r="E5" s="27">
        <v>-4.0149999999999997</v>
      </c>
      <c r="F5" s="27">
        <v>-377.44400000000002</v>
      </c>
      <c r="G5" s="4">
        <f t="shared" si="0"/>
        <v>373.42900000000003</v>
      </c>
      <c r="H5" s="19">
        <f t="shared" si="1"/>
        <v>25.015340300107187</v>
      </c>
      <c r="I5">
        <v>2</v>
      </c>
      <c r="J5" s="12">
        <f t="shared" si="2"/>
        <v>50.030680600214374</v>
      </c>
      <c r="K5" s="4">
        <v>21.028450000000003</v>
      </c>
      <c r="L5" s="12">
        <f t="shared" si="3"/>
        <v>2.3791901257683934</v>
      </c>
      <c r="M5" s="12">
        <f t="shared" si="4"/>
        <v>23.791901257683932</v>
      </c>
      <c r="T5">
        <v>7</v>
      </c>
      <c r="U5" s="24">
        <v>9.5559999999999992</v>
      </c>
      <c r="V5" s="24">
        <v>-373.44400000000002</v>
      </c>
      <c r="W5" s="4">
        <f t="shared" si="5"/>
        <v>363.88800000000003</v>
      </c>
      <c r="X5" s="19">
        <f t="shared" si="6"/>
        <v>24.376205787781359</v>
      </c>
      <c r="Y5">
        <v>2</v>
      </c>
      <c r="Z5" s="12">
        <f t="shared" si="7"/>
        <v>48.752411575562718</v>
      </c>
      <c r="AA5" s="12">
        <v>18.651949999999999</v>
      </c>
      <c r="AB5" s="12">
        <f t="shared" si="8"/>
        <v>2.6137970333162333</v>
      </c>
      <c r="AC5" s="12">
        <f t="shared" si="9"/>
        <v>26.137970333162333</v>
      </c>
      <c r="AD5" s="4"/>
      <c r="AF5" s="4"/>
      <c r="AG5" s="4"/>
      <c r="AH5" s="4">
        <v>4</v>
      </c>
      <c r="AI5" s="23">
        <f>AVERAGE(AC28:AC38)</f>
        <v>17.3403022804636</v>
      </c>
      <c r="AJ5" s="4">
        <f>COUNT(AC28:AC38)</f>
        <v>11</v>
      </c>
      <c r="AK5" s="4">
        <f>STDEV(AC28:AC38)/SQRT(AJ5)</f>
        <v>1.1224784804601813</v>
      </c>
    </row>
    <row r="6" spans="1:37" x14ac:dyDescent="0.2">
      <c r="D6" s="4">
        <v>4</v>
      </c>
      <c r="E6" s="27">
        <v>-1.8440000000000001</v>
      </c>
      <c r="F6" s="27">
        <v>-419.03300000000002</v>
      </c>
      <c r="G6" s="4">
        <f t="shared" si="0"/>
        <v>417.18900000000002</v>
      </c>
      <c r="H6" s="19">
        <f t="shared" si="1"/>
        <v>27.946744372990356</v>
      </c>
      <c r="I6">
        <v>2</v>
      </c>
      <c r="J6" s="12">
        <f t="shared" si="2"/>
        <v>55.893488745980711</v>
      </c>
      <c r="K6" s="4">
        <v>20.046150000000001</v>
      </c>
      <c r="L6" s="12">
        <f t="shared" si="3"/>
        <v>2.7882405721787329</v>
      </c>
      <c r="M6" s="12">
        <f t="shared" si="4"/>
        <v>27.882405721787329</v>
      </c>
      <c r="T6">
        <v>8</v>
      </c>
      <c r="U6" s="24">
        <v>-4.7240000000000002</v>
      </c>
      <c r="V6" s="24">
        <v>-450.52</v>
      </c>
      <c r="W6" s="4">
        <f t="shared" si="5"/>
        <v>445.79599999999999</v>
      </c>
      <c r="X6" s="19">
        <f t="shared" si="6"/>
        <v>29.863076098606648</v>
      </c>
      <c r="Y6">
        <v>2</v>
      </c>
      <c r="Z6" s="12">
        <f t="shared" si="7"/>
        <v>59.726152197213295</v>
      </c>
      <c r="AA6" s="12">
        <v>18.878999999999998</v>
      </c>
      <c r="AB6" s="12">
        <f t="shared" si="8"/>
        <v>3.163629016219784</v>
      </c>
      <c r="AC6" s="12">
        <f t="shared" si="9"/>
        <v>31.636290162197838</v>
      </c>
      <c r="AD6" s="4"/>
      <c r="AF6" s="4"/>
      <c r="AG6" s="4"/>
      <c r="AH6" s="4">
        <v>24</v>
      </c>
      <c r="AI6" s="23">
        <f>AVERAGE(AC39:AC50)</f>
        <v>20.192814547324542</v>
      </c>
      <c r="AJ6" s="4">
        <f>COUNT(AC39:AC50)</f>
        <v>12</v>
      </c>
      <c r="AK6" s="4">
        <f>STDEV(AC39:AC50)/SQRT(AJ6)</f>
        <v>1.883292647986015</v>
      </c>
    </row>
    <row r="7" spans="1:37" x14ac:dyDescent="0.2">
      <c r="A7">
        <v>12</v>
      </c>
      <c r="D7" s="4">
        <v>9</v>
      </c>
      <c r="E7" s="27">
        <v>-3.6579999999999999</v>
      </c>
      <c r="F7" s="27">
        <v>-229.26499999999999</v>
      </c>
      <c r="G7" s="4">
        <f t="shared" si="0"/>
        <v>225.607</v>
      </c>
      <c r="H7" s="19">
        <f t="shared" si="1"/>
        <v>15.113009110396572</v>
      </c>
      <c r="I7">
        <v>2</v>
      </c>
      <c r="J7" s="12">
        <f t="shared" si="2"/>
        <v>30.226018220793144</v>
      </c>
      <c r="K7" s="4">
        <v>18.255850000000002</v>
      </c>
      <c r="L7" s="12">
        <f t="shared" si="3"/>
        <v>1.6556894486311589</v>
      </c>
      <c r="M7" s="12">
        <f t="shared" si="4"/>
        <v>16.556894486311588</v>
      </c>
      <c r="Q7">
        <v>14</v>
      </c>
      <c r="T7">
        <v>13</v>
      </c>
      <c r="U7" s="24">
        <v>-16.538</v>
      </c>
      <c r="V7" s="24">
        <v>-256.58199999999999</v>
      </c>
      <c r="W7" s="4">
        <f t="shared" si="5"/>
        <v>240.04399999999998</v>
      </c>
      <c r="X7" s="19">
        <f t="shared" si="6"/>
        <v>16.080117899249732</v>
      </c>
      <c r="Y7">
        <v>2</v>
      </c>
      <c r="Z7" s="12">
        <f t="shared" si="7"/>
        <v>32.160235798499464</v>
      </c>
      <c r="AA7" s="12">
        <v>20.563700000000001</v>
      </c>
      <c r="AB7" s="12">
        <f t="shared" si="8"/>
        <v>1.5639323564581988</v>
      </c>
      <c r="AC7" s="12">
        <f t="shared" si="9"/>
        <v>15.639323564581989</v>
      </c>
      <c r="AD7" s="4"/>
      <c r="AF7" s="4"/>
      <c r="AG7" s="4"/>
      <c r="AH7" s="4"/>
      <c r="AI7" s="4"/>
      <c r="AJ7" s="4"/>
      <c r="AK7" s="4"/>
    </row>
    <row r="8" spans="1:37" x14ac:dyDescent="0.2">
      <c r="D8" s="4">
        <v>10</v>
      </c>
      <c r="E8" s="27">
        <v>0.41499999999999998</v>
      </c>
      <c r="F8" s="27">
        <v>-236.833</v>
      </c>
      <c r="G8" s="4">
        <f t="shared" si="0"/>
        <v>236.41800000000001</v>
      </c>
      <c r="H8" s="19">
        <f t="shared" si="1"/>
        <v>15.837218649517688</v>
      </c>
      <c r="I8">
        <v>2</v>
      </c>
      <c r="J8" s="12">
        <f t="shared" si="2"/>
        <v>31.674437299035375</v>
      </c>
      <c r="K8" s="4">
        <v>16.666249999999998</v>
      </c>
      <c r="L8" s="12">
        <f t="shared" si="3"/>
        <v>1.9005137507858925</v>
      </c>
      <c r="M8" s="12">
        <f t="shared" si="4"/>
        <v>19.005137507858926</v>
      </c>
      <c r="T8">
        <v>14</v>
      </c>
      <c r="U8" s="24">
        <v>-2.0289999999999999</v>
      </c>
      <c r="V8" s="24">
        <v>-165.018</v>
      </c>
      <c r="W8" s="4">
        <f t="shared" si="5"/>
        <v>162.989</v>
      </c>
      <c r="X8" s="19">
        <f t="shared" si="6"/>
        <v>10.918341371918544</v>
      </c>
      <c r="Y8">
        <v>2</v>
      </c>
      <c r="Z8" s="12">
        <f t="shared" si="7"/>
        <v>21.836682743837088</v>
      </c>
      <c r="AA8" s="12">
        <v>18.22945</v>
      </c>
      <c r="AB8" s="12">
        <f t="shared" si="8"/>
        <v>1.1978794063362903</v>
      </c>
      <c r="AC8" s="12">
        <f t="shared" si="9"/>
        <v>11.978794063362903</v>
      </c>
      <c r="AD8" s="4"/>
      <c r="AF8" s="4"/>
      <c r="AG8" s="4" t="s">
        <v>9</v>
      </c>
      <c r="AH8" s="4">
        <v>0</v>
      </c>
      <c r="AI8" s="20">
        <f>AVERAGE(M3:M14)</f>
        <v>20.381747914077902</v>
      </c>
      <c r="AJ8" s="4">
        <f>COUNT(M3:M14)</f>
        <v>12</v>
      </c>
      <c r="AK8" s="4">
        <f>STDEV(M3:M14)/SQRT(AJ8)</f>
        <v>1.2672883458904842</v>
      </c>
    </row>
    <row r="9" spans="1:37" x14ac:dyDescent="0.2">
      <c r="D9" s="4">
        <v>11</v>
      </c>
      <c r="E9" s="27">
        <v>-5.9530000000000003</v>
      </c>
      <c r="F9" s="27">
        <v>-263.41800000000001</v>
      </c>
      <c r="G9" s="4">
        <f t="shared" si="0"/>
        <v>257.46500000000003</v>
      </c>
      <c r="H9" s="19">
        <f t="shared" si="1"/>
        <v>17.247119506966779</v>
      </c>
      <c r="I9">
        <v>2</v>
      </c>
      <c r="J9" s="12">
        <f t="shared" si="2"/>
        <v>34.494239013933559</v>
      </c>
      <c r="K9" s="4">
        <v>21.820599999999999</v>
      </c>
      <c r="L9" s="12">
        <f t="shared" si="3"/>
        <v>1.580810748280687</v>
      </c>
      <c r="M9" s="12">
        <f t="shared" si="4"/>
        <v>15.80810748280687</v>
      </c>
      <c r="T9">
        <v>15</v>
      </c>
      <c r="U9" s="24">
        <v>-25.196000000000002</v>
      </c>
      <c r="V9" s="24">
        <v>-390.8</v>
      </c>
      <c r="W9" s="4">
        <f t="shared" si="5"/>
        <v>365.60399999999998</v>
      </c>
      <c r="X9" s="19">
        <f t="shared" si="6"/>
        <v>24.4911575562701</v>
      </c>
      <c r="Y9">
        <v>2</v>
      </c>
      <c r="Z9" s="12">
        <f t="shared" si="7"/>
        <v>48.982315112540199</v>
      </c>
      <c r="AA9" s="12">
        <v>17.236600000000003</v>
      </c>
      <c r="AB9" s="12">
        <f t="shared" si="8"/>
        <v>2.8417620129573229</v>
      </c>
      <c r="AC9" s="12">
        <f t="shared" si="9"/>
        <v>28.41762012957323</v>
      </c>
      <c r="AD9" s="4"/>
      <c r="AF9" s="4"/>
      <c r="AG9" s="4"/>
      <c r="AH9" s="4">
        <v>1</v>
      </c>
      <c r="AI9" s="20">
        <f>AVERAGE(M15:M27)</f>
        <v>21.800866065321777</v>
      </c>
      <c r="AJ9" s="4">
        <f>COUNT(M15:M27)</f>
        <v>13</v>
      </c>
      <c r="AK9" s="4">
        <f>STDEV(M15:M27)/SQRT(AJ9)</f>
        <v>0.79122550532392499</v>
      </c>
    </row>
    <row r="10" spans="1:37" x14ac:dyDescent="0.2">
      <c r="D10" s="4">
        <v>12</v>
      </c>
      <c r="E10" s="27">
        <v>-5.8579999999999997</v>
      </c>
      <c r="F10" s="27">
        <v>-391.83300000000003</v>
      </c>
      <c r="G10" s="4">
        <f t="shared" si="0"/>
        <v>385.97500000000002</v>
      </c>
      <c r="H10" s="19">
        <f t="shared" si="1"/>
        <v>25.855774383708471</v>
      </c>
      <c r="I10">
        <v>2</v>
      </c>
      <c r="J10" s="12">
        <f t="shared" si="2"/>
        <v>51.711548767416943</v>
      </c>
      <c r="K10" s="4">
        <v>18.741700000000002</v>
      </c>
      <c r="L10" s="12">
        <f t="shared" si="3"/>
        <v>2.7591706604746067</v>
      </c>
      <c r="M10" s="12">
        <f t="shared" si="4"/>
        <v>27.591706604746065</v>
      </c>
      <c r="T10">
        <v>16</v>
      </c>
      <c r="U10" s="24">
        <v>-3.9380000000000002</v>
      </c>
      <c r="V10" s="24">
        <v>-223.10499999999999</v>
      </c>
      <c r="W10" s="4">
        <f t="shared" si="5"/>
        <v>219.167</v>
      </c>
      <c r="X10" s="19">
        <f t="shared" si="6"/>
        <v>14.6816050375134</v>
      </c>
      <c r="Y10">
        <v>2</v>
      </c>
      <c r="Z10" s="12">
        <f t="shared" si="7"/>
        <v>29.363210075026799</v>
      </c>
      <c r="AA10" s="12">
        <v>17.27355</v>
      </c>
      <c r="AB10" s="12">
        <f t="shared" si="8"/>
        <v>1.6998943514811258</v>
      </c>
      <c r="AC10" s="12">
        <f t="shared" si="9"/>
        <v>16.998943514811259</v>
      </c>
      <c r="AD10" s="4"/>
      <c r="AF10" s="4"/>
      <c r="AG10" s="4"/>
      <c r="AH10" s="4">
        <v>4</v>
      </c>
      <c r="AI10" s="20">
        <f>AVERAGE(M28:M39)</f>
        <v>18.889241510558278</v>
      </c>
      <c r="AJ10" s="4">
        <f>COUNT(M28:M39)</f>
        <v>12</v>
      </c>
      <c r="AK10" s="4">
        <f>STDEV(M28:M39)/SQRT(AJ10)</f>
        <v>1.4894370497768838</v>
      </c>
    </row>
    <row r="11" spans="1:37" x14ac:dyDescent="0.2">
      <c r="A11">
        <v>12</v>
      </c>
      <c r="D11" s="4">
        <v>65</v>
      </c>
      <c r="E11" s="27">
        <v>-16.222000000000001</v>
      </c>
      <c r="F11" s="27">
        <v>-252.56399999999999</v>
      </c>
      <c r="G11" s="4">
        <f t="shared" si="0"/>
        <v>236.34199999999998</v>
      </c>
      <c r="H11" s="19">
        <f t="shared" si="1"/>
        <v>15.832127545551982</v>
      </c>
      <c r="I11">
        <v>2</v>
      </c>
      <c r="J11" s="12">
        <f t="shared" si="2"/>
        <v>31.664255091103964</v>
      </c>
      <c r="K11" s="4">
        <v>17.997049999999998</v>
      </c>
      <c r="L11" s="12">
        <f t="shared" si="3"/>
        <v>1.7594136311842201</v>
      </c>
      <c r="M11" s="12">
        <f t="shared" si="4"/>
        <v>17.594136311842203</v>
      </c>
      <c r="Q11">
        <v>15</v>
      </c>
      <c r="T11">
        <v>69</v>
      </c>
      <c r="U11" s="24">
        <v>1.4650000000000001</v>
      </c>
      <c r="V11" s="24">
        <v>-316.68700000000001</v>
      </c>
      <c r="W11" s="4">
        <f t="shared" si="5"/>
        <v>315.22200000000004</v>
      </c>
      <c r="X11" s="19">
        <f t="shared" si="6"/>
        <v>21.116157556270103</v>
      </c>
      <c r="Y11">
        <v>2</v>
      </c>
      <c r="Z11" s="12">
        <f t="shared" si="7"/>
        <v>42.232315112540206</v>
      </c>
      <c r="AA11" s="12">
        <v>19.354299999999999</v>
      </c>
      <c r="AB11" s="12">
        <f t="shared" si="8"/>
        <v>2.1820636815870484</v>
      </c>
      <c r="AC11" s="12">
        <f t="shared" si="9"/>
        <v>21.820636815870486</v>
      </c>
      <c r="AD11" s="4"/>
      <c r="AF11" s="4"/>
      <c r="AG11" s="4"/>
      <c r="AH11" s="4">
        <v>24</v>
      </c>
      <c r="AI11" s="20">
        <f>AVERAGE(M40:M52)</f>
        <v>19.514301522143622</v>
      </c>
      <c r="AJ11" s="4">
        <f>COUNT(M40:M52)</f>
        <v>13</v>
      </c>
      <c r="AK11" s="4">
        <f>STDEV(M40:M52)/SQRT(AJ11)</f>
        <v>0.87808055557452902</v>
      </c>
    </row>
    <row r="12" spans="1:37" x14ac:dyDescent="0.2">
      <c r="D12" s="4">
        <v>66</v>
      </c>
      <c r="E12" s="27">
        <v>-10.712999999999999</v>
      </c>
      <c r="F12" s="27">
        <v>-243.77799999999999</v>
      </c>
      <c r="G12" s="4">
        <f t="shared" si="0"/>
        <v>233.065</v>
      </c>
      <c r="H12" s="19">
        <f t="shared" si="1"/>
        <v>15.612607181136122</v>
      </c>
      <c r="I12">
        <v>2</v>
      </c>
      <c r="J12" s="12">
        <f t="shared" si="2"/>
        <v>31.225214362272244</v>
      </c>
      <c r="K12" s="4">
        <v>17.965400000000002</v>
      </c>
      <c r="L12" s="12">
        <f t="shared" si="3"/>
        <v>1.7380750978142563</v>
      </c>
      <c r="M12" s="12">
        <f t="shared" si="4"/>
        <v>17.380750978142562</v>
      </c>
      <c r="T12">
        <v>70</v>
      </c>
      <c r="U12" s="24">
        <v>0.20699999999999999</v>
      </c>
      <c r="V12" s="24">
        <v>-180.67599999999999</v>
      </c>
      <c r="W12" s="4">
        <f t="shared" si="5"/>
        <v>180.46899999999999</v>
      </c>
      <c r="X12" s="19">
        <f t="shared" si="6"/>
        <v>12.089295284030012</v>
      </c>
      <c r="Y12">
        <v>2</v>
      </c>
      <c r="Z12" s="12">
        <f t="shared" si="7"/>
        <v>24.178590568060024</v>
      </c>
      <c r="AA12" s="12">
        <v>19.169499999999999</v>
      </c>
      <c r="AB12" s="12">
        <f t="shared" si="8"/>
        <v>1.261305227995515</v>
      </c>
      <c r="AC12" s="12">
        <f t="shared" si="9"/>
        <v>12.61305227995515</v>
      </c>
      <c r="AD12" s="4"/>
      <c r="AF12" s="4"/>
      <c r="AG12" s="4"/>
      <c r="AH12" s="4"/>
      <c r="AI12" s="4"/>
      <c r="AJ12" s="4"/>
      <c r="AK12" s="4"/>
    </row>
    <row r="13" spans="1:37" x14ac:dyDescent="0.2">
      <c r="D13" s="4">
        <v>67</v>
      </c>
      <c r="E13" s="27">
        <v>-0.55300000000000005</v>
      </c>
      <c r="F13" s="27">
        <v>-197.89099999999999</v>
      </c>
      <c r="G13" s="4">
        <f t="shared" si="0"/>
        <v>197.33799999999999</v>
      </c>
      <c r="H13" s="19">
        <f t="shared" si="1"/>
        <v>13.21931939978564</v>
      </c>
      <c r="I13">
        <v>2</v>
      </c>
      <c r="J13" s="12">
        <f t="shared" si="2"/>
        <v>26.438638799571279</v>
      </c>
      <c r="K13" s="4">
        <v>18.023500000000002</v>
      </c>
      <c r="L13" s="12">
        <f t="shared" si="3"/>
        <v>1.4668981496141857</v>
      </c>
      <c r="M13" s="12">
        <f t="shared" si="4"/>
        <v>14.668981496141857</v>
      </c>
      <c r="T13">
        <v>71</v>
      </c>
      <c r="U13" s="24">
        <v>-1.6180000000000001</v>
      </c>
      <c r="V13" s="24">
        <v>-206.898</v>
      </c>
      <c r="W13" s="4">
        <f t="shared" si="5"/>
        <v>205.28</v>
      </c>
      <c r="X13" s="19">
        <f t="shared" si="6"/>
        <v>13.751339764201502</v>
      </c>
      <c r="Y13">
        <v>2</v>
      </c>
      <c r="Z13" s="12">
        <f t="shared" si="7"/>
        <v>27.502679528403004</v>
      </c>
      <c r="AA13" s="12">
        <v>19.090250000000001</v>
      </c>
      <c r="AB13" s="12">
        <f t="shared" si="8"/>
        <v>1.4406662840142481</v>
      </c>
      <c r="AC13" s="12">
        <f t="shared" si="9"/>
        <v>14.406662840142481</v>
      </c>
      <c r="AD13" s="4"/>
      <c r="AF13" s="4"/>
      <c r="AG13" s="4"/>
      <c r="AH13" s="4"/>
      <c r="AI13" s="4"/>
      <c r="AJ13" s="4"/>
      <c r="AK13" s="4"/>
    </row>
    <row r="14" spans="1:37" x14ac:dyDescent="0.2">
      <c r="D14" s="4">
        <v>68</v>
      </c>
      <c r="E14" s="27">
        <v>-5.6619999999999999</v>
      </c>
      <c r="F14" s="27">
        <v>-299.65100000000001</v>
      </c>
      <c r="G14" s="4">
        <f t="shared" si="0"/>
        <v>293.98900000000003</v>
      </c>
      <c r="H14" s="19">
        <f t="shared" si="1"/>
        <v>19.693796891747059</v>
      </c>
      <c r="I14">
        <v>2</v>
      </c>
      <c r="J14" s="12">
        <f t="shared" si="2"/>
        <v>39.387593783494118</v>
      </c>
      <c r="K14" s="4">
        <v>17.843899999999998</v>
      </c>
      <c r="L14" s="12">
        <f t="shared" si="3"/>
        <v>2.2073422168636969</v>
      </c>
      <c r="M14" s="12">
        <f t="shared" si="4"/>
        <v>22.07342216863697</v>
      </c>
      <c r="T14">
        <v>72</v>
      </c>
      <c r="U14" s="24">
        <v>-3.9159999999999999</v>
      </c>
      <c r="V14" s="24">
        <v>-264.447</v>
      </c>
      <c r="W14" s="4">
        <f t="shared" si="5"/>
        <v>260.53100000000001</v>
      </c>
      <c r="X14" s="19">
        <f t="shared" si="6"/>
        <v>17.452505359056808</v>
      </c>
      <c r="Y14">
        <v>2</v>
      </c>
      <c r="Z14" s="12">
        <f t="shared" si="7"/>
        <v>34.905010718113616</v>
      </c>
      <c r="AA14" s="12">
        <v>18.134399999999999</v>
      </c>
      <c r="AB14" s="12">
        <f t="shared" si="8"/>
        <v>1.924795456045616</v>
      </c>
      <c r="AC14" s="12">
        <f t="shared" si="9"/>
        <v>19.247954560456158</v>
      </c>
      <c r="AD14" s="4"/>
      <c r="AF14" s="4"/>
      <c r="AG14" s="4"/>
      <c r="AH14" s="4"/>
      <c r="AI14" s="4"/>
      <c r="AJ14" s="4"/>
      <c r="AK14" s="4"/>
    </row>
    <row r="15" spans="1:37" x14ac:dyDescent="0.2">
      <c r="A15">
        <v>11</v>
      </c>
      <c r="C15" t="s">
        <v>11</v>
      </c>
      <c r="D15" s="4">
        <v>17</v>
      </c>
      <c r="E15" s="27">
        <v>-2.0470000000000002</v>
      </c>
      <c r="F15" s="27">
        <v>-288.28699999999998</v>
      </c>
      <c r="G15" s="4">
        <f t="shared" si="0"/>
        <v>286.23999999999995</v>
      </c>
      <c r="H15" s="19">
        <f t="shared" si="1"/>
        <v>19.174705251875668</v>
      </c>
      <c r="I15">
        <v>2</v>
      </c>
      <c r="J15" s="12">
        <f t="shared" si="2"/>
        <v>38.349410503751336</v>
      </c>
      <c r="K15" s="4">
        <v>19.982800000000001</v>
      </c>
      <c r="L15" s="12">
        <f t="shared" si="3"/>
        <v>1.9191209692210969</v>
      </c>
      <c r="M15" s="12">
        <f t="shared" si="4"/>
        <v>19.191209692210968</v>
      </c>
      <c r="Q15">
        <v>15</v>
      </c>
      <c r="S15" t="s">
        <v>11</v>
      </c>
      <c r="T15">
        <v>21</v>
      </c>
      <c r="U15" s="24">
        <v>-13.324</v>
      </c>
      <c r="V15" s="24">
        <v>-209.41499999999999</v>
      </c>
      <c r="W15" s="4">
        <f t="shared" si="5"/>
        <v>196.09099999999998</v>
      </c>
      <c r="X15" s="19">
        <f t="shared" si="6"/>
        <v>13.135785101822078</v>
      </c>
      <c r="Y15">
        <v>2</v>
      </c>
      <c r="Z15" s="12">
        <f t="shared" si="7"/>
        <v>26.271570203644156</v>
      </c>
      <c r="AA15" s="12">
        <v>18.361449999999998</v>
      </c>
      <c r="AB15" s="12">
        <f t="shared" si="8"/>
        <v>1.4308004108414183</v>
      </c>
      <c r="AC15" s="12">
        <f t="shared" si="9"/>
        <v>14.308004108414183</v>
      </c>
      <c r="AD15" s="23">
        <f>AVERAGE(AC15:AC27)</f>
        <v>19.561251419971899</v>
      </c>
      <c r="AE15" t="s">
        <v>11</v>
      </c>
      <c r="AF15" s="4"/>
      <c r="AG15" s="4"/>
      <c r="AH15" s="4"/>
      <c r="AI15" s="4"/>
      <c r="AJ15" s="4"/>
      <c r="AK15" s="4"/>
    </row>
    <row r="16" spans="1:37" x14ac:dyDescent="0.2">
      <c r="D16" s="4">
        <v>18</v>
      </c>
      <c r="E16" s="27">
        <v>-0.622</v>
      </c>
      <c r="F16" s="27">
        <v>-291.60000000000002</v>
      </c>
      <c r="G16" s="4">
        <f t="shared" si="0"/>
        <v>290.97800000000001</v>
      </c>
      <c r="H16" s="19">
        <f t="shared" si="1"/>
        <v>19.492095391211148</v>
      </c>
      <c r="I16">
        <v>2</v>
      </c>
      <c r="J16" s="12">
        <f t="shared" si="2"/>
        <v>38.984190782422296</v>
      </c>
      <c r="K16" s="4">
        <v>19.62895</v>
      </c>
      <c r="L16" s="12">
        <f t="shared" si="3"/>
        <v>1.9860558400944675</v>
      </c>
      <c r="M16" s="12">
        <f t="shared" si="4"/>
        <v>19.860558400944676</v>
      </c>
      <c r="T16">
        <v>22</v>
      </c>
      <c r="U16" s="24">
        <v>-4.1669999999999998</v>
      </c>
      <c r="V16" s="24">
        <v>-363.66899999999998</v>
      </c>
      <c r="W16" s="4">
        <f t="shared" si="5"/>
        <v>359.50200000000001</v>
      </c>
      <c r="X16" s="19">
        <f t="shared" si="6"/>
        <v>24.082395498392287</v>
      </c>
      <c r="Y16">
        <v>2</v>
      </c>
      <c r="Z16" s="12">
        <f t="shared" si="7"/>
        <v>48.164790996784575</v>
      </c>
      <c r="AA16" s="12">
        <v>18.937100000000001</v>
      </c>
      <c r="AB16" s="12">
        <f t="shared" si="8"/>
        <v>2.54340902233101</v>
      </c>
      <c r="AC16" s="12">
        <f t="shared" si="9"/>
        <v>25.4340902233101</v>
      </c>
      <c r="AD16" s="4"/>
      <c r="AF16" s="4"/>
      <c r="AG16" s="4"/>
      <c r="AH16" s="4"/>
      <c r="AI16" s="4"/>
      <c r="AJ16" s="4"/>
      <c r="AK16" s="4"/>
    </row>
    <row r="17" spans="1:37" x14ac:dyDescent="0.2">
      <c r="D17" s="4">
        <v>19</v>
      </c>
      <c r="E17" s="27">
        <v>-4.3710000000000004</v>
      </c>
      <c r="F17" s="27">
        <v>-343.02499999999998</v>
      </c>
      <c r="G17" s="4">
        <f t="shared" si="0"/>
        <v>338.654</v>
      </c>
      <c r="H17" s="19">
        <f t="shared" si="1"/>
        <v>22.685825294748128</v>
      </c>
      <c r="I17">
        <v>2</v>
      </c>
      <c r="J17" s="12">
        <f t="shared" si="2"/>
        <v>45.371650589496255</v>
      </c>
      <c r="K17" s="4">
        <v>18.783950000000001</v>
      </c>
      <c r="L17" s="12">
        <f t="shared" si="3"/>
        <v>2.4154477939675232</v>
      </c>
      <c r="M17" s="12">
        <f t="shared" si="4"/>
        <v>24.154477939675232</v>
      </c>
      <c r="T17">
        <v>23</v>
      </c>
      <c r="U17" s="24">
        <v>-27.465</v>
      </c>
      <c r="V17" s="24">
        <v>-253.17500000000001</v>
      </c>
      <c r="W17" s="4">
        <f t="shared" si="5"/>
        <v>225.71</v>
      </c>
      <c r="X17" s="19">
        <f t="shared" si="6"/>
        <v>15.1199088960343</v>
      </c>
      <c r="Y17">
        <v>2</v>
      </c>
      <c r="Z17" s="12">
        <f t="shared" si="7"/>
        <v>30.2398177920686</v>
      </c>
      <c r="AA17" s="12">
        <v>16.613399999999999</v>
      </c>
      <c r="AB17" s="12">
        <f t="shared" si="8"/>
        <v>1.8202064473297821</v>
      </c>
      <c r="AC17" s="12">
        <f t="shared" si="9"/>
        <v>18.202064473297821</v>
      </c>
      <c r="AD17" s="4"/>
      <c r="AF17" s="4"/>
      <c r="AG17" s="4"/>
      <c r="AH17" s="4"/>
      <c r="AI17" s="4"/>
      <c r="AJ17" s="4"/>
      <c r="AK17" s="4"/>
    </row>
    <row r="18" spans="1:37" x14ac:dyDescent="0.2">
      <c r="D18" s="4">
        <v>20</v>
      </c>
      <c r="E18" s="27">
        <v>1.4359999999999999</v>
      </c>
      <c r="F18" s="27">
        <v>-262.40699999999998</v>
      </c>
      <c r="G18" s="4">
        <f t="shared" si="0"/>
        <v>260.971</v>
      </c>
      <c r="H18" s="19">
        <f t="shared" si="1"/>
        <v>17.48198017148982</v>
      </c>
      <c r="I18">
        <v>2</v>
      </c>
      <c r="J18" s="12">
        <f t="shared" si="2"/>
        <v>34.96396034297964</v>
      </c>
      <c r="K18" s="4">
        <v>12.710649999999998</v>
      </c>
      <c r="L18" s="12">
        <f t="shared" si="3"/>
        <v>2.7507610030155534</v>
      </c>
      <c r="M18" s="12">
        <f t="shared" si="4"/>
        <v>27.507610030155533</v>
      </c>
      <c r="T18">
        <v>24</v>
      </c>
      <c r="U18" s="24">
        <v>-3.5710000000000002</v>
      </c>
      <c r="V18" s="24">
        <v>-348.95600000000002</v>
      </c>
      <c r="W18" s="4">
        <f t="shared" si="5"/>
        <v>345.38499999999999</v>
      </c>
      <c r="X18" s="19">
        <f t="shared" si="6"/>
        <v>23.136722936763132</v>
      </c>
      <c r="Y18">
        <v>2</v>
      </c>
      <c r="Z18" s="12">
        <f t="shared" si="7"/>
        <v>46.273445873526263</v>
      </c>
      <c r="AA18" s="12">
        <v>18.535749999999997</v>
      </c>
      <c r="AB18" s="12">
        <f t="shared" si="8"/>
        <v>2.4964431368315969</v>
      </c>
      <c r="AC18" s="12">
        <f t="shared" si="9"/>
        <v>24.964431368315971</v>
      </c>
      <c r="AD18" s="4"/>
      <c r="AF18" s="4"/>
      <c r="AG18" s="4"/>
      <c r="AH18" s="4"/>
      <c r="AI18" s="4"/>
      <c r="AJ18" s="4"/>
      <c r="AK18" s="4"/>
    </row>
    <row r="19" spans="1:37" x14ac:dyDescent="0.2">
      <c r="A19">
        <v>12</v>
      </c>
      <c r="D19" s="4">
        <v>25</v>
      </c>
      <c r="E19" s="27">
        <v>-3.6579999999999999</v>
      </c>
      <c r="F19" s="27">
        <v>-304.185</v>
      </c>
      <c r="G19" s="4">
        <f t="shared" si="0"/>
        <v>300.52699999999999</v>
      </c>
      <c r="H19" s="19">
        <f t="shared" si="1"/>
        <v>20.13176580921758</v>
      </c>
      <c r="I19">
        <v>2</v>
      </c>
      <c r="J19" s="12">
        <f t="shared" si="2"/>
        <v>40.263531618435159</v>
      </c>
      <c r="K19" s="4">
        <v>18.504049999999999</v>
      </c>
      <c r="L19" s="12">
        <f t="shared" si="3"/>
        <v>2.1759307620999273</v>
      </c>
      <c r="M19" s="12">
        <f t="shared" si="4"/>
        <v>21.759307620999273</v>
      </c>
      <c r="Q19">
        <v>14</v>
      </c>
      <c r="T19">
        <v>29</v>
      </c>
      <c r="U19" s="24">
        <v>-9.7959999999999994</v>
      </c>
      <c r="V19" s="24">
        <v>-352.14499999999998</v>
      </c>
      <c r="W19" s="4">
        <f t="shared" si="5"/>
        <v>342.34899999999999</v>
      </c>
      <c r="X19" s="19">
        <f t="shared" si="6"/>
        <v>22.933346730975352</v>
      </c>
      <c r="Y19">
        <v>2</v>
      </c>
      <c r="Z19" s="12">
        <f t="shared" si="7"/>
        <v>45.866693461950703</v>
      </c>
      <c r="AA19" s="12">
        <v>19.296250000000001</v>
      </c>
      <c r="AB19" s="12">
        <f t="shared" si="8"/>
        <v>2.3769744619784001</v>
      </c>
      <c r="AC19" s="12">
        <f t="shared" si="9"/>
        <v>23.769744619783999</v>
      </c>
      <c r="AD19" s="4"/>
      <c r="AF19" s="4"/>
      <c r="AG19" s="4"/>
      <c r="AH19" s="4"/>
      <c r="AI19" s="4"/>
      <c r="AJ19" s="4"/>
      <c r="AK19" s="4"/>
    </row>
    <row r="20" spans="1:37" x14ac:dyDescent="0.2">
      <c r="D20" s="4">
        <v>26</v>
      </c>
      <c r="E20" s="27">
        <v>-2.5960000000000001</v>
      </c>
      <c r="F20" s="27">
        <v>-347.28699999999998</v>
      </c>
      <c r="G20" s="4">
        <f t="shared" si="0"/>
        <v>344.69099999999997</v>
      </c>
      <c r="H20" s="19">
        <f t="shared" si="1"/>
        <v>23.090233118971064</v>
      </c>
      <c r="I20">
        <v>2</v>
      </c>
      <c r="J20" s="12">
        <f t="shared" si="2"/>
        <v>46.180466237942127</v>
      </c>
      <c r="K20" s="4">
        <v>17.63795</v>
      </c>
      <c r="L20" s="12">
        <f t="shared" si="3"/>
        <v>2.6182445373720942</v>
      </c>
      <c r="M20" s="12">
        <f t="shared" si="4"/>
        <v>26.182445373720942</v>
      </c>
      <c r="T20">
        <v>30</v>
      </c>
      <c r="U20" s="24">
        <v>-5.88</v>
      </c>
      <c r="V20" s="24">
        <v>-435.21800000000002</v>
      </c>
      <c r="W20" s="4">
        <f t="shared" si="5"/>
        <v>429.33800000000002</v>
      </c>
      <c r="X20" s="19">
        <f t="shared" si="6"/>
        <v>28.760584137191859</v>
      </c>
      <c r="Y20">
        <v>2</v>
      </c>
      <c r="Z20" s="12">
        <f t="shared" si="7"/>
        <v>57.521168274383719</v>
      </c>
      <c r="AA20" s="12">
        <v>20.458099999999998</v>
      </c>
      <c r="AB20" s="12">
        <f t="shared" si="8"/>
        <v>2.8116574009504167</v>
      </c>
      <c r="AC20" s="12">
        <f t="shared" si="9"/>
        <v>28.116574009504166</v>
      </c>
      <c r="AD20" s="4"/>
      <c r="AF20" s="4"/>
      <c r="AG20" s="4"/>
      <c r="AH20" s="4"/>
      <c r="AI20" s="4"/>
      <c r="AJ20" s="4"/>
      <c r="AK20" s="4"/>
    </row>
    <row r="21" spans="1:37" x14ac:dyDescent="0.2">
      <c r="D21" s="4">
        <v>27</v>
      </c>
      <c r="E21" s="27">
        <v>-3.5489999999999999</v>
      </c>
      <c r="F21" s="27">
        <v>-299.14499999999998</v>
      </c>
      <c r="G21" s="4">
        <f t="shared" si="0"/>
        <v>295.596</v>
      </c>
      <c r="H21" s="19">
        <f t="shared" si="1"/>
        <v>19.801446945337624</v>
      </c>
      <c r="I21">
        <v>2</v>
      </c>
      <c r="J21" s="12">
        <f t="shared" si="2"/>
        <v>39.602893890675247</v>
      </c>
      <c r="K21" s="4">
        <v>18.989900000000002</v>
      </c>
      <c r="L21" s="12">
        <f t="shared" si="3"/>
        <v>2.0854714290583543</v>
      </c>
      <c r="M21" s="12">
        <f t="shared" si="4"/>
        <v>20.854714290583544</v>
      </c>
      <c r="T21">
        <v>31</v>
      </c>
      <c r="U21" s="24">
        <v>-1.524</v>
      </c>
      <c r="V21" s="24">
        <v>-282.34899999999999</v>
      </c>
      <c r="W21" s="4">
        <f t="shared" si="5"/>
        <v>280.82499999999999</v>
      </c>
      <c r="X21" s="19">
        <f t="shared" si="6"/>
        <v>18.811964094319404</v>
      </c>
      <c r="Y21">
        <v>2</v>
      </c>
      <c r="Z21" s="12">
        <f t="shared" si="7"/>
        <v>37.623928188638807</v>
      </c>
      <c r="AA21" s="12">
        <v>19.7029</v>
      </c>
      <c r="AB21" s="12">
        <f t="shared" si="8"/>
        <v>1.9095629673113506</v>
      </c>
      <c r="AC21" s="12">
        <f t="shared" si="9"/>
        <v>19.095629673113507</v>
      </c>
      <c r="AD21" s="4"/>
      <c r="AF21" s="4"/>
      <c r="AG21" s="4"/>
      <c r="AH21" s="4"/>
      <c r="AI21" s="4"/>
      <c r="AJ21" s="4"/>
      <c r="AK21" s="4"/>
    </row>
    <row r="22" spans="1:37" x14ac:dyDescent="0.2">
      <c r="D22" s="4">
        <v>28</v>
      </c>
      <c r="E22" s="27">
        <v>-4.9269999999999996</v>
      </c>
      <c r="F22" s="27">
        <v>-320.88400000000001</v>
      </c>
      <c r="G22" s="4">
        <f t="shared" si="0"/>
        <v>315.95699999999999</v>
      </c>
      <c r="H22" s="19">
        <f t="shared" si="1"/>
        <v>21.165393890675244</v>
      </c>
      <c r="I22">
        <v>2</v>
      </c>
      <c r="J22" s="12">
        <f t="shared" si="2"/>
        <v>42.330787781350487</v>
      </c>
      <c r="K22" s="4">
        <v>20.621799999999997</v>
      </c>
      <c r="L22" s="12">
        <f t="shared" si="3"/>
        <v>2.0527203144900299</v>
      </c>
      <c r="M22" s="12">
        <f t="shared" si="4"/>
        <v>20.527203144900298</v>
      </c>
      <c r="T22">
        <v>32</v>
      </c>
      <c r="U22" s="24">
        <v>-9.0289999999999999</v>
      </c>
      <c r="V22" s="24">
        <v>-365.86200000000002</v>
      </c>
      <c r="W22" s="4">
        <f t="shared" si="5"/>
        <v>356.83300000000003</v>
      </c>
      <c r="X22" s="19">
        <f t="shared" si="6"/>
        <v>23.90360396570204</v>
      </c>
      <c r="Y22">
        <v>2</v>
      </c>
      <c r="Z22" s="12">
        <f t="shared" si="7"/>
        <v>47.807207931404079</v>
      </c>
      <c r="AA22" s="12">
        <v>18.271700000000003</v>
      </c>
      <c r="AB22" s="12">
        <f t="shared" si="8"/>
        <v>2.6164619565450433</v>
      </c>
      <c r="AC22" s="12">
        <f t="shared" si="9"/>
        <v>26.164619565450433</v>
      </c>
      <c r="AD22" s="4"/>
      <c r="AF22" s="4"/>
      <c r="AG22" s="4"/>
      <c r="AH22" s="4"/>
      <c r="AI22" s="4"/>
      <c r="AJ22" s="4"/>
      <c r="AK22" s="4"/>
    </row>
    <row r="23" spans="1:37" x14ac:dyDescent="0.2">
      <c r="A23">
        <v>12</v>
      </c>
      <c r="D23" s="4">
        <v>73</v>
      </c>
      <c r="E23" s="27">
        <v>0</v>
      </c>
      <c r="F23" s="27">
        <v>-272.65499999999997</v>
      </c>
      <c r="G23" s="4">
        <f t="shared" si="0"/>
        <v>272.65499999999997</v>
      </c>
      <c r="H23" s="19">
        <f t="shared" si="1"/>
        <v>18.264670418006432</v>
      </c>
      <c r="I23">
        <v>2</v>
      </c>
      <c r="J23" s="12">
        <f t="shared" si="2"/>
        <v>36.529340836012864</v>
      </c>
      <c r="K23" s="4">
        <v>18.604400000000002</v>
      </c>
      <c r="L23" s="12">
        <f t="shared" si="3"/>
        <v>1.9634785768964793</v>
      </c>
      <c r="M23" s="12">
        <f t="shared" si="4"/>
        <v>19.634785768964793</v>
      </c>
      <c r="Q23">
        <v>15</v>
      </c>
      <c r="T23">
        <v>78</v>
      </c>
      <c r="U23" s="24">
        <v>-53.908999999999999</v>
      </c>
      <c r="V23" s="24">
        <v>-247.99299999999999</v>
      </c>
      <c r="W23" s="4">
        <f t="shared" si="5"/>
        <v>194.084</v>
      </c>
      <c r="X23" s="19">
        <f t="shared" si="6"/>
        <v>13.001339764201502</v>
      </c>
      <c r="Y23">
        <v>2</v>
      </c>
      <c r="Z23" s="12">
        <f t="shared" si="7"/>
        <v>26.002679528403004</v>
      </c>
      <c r="AA23" s="12">
        <v>20.3736</v>
      </c>
      <c r="AB23" s="12">
        <f t="shared" si="8"/>
        <v>1.2762928264225766</v>
      </c>
      <c r="AC23" s="12">
        <f t="shared" si="9"/>
        <v>12.762928264225765</v>
      </c>
      <c r="AD23" s="4"/>
      <c r="AF23" s="4"/>
      <c r="AG23" s="4"/>
      <c r="AH23" s="4"/>
      <c r="AI23" s="4"/>
      <c r="AJ23" s="4"/>
      <c r="AK23" s="4"/>
    </row>
    <row r="24" spans="1:37" x14ac:dyDescent="0.2">
      <c r="D24" s="4">
        <v>74</v>
      </c>
      <c r="E24" s="27">
        <v>-14.811</v>
      </c>
      <c r="F24" s="27">
        <v>-343.03300000000002</v>
      </c>
      <c r="G24" s="4">
        <f t="shared" si="0"/>
        <v>328.22200000000004</v>
      </c>
      <c r="H24" s="19">
        <f t="shared" si="1"/>
        <v>21.987004287245451</v>
      </c>
      <c r="I24">
        <v>2</v>
      </c>
      <c r="J24" s="12">
        <f t="shared" si="2"/>
        <v>43.974008574490902</v>
      </c>
      <c r="K24" s="4">
        <v>17.875599999999999</v>
      </c>
      <c r="L24" s="12">
        <f t="shared" si="3"/>
        <v>2.4600018222879738</v>
      </c>
      <c r="M24" s="12">
        <f t="shared" si="4"/>
        <v>24.60001822287974</v>
      </c>
      <c r="T24">
        <v>79</v>
      </c>
      <c r="U24" s="24">
        <v>-8.7270000000000003</v>
      </c>
      <c r="V24" s="24">
        <v>-250.62200000000001</v>
      </c>
      <c r="W24" s="4">
        <f t="shared" si="5"/>
        <v>241.89500000000001</v>
      </c>
      <c r="X24" s="19">
        <f t="shared" si="6"/>
        <v>16.204113076098608</v>
      </c>
      <c r="Y24">
        <v>2</v>
      </c>
      <c r="Z24" s="12">
        <f t="shared" si="7"/>
        <v>32.408226152197216</v>
      </c>
      <c r="AA24" s="12">
        <v>20.389399999999998</v>
      </c>
      <c r="AB24" s="12">
        <f t="shared" si="8"/>
        <v>1.5894644350592573</v>
      </c>
      <c r="AC24" s="12">
        <f t="shared" si="9"/>
        <v>15.894644350592573</v>
      </c>
      <c r="AD24" s="4"/>
      <c r="AF24" s="4"/>
      <c r="AG24" s="4"/>
      <c r="AH24" s="4"/>
      <c r="AI24" s="4"/>
      <c r="AJ24" s="4"/>
      <c r="AK24" s="4"/>
    </row>
    <row r="25" spans="1:37" x14ac:dyDescent="0.2">
      <c r="D25" s="4">
        <v>75</v>
      </c>
      <c r="E25" s="27">
        <v>-4.0579999999999998</v>
      </c>
      <c r="F25" s="27">
        <v>-287.71300000000002</v>
      </c>
      <c r="G25" s="4">
        <f t="shared" si="0"/>
        <v>283.65500000000003</v>
      </c>
      <c r="H25" s="19">
        <f t="shared" si="1"/>
        <v>19.001540728831731</v>
      </c>
      <c r="I25">
        <v>2</v>
      </c>
      <c r="J25" s="12">
        <f t="shared" si="2"/>
        <v>38.003081457663463</v>
      </c>
      <c r="K25" s="4">
        <v>18.97935</v>
      </c>
      <c r="L25" s="12">
        <f t="shared" si="3"/>
        <v>2.002338407672732</v>
      </c>
      <c r="M25" s="12">
        <f t="shared" si="4"/>
        <v>20.023384076727318</v>
      </c>
      <c r="T25">
        <v>80</v>
      </c>
      <c r="U25" s="24">
        <v>-4.1710000000000003</v>
      </c>
      <c r="V25" s="24">
        <v>-163.102</v>
      </c>
      <c r="W25" s="4">
        <f t="shared" si="5"/>
        <v>158.93100000000001</v>
      </c>
      <c r="X25" s="19">
        <f t="shared" si="6"/>
        <v>10.646503215434086</v>
      </c>
      <c r="Y25">
        <v>2</v>
      </c>
      <c r="Z25" s="12">
        <f t="shared" si="7"/>
        <v>21.293006430868171</v>
      </c>
      <c r="AA25" s="12">
        <v>21.2925</v>
      </c>
      <c r="AB25" s="12">
        <f t="shared" si="8"/>
        <v>1.0000237844719113</v>
      </c>
      <c r="AC25" s="12">
        <f t="shared" si="9"/>
        <v>10.000237844719113</v>
      </c>
      <c r="AD25" s="4"/>
      <c r="AF25" s="4"/>
      <c r="AG25" s="4"/>
      <c r="AH25" s="4"/>
      <c r="AI25" s="4"/>
      <c r="AJ25" s="4"/>
      <c r="AK25" s="4"/>
    </row>
    <row r="26" spans="1:37" x14ac:dyDescent="0.2">
      <c r="D26" s="4">
        <v>76</v>
      </c>
      <c r="E26" s="27">
        <v>-2.9750000000000001</v>
      </c>
      <c r="F26" s="27">
        <v>-252.38900000000001</v>
      </c>
      <c r="G26" s="4">
        <f t="shared" si="0"/>
        <v>249.41400000000002</v>
      </c>
      <c r="H26" s="19">
        <f t="shared" si="1"/>
        <v>16.707797427652736</v>
      </c>
      <c r="I26">
        <v>2</v>
      </c>
      <c r="J26" s="12">
        <f t="shared" si="2"/>
        <v>33.415594855305471</v>
      </c>
      <c r="K26" s="4">
        <v>17.8809</v>
      </c>
      <c r="L26" s="12">
        <f t="shared" si="3"/>
        <v>1.8687870775691084</v>
      </c>
      <c r="M26" s="12">
        <f t="shared" si="4"/>
        <v>18.687870775691085</v>
      </c>
      <c r="T26">
        <v>81</v>
      </c>
      <c r="U26" s="24">
        <v>-19.433</v>
      </c>
      <c r="V26" s="24">
        <v>-203.767</v>
      </c>
      <c r="W26" s="4">
        <f t="shared" si="5"/>
        <v>184.334</v>
      </c>
      <c r="X26" s="19">
        <f t="shared" si="6"/>
        <v>12.348204715969992</v>
      </c>
      <c r="Y26">
        <v>2</v>
      </c>
      <c r="Z26" s="12">
        <f t="shared" si="7"/>
        <v>24.696409431939983</v>
      </c>
      <c r="AA26" s="12">
        <v>17.315799999999999</v>
      </c>
      <c r="AB26" s="12">
        <f t="shared" si="8"/>
        <v>1.4262355439506107</v>
      </c>
      <c r="AC26" s="12">
        <f t="shared" si="9"/>
        <v>14.262355439506107</v>
      </c>
      <c r="AD26" s="4"/>
      <c r="AF26" s="4"/>
      <c r="AG26" s="4"/>
      <c r="AH26" s="4"/>
      <c r="AI26" s="4"/>
      <c r="AJ26" s="4"/>
      <c r="AK26" s="4"/>
    </row>
    <row r="27" spans="1:37" x14ac:dyDescent="0.2">
      <c r="D27" s="4">
        <v>77</v>
      </c>
      <c r="E27" s="27">
        <v>-4.9530000000000003</v>
      </c>
      <c r="F27" s="27">
        <v>-308.10500000000002</v>
      </c>
      <c r="G27" s="4">
        <f t="shared" si="0"/>
        <v>303.15200000000004</v>
      </c>
      <c r="H27" s="19">
        <f t="shared" si="1"/>
        <v>20.307609860664531</v>
      </c>
      <c r="I27">
        <v>2</v>
      </c>
      <c r="J27" s="12">
        <f t="shared" si="2"/>
        <v>40.615219721329062</v>
      </c>
      <c r="K27" s="4">
        <v>19.882449999999999</v>
      </c>
      <c r="L27" s="12">
        <f t="shared" si="3"/>
        <v>2.0427673511729725</v>
      </c>
      <c r="M27" s="12">
        <f t="shared" si="4"/>
        <v>20.427673511729726</v>
      </c>
      <c r="T27">
        <v>82</v>
      </c>
      <c r="U27" s="24">
        <v>-5.1779999999999999</v>
      </c>
      <c r="V27" s="24">
        <v>-286.95999999999998</v>
      </c>
      <c r="W27" s="4">
        <f t="shared" si="5"/>
        <v>281.78199999999998</v>
      </c>
      <c r="X27" s="19">
        <f t="shared" si="6"/>
        <v>18.876071811361204</v>
      </c>
      <c r="Y27">
        <v>2</v>
      </c>
      <c r="Z27" s="12">
        <f t="shared" si="7"/>
        <v>37.752143622722407</v>
      </c>
      <c r="AA27" s="12">
        <v>17.706600000000002</v>
      </c>
      <c r="AB27" s="12">
        <f t="shared" si="8"/>
        <v>2.1320944519400902</v>
      </c>
      <c r="AC27" s="12">
        <f t="shared" si="9"/>
        <v>21.320944519400904</v>
      </c>
      <c r="AD27" s="4"/>
      <c r="AF27" s="4"/>
      <c r="AG27" s="4"/>
      <c r="AH27" s="4"/>
      <c r="AI27" s="4"/>
      <c r="AJ27" s="4"/>
      <c r="AK27" s="4"/>
    </row>
    <row r="28" spans="1:37" x14ac:dyDescent="0.2">
      <c r="A28">
        <v>11</v>
      </c>
      <c r="C28" t="s">
        <v>12</v>
      </c>
      <c r="D28" s="4">
        <v>33</v>
      </c>
      <c r="E28" s="27">
        <v>-2.036</v>
      </c>
      <c r="F28" s="27">
        <v>-277.15300000000002</v>
      </c>
      <c r="G28" s="4">
        <f t="shared" si="0"/>
        <v>275.11700000000002</v>
      </c>
      <c r="H28" s="19">
        <f t="shared" si="1"/>
        <v>18.429595391211148</v>
      </c>
      <c r="I28">
        <v>2</v>
      </c>
      <c r="J28" s="12">
        <f t="shared" si="2"/>
        <v>36.859190782422296</v>
      </c>
      <c r="K28" s="4">
        <v>21.41395</v>
      </c>
      <c r="L28" s="12">
        <f t="shared" si="3"/>
        <v>1.721270049777005</v>
      </c>
      <c r="M28" s="12">
        <f t="shared" si="4"/>
        <v>17.212700497770051</v>
      </c>
      <c r="Q28">
        <v>15</v>
      </c>
      <c r="S28" t="s">
        <v>12</v>
      </c>
      <c r="T28">
        <v>37</v>
      </c>
      <c r="U28" s="24">
        <v>-16.651</v>
      </c>
      <c r="V28" s="24">
        <v>-281.68700000000001</v>
      </c>
      <c r="W28" s="4">
        <f t="shared" si="5"/>
        <v>265.036</v>
      </c>
      <c r="X28" s="19">
        <f t="shared" si="6"/>
        <v>17.754287245444804</v>
      </c>
      <c r="Y28">
        <v>2</v>
      </c>
      <c r="Z28" s="12">
        <f t="shared" si="7"/>
        <v>35.508574490889607</v>
      </c>
      <c r="AA28" s="12">
        <v>18.065750000000001</v>
      </c>
      <c r="AB28" s="12">
        <f t="shared" si="8"/>
        <v>1.9655189787797132</v>
      </c>
      <c r="AC28" s="12">
        <f t="shared" si="9"/>
        <v>19.655189787797131</v>
      </c>
      <c r="AD28" s="23">
        <f>AVERAGE(AC28:AC38)</f>
        <v>17.3403022804636</v>
      </c>
      <c r="AE28" t="s">
        <v>12</v>
      </c>
      <c r="AF28" s="4"/>
      <c r="AG28" s="4"/>
      <c r="AH28" s="4"/>
      <c r="AI28" s="4"/>
      <c r="AJ28" s="4"/>
      <c r="AK28" s="4"/>
    </row>
    <row r="29" spans="1:37" x14ac:dyDescent="0.2">
      <c r="D29" s="4">
        <v>34</v>
      </c>
      <c r="E29" s="27">
        <v>-1.04</v>
      </c>
      <c r="F29" s="27">
        <v>-268.44</v>
      </c>
      <c r="G29" s="4">
        <f t="shared" si="0"/>
        <v>267.39999999999998</v>
      </c>
      <c r="H29" s="19">
        <f t="shared" si="1"/>
        <v>17.912647374062168</v>
      </c>
      <c r="I29">
        <v>2</v>
      </c>
      <c r="J29" s="12">
        <f t="shared" si="2"/>
        <v>35.825294748124335</v>
      </c>
      <c r="K29" s="4">
        <v>19.977499999999999</v>
      </c>
      <c r="L29" s="12">
        <f t="shared" si="3"/>
        <v>1.7932821798585576</v>
      </c>
      <c r="M29" s="12">
        <f t="shared" si="4"/>
        <v>17.932821798585575</v>
      </c>
      <c r="T29" s="4">
        <v>38</v>
      </c>
      <c r="U29" s="24">
        <v>-1.276</v>
      </c>
      <c r="V29" s="24">
        <v>-205.93100000000001</v>
      </c>
      <c r="W29" s="4">
        <f t="shared" si="5"/>
        <v>204.655</v>
      </c>
      <c r="X29" s="19">
        <f t="shared" si="6"/>
        <v>13.70947213290461</v>
      </c>
      <c r="Y29">
        <v>2</v>
      </c>
      <c r="Z29" s="12">
        <f t="shared" si="7"/>
        <v>27.41894426580922</v>
      </c>
      <c r="AA29" s="12">
        <v>16.777149999999999</v>
      </c>
      <c r="AB29" s="12">
        <f t="shared" si="8"/>
        <v>1.6343028622745355</v>
      </c>
      <c r="AC29" s="12">
        <f t="shared" si="9"/>
        <v>16.343028622745354</v>
      </c>
      <c r="AD29" s="4"/>
      <c r="AF29" s="4"/>
      <c r="AG29" s="4"/>
      <c r="AH29" s="4"/>
      <c r="AI29" s="4"/>
      <c r="AJ29" s="4"/>
      <c r="AK29" s="4"/>
    </row>
    <row r="30" spans="1:37" x14ac:dyDescent="0.2">
      <c r="D30" s="4">
        <v>35</v>
      </c>
      <c r="E30" s="27">
        <v>1.145</v>
      </c>
      <c r="F30" s="27">
        <v>-200.53800000000001</v>
      </c>
      <c r="G30" s="4">
        <f t="shared" si="0"/>
        <v>199.393</v>
      </c>
      <c r="H30" s="19">
        <f t="shared" si="1"/>
        <v>13.35698017148982</v>
      </c>
      <c r="I30">
        <v>2</v>
      </c>
      <c r="J30" s="12">
        <f t="shared" si="2"/>
        <v>26.71396034297964</v>
      </c>
      <c r="K30" s="4">
        <v>19.966950000000001</v>
      </c>
      <c r="L30" s="12">
        <f t="shared" si="3"/>
        <v>1.337908911625443</v>
      </c>
      <c r="M30" s="12">
        <f t="shared" si="4"/>
        <v>13.379089116254431</v>
      </c>
      <c r="T30">
        <v>39</v>
      </c>
      <c r="U30" s="24">
        <v>-9.1530000000000005</v>
      </c>
      <c r="V30" s="24">
        <v>-218.542</v>
      </c>
      <c r="W30" s="4">
        <f t="shared" si="5"/>
        <v>209.38900000000001</v>
      </c>
      <c r="X30" s="19">
        <f t="shared" si="6"/>
        <v>14.026594319399788</v>
      </c>
      <c r="Y30">
        <v>2</v>
      </c>
      <c r="Z30" s="12">
        <f t="shared" si="7"/>
        <v>28.053188638799575</v>
      </c>
      <c r="AA30" s="12">
        <v>16.956699999999998</v>
      </c>
      <c r="AB30" s="12">
        <f t="shared" si="8"/>
        <v>1.6544014247347407</v>
      </c>
      <c r="AC30" s="12">
        <f t="shared" si="9"/>
        <v>16.544014247347405</v>
      </c>
      <c r="AD30" s="4"/>
      <c r="AF30" s="4"/>
      <c r="AG30" s="4"/>
      <c r="AH30" s="4"/>
      <c r="AI30" s="4"/>
      <c r="AJ30" s="4"/>
      <c r="AK30" s="4"/>
    </row>
    <row r="31" spans="1:37" x14ac:dyDescent="0.2">
      <c r="D31" s="4">
        <v>36</v>
      </c>
      <c r="E31" s="27">
        <v>-6.6980000000000004</v>
      </c>
      <c r="F31" s="27">
        <v>-164.20699999999999</v>
      </c>
      <c r="G31" s="4">
        <f t="shared" si="0"/>
        <v>157.50899999999999</v>
      </c>
      <c r="H31" s="19">
        <f t="shared" si="1"/>
        <v>10.551245980707396</v>
      </c>
      <c r="I31">
        <v>2</v>
      </c>
      <c r="J31" s="12">
        <f t="shared" si="2"/>
        <v>21.102491961414792</v>
      </c>
      <c r="K31" s="4">
        <v>20.537299999999998</v>
      </c>
      <c r="L31" s="12">
        <f t="shared" si="3"/>
        <v>1.0275202661213885</v>
      </c>
      <c r="M31" s="12">
        <f t="shared" si="4"/>
        <v>10.275202661213886</v>
      </c>
      <c r="T31">
        <v>40</v>
      </c>
      <c r="U31" s="24">
        <v>-14.606999999999999</v>
      </c>
      <c r="V31" s="24">
        <v>-257.673</v>
      </c>
      <c r="W31" s="4">
        <f t="shared" si="5"/>
        <v>243.066</v>
      </c>
      <c r="X31" s="19">
        <f t="shared" si="6"/>
        <v>16.282556270096464</v>
      </c>
      <c r="Y31">
        <v>2</v>
      </c>
      <c r="Z31" s="12">
        <f t="shared" si="7"/>
        <v>32.565112540192928</v>
      </c>
      <c r="AA31" s="12">
        <v>17.19435</v>
      </c>
      <c r="AB31" s="12">
        <f t="shared" si="8"/>
        <v>1.8939426346557402</v>
      </c>
      <c r="AC31" s="12">
        <f t="shared" si="9"/>
        <v>18.939426346557401</v>
      </c>
      <c r="AD31" s="4"/>
      <c r="AF31" s="4"/>
      <c r="AG31" s="4"/>
      <c r="AH31" s="4"/>
      <c r="AI31" s="4"/>
      <c r="AJ31" s="4"/>
      <c r="AK31" s="4"/>
    </row>
    <row r="32" spans="1:37" x14ac:dyDescent="0.2">
      <c r="A32">
        <v>12</v>
      </c>
      <c r="D32" s="4">
        <v>41</v>
      </c>
      <c r="E32" s="27">
        <v>-3.8690000000000002</v>
      </c>
      <c r="F32" s="27">
        <v>-287.94499999999999</v>
      </c>
      <c r="G32" s="4">
        <f t="shared" si="0"/>
        <v>284.07599999999996</v>
      </c>
      <c r="H32" s="19">
        <f t="shared" si="1"/>
        <v>19.029742765273312</v>
      </c>
      <c r="I32">
        <v>2</v>
      </c>
      <c r="J32" s="12">
        <f t="shared" si="2"/>
        <v>38.059485530546624</v>
      </c>
      <c r="K32" s="4">
        <v>21.683299999999999</v>
      </c>
      <c r="L32" s="12">
        <f t="shared" si="3"/>
        <v>1.7552441524374347</v>
      </c>
      <c r="M32" s="12">
        <f t="shared" si="4"/>
        <v>17.552441524374348</v>
      </c>
      <c r="Q32">
        <v>14</v>
      </c>
      <c r="T32">
        <v>45</v>
      </c>
      <c r="U32" s="24">
        <v>-14.571</v>
      </c>
      <c r="V32" s="24">
        <v>-251.982</v>
      </c>
      <c r="W32" s="4">
        <f t="shared" si="5"/>
        <v>237.411</v>
      </c>
      <c r="X32" s="19">
        <f t="shared" si="6"/>
        <v>15.903737942122188</v>
      </c>
      <c r="Y32">
        <v>2</v>
      </c>
      <c r="Z32" s="12">
        <f t="shared" si="7"/>
        <v>31.807475884244376</v>
      </c>
      <c r="AA32" s="12">
        <v>21.762500000000003</v>
      </c>
      <c r="AB32" s="12">
        <f t="shared" si="8"/>
        <v>1.4615727000227168</v>
      </c>
      <c r="AC32" s="12">
        <f t="shared" si="9"/>
        <v>14.615727000227167</v>
      </c>
      <c r="AD32" s="4"/>
      <c r="AF32" s="4"/>
      <c r="AG32" s="4"/>
      <c r="AH32" s="4"/>
      <c r="AI32" s="4"/>
      <c r="AJ32" s="4"/>
      <c r="AK32" s="4"/>
    </row>
    <row r="33" spans="1:37" x14ac:dyDescent="0.2">
      <c r="D33" s="4">
        <v>42</v>
      </c>
      <c r="E33" s="27">
        <v>-10.269</v>
      </c>
      <c r="F33" s="27">
        <v>-252.36699999999999</v>
      </c>
      <c r="G33" s="4">
        <f t="shared" si="0"/>
        <v>242.09799999999998</v>
      </c>
      <c r="H33" s="19">
        <f t="shared" si="1"/>
        <v>16.217711682743836</v>
      </c>
      <c r="I33">
        <v>2</v>
      </c>
      <c r="J33" s="12">
        <f t="shared" si="2"/>
        <v>32.435423365487672</v>
      </c>
      <c r="K33" s="4">
        <v>19.9194</v>
      </c>
      <c r="L33" s="12">
        <f t="shared" si="3"/>
        <v>1.6283333516816607</v>
      </c>
      <c r="M33" s="12">
        <f t="shared" si="4"/>
        <v>16.283333516816608</v>
      </c>
      <c r="T33">
        <v>46</v>
      </c>
      <c r="U33" s="24">
        <v>-8.2870000000000008</v>
      </c>
      <c r="V33" s="24">
        <v>-237.684</v>
      </c>
      <c r="W33" s="4">
        <f t="shared" si="5"/>
        <v>229.39699999999999</v>
      </c>
      <c r="X33" s="19">
        <f t="shared" si="6"/>
        <v>15.366894426580924</v>
      </c>
      <c r="Y33">
        <v>2</v>
      </c>
      <c r="Z33" s="12">
        <f t="shared" si="7"/>
        <v>30.733788853161847</v>
      </c>
      <c r="AA33" s="12">
        <v>19.62895</v>
      </c>
      <c r="AB33" s="12">
        <f t="shared" si="8"/>
        <v>1.5657377930639107</v>
      </c>
      <c r="AC33" s="12">
        <f t="shared" si="9"/>
        <v>15.657377930639107</v>
      </c>
      <c r="AD33" s="4"/>
      <c r="AF33" s="4"/>
      <c r="AG33" s="4"/>
      <c r="AH33" s="4"/>
      <c r="AI33" s="4"/>
      <c r="AJ33" s="4"/>
      <c r="AK33" s="4"/>
    </row>
    <row r="34" spans="1:37" x14ac:dyDescent="0.2">
      <c r="D34" s="4">
        <v>43</v>
      </c>
      <c r="E34" s="27">
        <v>-8.1379999999999999</v>
      </c>
      <c r="F34" s="27">
        <v>-453.47300000000001</v>
      </c>
      <c r="G34" s="4">
        <f t="shared" si="0"/>
        <v>445.33500000000004</v>
      </c>
      <c r="H34" s="19">
        <f t="shared" si="1"/>
        <v>29.832194533762067</v>
      </c>
      <c r="I34">
        <v>2</v>
      </c>
      <c r="J34" s="12">
        <f t="shared" si="2"/>
        <v>59.664389067524134</v>
      </c>
      <c r="K34" s="4">
        <v>22.126899999999999</v>
      </c>
      <c r="L34" s="12">
        <f t="shared" si="3"/>
        <v>2.6964639903250855</v>
      </c>
      <c r="M34" s="12">
        <f t="shared" si="4"/>
        <v>26.964639903250855</v>
      </c>
      <c r="T34">
        <v>47</v>
      </c>
      <c r="U34" s="24">
        <v>-10.175000000000001</v>
      </c>
      <c r="V34" s="24">
        <v>-402.20699999999999</v>
      </c>
      <c r="W34" s="4">
        <f t="shared" si="5"/>
        <v>392.03199999999998</v>
      </c>
      <c r="X34" s="19">
        <f t="shared" si="6"/>
        <v>26.261521972132908</v>
      </c>
      <c r="Y34">
        <v>2</v>
      </c>
      <c r="Z34" s="12">
        <f t="shared" si="7"/>
        <v>52.523043944265815</v>
      </c>
      <c r="AA34" s="12">
        <v>19.507450000000002</v>
      </c>
      <c r="AB34" s="12">
        <f t="shared" si="8"/>
        <v>2.6924607749483305</v>
      </c>
      <c r="AC34" s="12">
        <f t="shared" si="9"/>
        <v>26.924607749483304</v>
      </c>
      <c r="AD34" s="4"/>
      <c r="AF34" s="4"/>
      <c r="AG34" s="4"/>
      <c r="AH34" s="4"/>
      <c r="AI34" s="4"/>
      <c r="AJ34" s="4"/>
      <c r="AK34" s="4"/>
    </row>
    <row r="35" spans="1:37" x14ac:dyDescent="0.2">
      <c r="D35" s="4">
        <v>44</v>
      </c>
      <c r="E35" s="27">
        <v>-3.927</v>
      </c>
      <c r="F35" s="27">
        <v>-356.86200000000002</v>
      </c>
      <c r="G35" s="4">
        <f t="shared" si="0"/>
        <v>352.935</v>
      </c>
      <c r="H35" s="19">
        <f t="shared" si="1"/>
        <v>23.642483922829584</v>
      </c>
      <c r="I35">
        <v>2</v>
      </c>
      <c r="J35" s="12">
        <f t="shared" si="2"/>
        <v>47.284967845659168</v>
      </c>
      <c r="K35" s="4">
        <v>20.579549999999998</v>
      </c>
      <c r="L35" s="12">
        <f t="shared" si="3"/>
        <v>2.2976677257597555</v>
      </c>
      <c r="M35" s="12">
        <f t="shared" si="4"/>
        <v>22.976677257597554</v>
      </c>
      <c r="T35">
        <v>48</v>
      </c>
      <c r="U35" s="24">
        <v>-5.2549999999999999</v>
      </c>
      <c r="V35" s="24">
        <v>-219.589</v>
      </c>
      <c r="W35" s="4">
        <f t="shared" si="5"/>
        <v>214.334</v>
      </c>
      <c r="X35" s="19">
        <f t="shared" si="6"/>
        <v>14.357851018220796</v>
      </c>
      <c r="Y35">
        <v>2</v>
      </c>
      <c r="Z35" s="12">
        <f t="shared" si="7"/>
        <v>28.715702036441591</v>
      </c>
      <c r="AA35" s="12">
        <v>17.595700000000001</v>
      </c>
      <c r="AB35" s="12">
        <f t="shared" si="8"/>
        <v>1.6319726999460999</v>
      </c>
      <c r="AC35" s="12">
        <f t="shared" si="9"/>
        <v>16.319726999461</v>
      </c>
      <c r="AD35" s="4"/>
      <c r="AF35" s="4"/>
      <c r="AG35" s="4"/>
      <c r="AH35" s="4"/>
      <c r="AI35" s="4"/>
      <c r="AJ35" s="4"/>
      <c r="AK35" s="4"/>
    </row>
    <row r="36" spans="1:37" x14ac:dyDescent="0.2">
      <c r="A36">
        <v>12</v>
      </c>
      <c r="D36" s="4">
        <v>83</v>
      </c>
      <c r="E36" s="27">
        <v>0.67600000000000005</v>
      </c>
      <c r="F36" s="27">
        <v>-226.87299999999999</v>
      </c>
      <c r="G36" s="4">
        <f t="shared" si="0"/>
        <v>226.197</v>
      </c>
      <c r="H36" s="19">
        <f t="shared" si="1"/>
        <v>15.152532154340838</v>
      </c>
      <c r="I36">
        <v>2</v>
      </c>
      <c r="J36" s="12">
        <f t="shared" si="2"/>
        <v>30.305064308681676</v>
      </c>
      <c r="K36" s="4">
        <v>15.594149999999999</v>
      </c>
      <c r="L36" s="12">
        <f t="shared" si="3"/>
        <v>1.9433610878875525</v>
      </c>
      <c r="M36" s="12">
        <f t="shared" si="4"/>
        <v>19.433610878875523</v>
      </c>
      <c r="Q36">
        <v>15</v>
      </c>
      <c r="T36">
        <v>87</v>
      </c>
      <c r="U36" s="24">
        <v>-7.2439999999999998</v>
      </c>
      <c r="V36" s="24">
        <v>-179.989</v>
      </c>
      <c r="W36" s="4">
        <f t="shared" si="5"/>
        <v>172.745</v>
      </c>
      <c r="X36" s="19">
        <f t="shared" si="6"/>
        <v>11.571878349410506</v>
      </c>
      <c r="Y36">
        <v>2</v>
      </c>
      <c r="Z36" s="12">
        <f t="shared" si="7"/>
        <v>23.143756698821011</v>
      </c>
      <c r="AA36" s="12">
        <v>18.725850000000001</v>
      </c>
      <c r="AB36" s="12">
        <f t="shared" si="8"/>
        <v>1.2359255627285817</v>
      </c>
      <c r="AC36" s="12">
        <f t="shared" si="9"/>
        <v>12.359255627285817</v>
      </c>
      <c r="AD36" s="4"/>
      <c r="AF36" s="4"/>
      <c r="AG36" s="4"/>
      <c r="AH36" s="4"/>
      <c r="AI36" s="4"/>
      <c r="AJ36" s="4"/>
      <c r="AK36" s="4"/>
    </row>
    <row r="37" spans="1:37" x14ac:dyDescent="0.2">
      <c r="D37" s="4">
        <v>84</v>
      </c>
      <c r="E37" s="27">
        <v>1.7270000000000001</v>
      </c>
      <c r="F37" s="27">
        <v>-207.09800000000001</v>
      </c>
      <c r="G37" s="4">
        <f t="shared" si="0"/>
        <v>205.37100000000001</v>
      </c>
      <c r="H37" s="19">
        <f t="shared" si="1"/>
        <v>13.75743569131833</v>
      </c>
      <c r="I37">
        <v>2</v>
      </c>
      <c r="J37" s="12">
        <f t="shared" si="2"/>
        <v>27.51487138263666</v>
      </c>
      <c r="K37" s="4">
        <v>16.861650000000001</v>
      </c>
      <c r="L37" s="12">
        <f t="shared" si="3"/>
        <v>1.6318018333103022</v>
      </c>
      <c r="M37" s="12">
        <f t="shared" si="4"/>
        <v>16.318018333103023</v>
      </c>
      <c r="T37">
        <v>89</v>
      </c>
      <c r="U37" s="24">
        <v>-2.7269999999999999</v>
      </c>
      <c r="V37" s="24">
        <v>-219.29499999999999</v>
      </c>
      <c r="W37" s="4">
        <f t="shared" si="5"/>
        <v>216.56799999999998</v>
      </c>
      <c r="X37" s="19">
        <f t="shared" si="6"/>
        <v>14.507502679528402</v>
      </c>
      <c r="Y37">
        <v>2</v>
      </c>
      <c r="Z37" s="12">
        <f t="shared" si="7"/>
        <v>29.015005359056804</v>
      </c>
      <c r="AA37" s="12">
        <v>17.02535</v>
      </c>
      <c r="AB37" s="12">
        <f t="shared" si="8"/>
        <v>1.7042237228049235</v>
      </c>
      <c r="AC37" s="12">
        <f t="shared" si="9"/>
        <v>17.042237228049235</v>
      </c>
      <c r="AD37" s="4"/>
      <c r="AF37" s="4"/>
      <c r="AG37" s="4"/>
      <c r="AH37" s="4"/>
      <c r="AI37" s="4"/>
      <c r="AJ37" s="4"/>
      <c r="AK37" s="4"/>
    </row>
    <row r="38" spans="1:37" x14ac:dyDescent="0.2">
      <c r="D38" s="4">
        <v>85</v>
      </c>
      <c r="E38" s="27">
        <v>-4.88</v>
      </c>
      <c r="F38" s="27">
        <v>-364.89499999999998</v>
      </c>
      <c r="G38" s="4">
        <f t="shared" si="0"/>
        <v>360.01499999999999</v>
      </c>
      <c r="H38" s="19">
        <f t="shared" si="1"/>
        <v>24.116760450160776</v>
      </c>
      <c r="I38">
        <v>2</v>
      </c>
      <c r="J38" s="12">
        <f t="shared" si="2"/>
        <v>48.233520900321551</v>
      </c>
      <c r="K38" s="4">
        <v>17.146799999999999</v>
      </c>
      <c r="L38" s="12">
        <f t="shared" si="3"/>
        <v>2.812975068253059</v>
      </c>
      <c r="M38" s="12">
        <f t="shared" si="4"/>
        <v>28.129750682530592</v>
      </c>
      <c r="T38">
        <v>90</v>
      </c>
      <c r="U38" s="24">
        <v>-10.622</v>
      </c>
      <c r="V38" s="24">
        <v>-231.37799999999999</v>
      </c>
      <c r="W38" s="4">
        <f t="shared" si="5"/>
        <v>220.75599999999997</v>
      </c>
      <c r="X38" s="19">
        <f t="shared" si="6"/>
        <v>14.788049303322616</v>
      </c>
      <c r="Y38">
        <v>2</v>
      </c>
      <c r="Z38" s="12">
        <f t="shared" si="7"/>
        <v>29.576098606645232</v>
      </c>
      <c r="AA38" s="12">
        <v>18.0974</v>
      </c>
      <c r="AB38" s="12">
        <f t="shared" si="8"/>
        <v>1.6342733545506665</v>
      </c>
      <c r="AC38" s="12">
        <f t="shared" si="9"/>
        <v>16.342733545506665</v>
      </c>
      <c r="AD38" s="4"/>
      <c r="AF38" s="4"/>
      <c r="AG38" s="4"/>
      <c r="AH38" s="4"/>
      <c r="AI38" s="4"/>
      <c r="AJ38" s="4"/>
      <c r="AK38" s="4"/>
    </row>
    <row r="39" spans="1:37" x14ac:dyDescent="0.2">
      <c r="D39" s="4">
        <v>86</v>
      </c>
      <c r="E39" s="27">
        <v>-5.2329999999999997</v>
      </c>
      <c r="F39" s="27">
        <v>-293.72000000000003</v>
      </c>
      <c r="G39" s="4">
        <f t="shared" si="0"/>
        <v>288.48700000000002</v>
      </c>
      <c r="H39" s="19">
        <f t="shared" si="1"/>
        <v>19.325227759914256</v>
      </c>
      <c r="I39">
        <v>2</v>
      </c>
      <c r="J39" s="12">
        <f t="shared" si="2"/>
        <v>38.650455519828512</v>
      </c>
      <c r="K39" s="4">
        <v>19.121950000000002</v>
      </c>
      <c r="L39" s="12">
        <f t="shared" si="3"/>
        <v>2.0212611956326896</v>
      </c>
      <c r="M39" s="12">
        <f t="shared" si="4"/>
        <v>20.212611956326896</v>
      </c>
      <c r="Q39">
        <v>15</v>
      </c>
      <c r="S39" t="s">
        <v>13</v>
      </c>
      <c r="T39">
        <v>53</v>
      </c>
      <c r="U39" s="24">
        <v>-14.804</v>
      </c>
      <c r="V39" s="24">
        <v>-428.13799999999998</v>
      </c>
      <c r="W39" s="4">
        <f t="shared" si="5"/>
        <v>413.334</v>
      </c>
      <c r="X39" s="19">
        <f t="shared" si="6"/>
        <v>27.688504823151128</v>
      </c>
      <c r="Y39">
        <v>2</v>
      </c>
      <c r="Z39" s="12">
        <f t="shared" si="7"/>
        <v>55.377009646302255</v>
      </c>
      <c r="AA39" s="12">
        <v>18.863199999999999</v>
      </c>
      <c r="AB39" s="12">
        <f t="shared" si="8"/>
        <v>2.9357166146943392</v>
      </c>
      <c r="AC39" s="12">
        <f t="shared" si="9"/>
        <v>29.357166146943392</v>
      </c>
      <c r="AD39" s="23">
        <f>AVERAGE(AC39:AC50)</f>
        <v>20.192814547324542</v>
      </c>
      <c r="AE39" t="s">
        <v>13</v>
      </c>
      <c r="AF39" s="4"/>
      <c r="AG39" s="4"/>
      <c r="AH39" s="4"/>
      <c r="AI39" s="4"/>
      <c r="AJ39" s="4"/>
      <c r="AK39" s="4"/>
    </row>
    <row r="40" spans="1:37" x14ac:dyDescent="0.2">
      <c r="A40">
        <v>11</v>
      </c>
      <c r="C40" t="s">
        <v>13</v>
      </c>
      <c r="D40" s="4">
        <v>49</v>
      </c>
      <c r="E40" s="27">
        <v>3.6760000000000002</v>
      </c>
      <c r="F40" s="27">
        <v>-288.68</v>
      </c>
      <c r="G40" s="4">
        <f t="shared" si="0"/>
        <v>285.00400000000002</v>
      </c>
      <c r="H40" s="19">
        <f t="shared" si="1"/>
        <v>19.09190782422294</v>
      </c>
      <c r="I40">
        <v>2</v>
      </c>
      <c r="J40" s="12">
        <f t="shared" si="2"/>
        <v>38.183815648445879</v>
      </c>
      <c r="K40" s="4">
        <v>17.616849999999999</v>
      </c>
      <c r="L40" s="12">
        <f t="shared" si="3"/>
        <v>2.1674598834891525</v>
      </c>
      <c r="M40" s="12">
        <f t="shared" si="4"/>
        <v>21.674598834891526</v>
      </c>
      <c r="T40">
        <v>54</v>
      </c>
      <c r="U40" s="24">
        <v>12.284000000000001</v>
      </c>
      <c r="V40" s="24">
        <v>-237.41800000000001</v>
      </c>
      <c r="W40" s="4">
        <f t="shared" si="5"/>
        <v>225.13400000000001</v>
      </c>
      <c r="X40" s="19">
        <f t="shared" si="6"/>
        <v>15.081323687031084</v>
      </c>
      <c r="Y40">
        <v>2</v>
      </c>
      <c r="Z40" s="12">
        <f t="shared" si="7"/>
        <v>30.162647374062168</v>
      </c>
      <c r="AA40" s="12">
        <v>27.59815</v>
      </c>
      <c r="AB40" s="12">
        <f t="shared" si="8"/>
        <v>1.0929228000450091</v>
      </c>
      <c r="AC40" s="12">
        <f t="shared" si="9"/>
        <v>10.929228000450092</v>
      </c>
      <c r="AD40" s="4"/>
      <c r="AF40" s="4"/>
      <c r="AG40" s="4"/>
      <c r="AH40" s="4"/>
      <c r="AI40" s="4"/>
      <c r="AJ40" s="4"/>
      <c r="AK40" s="4"/>
    </row>
    <row r="41" spans="1:37" x14ac:dyDescent="0.2">
      <c r="D41" s="4">
        <v>50</v>
      </c>
      <c r="E41" s="27">
        <v>-11.513</v>
      </c>
      <c r="F41" s="27">
        <v>-286.77100000000002</v>
      </c>
      <c r="G41" s="4">
        <f t="shared" si="0"/>
        <v>275.25800000000004</v>
      </c>
      <c r="H41" s="19">
        <f t="shared" si="1"/>
        <v>18.439040728831731</v>
      </c>
      <c r="I41">
        <v>2</v>
      </c>
      <c r="J41" s="12">
        <f t="shared" si="2"/>
        <v>36.878081457663463</v>
      </c>
      <c r="K41" s="4">
        <v>21.4298</v>
      </c>
      <c r="L41" s="12">
        <f t="shared" si="3"/>
        <v>1.720878470991958</v>
      </c>
      <c r="M41" s="12">
        <f t="shared" si="4"/>
        <v>17.208784709919581</v>
      </c>
      <c r="T41">
        <v>55</v>
      </c>
      <c r="U41" s="24">
        <v>-12.269</v>
      </c>
      <c r="V41" s="24">
        <v>-236.4</v>
      </c>
      <c r="W41" s="4">
        <f t="shared" si="5"/>
        <v>224.131</v>
      </c>
      <c r="X41" s="19">
        <f t="shared" si="6"/>
        <v>15.014134512325832</v>
      </c>
      <c r="Y41">
        <v>2</v>
      </c>
      <c r="Z41" s="12">
        <f t="shared" si="7"/>
        <v>30.028269024651664</v>
      </c>
      <c r="AA41" s="12">
        <v>19.565549999999998</v>
      </c>
      <c r="AB41" s="12">
        <f t="shared" si="8"/>
        <v>1.5347521038075427</v>
      </c>
      <c r="AC41" s="12">
        <f t="shared" si="9"/>
        <v>15.347521038075428</v>
      </c>
      <c r="AD41" s="4"/>
      <c r="AF41" s="4"/>
      <c r="AG41" s="4"/>
      <c r="AH41" s="4"/>
      <c r="AI41" s="4"/>
      <c r="AJ41" s="4"/>
      <c r="AK41" s="4"/>
    </row>
    <row r="42" spans="1:37" x14ac:dyDescent="0.2">
      <c r="D42" s="4">
        <v>51</v>
      </c>
      <c r="E42" s="27">
        <v>-5.5350000000000001</v>
      </c>
      <c r="F42" s="27">
        <v>-293.09500000000003</v>
      </c>
      <c r="G42" s="4">
        <f t="shared" si="0"/>
        <v>287.56</v>
      </c>
      <c r="H42" s="19">
        <f t="shared" si="1"/>
        <v>19.263129689174708</v>
      </c>
      <c r="I42">
        <v>2</v>
      </c>
      <c r="J42" s="12">
        <f t="shared" si="2"/>
        <v>38.526259378349415</v>
      </c>
      <c r="K42" s="4">
        <v>20.648199999999999</v>
      </c>
      <c r="L42" s="12">
        <f t="shared" si="3"/>
        <v>1.865841060157758</v>
      </c>
      <c r="M42" s="12">
        <f t="shared" si="4"/>
        <v>18.658410601577579</v>
      </c>
      <c r="T42">
        <v>56</v>
      </c>
      <c r="U42" s="24">
        <v>-0.109</v>
      </c>
      <c r="V42" s="24">
        <v>-431.17500000000001</v>
      </c>
      <c r="W42" s="4">
        <f t="shared" si="5"/>
        <v>431.06600000000003</v>
      </c>
      <c r="X42" s="19">
        <f t="shared" si="6"/>
        <v>28.876339764201507</v>
      </c>
      <c r="Y42">
        <v>2</v>
      </c>
      <c r="Z42" s="12">
        <f t="shared" si="7"/>
        <v>57.752679528403014</v>
      </c>
      <c r="AA42" s="12">
        <v>19.544449999999998</v>
      </c>
      <c r="AB42" s="12">
        <f t="shared" si="8"/>
        <v>2.9549401251200735</v>
      </c>
      <c r="AC42" s="12">
        <f t="shared" si="9"/>
        <v>29.549401251200734</v>
      </c>
      <c r="AD42" s="4"/>
      <c r="AF42" s="4"/>
      <c r="AG42" s="4"/>
      <c r="AH42" s="4"/>
      <c r="AI42" s="4"/>
      <c r="AJ42" s="4"/>
      <c r="AK42" s="4"/>
    </row>
    <row r="43" spans="1:37" x14ac:dyDescent="0.2">
      <c r="D43" s="4">
        <v>52</v>
      </c>
      <c r="E43" s="27">
        <v>-6.7240000000000002</v>
      </c>
      <c r="F43" s="27">
        <v>-285.24400000000003</v>
      </c>
      <c r="G43" s="4">
        <f t="shared" si="0"/>
        <v>278.52000000000004</v>
      </c>
      <c r="H43" s="19">
        <f t="shared" si="1"/>
        <v>18.657556270096471</v>
      </c>
      <c r="I43">
        <v>2</v>
      </c>
      <c r="J43" s="12">
        <f t="shared" si="2"/>
        <v>37.315112540192942</v>
      </c>
      <c r="K43" s="4">
        <v>18.319199999999999</v>
      </c>
      <c r="L43" s="12">
        <f t="shared" si="3"/>
        <v>2.0369400705376295</v>
      </c>
      <c r="M43" s="12">
        <f t="shared" si="4"/>
        <v>20.369400705376293</v>
      </c>
      <c r="Q43">
        <v>14</v>
      </c>
      <c r="T43">
        <v>61</v>
      </c>
      <c r="U43" s="24">
        <v>0.45800000000000002</v>
      </c>
      <c r="V43" s="24">
        <v>-217.62899999999999</v>
      </c>
      <c r="W43" s="4">
        <f t="shared" si="5"/>
        <v>217.17099999999999</v>
      </c>
      <c r="X43" s="19">
        <f t="shared" si="6"/>
        <v>14.547896570203646</v>
      </c>
      <c r="Y43">
        <v>2</v>
      </c>
      <c r="Z43" s="12">
        <f t="shared" si="7"/>
        <v>29.095793140407292</v>
      </c>
      <c r="AA43" s="10">
        <v>18.187200000000001</v>
      </c>
      <c r="AB43" s="12">
        <f t="shared" si="8"/>
        <v>1.5997950833777212</v>
      </c>
      <c r="AC43" s="12">
        <f t="shared" si="9"/>
        <v>15.997950833777212</v>
      </c>
      <c r="AD43" s="4"/>
      <c r="AF43" s="4"/>
      <c r="AG43" s="4"/>
      <c r="AH43" s="4"/>
      <c r="AI43" s="4"/>
      <c r="AJ43" s="4"/>
      <c r="AK43" s="4"/>
    </row>
    <row r="44" spans="1:37" x14ac:dyDescent="0.2">
      <c r="A44">
        <v>12</v>
      </c>
      <c r="D44" s="4">
        <v>57</v>
      </c>
      <c r="E44" s="27">
        <v>-29.170999999999999</v>
      </c>
      <c r="F44" s="27">
        <v>-361.11599999999999</v>
      </c>
      <c r="G44" s="4">
        <f t="shared" si="0"/>
        <v>331.94499999999999</v>
      </c>
      <c r="H44" s="19">
        <f t="shared" si="1"/>
        <v>22.236401393354772</v>
      </c>
      <c r="I44">
        <v>2</v>
      </c>
      <c r="J44" s="12">
        <f t="shared" si="2"/>
        <v>44.472802786709543</v>
      </c>
      <c r="K44" s="4">
        <v>18.73115</v>
      </c>
      <c r="L44" s="12">
        <f t="shared" si="3"/>
        <v>2.3742697478109749</v>
      </c>
      <c r="M44" s="12">
        <f t="shared" si="4"/>
        <v>23.742697478109747</v>
      </c>
      <c r="T44">
        <v>62</v>
      </c>
      <c r="U44" s="24">
        <v>-16.748999999999999</v>
      </c>
      <c r="V44" s="24">
        <v>-245.17500000000001</v>
      </c>
      <c r="W44" s="4">
        <f t="shared" si="5"/>
        <v>228.42600000000002</v>
      </c>
      <c r="X44" s="19">
        <f t="shared" si="6"/>
        <v>15.301848874598075</v>
      </c>
      <c r="Y44">
        <v>2</v>
      </c>
      <c r="Z44" s="12">
        <f t="shared" si="7"/>
        <v>30.603697749196151</v>
      </c>
      <c r="AA44" s="10">
        <v>18.699449999999999</v>
      </c>
      <c r="AB44" s="12">
        <f t="shared" si="8"/>
        <v>1.6366095125362592</v>
      </c>
      <c r="AC44" s="12">
        <f t="shared" si="9"/>
        <v>16.366095125362591</v>
      </c>
      <c r="AD44" s="4"/>
      <c r="AF44" s="4"/>
      <c r="AG44" s="4"/>
      <c r="AH44" s="4"/>
      <c r="AI44" s="4"/>
      <c r="AJ44" s="4"/>
      <c r="AK44" s="4"/>
    </row>
    <row r="45" spans="1:37" x14ac:dyDescent="0.2">
      <c r="D45" s="4">
        <v>58</v>
      </c>
      <c r="E45" s="27">
        <v>0.10199999999999999</v>
      </c>
      <c r="F45" s="27">
        <v>-231.011</v>
      </c>
      <c r="G45" s="4">
        <f t="shared" si="0"/>
        <v>230.90899999999999</v>
      </c>
      <c r="H45" s="19">
        <f t="shared" si="1"/>
        <v>15.468180600214364</v>
      </c>
      <c r="I45">
        <v>2</v>
      </c>
      <c r="J45" s="12">
        <f t="shared" si="2"/>
        <v>30.936361200428728</v>
      </c>
      <c r="K45" s="4">
        <v>20.3947</v>
      </c>
      <c r="L45" s="12">
        <f t="shared" si="3"/>
        <v>1.5168823861311382</v>
      </c>
      <c r="M45" s="12">
        <f t="shared" si="4"/>
        <v>15.168823861311383</v>
      </c>
      <c r="T45">
        <v>64</v>
      </c>
      <c r="U45" s="24">
        <v>-0.98499999999999999</v>
      </c>
      <c r="V45" s="24">
        <v>-328.4</v>
      </c>
      <c r="W45" s="4">
        <f t="shared" si="5"/>
        <v>327.41499999999996</v>
      </c>
      <c r="X45" s="19">
        <f t="shared" si="6"/>
        <v>21.932944801714896</v>
      </c>
      <c r="Y45">
        <v>2</v>
      </c>
      <c r="Z45" s="12">
        <f t="shared" si="7"/>
        <v>43.865889603429792</v>
      </c>
      <c r="AA45" s="10">
        <v>17.358049999999999</v>
      </c>
      <c r="AB45" s="12">
        <f t="shared" si="8"/>
        <v>2.5271208231010855</v>
      </c>
      <c r="AC45" s="12">
        <f t="shared" si="9"/>
        <v>25.271208231010856</v>
      </c>
      <c r="AD45" s="4"/>
      <c r="AF45" s="4"/>
      <c r="AG45" s="4"/>
      <c r="AH45" s="4"/>
      <c r="AI45" s="4"/>
      <c r="AJ45" s="4"/>
      <c r="AK45" s="4"/>
    </row>
    <row r="46" spans="1:37" x14ac:dyDescent="0.2">
      <c r="D46" s="4">
        <v>59</v>
      </c>
      <c r="E46" s="27">
        <v>-3.5779999999999998</v>
      </c>
      <c r="F46" s="27">
        <v>-271.83600000000001</v>
      </c>
      <c r="G46" s="4">
        <f t="shared" si="0"/>
        <v>268.25800000000004</v>
      </c>
      <c r="H46" s="19">
        <f t="shared" si="1"/>
        <v>17.970123258306543</v>
      </c>
      <c r="I46">
        <v>2</v>
      </c>
      <c r="J46" s="12">
        <f t="shared" si="2"/>
        <v>35.940246516613087</v>
      </c>
      <c r="K46" s="4">
        <v>19.908850000000001</v>
      </c>
      <c r="L46" s="12">
        <f t="shared" si="3"/>
        <v>1.8052397057897913</v>
      </c>
      <c r="M46" s="12">
        <f t="shared" si="4"/>
        <v>18.052397057897913</v>
      </c>
      <c r="Q46">
        <v>15</v>
      </c>
      <c r="T46">
        <v>96</v>
      </c>
      <c r="U46" s="24">
        <v>-6.6870000000000003</v>
      </c>
      <c r="V46" s="24">
        <v>-166.04</v>
      </c>
      <c r="W46" s="4">
        <f t="shared" si="5"/>
        <v>159.35299999999998</v>
      </c>
      <c r="X46" s="19">
        <f t="shared" si="6"/>
        <v>10.674772240085744</v>
      </c>
      <c r="Y46">
        <v>2</v>
      </c>
      <c r="Z46" s="12">
        <f t="shared" si="7"/>
        <v>21.349544480171488</v>
      </c>
      <c r="AA46" s="10">
        <v>20.294350000000001</v>
      </c>
      <c r="AB46" s="12">
        <f t="shared" si="8"/>
        <v>1.0519944950279998</v>
      </c>
      <c r="AC46" s="12">
        <f t="shared" si="9"/>
        <v>10.519944950279998</v>
      </c>
      <c r="AD46" s="4"/>
      <c r="AF46" s="4"/>
      <c r="AG46" s="4"/>
      <c r="AH46" s="4"/>
      <c r="AI46" s="4"/>
      <c r="AJ46" s="4"/>
      <c r="AK46" s="4"/>
    </row>
    <row r="47" spans="1:37" x14ac:dyDescent="0.2">
      <c r="D47" s="4">
        <v>60</v>
      </c>
      <c r="E47" s="27">
        <v>-2.335</v>
      </c>
      <c r="F47" s="27">
        <v>-311.83999999999997</v>
      </c>
      <c r="G47" s="4">
        <f t="shared" si="0"/>
        <v>309.505</v>
      </c>
      <c r="H47" s="19">
        <f t="shared" si="1"/>
        <v>20.733185959271172</v>
      </c>
      <c r="I47">
        <v>2</v>
      </c>
      <c r="J47" s="12">
        <f t="shared" si="2"/>
        <v>41.466371918542343</v>
      </c>
      <c r="K47" s="4">
        <v>19.063849999999999</v>
      </c>
      <c r="L47" s="12">
        <f t="shared" si="3"/>
        <v>2.1751310421841521</v>
      </c>
      <c r="M47" s="12">
        <f t="shared" si="4"/>
        <v>21.75131042184152</v>
      </c>
      <c r="T47">
        <v>97</v>
      </c>
      <c r="U47" s="24">
        <v>-2.3849999999999998</v>
      </c>
      <c r="V47" s="24">
        <v>-270.46199999999999</v>
      </c>
      <c r="W47" s="4">
        <f t="shared" si="5"/>
        <v>268.077</v>
      </c>
      <c r="X47" s="19">
        <f t="shared" si="6"/>
        <v>17.95799839228296</v>
      </c>
      <c r="Y47">
        <v>2</v>
      </c>
      <c r="Z47" s="12">
        <f t="shared" si="7"/>
        <v>35.91599678456592</v>
      </c>
      <c r="AA47" s="12">
        <v>19.174750000000003</v>
      </c>
      <c r="AB47" s="12">
        <f t="shared" si="8"/>
        <v>1.8730881385450091</v>
      </c>
      <c r="AC47" s="12">
        <f t="shared" si="9"/>
        <v>18.73088138545009</v>
      </c>
      <c r="AD47" s="4"/>
      <c r="AF47" s="4"/>
      <c r="AG47" s="4"/>
      <c r="AH47" s="4"/>
      <c r="AI47" s="4"/>
      <c r="AJ47" s="4"/>
      <c r="AK47" s="4"/>
    </row>
    <row r="48" spans="1:37" x14ac:dyDescent="0.2">
      <c r="A48">
        <v>12</v>
      </c>
      <c r="D48" s="4">
        <v>91</v>
      </c>
      <c r="E48" s="27">
        <v>-4.6509999999999998</v>
      </c>
      <c r="F48" s="27">
        <v>-264.07600000000002</v>
      </c>
      <c r="G48" s="4">
        <f t="shared" si="0"/>
        <v>259.42500000000001</v>
      </c>
      <c r="H48" s="19">
        <f t="shared" si="1"/>
        <v>17.378416398713828</v>
      </c>
      <c r="I48">
        <v>2</v>
      </c>
      <c r="J48" s="12">
        <f t="shared" si="2"/>
        <v>34.756832797427656</v>
      </c>
      <c r="K48" s="4">
        <v>17.812249999999999</v>
      </c>
      <c r="L48" s="12">
        <f t="shared" si="3"/>
        <v>1.9512881751282212</v>
      </c>
      <c r="M48" s="12">
        <f t="shared" si="4"/>
        <v>19.512881751282212</v>
      </c>
      <c r="T48">
        <v>98</v>
      </c>
      <c r="U48" s="24">
        <v>0.749</v>
      </c>
      <c r="V48" s="24">
        <v>-321.822</v>
      </c>
      <c r="W48" s="4">
        <f t="shared" si="5"/>
        <v>321.07299999999998</v>
      </c>
      <c r="X48" s="19">
        <f t="shared" si="6"/>
        <v>21.50810557341908</v>
      </c>
      <c r="Y48">
        <v>2</v>
      </c>
      <c r="Z48" s="12">
        <f t="shared" si="7"/>
        <v>43.01621114683816</v>
      </c>
      <c r="AA48" s="12">
        <v>19.407149999999998</v>
      </c>
      <c r="AB48" s="12">
        <f t="shared" si="8"/>
        <v>2.2165135605608328</v>
      </c>
      <c r="AC48" s="12">
        <f t="shared" si="9"/>
        <v>22.165135605608327</v>
      </c>
      <c r="AD48" s="4"/>
      <c r="AF48" s="4"/>
      <c r="AG48" s="4"/>
      <c r="AH48" s="4"/>
      <c r="AI48" s="4"/>
      <c r="AJ48" s="4"/>
      <c r="AK48" s="4"/>
    </row>
    <row r="49" spans="1:37" x14ac:dyDescent="0.2">
      <c r="D49" s="4">
        <v>92</v>
      </c>
      <c r="E49" s="27">
        <v>10.676</v>
      </c>
      <c r="F49" s="27">
        <v>-287.42899999999997</v>
      </c>
      <c r="G49" s="4">
        <f t="shared" si="0"/>
        <v>276.75299999999999</v>
      </c>
      <c r="H49" s="19">
        <f t="shared" si="1"/>
        <v>18.539188102893892</v>
      </c>
      <c r="I49">
        <v>2</v>
      </c>
      <c r="J49" s="12">
        <f t="shared" si="2"/>
        <v>37.078376205787784</v>
      </c>
      <c r="K49" s="4">
        <v>20.077850000000002</v>
      </c>
      <c r="L49" s="12">
        <f t="shared" si="3"/>
        <v>1.8467304121600561</v>
      </c>
      <c r="M49" s="12">
        <f t="shared" si="4"/>
        <v>18.467304121600559</v>
      </c>
      <c r="T49">
        <v>99</v>
      </c>
      <c r="U49" s="24">
        <v>-6.48</v>
      </c>
      <c r="V49" s="24">
        <v>-371.22500000000002</v>
      </c>
      <c r="W49" s="4">
        <f t="shared" si="5"/>
        <v>364.745</v>
      </c>
      <c r="X49" s="19">
        <f t="shared" si="6"/>
        <v>24.433614683815652</v>
      </c>
      <c r="Y49">
        <v>2</v>
      </c>
      <c r="Z49" s="12">
        <f t="shared" si="7"/>
        <v>48.867229367631303</v>
      </c>
      <c r="AA49" s="12">
        <v>20.109500000000001</v>
      </c>
      <c r="AB49" s="12">
        <f t="shared" si="8"/>
        <v>2.4300569068167435</v>
      </c>
      <c r="AC49" s="12">
        <f t="shared" si="9"/>
        <v>24.300569068167434</v>
      </c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D50" s="4">
        <v>93</v>
      </c>
      <c r="E50" s="27">
        <v>-6.4249999999999998</v>
      </c>
      <c r="F50" s="27">
        <v>-375.036</v>
      </c>
      <c r="G50" s="4">
        <f t="shared" si="0"/>
        <v>368.61099999999999</v>
      </c>
      <c r="H50" s="19">
        <f t="shared" si="1"/>
        <v>24.692591103965704</v>
      </c>
      <c r="I50">
        <v>2</v>
      </c>
      <c r="J50" s="12">
        <f t="shared" si="2"/>
        <v>49.385182207931408</v>
      </c>
      <c r="K50" s="4">
        <v>19.486349999999998</v>
      </c>
      <c r="L50" s="12">
        <f t="shared" si="3"/>
        <v>2.5343474898034475</v>
      </c>
      <c r="M50" s="12">
        <f t="shared" si="4"/>
        <v>25.343474898034476</v>
      </c>
      <c r="T50">
        <v>100</v>
      </c>
      <c r="U50" s="24">
        <v>-5.1159999999999997</v>
      </c>
      <c r="V50" s="24">
        <v>-369.43299999999999</v>
      </c>
      <c r="W50" s="4">
        <f t="shared" si="5"/>
        <v>364.31700000000001</v>
      </c>
      <c r="X50" s="19">
        <f t="shared" si="6"/>
        <v>24.40494372990354</v>
      </c>
      <c r="Y50">
        <v>2</v>
      </c>
      <c r="Z50" s="12">
        <f t="shared" si="7"/>
        <v>48.809887459807079</v>
      </c>
      <c r="AA50" s="12">
        <v>20.526750000000003</v>
      </c>
      <c r="AB50" s="12">
        <f t="shared" si="8"/>
        <v>2.3778672931568354</v>
      </c>
      <c r="AC50" s="12">
        <f t="shared" si="9"/>
        <v>23.778672931568355</v>
      </c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D51" s="4">
        <v>94</v>
      </c>
      <c r="E51" s="27">
        <v>-8.6359999999999992</v>
      </c>
      <c r="F51" s="27">
        <v>-198.40700000000001</v>
      </c>
      <c r="G51" s="4">
        <f t="shared" si="0"/>
        <v>189.77100000000002</v>
      </c>
      <c r="H51" s="19">
        <f t="shared" si="1"/>
        <v>12.712419614147914</v>
      </c>
      <c r="I51">
        <v>2</v>
      </c>
      <c r="J51" s="12">
        <f t="shared" si="2"/>
        <v>25.424839228295827</v>
      </c>
      <c r="K51" s="4">
        <v>18.09215</v>
      </c>
      <c r="L51" s="12">
        <f t="shared" si="3"/>
        <v>1.4052967297029832</v>
      </c>
      <c r="M51" s="12">
        <f t="shared" si="4"/>
        <v>14.052967297029832</v>
      </c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D52" s="4">
        <v>95</v>
      </c>
      <c r="E52" s="27">
        <v>-10.032999999999999</v>
      </c>
      <c r="F52" s="27">
        <v>-293.28699999999998</v>
      </c>
      <c r="G52" s="4">
        <f t="shared" si="0"/>
        <v>283.25399999999996</v>
      </c>
      <c r="H52" s="19">
        <f t="shared" si="1"/>
        <v>18.97467845659164</v>
      </c>
      <c r="I52">
        <v>2</v>
      </c>
      <c r="J52" s="12">
        <f t="shared" si="2"/>
        <v>37.94935691318328</v>
      </c>
      <c r="K52" s="4">
        <v>19.2804</v>
      </c>
      <c r="L52" s="12">
        <f t="shared" si="3"/>
        <v>1.968286804899446</v>
      </c>
      <c r="M52" s="12">
        <f t="shared" si="4"/>
        <v>19.682868048994461</v>
      </c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15"/>
      <c r="C53" s="4"/>
      <c r="D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15"/>
      <c r="C54" s="4"/>
      <c r="D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15"/>
      <c r="C55" s="4"/>
      <c r="D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15"/>
      <c r="C56" s="4"/>
      <c r="D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15"/>
      <c r="C57" s="4"/>
      <c r="D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15"/>
      <c r="C58" s="4"/>
      <c r="D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D64" s="4"/>
      <c r="AE64" s="4"/>
      <c r="AF64" s="4"/>
      <c r="AG64" s="4"/>
      <c r="AH64" s="4"/>
      <c r="AI64" s="4"/>
      <c r="AJ64" s="4"/>
      <c r="AK64" s="4"/>
    </row>
    <row r="65" spans="30:37" x14ac:dyDescent="0.2">
      <c r="AD65" s="4"/>
      <c r="AE65" s="4"/>
      <c r="AF65" s="4"/>
      <c r="AG65" s="4"/>
      <c r="AH65" s="4"/>
      <c r="AI65" s="4"/>
      <c r="AJ65" s="4"/>
      <c r="AK65" s="4"/>
    </row>
    <row r="66" spans="30:37" x14ac:dyDescent="0.2">
      <c r="AD66" s="4"/>
      <c r="AE66" s="4"/>
      <c r="AF66" s="4"/>
      <c r="AG66" s="4"/>
      <c r="AH66" s="4"/>
      <c r="AI66" s="4"/>
      <c r="AJ66" s="4"/>
      <c r="AK66" s="4"/>
    </row>
    <row r="67" spans="30:37" x14ac:dyDescent="0.2">
      <c r="AD67" s="4"/>
      <c r="AE67" s="4"/>
      <c r="AF67" s="4"/>
      <c r="AG67" s="4"/>
      <c r="AH67" s="4"/>
      <c r="AI67" s="4"/>
      <c r="AJ67" s="4"/>
      <c r="AK67" s="4"/>
    </row>
    <row r="68" spans="30:37" x14ac:dyDescent="0.2">
      <c r="AD68" s="4"/>
      <c r="AE68" s="4"/>
      <c r="AF68" s="4"/>
      <c r="AG68" s="4"/>
      <c r="AH68" s="4"/>
      <c r="AI68" s="4"/>
      <c r="AJ68" s="4"/>
      <c r="AK68" s="4"/>
    </row>
    <row r="69" spans="30:37" x14ac:dyDescent="0.2">
      <c r="AD69" s="4"/>
      <c r="AE69" s="4"/>
      <c r="AF69" s="4"/>
      <c r="AG69" s="4"/>
      <c r="AH69" s="4"/>
      <c r="AI69" s="4"/>
      <c r="AJ69" s="4"/>
      <c r="AK69" s="4"/>
    </row>
    <row r="70" spans="30:37" x14ac:dyDescent="0.2">
      <c r="AD70" s="4"/>
      <c r="AE70" s="4"/>
      <c r="AF70" s="4"/>
      <c r="AG70" s="4"/>
      <c r="AH70" s="4"/>
      <c r="AI70" s="4"/>
      <c r="AJ70" s="4"/>
      <c r="AK70" s="4"/>
    </row>
    <row r="71" spans="30:37" x14ac:dyDescent="0.2">
      <c r="AD71" s="4"/>
      <c r="AE71" s="4"/>
      <c r="AF71" s="4"/>
      <c r="AG71" s="4"/>
      <c r="AH71" s="4"/>
      <c r="AI71" s="4"/>
      <c r="AJ71" s="4"/>
      <c r="AK71" s="4"/>
    </row>
    <row r="72" spans="30:37" x14ac:dyDescent="0.2">
      <c r="AD72" s="4"/>
      <c r="AE72" s="4"/>
      <c r="AF72" s="4"/>
      <c r="AG72" s="4"/>
      <c r="AH72" s="4"/>
      <c r="AI72" s="4"/>
      <c r="AJ72" s="4"/>
      <c r="AK72" s="4"/>
    </row>
    <row r="73" spans="30:37" x14ac:dyDescent="0.2">
      <c r="AD73" s="4"/>
      <c r="AE73" s="4"/>
      <c r="AF73" s="4"/>
      <c r="AG73" s="4"/>
      <c r="AH73" s="4"/>
      <c r="AI73" s="4"/>
      <c r="AJ73" s="4"/>
      <c r="AK73" s="4"/>
    </row>
    <row r="74" spans="30:37" x14ac:dyDescent="0.2">
      <c r="AD74" s="4"/>
      <c r="AE74" s="4"/>
      <c r="AF74" s="4"/>
      <c r="AG74" s="4"/>
      <c r="AH74" s="4"/>
      <c r="AI74" s="4"/>
      <c r="AJ74" s="4"/>
      <c r="AK74" s="4"/>
    </row>
    <row r="75" spans="30:37" x14ac:dyDescent="0.2">
      <c r="AD75" s="4"/>
      <c r="AE75" s="4"/>
      <c r="AF75" s="4"/>
      <c r="AG75" s="4"/>
      <c r="AH75" s="4"/>
      <c r="AI75" s="4"/>
      <c r="AJ75" s="4"/>
      <c r="AK75" s="4"/>
    </row>
    <row r="76" spans="30:37" x14ac:dyDescent="0.2">
      <c r="AD76" s="4"/>
      <c r="AE76" s="4"/>
      <c r="AF76" s="4"/>
      <c r="AG76" s="4"/>
      <c r="AH76" s="4"/>
      <c r="AI76" s="4"/>
      <c r="AJ76" s="4"/>
      <c r="AK76" s="4"/>
    </row>
    <row r="77" spans="30:37" x14ac:dyDescent="0.2">
      <c r="AD77" s="4"/>
      <c r="AE77" s="4"/>
      <c r="AF77" s="4"/>
      <c r="AG77" s="4"/>
      <c r="AH77" s="4"/>
      <c r="AI77" s="4"/>
      <c r="AJ77" s="4"/>
      <c r="AK77" s="4"/>
    </row>
    <row r="78" spans="30:37" x14ac:dyDescent="0.2">
      <c r="AD78" s="4"/>
      <c r="AE78" s="4"/>
      <c r="AF78" s="4"/>
      <c r="AG78" s="4"/>
      <c r="AH78" s="4"/>
      <c r="AI78" s="4"/>
      <c r="AJ78" s="4"/>
      <c r="AK78" s="4"/>
    </row>
    <row r="79" spans="30:37" x14ac:dyDescent="0.2">
      <c r="AD79" s="4"/>
      <c r="AE79" s="4"/>
      <c r="AF79" s="4"/>
      <c r="AG79" s="4"/>
      <c r="AH79" s="4"/>
      <c r="AI79" s="4"/>
      <c r="AJ79" s="4"/>
      <c r="AK79" s="4"/>
    </row>
    <row r="80" spans="30:37" x14ac:dyDescent="0.2">
      <c r="AD80" s="4"/>
      <c r="AE80" s="4"/>
      <c r="AF80" s="4"/>
      <c r="AG80" s="4"/>
      <c r="AH80" s="4"/>
      <c r="AI80" s="4"/>
      <c r="AJ80" s="4"/>
      <c r="AK80" s="4"/>
    </row>
    <row r="81" spans="30:37" x14ac:dyDescent="0.2">
      <c r="AD81" s="4"/>
      <c r="AE81" s="4"/>
      <c r="AF81" s="4"/>
      <c r="AG81" s="4"/>
      <c r="AH81" s="4"/>
      <c r="AI81" s="4"/>
      <c r="AJ81" s="4"/>
      <c r="AK81" s="4"/>
    </row>
    <row r="82" spans="30:37" x14ac:dyDescent="0.2">
      <c r="AD82" s="4"/>
      <c r="AE82" s="4"/>
      <c r="AF82" s="4"/>
      <c r="AG82" s="4"/>
      <c r="AH82" s="4"/>
      <c r="AI82" s="4"/>
      <c r="AJ82" s="4"/>
      <c r="AK82" s="4"/>
    </row>
    <row r="83" spans="30:37" x14ac:dyDescent="0.2">
      <c r="AD83" s="4"/>
      <c r="AE83" s="4"/>
      <c r="AF83" s="4"/>
      <c r="AG83" s="4"/>
      <c r="AH83" s="4"/>
      <c r="AI83" s="4"/>
      <c r="AJ83" s="4"/>
      <c r="AK83" s="4"/>
    </row>
    <row r="84" spans="30:37" x14ac:dyDescent="0.2">
      <c r="AD84" s="4"/>
      <c r="AE84" s="4"/>
      <c r="AF84" s="4"/>
      <c r="AG84" s="4"/>
      <c r="AH84" s="4"/>
      <c r="AI84" s="4"/>
      <c r="AJ84" s="4"/>
      <c r="AK84" s="4"/>
    </row>
    <row r="85" spans="30:37" x14ac:dyDescent="0.2">
      <c r="AD85" s="4"/>
      <c r="AE85" s="4"/>
      <c r="AF85" s="4"/>
      <c r="AG85" s="4"/>
      <c r="AH85" s="4"/>
      <c r="AI85" s="4"/>
      <c r="AJ85" s="4"/>
      <c r="AK85" s="4"/>
    </row>
    <row r="86" spans="30:37" x14ac:dyDescent="0.2">
      <c r="AD86" s="4"/>
      <c r="AE86" s="4"/>
      <c r="AF86" s="4"/>
      <c r="AG86" s="4"/>
      <c r="AH86" s="4"/>
      <c r="AI86" s="4"/>
      <c r="AJ86" s="4"/>
      <c r="AK86" s="4"/>
    </row>
    <row r="87" spans="30:37" x14ac:dyDescent="0.2">
      <c r="AD87" s="4"/>
      <c r="AE87" s="4"/>
      <c r="AF87" s="4"/>
      <c r="AG87" s="4"/>
      <c r="AH87" s="4"/>
      <c r="AI87" s="4"/>
      <c r="AJ87" s="4"/>
      <c r="AK87" s="4"/>
    </row>
    <row r="88" spans="30:37" x14ac:dyDescent="0.2">
      <c r="AD88" s="4"/>
      <c r="AE88" s="4"/>
      <c r="AF88" s="4"/>
      <c r="AG88" s="4"/>
      <c r="AH88" s="4"/>
      <c r="AI88" s="4"/>
      <c r="AJ88" s="4"/>
      <c r="AK88" s="4"/>
    </row>
    <row r="89" spans="30:37" x14ac:dyDescent="0.2">
      <c r="AD89" s="4"/>
      <c r="AE89" s="4"/>
      <c r="AF89" s="4"/>
      <c r="AG89" s="4"/>
      <c r="AH89" s="4"/>
      <c r="AI89" s="4"/>
      <c r="AJ89" s="4"/>
      <c r="AK89" s="4"/>
    </row>
    <row r="90" spans="30:37" x14ac:dyDescent="0.2">
      <c r="AD90" s="4"/>
      <c r="AE90" s="4"/>
      <c r="AF90" s="4"/>
      <c r="AG90" s="4"/>
      <c r="AH90" s="4"/>
      <c r="AI90" s="4"/>
      <c r="AJ90" s="4"/>
      <c r="AK90" s="4"/>
    </row>
    <row r="91" spans="30:37" x14ac:dyDescent="0.2">
      <c r="AD91" s="4"/>
      <c r="AE91" s="4"/>
      <c r="AF91" s="4"/>
      <c r="AG91" s="4"/>
      <c r="AH91" s="4"/>
      <c r="AI91" s="4"/>
      <c r="AJ91" s="4"/>
      <c r="AK91" s="4"/>
    </row>
    <row r="92" spans="30:37" x14ac:dyDescent="0.2">
      <c r="AD92" s="4"/>
      <c r="AE92" s="4"/>
      <c r="AF92" s="4"/>
      <c r="AG92" s="4"/>
      <c r="AH92" s="4"/>
      <c r="AI92" s="4"/>
      <c r="AJ92" s="4"/>
      <c r="AK92" s="4"/>
    </row>
    <row r="93" spans="30:37" x14ac:dyDescent="0.2">
      <c r="AD93" s="4"/>
      <c r="AE93" s="4"/>
      <c r="AF93" s="4"/>
      <c r="AG93" s="4"/>
      <c r="AH93" s="4"/>
      <c r="AI93" s="4"/>
      <c r="AJ93" s="4"/>
      <c r="AK93" s="4"/>
    </row>
    <row r="94" spans="30:37" x14ac:dyDescent="0.2">
      <c r="AD94" s="4"/>
      <c r="AE94" s="4"/>
      <c r="AF94" s="4"/>
      <c r="AG94" s="4"/>
      <c r="AH94" s="4"/>
      <c r="AI94" s="4"/>
      <c r="AJ94" s="4"/>
      <c r="AK94" s="4"/>
    </row>
    <row r="95" spans="30:37" x14ac:dyDescent="0.2">
      <c r="AD95" s="4"/>
      <c r="AE95" s="4"/>
      <c r="AF95" s="4"/>
      <c r="AG95" s="4"/>
      <c r="AH95" s="4"/>
      <c r="AI95" s="4"/>
      <c r="AJ95" s="4"/>
      <c r="AK95" s="4"/>
    </row>
    <row r="96" spans="30:37" x14ac:dyDescent="0.2">
      <c r="AD96" s="4"/>
      <c r="AE96" s="4"/>
      <c r="AF96" s="4"/>
      <c r="AG96" s="4"/>
      <c r="AH96" s="4"/>
      <c r="AI96" s="4"/>
      <c r="AJ96" s="4"/>
      <c r="AK96" s="4"/>
    </row>
    <row r="97" spans="30:37" x14ac:dyDescent="0.2">
      <c r="AD97" s="4"/>
      <c r="AE97" s="4"/>
      <c r="AF97" s="4"/>
      <c r="AG97" s="4"/>
      <c r="AH97" s="4"/>
      <c r="AI97" s="4"/>
      <c r="AJ97" s="4"/>
      <c r="AK97" s="4"/>
    </row>
    <row r="98" spans="30:37" x14ac:dyDescent="0.2">
      <c r="AD98" s="4"/>
      <c r="AE98" s="4"/>
      <c r="AF98" s="4"/>
      <c r="AG98" s="4"/>
      <c r="AH98" s="4"/>
      <c r="AI98" s="4"/>
      <c r="AJ98" s="4"/>
      <c r="AK98" s="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X1" workbookViewId="0">
      <selection activeCell="AB28" sqref="AB28"/>
    </sheetView>
  </sheetViews>
  <sheetFormatPr baseColWidth="10" defaultColWidth="8.796875" defaultRowHeight="15" x14ac:dyDescent="0.2"/>
  <cols>
    <col min="2" max="2" width="10.3984375" bestFit="1" customWidth="1"/>
    <col min="8" max="8" width="12.3984375" bestFit="1" customWidth="1"/>
    <col min="10" max="10" width="20.19921875" bestFit="1" customWidth="1"/>
    <col min="11" max="11" width="15.19921875" bestFit="1" customWidth="1"/>
    <col min="12" max="12" width="13.19921875" bestFit="1" customWidth="1"/>
    <col min="13" max="13" width="43" bestFit="1" customWidth="1"/>
    <col min="23" max="23" width="8.796875" bestFit="1" customWidth="1"/>
    <col min="24" max="24" width="12.3984375" bestFit="1" customWidth="1"/>
    <col min="26" max="26" width="20.19921875" bestFit="1" customWidth="1"/>
    <col min="27" max="27" width="15.19921875" bestFit="1" customWidth="1"/>
    <col min="28" max="28" width="13.19921875" bestFit="1" customWidth="1"/>
    <col min="29" max="29" width="43" bestFit="1" customWidth="1"/>
    <col min="33" max="33" width="10.3984375" bestFit="1" customWidth="1"/>
  </cols>
  <sheetData>
    <row r="1" spans="1:37" ht="20" x14ac:dyDescent="0.2">
      <c r="A1" s="14" t="s">
        <v>332</v>
      </c>
      <c r="B1" s="15"/>
      <c r="C1" s="4"/>
      <c r="M1" s="21"/>
      <c r="AG1" s="2" t="s">
        <v>328</v>
      </c>
      <c r="AH1" s="1"/>
      <c r="AI1" s="1"/>
      <c r="AJ1" s="1"/>
      <c r="AK1" s="1"/>
    </row>
    <row r="2" spans="1:37" s="3" customFormat="1" ht="66" x14ac:dyDescent="0.2">
      <c r="A2" s="3" t="s">
        <v>146</v>
      </c>
      <c r="B2" s="3" t="s">
        <v>4</v>
      </c>
      <c r="C2" s="3" t="s">
        <v>5</v>
      </c>
      <c r="D2" s="3" t="s">
        <v>144</v>
      </c>
      <c r="E2" s="3" t="s">
        <v>217</v>
      </c>
      <c r="F2" s="16" t="s">
        <v>218</v>
      </c>
      <c r="G2" s="17" t="s">
        <v>219</v>
      </c>
      <c r="H2" s="16" t="s">
        <v>220</v>
      </c>
      <c r="I2" s="16" t="s">
        <v>19</v>
      </c>
      <c r="J2" s="16" t="s">
        <v>223</v>
      </c>
      <c r="K2" s="16" t="s">
        <v>221</v>
      </c>
      <c r="L2" s="16" t="s">
        <v>224</v>
      </c>
      <c r="M2" s="16" t="s">
        <v>225</v>
      </c>
      <c r="Q2" s="3" t="s">
        <v>146</v>
      </c>
      <c r="R2" s="3" t="s">
        <v>4</v>
      </c>
      <c r="S2" s="3" t="s">
        <v>5</v>
      </c>
      <c r="T2" s="3" t="s">
        <v>144</v>
      </c>
      <c r="U2" s="3" t="s">
        <v>217</v>
      </c>
      <c r="V2" s="16" t="s">
        <v>218</v>
      </c>
      <c r="W2" s="17" t="s">
        <v>219</v>
      </c>
      <c r="X2" s="16" t="s">
        <v>220</v>
      </c>
      <c r="Y2" s="16" t="s">
        <v>19</v>
      </c>
      <c r="Z2" s="16" t="s">
        <v>223</v>
      </c>
      <c r="AA2" s="16" t="s">
        <v>221</v>
      </c>
      <c r="AB2" s="16" t="s">
        <v>224</v>
      </c>
      <c r="AC2" s="16" t="s">
        <v>225</v>
      </c>
      <c r="AG2" s="5" t="s">
        <v>4</v>
      </c>
      <c r="AH2" s="5" t="s">
        <v>5</v>
      </c>
      <c r="AI2" s="5" t="s">
        <v>327</v>
      </c>
      <c r="AJ2" s="5" t="s">
        <v>65</v>
      </c>
      <c r="AK2" s="5" t="s">
        <v>66</v>
      </c>
    </row>
    <row r="3" spans="1:37" x14ac:dyDescent="0.2">
      <c r="A3">
        <v>11</v>
      </c>
      <c r="B3" s="18" t="s">
        <v>9</v>
      </c>
      <c r="C3" t="s">
        <v>10</v>
      </c>
      <c r="D3" s="4">
        <v>1</v>
      </c>
      <c r="E3" s="27">
        <v>-4.7619999999999996</v>
      </c>
      <c r="F3" s="27">
        <v>-320.596</v>
      </c>
      <c r="G3" s="4">
        <f>IF(E3&lt;0,F3*-1+E3,F3*-1-E3)</f>
        <v>315.834</v>
      </c>
      <c r="H3" s="19">
        <f>(G3*250*1*1*1000)/(6.22*2*0.3*1000*1000*1)</f>
        <v>21.157154340836016</v>
      </c>
      <c r="I3">
        <v>2</v>
      </c>
      <c r="J3" s="12">
        <f>H3*I3</f>
        <v>42.314308681672031</v>
      </c>
      <c r="K3" s="4">
        <v>18.815650000000002</v>
      </c>
      <c r="L3" s="12">
        <f>J3/K3</f>
        <v>2.2488890196018754</v>
      </c>
      <c r="M3" s="12">
        <f>L3*10</f>
        <v>22.488890196018755</v>
      </c>
      <c r="Q3">
        <v>15</v>
      </c>
      <c r="R3" s="18" t="s">
        <v>18</v>
      </c>
      <c r="S3" t="s">
        <v>10</v>
      </c>
      <c r="T3">
        <v>5</v>
      </c>
      <c r="U3" s="24">
        <v>-0.311</v>
      </c>
      <c r="V3" s="24">
        <v>-129.845</v>
      </c>
      <c r="W3" s="4">
        <f>IF(U3&lt;0,V3*-1+U3,V3*-1-U3)</f>
        <v>129.53399999999999</v>
      </c>
      <c r="X3" s="19">
        <f>(W3*250*1*1*1000)/(6.22*2*0.3*1000*1000*1)</f>
        <v>8.6772508038585201</v>
      </c>
      <c r="Y3">
        <v>2</v>
      </c>
      <c r="Z3" s="12">
        <f>X3*Y3</f>
        <v>17.35450160771704</v>
      </c>
      <c r="AA3" s="12">
        <v>17.822800000000001</v>
      </c>
      <c r="AB3" s="12">
        <f>Z3/AA3</f>
        <v>0.97372475748575082</v>
      </c>
      <c r="AC3" s="12">
        <f>AB3*10</f>
        <v>9.7372475748575091</v>
      </c>
      <c r="AD3" s="23">
        <f>AVERAGE(AC3:AC14)</f>
        <v>16.061476551970923</v>
      </c>
      <c r="AE3" t="s">
        <v>10</v>
      </c>
      <c r="AF3" s="4"/>
      <c r="AG3" s="4" t="s">
        <v>18</v>
      </c>
      <c r="AH3" s="4">
        <v>0</v>
      </c>
      <c r="AI3" s="23">
        <f>AVERAGE(AC3:AC14)</f>
        <v>16.061476551970923</v>
      </c>
      <c r="AJ3" s="4">
        <f>COUNT(AC3:AC14)</f>
        <v>12</v>
      </c>
      <c r="AK3" s="4">
        <f>STDEV(AC3:AC14)/SQRT(AJ3)</f>
        <v>1.087863558957288</v>
      </c>
    </row>
    <row r="4" spans="1:37" x14ac:dyDescent="0.2">
      <c r="D4" s="4">
        <v>2</v>
      </c>
      <c r="E4" s="27">
        <v>-1.5</v>
      </c>
      <c r="F4" s="27">
        <v>-230.084</v>
      </c>
      <c r="G4" s="4">
        <f t="shared" ref="G4:G52" si="0">IF(E4&lt;0,F4*-1+E4,F4*-1-E4)</f>
        <v>228.584</v>
      </c>
      <c r="H4" s="19">
        <f t="shared" ref="H4:H52" si="1">(G4*250*1*1*1000)/(6.22*2*0.3*1000*1000*1)</f>
        <v>15.312433011789928</v>
      </c>
      <c r="I4">
        <v>2</v>
      </c>
      <c r="J4" s="12">
        <f t="shared" ref="J4:J52" si="2">H4*I4</f>
        <v>30.624866023579855</v>
      </c>
      <c r="K4" s="4">
        <v>21.588250000000002</v>
      </c>
      <c r="L4" s="12">
        <f t="shared" ref="L4:L52" si="3">J4/K4</f>
        <v>1.418589557911357</v>
      </c>
      <c r="M4" s="12">
        <f t="shared" ref="M4:M52" si="4">L4*10</f>
        <v>14.18589557911357</v>
      </c>
      <c r="T4">
        <v>6</v>
      </c>
      <c r="U4" s="24">
        <v>-5.4980000000000002</v>
      </c>
      <c r="V4" s="24">
        <v>-245.20400000000001</v>
      </c>
      <c r="W4" s="4">
        <f t="shared" ref="W4:W50" si="5">IF(U4&lt;0,V4*-1+U4,V4*-1-U4)</f>
        <v>239.70600000000002</v>
      </c>
      <c r="X4" s="19">
        <f t="shared" ref="X4:X50" si="6">(W4*250*1*1*1000)/(6.22*2*0.3*1000*1000*1)</f>
        <v>16.057475884244376</v>
      </c>
      <c r="Y4">
        <v>2</v>
      </c>
      <c r="Z4" s="12">
        <f t="shared" ref="Z4:Z50" si="7">X4*Y4</f>
        <v>32.114951768488751</v>
      </c>
      <c r="AA4" s="12">
        <v>19.3279</v>
      </c>
      <c r="AB4" s="12">
        <f t="shared" ref="AB4:AB50" si="8">Z4/AA4</f>
        <v>1.6615851576471707</v>
      </c>
      <c r="AC4" s="12">
        <f t="shared" ref="AC4:AC50" si="9">AB4*10</f>
        <v>16.615851576471709</v>
      </c>
      <c r="AD4" s="4"/>
      <c r="AF4" s="4"/>
      <c r="AG4" s="4"/>
      <c r="AH4" s="4">
        <v>1</v>
      </c>
      <c r="AI4" s="23">
        <f>AVERAGE(AC15:AC27)</f>
        <v>15.056675677945835</v>
      </c>
      <c r="AJ4" s="4">
        <f>COUNT(AC15:AC27)</f>
        <v>13</v>
      </c>
      <c r="AK4" s="4">
        <f>STDEV(AC15:AC27)/SQRT(AJ4)</f>
        <v>0.87353354854233267</v>
      </c>
    </row>
    <row r="5" spans="1:37" x14ac:dyDescent="0.2">
      <c r="D5" s="4">
        <v>3</v>
      </c>
      <c r="E5" s="27">
        <v>-3.3490000000000002</v>
      </c>
      <c r="F5" s="27">
        <v>-333.851</v>
      </c>
      <c r="G5" s="4">
        <f t="shared" si="0"/>
        <v>330.50200000000001</v>
      </c>
      <c r="H5" s="19">
        <f t="shared" si="1"/>
        <v>22.139737406216508</v>
      </c>
      <c r="I5">
        <v>2</v>
      </c>
      <c r="J5" s="12">
        <f t="shared" si="2"/>
        <v>44.279474812433016</v>
      </c>
      <c r="K5" s="4">
        <v>21.028450000000003</v>
      </c>
      <c r="L5" s="12">
        <f t="shared" si="3"/>
        <v>2.1056937060236494</v>
      </c>
      <c r="M5" s="12">
        <f t="shared" si="4"/>
        <v>21.056937060236493</v>
      </c>
      <c r="T5">
        <v>7</v>
      </c>
      <c r="U5" s="24">
        <v>-7.069</v>
      </c>
      <c r="V5" s="24">
        <v>-326.83600000000001</v>
      </c>
      <c r="W5" s="4">
        <f t="shared" si="5"/>
        <v>319.767</v>
      </c>
      <c r="X5" s="19">
        <f t="shared" si="6"/>
        <v>21.420618971061096</v>
      </c>
      <c r="Y5">
        <v>2</v>
      </c>
      <c r="Z5" s="12">
        <f t="shared" si="7"/>
        <v>42.841237942122191</v>
      </c>
      <c r="AA5" s="12">
        <v>18.651949999999999</v>
      </c>
      <c r="AB5" s="12">
        <f t="shared" si="8"/>
        <v>2.2968771598745543</v>
      </c>
      <c r="AC5" s="12">
        <f t="shared" si="9"/>
        <v>22.968771598745544</v>
      </c>
      <c r="AD5" s="4"/>
      <c r="AF5" s="4"/>
      <c r="AG5" s="4"/>
      <c r="AH5" s="4">
        <v>4</v>
      </c>
      <c r="AI5" s="23">
        <f>AVERAGE(AC28:AC38)</f>
        <v>14.105462959231806</v>
      </c>
      <c r="AJ5" s="4">
        <f>COUNT(AC28:AC38)</f>
        <v>11</v>
      </c>
      <c r="AK5" s="4">
        <f>STDEV(AC28:AC38)/SQRT(AJ5)</f>
        <v>1.1029184419825644</v>
      </c>
    </row>
    <row r="6" spans="1:37" x14ac:dyDescent="0.2">
      <c r="D6" s="4">
        <v>4</v>
      </c>
      <c r="E6" s="27">
        <v>-2.1110000000000002</v>
      </c>
      <c r="F6" s="27">
        <v>-321</v>
      </c>
      <c r="G6" s="4">
        <f t="shared" si="0"/>
        <v>318.88900000000001</v>
      </c>
      <c r="H6" s="19">
        <f t="shared" si="1"/>
        <v>21.361803322615224</v>
      </c>
      <c r="I6">
        <v>2</v>
      </c>
      <c r="J6" s="12">
        <f t="shared" si="2"/>
        <v>42.723606645230447</v>
      </c>
      <c r="K6" s="4">
        <v>20.046150000000001</v>
      </c>
      <c r="L6" s="12">
        <f t="shared" si="3"/>
        <v>2.1312624441715964</v>
      </c>
      <c r="M6" s="12">
        <f t="shared" si="4"/>
        <v>21.312624441715965</v>
      </c>
      <c r="T6">
        <v>8</v>
      </c>
      <c r="U6" s="24">
        <v>-7.8650000000000002</v>
      </c>
      <c r="V6" s="24">
        <v>-263.553</v>
      </c>
      <c r="W6" s="4">
        <f t="shared" si="5"/>
        <v>255.68799999999999</v>
      </c>
      <c r="X6" s="19">
        <f t="shared" si="6"/>
        <v>17.128081457663452</v>
      </c>
      <c r="Y6">
        <v>2</v>
      </c>
      <c r="Z6" s="12">
        <f t="shared" si="7"/>
        <v>34.256162915326904</v>
      </c>
      <c r="AA6" s="12">
        <v>18.878999999999998</v>
      </c>
      <c r="AB6" s="12">
        <f t="shared" si="8"/>
        <v>1.814511516252286</v>
      </c>
      <c r="AC6" s="12">
        <f t="shared" si="9"/>
        <v>18.14511516252286</v>
      </c>
      <c r="AD6" s="4"/>
      <c r="AF6" s="4"/>
      <c r="AG6" s="4"/>
      <c r="AH6" s="4">
        <v>24</v>
      </c>
      <c r="AI6" s="23">
        <f>AVERAGE(AC39:AC48)</f>
        <v>13.452844141570733</v>
      </c>
      <c r="AJ6" s="4">
        <f>COUNT(AC39:AC48)</f>
        <v>10</v>
      </c>
      <c r="AK6" s="4">
        <f>STDEV(AC39:AC48)/SQRT(AJ6)</f>
        <v>0.8808606329391433</v>
      </c>
    </row>
    <row r="7" spans="1:37" x14ac:dyDescent="0.2">
      <c r="A7">
        <v>12</v>
      </c>
      <c r="D7" s="4">
        <v>9</v>
      </c>
      <c r="E7" s="27">
        <v>-4.92</v>
      </c>
      <c r="F7" s="27">
        <v>-297.09800000000001</v>
      </c>
      <c r="G7" s="4">
        <f t="shared" si="0"/>
        <v>292.178</v>
      </c>
      <c r="H7" s="19">
        <f t="shared" si="1"/>
        <v>19.57248124330118</v>
      </c>
      <c r="I7">
        <v>2</v>
      </c>
      <c r="J7" s="12">
        <f t="shared" si="2"/>
        <v>39.14496248660236</v>
      </c>
      <c r="K7" s="4">
        <v>18.255850000000002</v>
      </c>
      <c r="L7" s="12">
        <f t="shared" si="3"/>
        <v>2.1442421189154355</v>
      </c>
      <c r="M7" s="12">
        <f t="shared" si="4"/>
        <v>21.442421189154356</v>
      </c>
      <c r="Q7">
        <v>14</v>
      </c>
      <c r="T7">
        <v>13</v>
      </c>
      <c r="U7" s="24">
        <v>-3.927</v>
      </c>
      <c r="V7" s="24">
        <v>-302.97300000000001</v>
      </c>
      <c r="W7" s="4">
        <f t="shared" si="5"/>
        <v>299.04599999999999</v>
      </c>
      <c r="X7" s="19">
        <f t="shared" si="6"/>
        <v>20.032556270096464</v>
      </c>
      <c r="Y7">
        <v>2</v>
      </c>
      <c r="Z7" s="12">
        <f t="shared" si="7"/>
        <v>40.065112540192928</v>
      </c>
      <c r="AA7" s="12">
        <v>20.563700000000001</v>
      </c>
      <c r="AB7" s="12">
        <f t="shared" si="8"/>
        <v>1.9483416184924369</v>
      </c>
      <c r="AC7" s="12">
        <f t="shared" si="9"/>
        <v>19.483416184924369</v>
      </c>
      <c r="AD7" s="4"/>
      <c r="AF7" s="4"/>
      <c r="AG7" s="4"/>
      <c r="AH7" s="4"/>
      <c r="AI7" s="4"/>
      <c r="AJ7" s="4"/>
      <c r="AK7" s="4"/>
    </row>
    <row r="8" spans="1:37" x14ac:dyDescent="0.2">
      <c r="D8" s="4">
        <v>10</v>
      </c>
      <c r="E8" s="27">
        <v>9.1750000000000007</v>
      </c>
      <c r="F8" s="27">
        <v>-178.631</v>
      </c>
      <c r="G8" s="4">
        <f t="shared" si="0"/>
        <v>169.45599999999999</v>
      </c>
      <c r="H8" s="19">
        <f t="shared" si="1"/>
        <v>11.351554126473742</v>
      </c>
      <c r="I8">
        <v>2</v>
      </c>
      <c r="J8" s="12">
        <f t="shared" si="2"/>
        <v>22.703108252947484</v>
      </c>
      <c r="K8" s="4">
        <v>16.666249999999998</v>
      </c>
      <c r="L8" s="12">
        <f t="shared" si="3"/>
        <v>1.3622205506906164</v>
      </c>
      <c r="M8" s="12">
        <f t="shared" si="4"/>
        <v>13.622205506906164</v>
      </c>
      <c r="T8">
        <v>14</v>
      </c>
      <c r="U8" s="29">
        <v>-3.4470000000000001</v>
      </c>
      <c r="V8" s="29">
        <v>-242.542</v>
      </c>
      <c r="W8" s="4">
        <f t="shared" si="5"/>
        <v>239.095</v>
      </c>
      <c r="X8" s="19">
        <f t="shared" si="6"/>
        <v>16.016546087888532</v>
      </c>
      <c r="Y8">
        <v>2</v>
      </c>
      <c r="Z8" s="12">
        <f t="shared" si="7"/>
        <v>32.033092175777064</v>
      </c>
      <c r="AA8" s="12">
        <v>18.22945</v>
      </c>
      <c r="AB8" s="12">
        <f t="shared" si="8"/>
        <v>1.7572166014760218</v>
      </c>
      <c r="AC8" s="12">
        <f t="shared" si="9"/>
        <v>17.572166014760217</v>
      </c>
      <c r="AD8" s="4"/>
      <c r="AF8" s="4"/>
      <c r="AG8" s="4" t="s">
        <v>9</v>
      </c>
      <c r="AH8" s="4">
        <v>0</v>
      </c>
      <c r="AI8" s="20">
        <f>AVERAGE(M3:M14)</f>
        <v>16.257298207521984</v>
      </c>
      <c r="AJ8" s="4">
        <f>COUNT(M3:M14)</f>
        <v>12</v>
      </c>
      <c r="AK8" s="4">
        <f>STDEV(M3:M14)/SQRT(AJ8)</f>
        <v>1.4696896279875347</v>
      </c>
    </row>
    <row r="9" spans="1:37" x14ac:dyDescent="0.2">
      <c r="D9" s="4">
        <v>11</v>
      </c>
      <c r="E9" s="27">
        <v>-7.0039999999999996</v>
      </c>
      <c r="F9" s="27">
        <v>-295.84399999999999</v>
      </c>
      <c r="G9" s="4">
        <f t="shared" si="0"/>
        <v>288.83999999999997</v>
      </c>
      <c r="H9" s="19">
        <f t="shared" si="1"/>
        <v>19.348874598070744</v>
      </c>
      <c r="I9">
        <v>2</v>
      </c>
      <c r="J9" s="12">
        <f t="shared" si="2"/>
        <v>38.697749196141487</v>
      </c>
      <c r="K9" s="4">
        <v>21.820599999999999</v>
      </c>
      <c r="L9" s="12">
        <f t="shared" si="3"/>
        <v>1.7734502807503685</v>
      </c>
      <c r="M9" s="12">
        <f t="shared" si="4"/>
        <v>17.734502807503684</v>
      </c>
      <c r="T9">
        <v>15</v>
      </c>
      <c r="U9" s="24">
        <v>-7.516</v>
      </c>
      <c r="V9" s="24">
        <v>-233.596</v>
      </c>
      <c r="W9" s="4">
        <f t="shared" si="5"/>
        <v>226.08</v>
      </c>
      <c r="X9" s="19">
        <f t="shared" si="6"/>
        <v>15.14469453376206</v>
      </c>
      <c r="Y9">
        <v>2</v>
      </c>
      <c r="Z9" s="12">
        <f t="shared" si="7"/>
        <v>30.28938906752412</v>
      </c>
      <c r="AA9" s="12">
        <v>17.236600000000003</v>
      </c>
      <c r="AB9" s="12">
        <f t="shared" si="8"/>
        <v>1.7572716816265455</v>
      </c>
      <c r="AC9" s="12">
        <f t="shared" si="9"/>
        <v>17.572716816265455</v>
      </c>
      <c r="AD9" s="4"/>
      <c r="AF9" s="4"/>
      <c r="AG9" s="4"/>
      <c r="AH9" s="4">
        <v>1</v>
      </c>
      <c r="AI9" s="20">
        <f>AVERAGE(M15:M17,M19:M27)</f>
        <v>16.004526953658999</v>
      </c>
      <c r="AJ9" s="4">
        <f>COUNT(M15:M17,M19:M27)</f>
        <v>12</v>
      </c>
      <c r="AK9" s="4">
        <f>STDEV(M15:M17,M19:M27)/SQRT(AJ9)</f>
        <v>1.1820406815950955</v>
      </c>
    </row>
    <row r="10" spans="1:37" x14ac:dyDescent="0.2">
      <c r="D10" s="4">
        <v>12</v>
      </c>
      <c r="E10" s="27">
        <v>-3.605</v>
      </c>
      <c r="F10" s="27">
        <v>-256.62</v>
      </c>
      <c r="G10" s="4">
        <f t="shared" si="0"/>
        <v>253.01500000000001</v>
      </c>
      <c r="H10" s="19">
        <f t="shared" si="1"/>
        <v>16.949021972132908</v>
      </c>
      <c r="I10">
        <v>2</v>
      </c>
      <c r="J10" s="12">
        <f t="shared" si="2"/>
        <v>33.898043944265815</v>
      </c>
      <c r="K10" s="4">
        <v>18.741700000000002</v>
      </c>
      <c r="L10" s="12">
        <f t="shared" si="3"/>
        <v>1.8086963266014189</v>
      </c>
      <c r="M10" s="12">
        <f t="shared" si="4"/>
        <v>18.086963266014187</v>
      </c>
      <c r="T10">
        <v>16</v>
      </c>
      <c r="U10" s="24">
        <v>-8.7870000000000008</v>
      </c>
      <c r="V10" s="24">
        <v>-240.85599999999999</v>
      </c>
      <c r="W10" s="4">
        <f t="shared" si="5"/>
        <v>232.06899999999999</v>
      </c>
      <c r="X10" s="19">
        <f t="shared" si="6"/>
        <v>15.545886923901396</v>
      </c>
      <c r="Y10">
        <v>2</v>
      </c>
      <c r="Z10" s="12">
        <f t="shared" si="7"/>
        <v>31.091773847802791</v>
      </c>
      <c r="AA10" s="12">
        <v>17.27355</v>
      </c>
      <c r="AB10" s="12">
        <f t="shared" si="8"/>
        <v>1.7999643297297192</v>
      </c>
      <c r="AC10" s="12">
        <f t="shared" si="9"/>
        <v>17.99964329729719</v>
      </c>
      <c r="AD10" s="4"/>
      <c r="AF10" s="4"/>
      <c r="AG10" s="4"/>
      <c r="AH10" s="4">
        <v>4</v>
      </c>
      <c r="AI10" s="20">
        <f>AVERAGE(M28:M39)</f>
        <v>14.911928456777121</v>
      </c>
      <c r="AJ10" s="4">
        <f>COUNT(M28:M39)</f>
        <v>12</v>
      </c>
      <c r="AK10" s="4">
        <f>STDEV(M28:M39)/SQRT(AJ10)</f>
        <v>1.0637899636770909</v>
      </c>
    </row>
    <row r="11" spans="1:37" x14ac:dyDescent="0.2">
      <c r="A11">
        <v>12</v>
      </c>
      <c r="D11" s="4">
        <v>65</v>
      </c>
      <c r="E11" s="27">
        <v>-4.6639999999999997</v>
      </c>
      <c r="F11" s="27">
        <v>-232.93100000000001</v>
      </c>
      <c r="G11" s="4">
        <f t="shared" si="0"/>
        <v>228.26700000000002</v>
      </c>
      <c r="H11" s="19">
        <f t="shared" si="1"/>
        <v>15.291197749196145</v>
      </c>
      <c r="I11">
        <v>2</v>
      </c>
      <c r="J11" s="12">
        <f t="shared" si="2"/>
        <v>30.582395498392291</v>
      </c>
      <c r="K11" s="4">
        <v>17.997049999999998</v>
      </c>
      <c r="L11" s="12">
        <f t="shared" si="3"/>
        <v>1.6993004685985922</v>
      </c>
      <c r="M11" s="12">
        <f t="shared" si="4"/>
        <v>16.993004685985923</v>
      </c>
      <c r="Q11">
        <v>15</v>
      </c>
      <c r="T11">
        <v>69</v>
      </c>
      <c r="U11" s="24">
        <v>-1.2110000000000001</v>
      </c>
      <c r="V11" s="24">
        <v>-161.32900000000001</v>
      </c>
      <c r="W11" s="4">
        <f t="shared" si="5"/>
        <v>160.11799999999999</v>
      </c>
      <c r="X11" s="19">
        <f t="shared" si="6"/>
        <v>10.726018220793142</v>
      </c>
      <c r="Y11">
        <v>2</v>
      </c>
      <c r="Z11" s="12">
        <f t="shared" si="7"/>
        <v>21.452036441586284</v>
      </c>
      <c r="AA11" s="12">
        <v>19.354299999999999</v>
      </c>
      <c r="AB11" s="12">
        <f t="shared" si="8"/>
        <v>1.108386066227468</v>
      </c>
      <c r="AC11" s="12">
        <f t="shared" si="9"/>
        <v>11.083860662274681</v>
      </c>
      <c r="AD11" s="4"/>
      <c r="AF11" s="4"/>
      <c r="AG11" s="4"/>
      <c r="AH11" s="4">
        <v>24</v>
      </c>
      <c r="AI11" s="20">
        <f>AVERAGE(M40:M52)</f>
        <v>12.892194080100163</v>
      </c>
      <c r="AJ11" s="4">
        <f>COUNT(M40:M52)</f>
        <v>13</v>
      </c>
      <c r="AK11" s="4">
        <f>STDEV(M40:M52)/SQRT(AJ11)</f>
        <v>0.64808593622598909</v>
      </c>
    </row>
    <row r="12" spans="1:37" x14ac:dyDescent="0.2">
      <c r="D12" s="4">
        <v>66</v>
      </c>
      <c r="E12" s="27">
        <v>-4.7839999999999998</v>
      </c>
      <c r="F12" s="27">
        <v>-140.209</v>
      </c>
      <c r="G12" s="4">
        <f t="shared" si="0"/>
        <v>135.42500000000001</v>
      </c>
      <c r="H12" s="19">
        <f t="shared" si="1"/>
        <v>9.0718783494105057</v>
      </c>
      <c r="I12">
        <v>2</v>
      </c>
      <c r="J12" s="12">
        <f t="shared" si="2"/>
        <v>18.143756698821011</v>
      </c>
      <c r="K12" s="4">
        <v>17.965400000000002</v>
      </c>
      <c r="L12" s="12">
        <f t="shared" si="3"/>
        <v>1.0099277889065097</v>
      </c>
      <c r="M12" s="12">
        <f t="shared" si="4"/>
        <v>10.099277889065096</v>
      </c>
      <c r="T12">
        <v>70</v>
      </c>
      <c r="U12" s="24">
        <v>-3.9929999999999999</v>
      </c>
      <c r="V12" s="24">
        <v>-226.45099999999999</v>
      </c>
      <c r="W12" s="4">
        <f t="shared" si="5"/>
        <v>222.458</v>
      </c>
      <c r="X12" s="19">
        <f t="shared" si="6"/>
        <v>14.902063236870312</v>
      </c>
      <c r="Y12">
        <v>2</v>
      </c>
      <c r="Z12" s="12">
        <f t="shared" si="7"/>
        <v>29.804126473740624</v>
      </c>
      <c r="AA12" s="12">
        <v>19.169499999999999</v>
      </c>
      <c r="AB12" s="12">
        <f t="shared" si="8"/>
        <v>1.554768067698199</v>
      </c>
      <c r="AC12" s="12">
        <f t="shared" si="9"/>
        <v>15.54768067698199</v>
      </c>
      <c r="AD12" s="4"/>
      <c r="AF12" s="4"/>
      <c r="AG12" s="4"/>
      <c r="AH12" s="4"/>
      <c r="AI12" s="4"/>
      <c r="AJ12" s="4"/>
      <c r="AK12" s="4"/>
    </row>
    <row r="13" spans="1:37" x14ac:dyDescent="0.2">
      <c r="D13" s="4">
        <v>67</v>
      </c>
      <c r="E13" s="27">
        <v>-4.7450000000000001</v>
      </c>
      <c r="F13" s="27">
        <v>-94.444999999999993</v>
      </c>
      <c r="G13" s="4">
        <f t="shared" si="0"/>
        <v>89.699999999999989</v>
      </c>
      <c r="H13" s="19">
        <f t="shared" si="1"/>
        <v>6.0088424437299031</v>
      </c>
      <c r="I13">
        <v>2</v>
      </c>
      <c r="J13" s="12">
        <f t="shared" si="2"/>
        <v>12.017684887459806</v>
      </c>
      <c r="K13" s="4">
        <v>18.023500000000002</v>
      </c>
      <c r="L13" s="12">
        <f t="shared" si="3"/>
        <v>0.66677864385162733</v>
      </c>
      <c r="M13" s="12">
        <f t="shared" si="4"/>
        <v>6.6677864385162735</v>
      </c>
      <c r="T13">
        <v>71</v>
      </c>
      <c r="U13" s="24">
        <v>-5.5250000000000004</v>
      </c>
      <c r="V13" s="24">
        <v>-194.18700000000001</v>
      </c>
      <c r="W13" s="4">
        <f t="shared" si="5"/>
        <v>188.66200000000001</v>
      </c>
      <c r="X13" s="19">
        <f t="shared" si="6"/>
        <v>12.638129689174708</v>
      </c>
      <c r="Y13">
        <v>2</v>
      </c>
      <c r="Z13" s="12">
        <f t="shared" si="7"/>
        <v>25.276259378349415</v>
      </c>
      <c r="AA13" s="12">
        <v>19.090250000000001</v>
      </c>
      <c r="AB13" s="12">
        <f t="shared" si="8"/>
        <v>1.3240402497793069</v>
      </c>
      <c r="AC13" s="12">
        <f t="shared" si="9"/>
        <v>13.240402497793069</v>
      </c>
      <c r="AD13" s="4"/>
      <c r="AF13" s="4"/>
      <c r="AG13" s="4"/>
      <c r="AH13" s="4"/>
      <c r="AI13" s="4"/>
      <c r="AJ13" s="4"/>
      <c r="AK13" s="4"/>
    </row>
    <row r="14" spans="1:37" x14ac:dyDescent="0.2">
      <c r="D14" s="4">
        <v>68</v>
      </c>
      <c r="E14" s="27">
        <v>-1.7509999999999999</v>
      </c>
      <c r="F14" s="27">
        <v>-153.54499999999999</v>
      </c>
      <c r="G14" s="4">
        <f t="shared" si="0"/>
        <v>151.79399999999998</v>
      </c>
      <c r="H14" s="19">
        <f t="shared" si="1"/>
        <v>10.168408360128616</v>
      </c>
      <c r="I14">
        <v>2</v>
      </c>
      <c r="J14" s="12">
        <f t="shared" si="2"/>
        <v>20.336816720257232</v>
      </c>
      <c r="K14" s="4">
        <v>17.843899999999998</v>
      </c>
      <c r="L14" s="12">
        <f t="shared" si="3"/>
        <v>1.1397069430033364</v>
      </c>
      <c r="M14" s="12">
        <f t="shared" si="4"/>
        <v>11.397069430033364</v>
      </c>
      <c r="T14">
        <v>72</v>
      </c>
      <c r="U14" s="24">
        <v>-4.4509999999999996</v>
      </c>
      <c r="V14" s="24">
        <v>-177.31100000000001</v>
      </c>
      <c r="W14" s="4">
        <f t="shared" si="5"/>
        <v>172.86</v>
      </c>
      <c r="X14" s="19">
        <f t="shared" si="6"/>
        <v>11.579581993569134</v>
      </c>
      <c r="Y14">
        <v>2</v>
      </c>
      <c r="Z14" s="12">
        <f t="shared" si="7"/>
        <v>23.159163987138268</v>
      </c>
      <c r="AA14" s="12">
        <v>18.134399999999999</v>
      </c>
      <c r="AB14" s="12">
        <f t="shared" si="8"/>
        <v>1.2770846560756501</v>
      </c>
      <c r="AC14" s="12">
        <f t="shared" si="9"/>
        <v>12.770846560756501</v>
      </c>
      <c r="AD14" s="4"/>
      <c r="AF14" s="4"/>
      <c r="AG14" s="4"/>
      <c r="AH14" s="4"/>
      <c r="AI14" s="4"/>
      <c r="AJ14" s="4"/>
      <c r="AK14" s="4"/>
    </row>
    <row r="15" spans="1:37" x14ac:dyDescent="0.2">
      <c r="A15">
        <v>11</v>
      </c>
      <c r="C15" t="s">
        <v>11</v>
      </c>
      <c r="D15" s="4">
        <v>17</v>
      </c>
      <c r="E15" s="27">
        <v>-7.9089999999999998</v>
      </c>
      <c r="F15" s="27">
        <v>-269.58499999999998</v>
      </c>
      <c r="G15" s="4">
        <f t="shared" si="0"/>
        <v>261.67599999999999</v>
      </c>
      <c r="H15" s="19">
        <f t="shared" si="1"/>
        <v>17.529206859592716</v>
      </c>
      <c r="I15">
        <v>2</v>
      </c>
      <c r="J15" s="12">
        <f t="shared" si="2"/>
        <v>35.058413719185431</v>
      </c>
      <c r="K15" s="4">
        <v>19.982800000000001</v>
      </c>
      <c r="L15" s="12">
        <f t="shared" si="3"/>
        <v>1.7544294953252513</v>
      </c>
      <c r="M15" s="12">
        <f t="shared" si="4"/>
        <v>17.544294953252514</v>
      </c>
      <c r="Q15">
        <v>15</v>
      </c>
      <c r="S15" t="s">
        <v>11</v>
      </c>
      <c r="T15">
        <v>21</v>
      </c>
      <c r="U15" s="24">
        <v>-2.1709999999999998</v>
      </c>
      <c r="V15" s="24">
        <v>-222.518</v>
      </c>
      <c r="W15" s="4">
        <f t="shared" si="5"/>
        <v>220.34700000000001</v>
      </c>
      <c r="X15" s="19">
        <f t="shared" si="6"/>
        <v>14.760651125401932</v>
      </c>
      <c r="Y15">
        <v>2</v>
      </c>
      <c r="Z15" s="12">
        <f t="shared" si="7"/>
        <v>29.521302250803863</v>
      </c>
      <c r="AA15" s="12">
        <v>18.361449999999998</v>
      </c>
      <c r="AB15" s="12">
        <f t="shared" si="8"/>
        <v>1.6077870892987136</v>
      </c>
      <c r="AC15" s="12">
        <f t="shared" si="9"/>
        <v>16.077870892987136</v>
      </c>
      <c r="AD15" s="23">
        <f>AVERAGE(AC15:AC27)</f>
        <v>15.056675677945835</v>
      </c>
      <c r="AE15" t="s">
        <v>11</v>
      </c>
      <c r="AF15" s="4"/>
      <c r="AG15" s="4"/>
      <c r="AH15" s="4"/>
      <c r="AI15" s="4"/>
      <c r="AJ15" s="4"/>
      <c r="AK15" s="4"/>
    </row>
    <row r="16" spans="1:37" x14ac:dyDescent="0.2">
      <c r="D16" s="4">
        <v>18</v>
      </c>
      <c r="E16" s="27">
        <v>-4.2549999999999999</v>
      </c>
      <c r="F16" s="27">
        <v>-167.95599999999999</v>
      </c>
      <c r="G16" s="4">
        <f t="shared" si="0"/>
        <v>163.70099999999999</v>
      </c>
      <c r="H16" s="19">
        <f t="shared" si="1"/>
        <v>10.966036977491962</v>
      </c>
      <c r="I16">
        <v>2</v>
      </c>
      <c r="J16" s="12">
        <f t="shared" si="2"/>
        <v>21.932073954983924</v>
      </c>
      <c r="K16" s="4">
        <v>19.62895</v>
      </c>
      <c r="L16" s="12">
        <f t="shared" si="3"/>
        <v>1.1173330185763337</v>
      </c>
      <c r="M16" s="12">
        <f t="shared" si="4"/>
        <v>11.173330185763337</v>
      </c>
      <c r="T16">
        <v>22</v>
      </c>
      <c r="U16" s="24">
        <v>-4.9800000000000004</v>
      </c>
      <c r="V16" s="24">
        <v>-157.72399999999999</v>
      </c>
      <c r="W16" s="4">
        <f t="shared" si="5"/>
        <v>152.744</v>
      </c>
      <c r="X16" s="19">
        <f t="shared" si="6"/>
        <v>10.232047159699894</v>
      </c>
      <c r="Y16">
        <v>2</v>
      </c>
      <c r="Z16" s="12">
        <f t="shared" si="7"/>
        <v>20.464094319399788</v>
      </c>
      <c r="AA16" s="12">
        <v>18.937100000000001</v>
      </c>
      <c r="AB16" s="12">
        <f t="shared" si="8"/>
        <v>1.0806350665835733</v>
      </c>
      <c r="AC16" s="12">
        <f t="shared" si="9"/>
        <v>10.806350665835733</v>
      </c>
      <c r="AD16" s="4"/>
      <c r="AF16" s="4"/>
      <c r="AG16" s="4"/>
      <c r="AH16" s="4"/>
      <c r="AI16" s="4"/>
      <c r="AJ16" s="4"/>
      <c r="AK16" s="4"/>
    </row>
    <row r="17" spans="1:37" x14ac:dyDescent="0.2">
      <c r="D17" s="4">
        <v>19</v>
      </c>
      <c r="E17" s="27">
        <v>-8.8849999999999998</v>
      </c>
      <c r="F17" s="27">
        <v>-223.54400000000001</v>
      </c>
      <c r="G17" s="4">
        <f t="shared" si="0"/>
        <v>214.65900000000002</v>
      </c>
      <c r="H17" s="19">
        <f t="shared" si="1"/>
        <v>14.379622186495181</v>
      </c>
      <c r="I17">
        <v>2</v>
      </c>
      <c r="J17" s="12">
        <f t="shared" si="2"/>
        <v>28.759244372990363</v>
      </c>
      <c r="K17" s="4">
        <v>18.783950000000001</v>
      </c>
      <c r="L17" s="12">
        <f t="shared" si="3"/>
        <v>1.5310541378671878</v>
      </c>
      <c r="M17" s="12">
        <f t="shared" si="4"/>
        <v>15.310541378671878</v>
      </c>
      <c r="T17">
        <v>23</v>
      </c>
      <c r="U17" s="24">
        <v>-7.68</v>
      </c>
      <c r="V17" s="24">
        <v>-234.03299999999999</v>
      </c>
      <c r="W17" s="4">
        <f t="shared" si="5"/>
        <v>226.35299999999998</v>
      </c>
      <c r="X17" s="19">
        <f t="shared" si="6"/>
        <v>15.16298231511254</v>
      </c>
      <c r="Y17">
        <v>2</v>
      </c>
      <c r="Z17" s="12">
        <f t="shared" si="7"/>
        <v>30.32596463022508</v>
      </c>
      <c r="AA17" s="12">
        <v>16.613399999999999</v>
      </c>
      <c r="AB17" s="12">
        <f t="shared" si="8"/>
        <v>1.8253918301025125</v>
      </c>
      <c r="AC17" s="12">
        <f t="shared" si="9"/>
        <v>18.253918301025124</v>
      </c>
      <c r="AD17" s="4"/>
      <c r="AF17" s="4"/>
      <c r="AG17" s="4"/>
      <c r="AH17" s="4"/>
      <c r="AI17" s="4"/>
      <c r="AJ17" s="4"/>
      <c r="AK17" s="4"/>
    </row>
    <row r="18" spans="1:37" x14ac:dyDescent="0.2">
      <c r="D18" s="8">
        <v>20</v>
      </c>
      <c r="E18" s="28">
        <v>1.702</v>
      </c>
      <c r="F18" s="28">
        <v>-288.27800000000002</v>
      </c>
      <c r="G18" s="8">
        <f t="shared" si="0"/>
        <v>286.57600000000002</v>
      </c>
      <c r="H18" s="30">
        <f t="shared" si="1"/>
        <v>19.19721329046088</v>
      </c>
      <c r="I18" s="8">
        <v>2</v>
      </c>
      <c r="J18" s="13">
        <f t="shared" si="2"/>
        <v>38.39442658092176</v>
      </c>
      <c r="K18" s="8">
        <v>12.710649999999998</v>
      </c>
      <c r="L18" s="13">
        <f t="shared" si="3"/>
        <v>3.0206501304749769</v>
      </c>
      <c r="M18" s="13">
        <f t="shared" si="4"/>
        <v>30.206501304749768</v>
      </c>
      <c r="N18" t="s">
        <v>344</v>
      </c>
      <c r="T18">
        <v>24</v>
      </c>
      <c r="U18" s="24">
        <v>-21.698</v>
      </c>
      <c r="V18" s="24">
        <v>-299.32400000000001</v>
      </c>
      <c r="W18" s="4">
        <f t="shared" si="5"/>
        <v>277.62600000000003</v>
      </c>
      <c r="X18" s="19">
        <f t="shared" si="6"/>
        <v>18.597668810289395</v>
      </c>
      <c r="Y18">
        <v>2</v>
      </c>
      <c r="Z18" s="12">
        <f t="shared" si="7"/>
        <v>37.19533762057879</v>
      </c>
      <c r="AA18" s="12">
        <v>18.535749999999997</v>
      </c>
      <c r="AB18" s="12">
        <f t="shared" si="8"/>
        <v>2.0066810148269587</v>
      </c>
      <c r="AC18" s="12">
        <f t="shared" si="9"/>
        <v>20.066810148269589</v>
      </c>
      <c r="AD18" s="4"/>
      <c r="AF18" s="4"/>
      <c r="AG18" s="4"/>
      <c r="AH18" s="4"/>
      <c r="AI18" s="4"/>
      <c r="AJ18" s="4"/>
      <c r="AK18" s="4"/>
    </row>
    <row r="19" spans="1:37" x14ac:dyDescent="0.2">
      <c r="A19">
        <v>12</v>
      </c>
      <c r="D19" s="4">
        <v>25</v>
      </c>
      <c r="E19" s="27">
        <v>-4.1289999999999996</v>
      </c>
      <c r="F19" s="27">
        <v>-243.64400000000001</v>
      </c>
      <c r="G19" s="4">
        <f t="shared" si="0"/>
        <v>239.51500000000001</v>
      </c>
      <c r="H19" s="19">
        <f t="shared" si="1"/>
        <v>16.044681136120047</v>
      </c>
      <c r="I19">
        <v>2</v>
      </c>
      <c r="J19" s="12">
        <f t="shared" si="2"/>
        <v>32.089362272240095</v>
      </c>
      <c r="K19" s="4">
        <v>18.504049999999999</v>
      </c>
      <c r="L19" s="12">
        <f t="shared" si="3"/>
        <v>1.7341804779083549</v>
      </c>
      <c r="M19" s="12">
        <f t="shared" si="4"/>
        <v>17.341804779083549</v>
      </c>
      <c r="Q19">
        <v>14</v>
      </c>
      <c r="T19">
        <v>29</v>
      </c>
      <c r="U19" s="24">
        <v>-3.895</v>
      </c>
      <c r="V19" s="24">
        <v>-155.22</v>
      </c>
      <c r="W19" s="4">
        <f t="shared" si="5"/>
        <v>151.32499999999999</v>
      </c>
      <c r="X19" s="19">
        <f t="shared" si="6"/>
        <v>10.136990889603432</v>
      </c>
      <c r="Y19">
        <v>2</v>
      </c>
      <c r="Z19" s="12">
        <f t="shared" si="7"/>
        <v>20.273981779206864</v>
      </c>
      <c r="AA19" s="12">
        <v>19.296250000000001</v>
      </c>
      <c r="AB19" s="12">
        <f t="shared" si="8"/>
        <v>1.0506695227936445</v>
      </c>
      <c r="AC19" s="12">
        <f t="shared" si="9"/>
        <v>10.506695227936444</v>
      </c>
      <c r="AD19" s="4"/>
      <c r="AF19" s="4"/>
      <c r="AG19" s="4"/>
      <c r="AH19" s="4"/>
      <c r="AI19" s="4"/>
      <c r="AJ19" s="4"/>
      <c r="AK19" s="4"/>
    </row>
    <row r="20" spans="1:37" x14ac:dyDescent="0.2">
      <c r="D20" s="4">
        <v>26</v>
      </c>
      <c r="E20" s="27">
        <v>-2.5640000000000001</v>
      </c>
      <c r="F20" s="27">
        <v>-332.65100000000001</v>
      </c>
      <c r="G20" s="4">
        <f t="shared" si="0"/>
        <v>330.08699999999999</v>
      </c>
      <c r="H20" s="19">
        <f t="shared" si="1"/>
        <v>22.111937299035372</v>
      </c>
      <c r="I20">
        <v>2</v>
      </c>
      <c r="J20" s="12">
        <f t="shared" si="2"/>
        <v>44.223874598070744</v>
      </c>
      <c r="K20" s="4">
        <v>17.63795</v>
      </c>
      <c r="L20" s="12">
        <f t="shared" si="3"/>
        <v>2.5073137523391744</v>
      </c>
      <c r="M20" s="12">
        <f t="shared" si="4"/>
        <v>25.073137523391743</v>
      </c>
      <c r="T20">
        <v>30</v>
      </c>
      <c r="U20" s="24">
        <v>-8.7710000000000008</v>
      </c>
      <c r="V20" s="24">
        <v>-232.816</v>
      </c>
      <c r="W20" s="4">
        <f t="shared" si="5"/>
        <v>224.04500000000002</v>
      </c>
      <c r="X20" s="19">
        <f t="shared" si="6"/>
        <v>15.008373526259382</v>
      </c>
      <c r="Y20">
        <v>2</v>
      </c>
      <c r="Z20" s="12">
        <f t="shared" si="7"/>
        <v>30.016747052518763</v>
      </c>
      <c r="AA20" s="12">
        <v>20.458099999999998</v>
      </c>
      <c r="AB20" s="12">
        <f t="shared" si="8"/>
        <v>1.4672304394112241</v>
      </c>
      <c r="AC20" s="12">
        <f t="shared" si="9"/>
        <v>14.672304394112242</v>
      </c>
      <c r="AD20" s="4"/>
      <c r="AF20" s="4"/>
      <c r="AG20" s="4"/>
      <c r="AH20" s="4"/>
      <c r="AI20" s="4"/>
      <c r="AJ20" s="4"/>
      <c r="AK20" s="4"/>
    </row>
    <row r="21" spans="1:37" x14ac:dyDescent="0.2">
      <c r="D21" s="4">
        <v>27</v>
      </c>
      <c r="E21" s="27">
        <v>-8.0020000000000007</v>
      </c>
      <c r="F21" s="27">
        <v>-284.52499999999998</v>
      </c>
      <c r="G21" s="4">
        <f t="shared" si="0"/>
        <v>276.52299999999997</v>
      </c>
      <c r="H21" s="19">
        <f t="shared" si="1"/>
        <v>18.523780814576632</v>
      </c>
      <c r="I21">
        <v>2</v>
      </c>
      <c r="J21" s="12">
        <f t="shared" si="2"/>
        <v>37.047561629153265</v>
      </c>
      <c r="K21" s="4">
        <v>18.989900000000002</v>
      </c>
      <c r="L21" s="12">
        <f t="shared" si="3"/>
        <v>1.9509087266996277</v>
      </c>
      <c r="M21" s="12">
        <f t="shared" si="4"/>
        <v>19.509087266996275</v>
      </c>
      <c r="T21">
        <v>31</v>
      </c>
      <c r="U21" s="24">
        <v>-12.904999999999999</v>
      </c>
      <c r="V21" s="24">
        <v>-288.93299999999999</v>
      </c>
      <c r="W21" s="4">
        <f t="shared" si="5"/>
        <v>276.02800000000002</v>
      </c>
      <c r="X21" s="19">
        <f t="shared" si="6"/>
        <v>18.4906216505895</v>
      </c>
      <c r="Y21">
        <v>2</v>
      </c>
      <c r="Z21" s="12">
        <f t="shared" si="7"/>
        <v>36.981243301178999</v>
      </c>
      <c r="AA21" s="12">
        <v>19.7029</v>
      </c>
      <c r="AB21" s="12">
        <f t="shared" si="8"/>
        <v>1.8769441707149201</v>
      </c>
      <c r="AC21" s="12">
        <f t="shared" si="9"/>
        <v>18.769441707149202</v>
      </c>
      <c r="AD21" s="4"/>
      <c r="AF21" s="4"/>
      <c r="AG21" s="4"/>
      <c r="AH21" s="4"/>
      <c r="AI21" s="4"/>
      <c r="AJ21" s="4"/>
      <c r="AK21" s="4"/>
    </row>
    <row r="22" spans="1:37" x14ac:dyDescent="0.2">
      <c r="D22" s="4">
        <v>28</v>
      </c>
      <c r="E22" s="27">
        <v>-9.4469999999999992</v>
      </c>
      <c r="F22" s="27">
        <v>-281.94499999999999</v>
      </c>
      <c r="G22" s="4">
        <f t="shared" si="0"/>
        <v>272.49799999999999</v>
      </c>
      <c r="H22" s="19">
        <f t="shared" si="1"/>
        <v>18.254153269024656</v>
      </c>
      <c r="I22">
        <v>2</v>
      </c>
      <c r="J22" s="12">
        <f t="shared" si="2"/>
        <v>36.508306538049311</v>
      </c>
      <c r="K22" s="4">
        <v>20.621799999999997</v>
      </c>
      <c r="L22" s="12">
        <f t="shared" si="3"/>
        <v>1.7703743872042845</v>
      </c>
      <c r="M22" s="12">
        <f t="shared" si="4"/>
        <v>17.703743872042846</v>
      </c>
      <c r="T22">
        <v>32</v>
      </c>
      <c r="U22" s="24">
        <v>-6.6760000000000002</v>
      </c>
      <c r="V22" s="24">
        <v>-188.63499999999999</v>
      </c>
      <c r="W22" s="4">
        <f t="shared" si="5"/>
        <v>181.959</v>
      </c>
      <c r="X22" s="19">
        <f t="shared" si="6"/>
        <v>12.189107717041802</v>
      </c>
      <c r="Y22">
        <v>2</v>
      </c>
      <c r="Z22" s="12">
        <f t="shared" si="7"/>
        <v>24.378215434083604</v>
      </c>
      <c r="AA22" s="12">
        <v>18.271700000000003</v>
      </c>
      <c r="AB22" s="12">
        <f t="shared" si="8"/>
        <v>1.3342062005223159</v>
      </c>
      <c r="AC22" s="12">
        <f t="shared" si="9"/>
        <v>13.342062005223159</v>
      </c>
      <c r="AD22" s="4"/>
      <c r="AF22" s="4"/>
      <c r="AG22" s="4"/>
      <c r="AH22" s="4"/>
      <c r="AI22" s="4"/>
      <c r="AJ22" s="4"/>
      <c r="AK22" s="4"/>
    </row>
    <row r="23" spans="1:37" x14ac:dyDescent="0.2">
      <c r="A23">
        <v>12</v>
      </c>
      <c r="D23" s="4">
        <v>73</v>
      </c>
      <c r="E23" s="27">
        <v>-9.7690000000000001</v>
      </c>
      <c r="F23" s="27">
        <v>-193.364</v>
      </c>
      <c r="G23" s="4">
        <f t="shared" si="0"/>
        <v>183.595</v>
      </c>
      <c r="H23" s="19">
        <f t="shared" si="1"/>
        <v>12.298700428724546</v>
      </c>
      <c r="I23">
        <v>2</v>
      </c>
      <c r="J23" s="12">
        <f t="shared" si="2"/>
        <v>24.597400857449092</v>
      </c>
      <c r="K23" s="4">
        <v>18.604400000000002</v>
      </c>
      <c r="L23" s="12">
        <f t="shared" si="3"/>
        <v>1.3221281448178437</v>
      </c>
      <c r="M23" s="12">
        <f t="shared" si="4"/>
        <v>13.221281448178438</v>
      </c>
      <c r="Q23">
        <v>15</v>
      </c>
      <c r="T23">
        <v>78</v>
      </c>
      <c r="U23" s="24">
        <v>-8.4710000000000001</v>
      </c>
      <c r="V23" s="24">
        <v>-181.78899999999999</v>
      </c>
      <c r="W23" s="4">
        <f t="shared" si="5"/>
        <v>173.31799999999998</v>
      </c>
      <c r="X23" s="19">
        <f t="shared" si="6"/>
        <v>11.610262593783494</v>
      </c>
      <c r="Y23">
        <v>2</v>
      </c>
      <c r="Z23" s="12">
        <f t="shared" si="7"/>
        <v>23.220525187566988</v>
      </c>
      <c r="AA23" s="12">
        <v>20.3736</v>
      </c>
      <c r="AB23" s="12">
        <f t="shared" si="8"/>
        <v>1.1397359910652505</v>
      </c>
      <c r="AC23" s="12">
        <f t="shared" si="9"/>
        <v>11.397359910652504</v>
      </c>
      <c r="AD23" s="4"/>
      <c r="AF23" s="4"/>
      <c r="AG23" s="4"/>
      <c r="AH23" s="4"/>
      <c r="AI23" s="4"/>
      <c r="AJ23" s="4"/>
      <c r="AK23" s="4"/>
    </row>
    <row r="24" spans="1:37" x14ac:dyDescent="0.2">
      <c r="D24" s="4">
        <v>74</v>
      </c>
      <c r="E24" s="27">
        <v>-5.0179999999999998</v>
      </c>
      <c r="F24" s="27">
        <v>-214.60400000000001</v>
      </c>
      <c r="G24" s="4">
        <f t="shared" si="0"/>
        <v>209.58600000000001</v>
      </c>
      <c r="H24" s="19">
        <f t="shared" si="1"/>
        <v>14.039790996784568</v>
      </c>
      <c r="I24">
        <v>2</v>
      </c>
      <c r="J24" s="12">
        <f t="shared" si="2"/>
        <v>28.079581993569136</v>
      </c>
      <c r="K24" s="4">
        <v>17.875599999999999</v>
      </c>
      <c r="L24" s="12">
        <f t="shared" si="3"/>
        <v>1.5708329786731152</v>
      </c>
      <c r="M24" s="12">
        <f t="shared" si="4"/>
        <v>15.708329786731152</v>
      </c>
      <c r="T24">
        <v>79</v>
      </c>
      <c r="U24" s="24">
        <v>-5.5039999999999996</v>
      </c>
      <c r="V24" s="24">
        <v>-220.102</v>
      </c>
      <c r="W24" s="4">
        <f t="shared" si="5"/>
        <v>214.59800000000001</v>
      </c>
      <c r="X24" s="19">
        <f t="shared" si="6"/>
        <v>14.375535905680602</v>
      </c>
      <c r="Y24">
        <v>2</v>
      </c>
      <c r="Z24" s="12">
        <f t="shared" si="7"/>
        <v>28.751071811361204</v>
      </c>
      <c r="AA24" s="12">
        <v>20.389399999999998</v>
      </c>
      <c r="AB24" s="12">
        <f t="shared" si="8"/>
        <v>1.4100989637439654</v>
      </c>
      <c r="AC24" s="12">
        <f t="shared" si="9"/>
        <v>14.100989637439653</v>
      </c>
      <c r="AD24" s="4"/>
      <c r="AF24" s="4"/>
      <c r="AG24" s="4"/>
      <c r="AH24" s="4"/>
      <c r="AI24" s="4"/>
      <c r="AJ24" s="4"/>
      <c r="AK24" s="4"/>
    </row>
    <row r="25" spans="1:37" x14ac:dyDescent="0.2">
      <c r="D25" s="4">
        <v>75</v>
      </c>
      <c r="E25" s="27">
        <v>-3.4089999999999998</v>
      </c>
      <c r="F25" s="27">
        <v>-188.38399999999999</v>
      </c>
      <c r="G25" s="4">
        <f t="shared" si="0"/>
        <v>184.97499999999999</v>
      </c>
      <c r="H25" s="19">
        <f t="shared" si="1"/>
        <v>12.391144158628084</v>
      </c>
      <c r="I25">
        <v>2</v>
      </c>
      <c r="J25" s="12">
        <f t="shared" si="2"/>
        <v>24.782288317256167</v>
      </c>
      <c r="K25" s="4">
        <v>18.97935</v>
      </c>
      <c r="L25" s="12">
        <f t="shared" si="3"/>
        <v>1.3057501082627259</v>
      </c>
      <c r="M25" s="12">
        <f t="shared" si="4"/>
        <v>13.057501082627258</v>
      </c>
      <c r="T25">
        <v>80</v>
      </c>
      <c r="U25" s="24">
        <v>-9.8729999999999993</v>
      </c>
      <c r="V25" s="24">
        <v>-246.191</v>
      </c>
      <c r="W25" s="4">
        <f t="shared" si="5"/>
        <v>236.31800000000001</v>
      </c>
      <c r="X25" s="19">
        <f t="shared" si="6"/>
        <v>15.830519828510184</v>
      </c>
      <c r="Y25">
        <v>2</v>
      </c>
      <c r="Z25" s="12">
        <f t="shared" si="7"/>
        <v>31.661039657020368</v>
      </c>
      <c r="AA25" s="12">
        <v>21.2925</v>
      </c>
      <c r="AB25" s="12">
        <f t="shared" si="8"/>
        <v>1.4869573632509272</v>
      </c>
      <c r="AC25" s="12">
        <f t="shared" si="9"/>
        <v>14.869573632509272</v>
      </c>
      <c r="AD25" s="4"/>
      <c r="AF25" s="4"/>
      <c r="AG25" s="4"/>
      <c r="AH25" s="4"/>
      <c r="AI25" s="4"/>
      <c r="AJ25" s="4"/>
      <c r="AK25" s="4"/>
    </row>
    <row r="26" spans="1:37" x14ac:dyDescent="0.2">
      <c r="D26" s="4">
        <v>76</v>
      </c>
      <c r="E26" s="27">
        <v>-0.125</v>
      </c>
      <c r="F26" s="27">
        <v>-225.27799999999999</v>
      </c>
      <c r="G26" s="4">
        <f t="shared" si="0"/>
        <v>225.15299999999999</v>
      </c>
      <c r="H26" s="19">
        <f t="shared" si="1"/>
        <v>15.08259646302251</v>
      </c>
      <c r="I26">
        <v>2</v>
      </c>
      <c r="J26" s="12">
        <f t="shared" si="2"/>
        <v>30.16519292604502</v>
      </c>
      <c r="K26" s="4">
        <v>17.8809</v>
      </c>
      <c r="L26" s="12">
        <f t="shared" si="3"/>
        <v>1.687006410529952</v>
      </c>
      <c r="M26" s="12">
        <f t="shared" si="4"/>
        <v>16.870064105299519</v>
      </c>
      <c r="T26">
        <v>81</v>
      </c>
      <c r="U26" s="24">
        <v>-3.6379999999999999</v>
      </c>
      <c r="V26" s="24">
        <v>-188.83600000000001</v>
      </c>
      <c r="W26" s="4">
        <f t="shared" si="5"/>
        <v>185.19800000000001</v>
      </c>
      <c r="X26" s="19">
        <f t="shared" si="6"/>
        <v>12.406082529474814</v>
      </c>
      <c r="Y26">
        <v>2</v>
      </c>
      <c r="Z26" s="12">
        <f t="shared" si="7"/>
        <v>24.812165058949628</v>
      </c>
      <c r="AA26" s="12">
        <v>17.315799999999999</v>
      </c>
      <c r="AB26" s="12">
        <f t="shared" si="8"/>
        <v>1.4329205153068081</v>
      </c>
      <c r="AC26" s="12">
        <f t="shared" si="9"/>
        <v>14.329205153068081</v>
      </c>
      <c r="AD26" s="4"/>
      <c r="AF26" s="4"/>
      <c r="AG26" s="4"/>
      <c r="AH26" s="4"/>
      <c r="AI26" s="4"/>
      <c r="AJ26" s="4"/>
      <c r="AK26" s="4"/>
    </row>
    <row r="27" spans="1:37" x14ac:dyDescent="0.2">
      <c r="D27" s="4">
        <v>77</v>
      </c>
      <c r="E27" s="27">
        <v>-5.8419999999999996</v>
      </c>
      <c r="F27" s="27">
        <v>-147.43600000000001</v>
      </c>
      <c r="G27" s="4">
        <f t="shared" si="0"/>
        <v>141.59399999999999</v>
      </c>
      <c r="H27" s="19">
        <f t="shared" si="1"/>
        <v>9.4851286173633458</v>
      </c>
      <c r="I27">
        <v>2</v>
      </c>
      <c r="J27" s="12">
        <f t="shared" si="2"/>
        <v>18.970257234726692</v>
      </c>
      <c r="K27" s="4">
        <v>19.882449999999999</v>
      </c>
      <c r="L27" s="12">
        <f t="shared" si="3"/>
        <v>0.95412070618694844</v>
      </c>
      <c r="M27" s="12">
        <f t="shared" si="4"/>
        <v>9.5412070618694838</v>
      </c>
      <c r="T27">
        <v>82</v>
      </c>
      <c r="U27" s="24">
        <v>-4.5869999999999997</v>
      </c>
      <c r="V27" s="24">
        <v>-249.67099999999999</v>
      </c>
      <c r="W27" s="4">
        <f t="shared" si="5"/>
        <v>245.084</v>
      </c>
      <c r="X27" s="19">
        <f t="shared" si="6"/>
        <v>16.417738478027868</v>
      </c>
      <c r="Y27">
        <v>2</v>
      </c>
      <c r="Z27" s="12">
        <f t="shared" si="7"/>
        <v>32.835476956055736</v>
      </c>
      <c r="AA27" s="12">
        <v>17.706600000000002</v>
      </c>
      <c r="AB27" s="12">
        <f t="shared" si="8"/>
        <v>1.8544202137087715</v>
      </c>
      <c r="AC27" s="12">
        <f t="shared" si="9"/>
        <v>18.544202137087716</v>
      </c>
      <c r="AD27" s="4"/>
      <c r="AF27" s="4"/>
      <c r="AG27" s="4"/>
      <c r="AH27" s="4"/>
      <c r="AI27" s="4"/>
      <c r="AJ27" s="4"/>
      <c r="AK27" s="4"/>
    </row>
    <row r="28" spans="1:37" x14ac:dyDescent="0.2">
      <c r="A28">
        <v>11</v>
      </c>
      <c r="C28" t="s">
        <v>12</v>
      </c>
      <c r="D28" s="4">
        <v>33</v>
      </c>
      <c r="E28" s="27">
        <v>-9.4960000000000004</v>
      </c>
      <c r="F28" s="27">
        <v>-238.227</v>
      </c>
      <c r="G28" s="4">
        <f t="shared" si="0"/>
        <v>228.73099999999999</v>
      </c>
      <c r="H28" s="19">
        <f t="shared" si="1"/>
        <v>15.322280278670956</v>
      </c>
      <c r="I28">
        <v>2</v>
      </c>
      <c r="J28" s="12">
        <f t="shared" si="2"/>
        <v>30.644560557341912</v>
      </c>
      <c r="K28" s="4">
        <v>21.41395</v>
      </c>
      <c r="L28" s="12">
        <f t="shared" si="3"/>
        <v>1.4310559498524051</v>
      </c>
      <c r="M28" s="12">
        <f t="shared" si="4"/>
        <v>14.310559498524052</v>
      </c>
      <c r="Q28">
        <v>15</v>
      </c>
      <c r="S28" t="s">
        <v>12</v>
      </c>
      <c r="T28">
        <v>37</v>
      </c>
      <c r="U28" s="24">
        <v>-10.647</v>
      </c>
      <c r="V28" s="24">
        <v>-231.30500000000001</v>
      </c>
      <c r="W28" s="4">
        <f t="shared" si="5"/>
        <v>220.65800000000002</v>
      </c>
      <c r="X28" s="19">
        <f t="shared" si="6"/>
        <v>14.781484458735266</v>
      </c>
      <c r="Y28">
        <v>2</v>
      </c>
      <c r="Z28" s="12">
        <f t="shared" si="7"/>
        <v>29.562968917470531</v>
      </c>
      <c r="AA28" s="12">
        <v>18.065750000000001</v>
      </c>
      <c r="AB28" s="12">
        <f t="shared" si="8"/>
        <v>1.636409721017424</v>
      </c>
      <c r="AC28" s="12">
        <f t="shared" si="9"/>
        <v>16.36409721017424</v>
      </c>
      <c r="AD28" s="23">
        <f>AVERAGE(AC28:AC38)</f>
        <v>14.105462959231806</v>
      </c>
      <c r="AE28" t="s">
        <v>12</v>
      </c>
      <c r="AF28" s="4"/>
      <c r="AG28" s="4"/>
      <c r="AH28" s="4"/>
      <c r="AI28" s="4"/>
      <c r="AJ28" s="4"/>
      <c r="AK28" s="4"/>
    </row>
    <row r="29" spans="1:37" x14ac:dyDescent="0.2">
      <c r="D29" s="4">
        <v>34</v>
      </c>
      <c r="E29" s="27">
        <v>2.34</v>
      </c>
      <c r="F29" s="27">
        <v>-283.30399999999997</v>
      </c>
      <c r="G29" s="4">
        <f t="shared" si="0"/>
        <v>280.964</v>
      </c>
      <c r="H29" s="19">
        <f t="shared" si="1"/>
        <v>18.821275455519832</v>
      </c>
      <c r="I29">
        <v>2</v>
      </c>
      <c r="J29" s="12">
        <f t="shared" si="2"/>
        <v>37.642550911039663</v>
      </c>
      <c r="K29" s="4">
        <v>19.977499999999999</v>
      </c>
      <c r="L29" s="12">
        <f t="shared" si="3"/>
        <v>1.8842473237912485</v>
      </c>
      <c r="M29" s="12">
        <f t="shared" si="4"/>
        <v>18.842473237912486</v>
      </c>
      <c r="T29" s="4">
        <v>38</v>
      </c>
      <c r="U29" s="24">
        <v>-9.0050000000000008</v>
      </c>
      <c r="V29" s="24">
        <v>-262.97500000000002</v>
      </c>
      <c r="W29" s="4">
        <f t="shared" si="5"/>
        <v>253.97000000000003</v>
      </c>
      <c r="X29" s="19">
        <f t="shared" si="6"/>
        <v>17.012995712754559</v>
      </c>
      <c r="Y29">
        <v>2</v>
      </c>
      <c r="Z29" s="12">
        <f t="shared" si="7"/>
        <v>34.025991425509119</v>
      </c>
      <c r="AA29" s="12">
        <v>16.777149999999999</v>
      </c>
      <c r="AB29" s="12">
        <f t="shared" si="8"/>
        <v>2.0281151104632862</v>
      </c>
      <c r="AC29" s="12">
        <f t="shared" si="9"/>
        <v>20.281151104632862</v>
      </c>
      <c r="AD29" s="4"/>
      <c r="AF29" s="4"/>
      <c r="AG29" s="4"/>
      <c r="AH29" s="4"/>
      <c r="AI29" s="4"/>
      <c r="AJ29" s="4"/>
      <c r="AK29" s="4"/>
    </row>
    <row r="30" spans="1:37" x14ac:dyDescent="0.2">
      <c r="D30" s="4">
        <v>35</v>
      </c>
      <c r="E30" s="27">
        <v>-4.1449999999999996</v>
      </c>
      <c r="F30" s="27">
        <v>-243.36500000000001</v>
      </c>
      <c r="G30" s="4">
        <f t="shared" si="0"/>
        <v>239.22</v>
      </c>
      <c r="H30" s="19">
        <f t="shared" si="1"/>
        <v>16.024919614147912</v>
      </c>
      <c r="I30">
        <v>2</v>
      </c>
      <c r="J30" s="12">
        <f t="shared" si="2"/>
        <v>32.049839228295824</v>
      </c>
      <c r="K30" s="4">
        <v>19.966950000000001</v>
      </c>
      <c r="L30" s="12">
        <f t="shared" si="3"/>
        <v>1.6051444626393025</v>
      </c>
      <c r="M30" s="12">
        <f t="shared" si="4"/>
        <v>16.051444626393025</v>
      </c>
      <c r="T30">
        <v>39</v>
      </c>
      <c r="U30" s="24">
        <v>-7.7560000000000002</v>
      </c>
      <c r="V30" s="24">
        <v>-237.99299999999999</v>
      </c>
      <c r="W30" s="4">
        <f t="shared" si="5"/>
        <v>230.23699999999999</v>
      </c>
      <c r="X30" s="19">
        <f t="shared" si="6"/>
        <v>15.423164523043946</v>
      </c>
      <c r="Y30">
        <v>2</v>
      </c>
      <c r="Z30" s="12">
        <f t="shared" si="7"/>
        <v>30.846329046087892</v>
      </c>
      <c r="AA30" s="12">
        <v>16.956699999999998</v>
      </c>
      <c r="AB30" s="12">
        <f t="shared" si="8"/>
        <v>1.8191233580878292</v>
      </c>
      <c r="AC30" s="12">
        <f t="shared" si="9"/>
        <v>18.191233580878293</v>
      </c>
      <c r="AD30" s="4"/>
      <c r="AF30" s="4"/>
      <c r="AG30" s="4"/>
      <c r="AH30" s="4"/>
      <c r="AI30" s="4"/>
      <c r="AJ30" s="4"/>
      <c r="AK30" s="4"/>
    </row>
    <row r="31" spans="1:37" x14ac:dyDescent="0.2">
      <c r="D31" s="4">
        <v>36</v>
      </c>
      <c r="E31" s="27">
        <v>-3.976</v>
      </c>
      <c r="F31" s="27">
        <v>-297.88900000000001</v>
      </c>
      <c r="G31" s="4">
        <f t="shared" si="0"/>
        <v>293.91300000000001</v>
      </c>
      <c r="H31" s="19">
        <f t="shared" si="1"/>
        <v>19.688705787781352</v>
      </c>
      <c r="I31">
        <v>2</v>
      </c>
      <c r="J31" s="12">
        <f t="shared" si="2"/>
        <v>39.377411575562704</v>
      </c>
      <c r="K31" s="4">
        <v>20.537299999999998</v>
      </c>
      <c r="L31" s="12">
        <f t="shared" si="3"/>
        <v>1.9173606840024107</v>
      </c>
      <c r="M31" s="12">
        <f t="shared" si="4"/>
        <v>19.173606840024107</v>
      </c>
      <c r="T31">
        <v>40</v>
      </c>
      <c r="U31" s="24">
        <v>-4.1180000000000003</v>
      </c>
      <c r="V31" s="24">
        <v>-210.10900000000001</v>
      </c>
      <c r="W31" s="4">
        <f t="shared" si="5"/>
        <v>205.99100000000001</v>
      </c>
      <c r="X31" s="19">
        <f t="shared" si="6"/>
        <v>13.798968381564846</v>
      </c>
      <c r="Y31">
        <v>2</v>
      </c>
      <c r="Z31" s="12">
        <f t="shared" si="7"/>
        <v>27.597936763129692</v>
      </c>
      <c r="AA31" s="12">
        <v>17.19435</v>
      </c>
      <c r="AB31" s="12">
        <f t="shared" si="8"/>
        <v>1.605058450196122</v>
      </c>
      <c r="AC31" s="12">
        <f t="shared" si="9"/>
        <v>16.050584501961222</v>
      </c>
      <c r="AD31" s="4"/>
      <c r="AF31" s="4"/>
      <c r="AG31" s="4"/>
      <c r="AH31" s="4"/>
      <c r="AI31" s="4"/>
      <c r="AJ31" s="4"/>
      <c r="AK31" s="4"/>
    </row>
    <row r="32" spans="1:37" x14ac:dyDescent="0.2">
      <c r="A32">
        <v>12</v>
      </c>
      <c r="B32" t="s">
        <v>222</v>
      </c>
      <c r="D32" s="4">
        <v>41</v>
      </c>
      <c r="E32" s="27">
        <v>-2.6179999999999999</v>
      </c>
      <c r="F32" s="27">
        <v>-215.34</v>
      </c>
      <c r="G32" s="4">
        <f t="shared" si="0"/>
        <v>212.72200000000001</v>
      </c>
      <c r="H32" s="19">
        <f t="shared" si="1"/>
        <v>14.249866023579852</v>
      </c>
      <c r="I32">
        <v>2</v>
      </c>
      <c r="J32" s="12">
        <f t="shared" si="2"/>
        <v>28.499732047159704</v>
      </c>
      <c r="K32" s="4">
        <v>21.683299999999999</v>
      </c>
      <c r="L32" s="12">
        <f t="shared" si="3"/>
        <v>1.3143632217955619</v>
      </c>
      <c r="M32" s="12">
        <f t="shared" si="4"/>
        <v>13.143632217955618</v>
      </c>
      <c r="Q32">
        <v>14</v>
      </c>
      <c r="T32">
        <v>45</v>
      </c>
      <c r="U32" s="24">
        <v>-2.8690000000000002</v>
      </c>
      <c r="V32" s="24">
        <v>-242.36699999999999</v>
      </c>
      <c r="W32" s="4">
        <f t="shared" si="5"/>
        <v>239.49799999999999</v>
      </c>
      <c r="X32" s="19">
        <f t="shared" si="6"/>
        <v>16.043542336548768</v>
      </c>
      <c r="Y32">
        <v>2</v>
      </c>
      <c r="Z32" s="12">
        <f t="shared" si="7"/>
        <v>32.087084673097536</v>
      </c>
      <c r="AA32" s="12">
        <v>21.762500000000003</v>
      </c>
      <c r="AB32" s="12">
        <f t="shared" si="8"/>
        <v>1.4744208925030458</v>
      </c>
      <c r="AC32" s="12">
        <f t="shared" si="9"/>
        <v>14.744208925030458</v>
      </c>
      <c r="AD32" s="4"/>
      <c r="AF32" s="4"/>
      <c r="AG32" s="4"/>
      <c r="AH32" s="4"/>
      <c r="AI32" s="4"/>
      <c r="AJ32" s="4"/>
      <c r="AK32" s="4"/>
    </row>
    <row r="33" spans="1:37" x14ac:dyDescent="0.2">
      <c r="D33" s="4">
        <v>42</v>
      </c>
      <c r="E33" s="27">
        <v>-10.510999999999999</v>
      </c>
      <c r="F33" s="27">
        <v>-284.858</v>
      </c>
      <c r="G33" s="4">
        <f t="shared" si="0"/>
        <v>274.34699999999998</v>
      </c>
      <c r="H33" s="19">
        <f t="shared" si="1"/>
        <v>18.37801446945338</v>
      </c>
      <c r="I33">
        <v>2</v>
      </c>
      <c r="J33" s="12">
        <f t="shared" si="2"/>
        <v>36.756028938906759</v>
      </c>
      <c r="K33" s="4">
        <v>19.9194</v>
      </c>
      <c r="L33" s="12">
        <f t="shared" si="3"/>
        <v>1.8452377550983845</v>
      </c>
      <c r="M33" s="12">
        <f t="shared" si="4"/>
        <v>18.452377550983844</v>
      </c>
      <c r="T33">
        <v>46</v>
      </c>
      <c r="U33" s="24">
        <v>-8.1649999999999991</v>
      </c>
      <c r="V33" s="24">
        <v>-148.29300000000001</v>
      </c>
      <c r="W33" s="4">
        <f t="shared" si="5"/>
        <v>140.12800000000001</v>
      </c>
      <c r="X33" s="19">
        <f t="shared" si="6"/>
        <v>9.3869239013933559</v>
      </c>
      <c r="Y33">
        <v>2</v>
      </c>
      <c r="Z33" s="12">
        <f t="shared" si="7"/>
        <v>18.773847802786712</v>
      </c>
      <c r="AA33" s="12">
        <v>19.62895</v>
      </c>
      <c r="AB33" s="12">
        <f t="shared" si="8"/>
        <v>0.95643668167613205</v>
      </c>
      <c r="AC33" s="12">
        <f t="shared" si="9"/>
        <v>9.5643668167613214</v>
      </c>
      <c r="AD33" s="4"/>
      <c r="AF33" s="4"/>
      <c r="AG33" s="4"/>
      <c r="AH33" s="4"/>
      <c r="AI33" s="4"/>
      <c r="AJ33" s="4"/>
      <c r="AK33" s="4"/>
    </row>
    <row r="34" spans="1:37" x14ac:dyDescent="0.2">
      <c r="D34" s="4">
        <v>43</v>
      </c>
      <c r="E34" s="27">
        <v>-11.824999999999999</v>
      </c>
      <c r="F34" s="27">
        <v>-276.48500000000001</v>
      </c>
      <c r="G34" s="4">
        <f t="shared" si="0"/>
        <v>264.66000000000003</v>
      </c>
      <c r="H34" s="19">
        <f t="shared" si="1"/>
        <v>17.729099678456596</v>
      </c>
      <c r="I34">
        <v>2</v>
      </c>
      <c r="J34" s="12">
        <f t="shared" si="2"/>
        <v>35.458199356913191</v>
      </c>
      <c r="K34" s="4">
        <v>22.126899999999999</v>
      </c>
      <c r="L34" s="12">
        <f t="shared" si="3"/>
        <v>1.6024928642020886</v>
      </c>
      <c r="M34" s="12">
        <f t="shared" si="4"/>
        <v>16.024928642020885</v>
      </c>
      <c r="T34">
        <v>47</v>
      </c>
      <c r="U34" s="24">
        <v>-14.023999999999999</v>
      </c>
      <c r="V34" s="24">
        <v>-213.12</v>
      </c>
      <c r="W34" s="4">
        <f t="shared" si="5"/>
        <v>199.096</v>
      </c>
      <c r="X34" s="19">
        <f t="shared" si="6"/>
        <v>13.337084673097536</v>
      </c>
      <c r="Y34">
        <v>2</v>
      </c>
      <c r="Z34" s="12">
        <f t="shared" si="7"/>
        <v>26.674169346195072</v>
      </c>
      <c r="AA34" s="12">
        <v>19.507450000000002</v>
      </c>
      <c r="AB34" s="12">
        <f t="shared" si="8"/>
        <v>1.3673837096183801</v>
      </c>
      <c r="AC34" s="12">
        <f t="shared" si="9"/>
        <v>13.673837096183801</v>
      </c>
      <c r="AD34" s="4"/>
      <c r="AF34" s="4"/>
      <c r="AG34" s="4"/>
      <c r="AH34" s="4"/>
      <c r="AI34" s="4"/>
      <c r="AJ34" s="4"/>
      <c r="AK34" s="4"/>
    </row>
    <row r="35" spans="1:37" x14ac:dyDescent="0.2">
      <c r="D35" s="4">
        <v>44</v>
      </c>
      <c r="E35" s="27">
        <v>-5.2359999999999998</v>
      </c>
      <c r="F35" s="27">
        <v>-305.56400000000002</v>
      </c>
      <c r="G35" s="4">
        <f t="shared" si="0"/>
        <v>300.32800000000003</v>
      </c>
      <c r="H35" s="19">
        <f t="shared" si="1"/>
        <v>20.118435155412655</v>
      </c>
      <c r="I35">
        <v>2</v>
      </c>
      <c r="J35" s="12">
        <f t="shared" si="2"/>
        <v>40.23687031082531</v>
      </c>
      <c r="K35" s="4">
        <v>20.579549999999998</v>
      </c>
      <c r="L35" s="12">
        <f t="shared" si="3"/>
        <v>1.9551870818761983</v>
      </c>
      <c r="M35" s="12">
        <f t="shared" si="4"/>
        <v>19.551870818761984</v>
      </c>
      <c r="T35">
        <v>48</v>
      </c>
      <c r="U35" s="24">
        <v>-14.476000000000001</v>
      </c>
      <c r="V35" s="24">
        <v>-130.898</v>
      </c>
      <c r="W35" s="4">
        <f t="shared" si="5"/>
        <v>116.422</v>
      </c>
      <c r="X35" s="19">
        <f t="shared" si="6"/>
        <v>7.7989013933547708</v>
      </c>
      <c r="Y35">
        <v>2</v>
      </c>
      <c r="Z35" s="12">
        <f t="shared" si="7"/>
        <v>15.597802786709542</v>
      </c>
      <c r="AA35" s="12">
        <v>17.595700000000001</v>
      </c>
      <c r="AB35" s="12">
        <f t="shared" si="8"/>
        <v>0.88645537186412249</v>
      </c>
      <c r="AC35" s="12">
        <f t="shared" si="9"/>
        <v>8.8645537186412255</v>
      </c>
      <c r="AD35" s="4"/>
      <c r="AF35" s="4"/>
      <c r="AG35" s="4"/>
      <c r="AH35" s="4"/>
      <c r="AI35" s="4"/>
      <c r="AJ35" s="4"/>
      <c r="AK35" s="4"/>
    </row>
    <row r="36" spans="1:37" x14ac:dyDescent="0.2">
      <c r="A36">
        <v>12</v>
      </c>
      <c r="D36" s="4">
        <v>83</v>
      </c>
      <c r="E36" s="27">
        <v>-2.956</v>
      </c>
      <c r="F36" s="27">
        <v>-159.68199999999999</v>
      </c>
      <c r="G36" s="4">
        <f t="shared" si="0"/>
        <v>156.726</v>
      </c>
      <c r="H36" s="19">
        <f t="shared" si="1"/>
        <v>10.49879421221865</v>
      </c>
      <c r="I36">
        <v>2</v>
      </c>
      <c r="J36" s="12">
        <f t="shared" si="2"/>
        <v>20.9975884244373</v>
      </c>
      <c r="K36" s="4">
        <v>15.594149999999999</v>
      </c>
      <c r="L36" s="12">
        <f t="shared" si="3"/>
        <v>1.3465041970506442</v>
      </c>
      <c r="M36" s="12">
        <f t="shared" si="4"/>
        <v>13.465041970506441</v>
      </c>
      <c r="Q36">
        <v>15</v>
      </c>
      <c r="T36">
        <v>87</v>
      </c>
      <c r="U36" s="24">
        <v>-12.452999999999999</v>
      </c>
      <c r="V36" s="24">
        <v>-179.035</v>
      </c>
      <c r="W36" s="4">
        <f t="shared" si="5"/>
        <v>166.58199999999999</v>
      </c>
      <c r="X36" s="19">
        <f t="shared" si="6"/>
        <v>11.159030010718116</v>
      </c>
      <c r="Y36">
        <v>2</v>
      </c>
      <c r="Z36" s="12">
        <f t="shared" si="7"/>
        <v>22.318060021436231</v>
      </c>
      <c r="AA36" s="12">
        <v>18.725850000000001</v>
      </c>
      <c r="AB36" s="12">
        <f t="shared" si="8"/>
        <v>1.1918316135949092</v>
      </c>
      <c r="AC36" s="12">
        <f t="shared" si="9"/>
        <v>11.918316135949091</v>
      </c>
      <c r="AD36" s="4"/>
      <c r="AF36" s="4"/>
      <c r="AG36" s="4"/>
      <c r="AH36" s="4"/>
      <c r="AI36" s="4"/>
      <c r="AJ36" s="4"/>
      <c r="AK36" s="4"/>
    </row>
    <row r="37" spans="1:37" x14ac:dyDescent="0.2">
      <c r="D37" s="4">
        <v>84</v>
      </c>
      <c r="E37" s="27">
        <v>-6.8129999999999997</v>
      </c>
      <c r="F37" s="27">
        <v>-127.964</v>
      </c>
      <c r="G37" s="4">
        <f t="shared" si="0"/>
        <v>121.151</v>
      </c>
      <c r="H37" s="19">
        <f t="shared" si="1"/>
        <v>8.1156886387995719</v>
      </c>
      <c r="I37">
        <v>2</v>
      </c>
      <c r="J37" s="12">
        <f t="shared" si="2"/>
        <v>16.231377277599144</v>
      </c>
      <c r="K37" s="4">
        <v>16.861650000000001</v>
      </c>
      <c r="L37" s="12">
        <f t="shared" si="3"/>
        <v>0.96262093434504592</v>
      </c>
      <c r="M37" s="12">
        <f t="shared" si="4"/>
        <v>9.6262093434504585</v>
      </c>
      <c r="T37">
        <v>89</v>
      </c>
      <c r="U37" s="24">
        <v>-10.68</v>
      </c>
      <c r="V37" s="24">
        <v>-205.113</v>
      </c>
      <c r="W37" s="4">
        <f t="shared" si="5"/>
        <v>194.43299999999999</v>
      </c>
      <c r="X37" s="19">
        <f t="shared" si="6"/>
        <v>13.024718649517686</v>
      </c>
      <c r="Y37">
        <v>2</v>
      </c>
      <c r="Z37" s="12">
        <f t="shared" si="7"/>
        <v>26.049437299035372</v>
      </c>
      <c r="AA37" s="12">
        <v>17.02535</v>
      </c>
      <c r="AB37" s="12">
        <f t="shared" si="8"/>
        <v>1.5300382840314808</v>
      </c>
      <c r="AC37" s="12">
        <f t="shared" si="9"/>
        <v>15.300382840314807</v>
      </c>
      <c r="AD37" s="4"/>
      <c r="AF37" s="4"/>
      <c r="AG37" s="4"/>
      <c r="AH37" s="4"/>
      <c r="AI37" s="4"/>
      <c r="AJ37" s="4"/>
      <c r="AK37" s="4"/>
    </row>
    <row r="38" spans="1:37" x14ac:dyDescent="0.2">
      <c r="D38" s="4">
        <v>85</v>
      </c>
      <c r="E38" s="27">
        <v>-3.36</v>
      </c>
      <c r="F38" s="27">
        <v>-138.245</v>
      </c>
      <c r="G38" s="4">
        <f t="shared" si="0"/>
        <v>134.88499999999999</v>
      </c>
      <c r="H38" s="19">
        <f t="shared" si="1"/>
        <v>9.0357047159699899</v>
      </c>
      <c r="I38">
        <v>2</v>
      </c>
      <c r="J38" s="12">
        <f t="shared" si="2"/>
        <v>18.07140943193998</v>
      </c>
      <c r="K38" s="4">
        <v>17.146799999999999</v>
      </c>
      <c r="L38" s="12">
        <f t="shared" si="3"/>
        <v>1.0539231478724882</v>
      </c>
      <c r="M38" s="12">
        <f t="shared" si="4"/>
        <v>10.539231478724883</v>
      </c>
      <c r="T38">
        <v>90</v>
      </c>
      <c r="U38" s="24">
        <v>-7.2329999999999997</v>
      </c>
      <c r="V38" s="24">
        <v>-145.113</v>
      </c>
      <c r="W38" s="4">
        <f t="shared" si="5"/>
        <v>137.88</v>
      </c>
      <c r="X38" s="19">
        <f t="shared" si="6"/>
        <v>9.2363344051446958</v>
      </c>
      <c r="Y38">
        <v>2</v>
      </c>
      <c r="Z38" s="12">
        <f t="shared" si="7"/>
        <v>18.472668810289392</v>
      </c>
      <c r="AA38" s="12">
        <v>18.0974</v>
      </c>
      <c r="AB38" s="12">
        <f t="shared" si="8"/>
        <v>1.0207360621022572</v>
      </c>
      <c r="AC38" s="12">
        <f t="shared" si="9"/>
        <v>10.207360621022572</v>
      </c>
      <c r="AD38" s="4"/>
      <c r="AF38" s="4"/>
      <c r="AG38" s="4"/>
      <c r="AH38" s="4"/>
      <c r="AI38" s="4"/>
      <c r="AJ38" s="4"/>
      <c r="AK38" s="4"/>
    </row>
    <row r="39" spans="1:37" x14ac:dyDescent="0.2">
      <c r="D39" s="4">
        <v>86</v>
      </c>
      <c r="E39" s="27">
        <v>-5.2690000000000001</v>
      </c>
      <c r="F39" s="27">
        <v>-144.595</v>
      </c>
      <c r="G39" s="4">
        <f t="shared" si="0"/>
        <v>139.32599999999999</v>
      </c>
      <c r="H39" s="19">
        <f t="shared" si="1"/>
        <v>9.3331993569131839</v>
      </c>
      <c r="I39">
        <v>2</v>
      </c>
      <c r="J39" s="12">
        <f t="shared" si="2"/>
        <v>18.666398713826368</v>
      </c>
      <c r="K39" s="4">
        <v>19.121950000000002</v>
      </c>
      <c r="L39" s="12">
        <f t="shared" si="3"/>
        <v>0.97617652560676949</v>
      </c>
      <c r="M39" s="12">
        <f t="shared" si="4"/>
        <v>9.7617652560676955</v>
      </c>
      <c r="Q39">
        <v>15</v>
      </c>
      <c r="S39" t="s">
        <v>13</v>
      </c>
      <c r="T39">
        <v>53</v>
      </c>
      <c r="U39" s="24">
        <v>-11.4</v>
      </c>
      <c r="V39" s="24">
        <v>-249.09299999999999</v>
      </c>
      <c r="W39" s="4">
        <f t="shared" si="5"/>
        <v>237.69299999999998</v>
      </c>
      <c r="X39" s="19">
        <f t="shared" si="6"/>
        <v>15.922628617363344</v>
      </c>
      <c r="Y39">
        <v>2</v>
      </c>
      <c r="Z39" s="12">
        <f t="shared" si="7"/>
        <v>31.845257234726688</v>
      </c>
      <c r="AA39" s="12">
        <v>18.863199999999999</v>
      </c>
      <c r="AB39" s="12">
        <f t="shared" si="8"/>
        <v>1.6882213640700776</v>
      </c>
      <c r="AC39" s="12">
        <f t="shared" si="9"/>
        <v>16.882213640700776</v>
      </c>
      <c r="AD39" s="23">
        <f>AVERAGE(AC39:AC50)</f>
        <v>11.210703451308945</v>
      </c>
      <c r="AE39" t="s">
        <v>13</v>
      </c>
      <c r="AF39" s="4"/>
      <c r="AG39" s="4"/>
      <c r="AH39" s="4"/>
      <c r="AI39" s="4"/>
      <c r="AJ39" s="4"/>
      <c r="AK39" s="4"/>
    </row>
    <row r="40" spans="1:37" x14ac:dyDescent="0.2">
      <c r="A40">
        <v>11</v>
      </c>
      <c r="C40" t="s">
        <v>13</v>
      </c>
      <c r="D40" s="4">
        <v>49</v>
      </c>
      <c r="E40" s="27">
        <v>-5.0949999999999998</v>
      </c>
      <c r="F40" s="27">
        <v>-201.04900000000001</v>
      </c>
      <c r="G40" s="4">
        <f t="shared" si="0"/>
        <v>195.95400000000001</v>
      </c>
      <c r="H40" s="19">
        <f t="shared" si="1"/>
        <v>13.126607717041802</v>
      </c>
      <c r="I40">
        <v>2</v>
      </c>
      <c r="J40" s="12">
        <f t="shared" si="2"/>
        <v>26.253215434083604</v>
      </c>
      <c r="K40" s="4">
        <v>17.616849999999999</v>
      </c>
      <c r="L40" s="12">
        <f t="shared" si="3"/>
        <v>1.4902332388641333</v>
      </c>
      <c r="M40" s="12">
        <f t="shared" si="4"/>
        <v>14.902332388641334</v>
      </c>
      <c r="T40">
        <v>54</v>
      </c>
      <c r="U40" s="24">
        <v>-4.9470000000000001</v>
      </c>
      <c r="V40" s="24">
        <v>-232.833</v>
      </c>
      <c r="W40" s="4">
        <f t="shared" si="5"/>
        <v>227.886</v>
      </c>
      <c r="X40" s="19">
        <f t="shared" si="6"/>
        <v>15.265675241157558</v>
      </c>
      <c r="Y40">
        <v>2</v>
      </c>
      <c r="Z40" s="12">
        <f t="shared" si="7"/>
        <v>30.531350482315116</v>
      </c>
      <c r="AA40" s="12">
        <v>27.59815</v>
      </c>
      <c r="AB40" s="12">
        <f t="shared" si="8"/>
        <v>1.1062825038024329</v>
      </c>
      <c r="AC40" s="12">
        <f t="shared" si="9"/>
        <v>11.062825038024329</v>
      </c>
      <c r="AD40" s="4"/>
      <c r="AF40" s="4"/>
      <c r="AG40" s="4"/>
      <c r="AH40" s="4"/>
      <c r="AI40" s="4"/>
      <c r="AJ40" s="4"/>
      <c r="AK40" s="4"/>
    </row>
    <row r="41" spans="1:37" x14ac:dyDescent="0.2">
      <c r="D41" s="4">
        <v>50</v>
      </c>
      <c r="E41" s="27">
        <v>-5.6239999999999997</v>
      </c>
      <c r="F41" s="27">
        <v>-228.655</v>
      </c>
      <c r="G41" s="4">
        <f t="shared" si="0"/>
        <v>223.03100000000001</v>
      </c>
      <c r="H41" s="19">
        <f t="shared" si="1"/>
        <v>14.940447481243304</v>
      </c>
      <c r="I41">
        <v>2</v>
      </c>
      <c r="J41" s="12">
        <f t="shared" si="2"/>
        <v>29.880894962486607</v>
      </c>
      <c r="K41" s="4">
        <v>21.4298</v>
      </c>
      <c r="L41" s="12">
        <f t="shared" si="3"/>
        <v>1.394361821504942</v>
      </c>
      <c r="M41" s="12">
        <f t="shared" si="4"/>
        <v>13.943618215049421</v>
      </c>
      <c r="T41">
        <v>55</v>
      </c>
      <c r="U41" s="24">
        <v>-4.8159999999999998</v>
      </c>
      <c r="V41" s="24">
        <v>-184.34700000000001</v>
      </c>
      <c r="W41" s="4">
        <f t="shared" si="5"/>
        <v>179.53100000000001</v>
      </c>
      <c r="X41" s="19">
        <f t="shared" si="6"/>
        <v>12.026460342979638</v>
      </c>
      <c r="Y41">
        <v>2</v>
      </c>
      <c r="Z41" s="12">
        <f t="shared" si="7"/>
        <v>24.052920685959275</v>
      </c>
      <c r="AA41" s="12">
        <v>19.565549999999998</v>
      </c>
      <c r="AB41" s="12">
        <f t="shared" si="8"/>
        <v>1.2293506027665604</v>
      </c>
      <c r="AC41" s="12">
        <f t="shared" si="9"/>
        <v>12.293506027665604</v>
      </c>
      <c r="AD41" s="4"/>
      <c r="AF41" s="4"/>
      <c r="AG41" s="4"/>
      <c r="AH41" s="4"/>
      <c r="AI41" s="4"/>
      <c r="AJ41" s="4"/>
      <c r="AK41" s="4"/>
    </row>
    <row r="42" spans="1:37" x14ac:dyDescent="0.2">
      <c r="D42" s="4">
        <v>51</v>
      </c>
      <c r="E42" s="27">
        <v>-8.2309999999999999</v>
      </c>
      <c r="F42" s="27">
        <v>-282.36500000000001</v>
      </c>
      <c r="G42" s="4">
        <f t="shared" si="0"/>
        <v>274.13400000000001</v>
      </c>
      <c r="H42" s="19">
        <f t="shared" si="1"/>
        <v>18.363745980707399</v>
      </c>
      <c r="I42">
        <v>2</v>
      </c>
      <c r="J42" s="12">
        <f t="shared" si="2"/>
        <v>36.727491961414799</v>
      </c>
      <c r="K42" s="4">
        <v>20.648199999999999</v>
      </c>
      <c r="L42" s="12">
        <f t="shared" si="3"/>
        <v>1.7787260856353</v>
      </c>
      <c r="M42" s="12">
        <f t="shared" si="4"/>
        <v>17.787260856353001</v>
      </c>
      <c r="T42">
        <v>56</v>
      </c>
      <c r="U42" s="24">
        <v>-7.718</v>
      </c>
      <c r="V42" s="24">
        <v>-277.44499999999999</v>
      </c>
      <c r="W42" s="4">
        <f t="shared" si="5"/>
        <v>269.72699999999998</v>
      </c>
      <c r="X42" s="19">
        <f t="shared" si="6"/>
        <v>18.068528938906756</v>
      </c>
      <c r="Y42">
        <v>2</v>
      </c>
      <c r="Z42" s="12">
        <f t="shared" si="7"/>
        <v>36.137057877813511</v>
      </c>
      <c r="AA42" s="12">
        <v>19.544449999999998</v>
      </c>
      <c r="AB42" s="12">
        <f t="shared" si="8"/>
        <v>1.8489677569751779</v>
      </c>
      <c r="AC42" s="12">
        <f t="shared" si="9"/>
        <v>18.48967756975178</v>
      </c>
      <c r="AD42" s="4"/>
      <c r="AF42" s="4"/>
      <c r="AG42" s="4"/>
      <c r="AH42" s="4"/>
      <c r="AI42" s="4"/>
      <c r="AJ42" s="4"/>
      <c r="AK42" s="4"/>
    </row>
    <row r="43" spans="1:37" x14ac:dyDescent="0.2">
      <c r="D43" s="4">
        <v>52</v>
      </c>
      <c r="E43" s="27">
        <v>-7.1779999999999999</v>
      </c>
      <c r="F43" s="27">
        <v>-190.77799999999999</v>
      </c>
      <c r="G43" s="4">
        <f t="shared" si="0"/>
        <v>183.6</v>
      </c>
      <c r="H43" s="19">
        <f t="shared" si="1"/>
        <v>12.299035369774922</v>
      </c>
      <c r="I43">
        <v>2</v>
      </c>
      <c r="J43" s="12">
        <f t="shared" si="2"/>
        <v>24.598070739549843</v>
      </c>
      <c r="K43" s="4">
        <v>18.319199999999999</v>
      </c>
      <c r="L43" s="12">
        <f t="shared" si="3"/>
        <v>1.342748086136395</v>
      </c>
      <c r="M43" s="12">
        <f t="shared" si="4"/>
        <v>13.42748086136395</v>
      </c>
      <c r="Q43">
        <v>14</v>
      </c>
      <c r="T43">
        <v>61</v>
      </c>
      <c r="U43" s="24">
        <v>-1.2</v>
      </c>
      <c r="V43" s="24">
        <v>-153.94399999999999</v>
      </c>
      <c r="W43" s="4">
        <f t="shared" si="5"/>
        <v>152.744</v>
      </c>
      <c r="X43" s="19">
        <f t="shared" si="6"/>
        <v>10.232047159699894</v>
      </c>
      <c r="Y43">
        <v>2</v>
      </c>
      <c r="Z43" s="12">
        <f t="shared" si="7"/>
        <v>20.464094319399788</v>
      </c>
      <c r="AA43" s="10">
        <v>18.187200000000001</v>
      </c>
      <c r="AB43" s="12">
        <f t="shared" si="8"/>
        <v>1.1251921306963022</v>
      </c>
      <c r="AC43" s="12">
        <f t="shared" si="9"/>
        <v>11.251921306963022</v>
      </c>
      <c r="AD43" s="4"/>
      <c r="AF43" s="4"/>
      <c r="AG43" s="4"/>
      <c r="AH43" s="4"/>
      <c r="AI43" s="4"/>
      <c r="AJ43" s="4"/>
      <c r="AK43" s="4"/>
    </row>
    <row r="44" spans="1:37" x14ac:dyDescent="0.2">
      <c r="A44">
        <v>12</v>
      </c>
      <c r="D44" s="4">
        <v>57</v>
      </c>
      <c r="E44" s="27">
        <v>-3.8559999999999999</v>
      </c>
      <c r="F44" s="27">
        <v>-193.32499999999999</v>
      </c>
      <c r="G44" s="4">
        <f t="shared" si="0"/>
        <v>189.46899999999999</v>
      </c>
      <c r="H44" s="19">
        <f t="shared" si="1"/>
        <v>12.692189174705254</v>
      </c>
      <c r="I44">
        <v>2</v>
      </c>
      <c r="J44" s="12">
        <f t="shared" si="2"/>
        <v>25.384378349410508</v>
      </c>
      <c r="K44" s="4">
        <v>18.73115</v>
      </c>
      <c r="L44" s="12">
        <f t="shared" si="3"/>
        <v>1.355195935615833</v>
      </c>
      <c r="M44" s="12">
        <f t="shared" si="4"/>
        <v>13.55195935615833</v>
      </c>
      <c r="T44">
        <v>62</v>
      </c>
      <c r="U44" s="24">
        <v>-5.907</v>
      </c>
      <c r="V44" s="24">
        <v>-139.58199999999999</v>
      </c>
      <c r="W44" s="4">
        <f t="shared" si="5"/>
        <v>133.67499999999998</v>
      </c>
      <c r="X44" s="19">
        <f t="shared" si="6"/>
        <v>8.9546489817792061</v>
      </c>
      <c r="Y44">
        <v>2</v>
      </c>
      <c r="Z44" s="12">
        <f t="shared" si="7"/>
        <v>17.909297963558412</v>
      </c>
      <c r="AA44" s="10">
        <v>18.699449999999999</v>
      </c>
      <c r="AB44" s="12">
        <f t="shared" si="8"/>
        <v>0.95774463759941675</v>
      </c>
      <c r="AC44" s="12">
        <f t="shared" si="9"/>
        <v>9.5774463759941675</v>
      </c>
      <c r="AD44" s="4"/>
      <c r="AF44" s="4"/>
      <c r="AG44" s="4"/>
      <c r="AH44" s="4"/>
      <c r="AI44" s="4"/>
      <c r="AJ44" s="4"/>
      <c r="AK44" s="4"/>
    </row>
    <row r="45" spans="1:37" x14ac:dyDescent="0.2">
      <c r="D45" s="4">
        <v>58</v>
      </c>
      <c r="E45" s="27">
        <v>-4.3250000000000002</v>
      </c>
      <c r="F45" s="27">
        <v>-186.125</v>
      </c>
      <c r="G45" s="4">
        <f t="shared" si="0"/>
        <v>181.8</v>
      </c>
      <c r="H45" s="19">
        <f t="shared" si="1"/>
        <v>12.178456591639874</v>
      </c>
      <c r="I45">
        <v>2</v>
      </c>
      <c r="J45" s="12">
        <f t="shared" si="2"/>
        <v>24.356913183279747</v>
      </c>
      <c r="K45" s="4">
        <v>20.3947</v>
      </c>
      <c r="L45" s="12">
        <f t="shared" si="3"/>
        <v>1.1942766102604965</v>
      </c>
      <c r="M45" s="12">
        <f t="shared" si="4"/>
        <v>11.942766102604965</v>
      </c>
      <c r="T45">
        <v>64</v>
      </c>
      <c r="U45" s="24">
        <v>0.316</v>
      </c>
      <c r="V45" s="24">
        <v>-189.36500000000001</v>
      </c>
      <c r="W45" s="4">
        <f t="shared" si="5"/>
        <v>189.04900000000001</v>
      </c>
      <c r="X45" s="19">
        <f t="shared" si="6"/>
        <v>12.664054126473742</v>
      </c>
      <c r="Y45">
        <v>2</v>
      </c>
      <c r="Z45" s="12">
        <f t="shared" si="7"/>
        <v>25.328108252947484</v>
      </c>
      <c r="AA45" s="10">
        <v>17.358049999999999</v>
      </c>
      <c r="AB45" s="12">
        <f t="shared" si="8"/>
        <v>1.4591563138110264</v>
      </c>
      <c r="AC45" s="12">
        <f t="shared" si="9"/>
        <v>14.591563138110264</v>
      </c>
      <c r="AD45" s="4"/>
      <c r="AF45" s="4"/>
      <c r="AG45" s="4"/>
      <c r="AH45" s="4"/>
      <c r="AI45" s="4"/>
      <c r="AJ45" s="4"/>
      <c r="AK45" s="4"/>
    </row>
    <row r="46" spans="1:37" x14ac:dyDescent="0.2">
      <c r="D46" s="4">
        <v>59</v>
      </c>
      <c r="E46" s="27">
        <v>-5.4980000000000002</v>
      </c>
      <c r="F46" s="27">
        <v>-178.167</v>
      </c>
      <c r="G46" s="4">
        <f t="shared" si="0"/>
        <v>172.66900000000001</v>
      </c>
      <c r="H46" s="19">
        <f t="shared" si="1"/>
        <v>11.566787245444804</v>
      </c>
      <c r="I46">
        <v>2</v>
      </c>
      <c r="J46" s="12">
        <f t="shared" si="2"/>
        <v>23.133574490889607</v>
      </c>
      <c r="K46" s="4">
        <v>19.908850000000001</v>
      </c>
      <c r="L46" s="12">
        <f t="shared" si="3"/>
        <v>1.1619744229771989</v>
      </c>
      <c r="M46" s="12">
        <f t="shared" si="4"/>
        <v>11.619744229771989</v>
      </c>
      <c r="Q46">
        <v>15</v>
      </c>
      <c r="T46">
        <v>96</v>
      </c>
      <c r="U46" s="24">
        <v>-4.3040000000000003</v>
      </c>
      <c r="V46" s="24">
        <v>-213.49100000000001</v>
      </c>
      <c r="W46" s="4">
        <f t="shared" si="5"/>
        <v>209.18700000000001</v>
      </c>
      <c r="X46" s="19">
        <f t="shared" si="6"/>
        <v>14.013062700964632</v>
      </c>
      <c r="Y46">
        <v>2</v>
      </c>
      <c r="Z46" s="12">
        <f t="shared" si="7"/>
        <v>28.026125401929264</v>
      </c>
      <c r="AA46" s="10">
        <v>20.294350000000001</v>
      </c>
      <c r="AB46" s="12">
        <f t="shared" si="8"/>
        <v>1.380981672333889</v>
      </c>
      <c r="AC46" s="12">
        <f t="shared" si="9"/>
        <v>13.809816723338891</v>
      </c>
      <c r="AD46" s="4"/>
      <c r="AF46" s="4"/>
      <c r="AG46" s="4"/>
      <c r="AH46" s="4"/>
      <c r="AI46" s="4"/>
      <c r="AJ46" s="4"/>
      <c r="AK46" s="4"/>
    </row>
    <row r="47" spans="1:37" x14ac:dyDescent="0.2">
      <c r="D47" s="4">
        <v>60</v>
      </c>
      <c r="E47" s="27">
        <v>-4.0750000000000002</v>
      </c>
      <c r="F47" s="27">
        <v>-213.01599999999999</v>
      </c>
      <c r="G47" s="4">
        <f t="shared" si="0"/>
        <v>208.941</v>
      </c>
      <c r="H47" s="19">
        <f t="shared" si="1"/>
        <v>13.996583601286176</v>
      </c>
      <c r="I47">
        <v>2</v>
      </c>
      <c r="J47" s="12">
        <f t="shared" si="2"/>
        <v>27.993167202572351</v>
      </c>
      <c r="K47" s="4">
        <v>19.063849999999999</v>
      </c>
      <c r="L47" s="12">
        <f t="shared" si="3"/>
        <v>1.4683900262839014</v>
      </c>
      <c r="M47" s="12">
        <f t="shared" si="4"/>
        <v>14.683900262839014</v>
      </c>
      <c r="T47">
        <v>97</v>
      </c>
      <c r="U47" s="24">
        <v>-14.531000000000001</v>
      </c>
      <c r="V47" s="24">
        <v>-183.67099999999999</v>
      </c>
      <c r="W47" s="4">
        <f t="shared" si="5"/>
        <v>169.14</v>
      </c>
      <c r="X47" s="19">
        <f t="shared" si="6"/>
        <v>11.330385852090034</v>
      </c>
      <c r="Y47">
        <v>2</v>
      </c>
      <c r="Z47" s="12">
        <f t="shared" si="7"/>
        <v>22.660771704180068</v>
      </c>
      <c r="AA47" s="12">
        <v>19.174750000000003</v>
      </c>
      <c r="AB47" s="12">
        <f t="shared" si="8"/>
        <v>1.1818027199405501</v>
      </c>
      <c r="AC47" s="12">
        <f t="shared" si="9"/>
        <v>11.818027199405501</v>
      </c>
      <c r="AD47" s="4"/>
      <c r="AF47" s="4"/>
      <c r="AG47" s="4"/>
      <c r="AH47" s="4"/>
      <c r="AI47" s="4"/>
      <c r="AJ47" s="4"/>
      <c r="AK47" s="4"/>
    </row>
    <row r="48" spans="1:37" x14ac:dyDescent="0.2">
      <c r="A48">
        <v>12</v>
      </c>
      <c r="D48" s="4">
        <v>91</v>
      </c>
      <c r="E48" s="27">
        <v>-4.391</v>
      </c>
      <c r="F48" s="27">
        <v>-166.92500000000001</v>
      </c>
      <c r="G48" s="4">
        <f t="shared" si="0"/>
        <v>162.53400000000002</v>
      </c>
      <c r="H48" s="19">
        <f t="shared" si="1"/>
        <v>10.887861736334408</v>
      </c>
      <c r="I48">
        <v>2</v>
      </c>
      <c r="J48" s="12">
        <f t="shared" si="2"/>
        <v>21.775723472668815</v>
      </c>
      <c r="K48" s="4">
        <v>17.812249999999999</v>
      </c>
      <c r="L48" s="12">
        <f t="shared" si="3"/>
        <v>1.222513914450382</v>
      </c>
      <c r="M48" s="12">
        <f t="shared" si="4"/>
        <v>12.225139144503821</v>
      </c>
      <c r="T48">
        <v>98</v>
      </c>
      <c r="U48" s="24">
        <v>-10.532999999999999</v>
      </c>
      <c r="V48" s="24">
        <v>-224.215</v>
      </c>
      <c r="W48" s="4">
        <f t="shared" si="5"/>
        <v>213.68200000000002</v>
      </c>
      <c r="X48" s="19">
        <f t="shared" si="6"/>
        <v>14.31417470525188</v>
      </c>
      <c r="Y48">
        <v>2</v>
      </c>
      <c r="Z48" s="12">
        <f t="shared" si="7"/>
        <v>28.628349410503759</v>
      </c>
      <c r="AA48" s="12">
        <v>19.407149999999998</v>
      </c>
      <c r="AB48" s="12">
        <f t="shared" si="8"/>
        <v>1.4751444395752988</v>
      </c>
      <c r="AC48" s="12">
        <f t="shared" si="9"/>
        <v>14.751444395752989</v>
      </c>
      <c r="AD48" s="4"/>
      <c r="AF48" s="4"/>
      <c r="AG48" s="4"/>
      <c r="AH48" s="4"/>
      <c r="AI48" s="4"/>
      <c r="AJ48" s="4"/>
      <c r="AK48" s="4"/>
    </row>
    <row r="49" spans="1:37" x14ac:dyDescent="0.2">
      <c r="D49" s="4">
        <v>92</v>
      </c>
      <c r="E49" s="27">
        <v>-3.4580000000000002</v>
      </c>
      <c r="F49" s="27">
        <v>-167.56399999999999</v>
      </c>
      <c r="G49" s="4">
        <f t="shared" si="0"/>
        <v>164.10599999999999</v>
      </c>
      <c r="H49" s="19">
        <f t="shared" si="1"/>
        <v>10.993167202572348</v>
      </c>
      <c r="I49">
        <v>2</v>
      </c>
      <c r="J49" s="12">
        <f t="shared" si="2"/>
        <v>21.986334405144696</v>
      </c>
      <c r="K49" s="4">
        <v>20.077850000000002</v>
      </c>
      <c r="L49" s="12">
        <f t="shared" si="3"/>
        <v>1.0950542216992702</v>
      </c>
      <c r="M49" s="12">
        <f t="shared" si="4"/>
        <v>10.950542216992702</v>
      </c>
      <c r="T49">
        <v>99</v>
      </c>
      <c r="W49" s="4">
        <f t="shared" si="5"/>
        <v>0</v>
      </c>
      <c r="X49" s="19">
        <f t="shared" si="6"/>
        <v>0</v>
      </c>
      <c r="Y49">
        <v>2</v>
      </c>
      <c r="Z49" s="12">
        <f t="shared" si="7"/>
        <v>0</v>
      </c>
      <c r="AA49" s="12">
        <v>20.109500000000001</v>
      </c>
      <c r="AB49" s="12">
        <f t="shared" si="8"/>
        <v>0</v>
      </c>
      <c r="AC49" s="12">
        <f t="shared" si="9"/>
        <v>0</v>
      </c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D50" s="4">
        <v>93</v>
      </c>
      <c r="E50" s="27">
        <v>-4.7729999999999997</v>
      </c>
      <c r="F50" s="27">
        <v>-161.31800000000001</v>
      </c>
      <c r="G50" s="4">
        <f t="shared" si="0"/>
        <v>156.54500000000002</v>
      </c>
      <c r="H50" s="19">
        <f t="shared" si="1"/>
        <v>10.486669346195074</v>
      </c>
      <c r="I50">
        <v>2</v>
      </c>
      <c r="J50" s="12">
        <f t="shared" si="2"/>
        <v>20.973338692390147</v>
      </c>
      <c r="K50" s="4">
        <v>19.486349999999998</v>
      </c>
      <c r="L50" s="12">
        <f t="shared" si="3"/>
        <v>1.0763092468517783</v>
      </c>
      <c r="M50" s="12">
        <f t="shared" si="4"/>
        <v>10.763092468517783</v>
      </c>
      <c r="T50">
        <v>100</v>
      </c>
      <c r="W50" s="4">
        <f t="shared" si="5"/>
        <v>0</v>
      </c>
      <c r="X50" s="19">
        <f t="shared" si="6"/>
        <v>0</v>
      </c>
      <c r="Y50">
        <v>2</v>
      </c>
      <c r="Z50" s="12">
        <f t="shared" si="7"/>
        <v>0</v>
      </c>
      <c r="AA50" s="12">
        <v>20.526750000000003</v>
      </c>
      <c r="AB50" s="12">
        <f t="shared" si="8"/>
        <v>0</v>
      </c>
      <c r="AC50" s="12">
        <f t="shared" si="9"/>
        <v>0</v>
      </c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D51" s="4">
        <v>94</v>
      </c>
      <c r="E51" s="27">
        <v>-4.0419999999999998</v>
      </c>
      <c r="F51" s="27">
        <v>-116.444</v>
      </c>
      <c r="G51" s="4">
        <f t="shared" si="0"/>
        <v>112.402</v>
      </c>
      <c r="H51" s="19">
        <f t="shared" si="1"/>
        <v>7.5296087888531629</v>
      </c>
      <c r="I51">
        <v>2</v>
      </c>
      <c r="J51" s="12">
        <f t="shared" si="2"/>
        <v>15.059217577706326</v>
      </c>
      <c r="K51" s="4">
        <v>18.09215</v>
      </c>
      <c r="L51" s="12">
        <f t="shared" si="3"/>
        <v>0.83236196790908357</v>
      </c>
      <c r="M51" s="12">
        <f t="shared" si="4"/>
        <v>8.3236196790908359</v>
      </c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D52" s="4">
        <v>95</v>
      </c>
      <c r="E52" s="27">
        <v>-13.151</v>
      </c>
      <c r="F52" s="27">
        <v>-207.09800000000001</v>
      </c>
      <c r="G52" s="4">
        <f t="shared" si="0"/>
        <v>193.947</v>
      </c>
      <c r="H52" s="19">
        <f t="shared" si="1"/>
        <v>12.992162379421224</v>
      </c>
      <c r="I52">
        <v>2</v>
      </c>
      <c r="J52" s="12">
        <f t="shared" si="2"/>
        <v>25.984324758842448</v>
      </c>
      <c r="K52" s="4">
        <v>19.2804</v>
      </c>
      <c r="L52" s="12">
        <f t="shared" si="3"/>
        <v>1.3477067259414974</v>
      </c>
      <c r="M52" s="12">
        <f t="shared" si="4"/>
        <v>13.477067259414975</v>
      </c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15"/>
      <c r="C53" s="4"/>
      <c r="D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15"/>
      <c r="C54" s="4"/>
      <c r="D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15"/>
      <c r="C55" s="4"/>
      <c r="D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15"/>
      <c r="C56" s="4"/>
      <c r="D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15"/>
      <c r="C57" s="4"/>
      <c r="D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15"/>
      <c r="C58" s="4"/>
      <c r="D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D64" s="4"/>
      <c r="AE64" s="4"/>
      <c r="AF64" s="4"/>
      <c r="AG64" s="4"/>
      <c r="AH64" s="4"/>
      <c r="AI64" s="4"/>
      <c r="AJ64" s="4"/>
      <c r="AK64" s="4"/>
    </row>
    <row r="65" spans="30:37" x14ac:dyDescent="0.2">
      <c r="AD65" s="4"/>
      <c r="AE65" s="4"/>
      <c r="AF65" s="4"/>
      <c r="AG65" s="4"/>
      <c r="AH65" s="4"/>
      <c r="AI65" s="4"/>
      <c r="AJ65" s="4"/>
      <c r="AK65" s="4"/>
    </row>
    <row r="66" spans="30:37" x14ac:dyDescent="0.2">
      <c r="AD66" s="4"/>
      <c r="AE66" s="4"/>
      <c r="AF66" s="4"/>
      <c r="AG66" s="4"/>
      <c r="AH66" s="4"/>
      <c r="AI66" s="4"/>
      <c r="AJ66" s="4"/>
      <c r="AK66" s="4"/>
    </row>
    <row r="67" spans="30:37" x14ac:dyDescent="0.2">
      <c r="AD67" s="4"/>
      <c r="AE67" s="4"/>
      <c r="AF67" s="4"/>
      <c r="AG67" s="4"/>
      <c r="AH67" s="4"/>
      <c r="AI67" s="4"/>
      <c r="AJ67" s="4"/>
      <c r="AK67" s="4"/>
    </row>
    <row r="68" spans="30:37" x14ac:dyDescent="0.2">
      <c r="AD68" s="4"/>
      <c r="AE68" s="4"/>
      <c r="AF68" s="4"/>
      <c r="AG68" s="4"/>
      <c r="AH68" s="4"/>
      <c r="AI68" s="4"/>
      <c r="AJ68" s="4"/>
      <c r="AK68" s="4"/>
    </row>
    <row r="69" spans="30:37" x14ac:dyDescent="0.2">
      <c r="AD69" s="4"/>
      <c r="AE69" s="4"/>
      <c r="AF69" s="4"/>
      <c r="AG69" s="4"/>
      <c r="AH69" s="4"/>
      <c r="AI69" s="4"/>
      <c r="AJ69" s="4"/>
      <c r="AK69" s="4"/>
    </row>
    <row r="70" spans="30:37" x14ac:dyDescent="0.2">
      <c r="AD70" s="4"/>
      <c r="AE70" s="4"/>
      <c r="AF70" s="4"/>
      <c r="AG70" s="4"/>
      <c r="AH70" s="4"/>
      <c r="AI70" s="4"/>
      <c r="AJ70" s="4"/>
      <c r="AK70" s="4"/>
    </row>
    <row r="71" spans="30:37" x14ac:dyDescent="0.2">
      <c r="AD71" s="4"/>
      <c r="AE71" s="4"/>
      <c r="AF71" s="4"/>
      <c r="AG71" s="4"/>
      <c r="AH71" s="4"/>
      <c r="AI71" s="4"/>
      <c r="AJ71" s="4"/>
      <c r="AK71" s="4"/>
    </row>
    <row r="72" spans="30:37" x14ac:dyDescent="0.2">
      <c r="AD72" s="4"/>
      <c r="AE72" s="4"/>
      <c r="AF72" s="4"/>
      <c r="AG72" s="4"/>
      <c r="AH72" s="4"/>
      <c r="AI72" s="4"/>
      <c r="AJ72" s="4"/>
      <c r="AK72" s="4"/>
    </row>
    <row r="73" spans="30:37" x14ac:dyDescent="0.2">
      <c r="AD73" s="4"/>
      <c r="AE73" s="4"/>
      <c r="AF73" s="4"/>
      <c r="AG73" s="4"/>
      <c r="AH73" s="4"/>
      <c r="AI73" s="4"/>
      <c r="AJ73" s="4"/>
      <c r="AK73" s="4"/>
    </row>
    <row r="74" spans="30:37" x14ac:dyDescent="0.2">
      <c r="AD74" s="4"/>
      <c r="AE74" s="4"/>
      <c r="AF74" s="4"/>
      <c r="AG74" s="4"/>
      <c r="AH74" s="4"/>
      <c r="AI74" s="4"/>
      <c r="AJ74" s="4"/>
      <c r="AK74" s="4"/>
    </row>
    <row r="75" spans="30:37" x14ac:dyDescent="0.2">
      <c r="AD75" s="4"/>
      <c r="AE75" s="4"/>
      <c r="AF75" s="4"/>
      <c r="AG75" s="4"/>
      <c r="AH75" s="4"/>
      <c r="AI75" s="4"/>
      <c r="AJ75" s="4"/>
      <c r="AK75" s="4"/>
    </row>
    <row r="76" spans="30:37" x14ac:dyDescent="0.2">
      <c r="AD76" s="4"/>
      <c r="AE76" s="4"/>
      <c r="AF76" s="4"/>
      <c r="AG76" s="4"/>
      <c r="AH76" s="4"/>
      <c r="AI76" s="4"/>
      <c r="AJ76" s="4"/>
      <c r="AK76" s="4"/>
    </row>
    <row r="77" spans="30:37" x14ac:dyDescent="0.2">
      <c r="AD77" s="4"/>
      <c r="AE77" s="4"/>
      <c r="AF77" s="4"/>
      <c r="AG77" s="4"/>
      <c r="AH77" s="4"/>
      <c r="AI77" s="4"/>
      <c r="AJ77" s="4"/>
      <c r="AK77" s="4"/>
    </row>
    <row r="78" spans="30:37" x14ac:dyDescent="0.2">
      <c r="AD78" s="4"/>
      <c r="AE78" s="4"/>
      <c r="AF78" s="4"/>
      <c r="AG78" s="4"/>
      <c r="AH78" s="4"/>
      <c r="AI78" s="4"/>
      <c r="AJ78" s="4"/>
      <c r="AK78" s="4"/>
    </row>
    <row r="79" spans="30:37" x14ac:dyDescent="0.2">
      <c r="AD79" s="4"/>
      <c r="AE79" s="4"/>
      <c r="AF79" s="4"/>
      <c r="AG79" s="4"/>
      <c r="AH79" s="4"/>
      <c r="AI79" s="4"/>
      <c r="AJ79" s="4"/>
      <c r="AK79" s="4"/>
    </row>
    <row r="80" spans="30:37" x14ac:dyDescent="0.2">
      <c r="AD80" s="4"/>
      <c r="AE80" s="4"/>
      <c r="AF80" s="4"/>
      <c r="AG80" s="4"/>
      <c r="AH80" s="4"/>
      <c r="AI80" s="4"/>
      <c r="AJ80" s="4"/>
      <c r="AK80" s="4"/>
    </row>
    <row r="81" spans="30:37" x14ac:dyDescent="0.2">
      <c r="AD81" s="4"/>
      <c r="AE81" s="4"/>
      <c r="AF81" s="4"/>
      <c r="AG81" s="4"/>
      <c r="AH81" s="4"/>
      <c r="AI81" s="4"/>
      <c r="AJ81" s="4"/>
      <c r="AK81" s="4"/>
    </row>
    <row r="82" spans="30:37" x14ac:dyDescent="0.2">
      <c r="AD82" s="4"/>
      <c r="AE82" s="4"/>
      <c r="AF82" s="4"/>
      <c r="AG82" s="4"/>
      <c r="AH82" s="4"/>
      <c r="AI82" s="4"/>
      <c r="AJ82" s="4"/>
      <c r="AK82" s="4"/>
    </row>
    <row r="83" spans="30:37" x14ac:dyDescent="0.2">
      <c r="AD83" s="4"/>
      <c r="AE83" s="4"/>
      <c r="AF83" s="4"/>
      <c r="AG83" s="4"/>
      <c r="AH83" s="4"/>
      <c r="AI83" s="4"/>
      <c r="AJ83" s="4"/>
      <c r="AK83" s="4"/>
    </row>
    <row r="84" spans="30:37" x14ac:dyDescent="0.2">
      <c r="AD84" s="4"/>
      <c r="AE84" s="4"/>
      <c r="AF84" s="4"/>
      <c r="AG84" s="4"/>
      <c r="AH84" s="4"/>
      <c r="AI84" s="4"/>
      <c r="AJ84" s="4"/>
      <c r="AK84" s="4"/>
    </row>
    <row r="85" spans="30:37" x14ac:dyDescent="0.2">
      <c r="AD85" s="4"/>
      <c r="AE85" s="4"/>
      <c r="AF85" s="4"/>
      <c r="AG85" s="4"/>
      <c r="AH85" s="4"/>
      <c r="AI85" s="4"/>
      <c r="AJ85" s="4"/>
      <c r="AK85" s="4"/>
    </row>
    <row r="86" spans="30:37" x14ac:dyDescent="0.2">
      <c r="AD86" s="4"/>
      <c r="AE86" s="4"/>
      <c r="AF86" s="4"/>
      <c r="AG86" s="4"/>
      <c r="AH86" s="4"/>
      <c r="AI86" s="4"/>
      <c r="AJ86" s="4"/>
      <c r="AK86" s="4"/>
    </row>
    <row r="87" spans="30:37" x14ac:dyDescent="0.2">
      <c r="AD87" s="4"/>
      <c r="AE87" s="4"/>
      <c r="AF87" s="4"/>
      <c r="AG87" s="4"/>
      <c r="AH87" s="4"/>
      <c r="AI87" s="4"/>
      <c r="AJ87" s="4"/>
      <c r="AK87" s="4"/>
    </row>
    <row r="88" spans="30:37" x14ac:dyDescent="0.2">
      <c r="AD88" s="4"/>
      <c r="AE88" s="4"/>
      <c r="AF88" s="4"/>
      <c r="AG88" s="4"/>
      <c r="AH88" s="4"/>
      <c r="AI88" s="4"/>
      <c r="AJ88" s="4"/>
      <c r="AK88" s="4"/>
    </row>
    <row r="89" spans="30:37" x14ac:dyDescent="0.2">
      <c r="AD89" s="4"/>
      <c r="AE89" s="4"/>
      <c r="AF89" s="4"/>
      <c r="AG89" s="4"/>
      <c r="AH89" s="4"/>
      <c r="AI89" s="4"/>
      <c r="AJ89" s="4"/>
      <c r="AK89" s="4"/>
    </row>
    <row r="90" spans="30:37" x14ac:dyDescent="0.2">
      <c r="AD90" s="4"/>
      <c r="AE90" s="4"/>
      <c r="AF90" s="4"/>
      <c r="AG90" s="4"/>
      <c r="AH90" s="4"/>
      <c r="AI90" s="4"/>
      <c r="AJ90" s="4"/>
      <c r="AK90" s="4"/>
    </row>
    <row r="91" spans="30:37" x14ac:dyDescent="0.2">
      <c r="AD91" s="4"/>
      <c r="AE91" s="4"/>
      <c r="AF91" s="4"/>
      <c r="AG91" s="4"/>
      <c r="AH91" s="4"/>
      <c r="AI91" s="4"/>
      <c r="AJ91" s="4"/>
      <c r="AK91" s="4"/>
    </row>
    <row r="92" spans="30:37" x14ac:dyDescent="0.2">
      <c r="AD92" s="4"/>
      <c r="AE92" s="4"/>
      <c r="AF92" s="4"/>
      <c r="AG92" s="4"/>
      <c r="AH92" s="4"/>
      <c r="AI92" s="4"/>
      <c r="AJ92" s="4"/>
      <c r="AK92" s="4"/>
    </row>
    <row r="93" spans="30:37" x14ac:dyDescent="0.2">
      <c r="AD93" s="4"/>
      <c r="AE93" s="4"/>
      <c r="AF93" s="4"/>
      <c r="AG93" s="4"/>
      <c r="AH93" s="4"/>
      <c r="AI93" s="4"/>
      <c r="AJ93" s="4"/>
      <c r="AK93" s="4"/>
    </row>
    <row r="94" spans="30:37" x14ac:dyDescent="0.2">
      <c r="AD94" s="4"/>
      <c r="AE94" s="4"/>
      <c r="AF94" s="4"/>
      <c r="AG94" s="4"/>
      <c r="AH94" s="4"/>
      <c r="AI94" s="4"/>
      <c r="AJ94" s="4"/>
      <c r="AK94" s="4"/>
    </row>
    <row r="95" spans="30:37" x14ac:dyDescent="0.2">
      <c r="AD95" s="4"/>
      <c r="AE95" s="4"/>
      <c r="AF95" s="4"/>
      <c r="AG95" s="4"/>
      <c r="AH95" s="4"/>
      <c r="AI95" s="4"/>
      <c r="AJ95" s="4"/>
      <c r="AK95" s="4"/>
    </row>
    <row r="96" spans="30:37" x14ac:dyDescent="0.2">
      <c r="AD96" s="4"/>
      <c r="AE96" s="4"/>
      <c r="AF96" s="4"/>
      <c r="AG96" s="4"/>
      <c r="AH96" s="4"/>
      <c r="AI96" s="4"/>
      <c r="AJ96" s="4"/>
      <c r="AK96" s="4"/>
    </row>
    <row r="97" spans="30:37" x14ac:dyDescent="0.2">
      <c r="AD97" s="4"/>
      <c r="AE97" s="4"/>
      <c r="AF97" s="4"/>
      <c r="AG97" s="4"/>
      <c r="AH97" s="4"/>
      <c r="AI97" s="4"/>
      <c r="AJ97" s="4"/>
      <c r="AK97" s="4"/>
    </row>
    <row r="98" spans="30:37" x14ac:dyDescent="0.2">
      <c r="AD98" s="4"/>
      <c r="AE98" s="4"/>
      <c r="AF98" s="4"/>
      <c r="AG98" s="4"/>
      <c r="AH98" s="4"/>
      <c r="AI98" s="4"/>
      <c r="AJ98" s="4"/>
      <c r="AK9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8"/>
  <sheetViews>
    <sheetView topLeftCell="AJ3" workbookViewId="0">
      <selection activeCell="R40" sqref="R40"/>
    </sheetView>
  </sheetViews>
  <sheetFormatPr baseColWidth="10" defaultColWidth="8.796875" defaultRowHeight="15" x14ac:dyDescent="0.2"/>
  <cols>
    <col min="1" max="1" width="11.796875" bestFit="1" customWidth="1"/>
    <col min="4" max="4" width="18.3984375" customWidth="1"/>
    <col min="5" max="5" width="10.3984375" bestFit="1" customWidth="1"/>
    <col min="6" max="6" width="11.796875" bestFit="1" customWidth="1"/>
    <col min="9" max="9" width="11.3984375" bestFit="1" customWidth="1"/>
    <col min="10" max="10" width="14.3984375" customWidth="1"/>
    <col min="11" max="11" width="17.796875" bestFit="1" customWidth="1"/>
    <col min="29" max="29" width="16.3984375" bestFit="1" customWidth="1"/>
    <col min="30" max="30" width="10.3984375" bestFit="1" customWidth="1"/>
    <col min="34" max="34" width="12" bestFit="1" customWidth="1"/>
    <col min="36" max="36" width="17.796875" bestFit="1" customWidth="1"/>
    <col min="42" max="42" width="10.3984375" bestFit="1" customWidth="1"/>
  </cols>
  <sheetData>
    <row r="1" spans="1:44" s="2" customFormat="1" x14ac:dyDescent="0.2">
      <c r="D1" s="2" t="s">
        <v>25</v>
      </c>
    </row>
    <row r="5" spans="1:44" x14ac:dyDescent="0.2">
      <c r="A5" t="s">
        <v>0</v>
      </c>
      <c r="B5" t="s">
        <v>1</v>
      </c>
      <c r="C5" t="s">
        <v>2</v>
      </c>
      <c r="D5" t="s">
        <v>3</v>
      </c>
      <c r="F5" t="s">
        <v>0</v>
      </c>
      <c r="G5" t="s">
        <v>1</v>
      </c>
      <c r="H5" t="s">
        <v>2</v>
      </c>
      <c r="I5" t="s">
        <v>3</v>
      </c>
      <c r="AC5" t="s">
        <v>0</v>
      </c>
      <c r="AD5" t="s">
        <v>1</v>
      </c>
      <c r="AE5" t="s">
        <v>2</v>
      </c>
      <c r="AF5" t="s">
        <v>3</v>
      </c>
      <c r="AO5" t="s">
        <v>0</v>
      </c>
      <c r="AP5" t="s">
        <v>1</v>
      </c>
      <c r="AQ5" t="s">
        <v>2</v>
      </c>
      <c r="AR5" t="s">
        <v>3</v>
      </c>
    </row>
    <row r="6" spans="1:44" x14ac:dyDescent="0.2">
      <c r="A6">
        <v>0</v>
      </c>
      <c r="B6">
        <v>1.4063000000000001</v>
      </c>
      <c r="C6">
        <v>1.3272999999999999</v>
      </c>
      <c r="D6">
        <f t="shared" ref="D6:D11" si="0">AVERAGE(B6:C6)</f>
        <v>1.3668</v>
      </c>
      <c r="F6">
        <v>0</v>
      </c>
      <c r="G6">
        <v>1.4063000000000001</v>
      </c>
      <c r="H6">
        <v>1.3272999999999999</v>
      </c>
      <c r="I6">
        <f>AVERAGE(G6:H6)</f>
        <v>1.3668</v>
      </c>
      <c r="AC6">
        <v>0</v>
      </c>
      <c r="AD6">
        <v>1.8924000000000001</v>
      </c>
      <c r="AE6">
        <v>1.8817999999999999</v>
      </c>
      <c r="AF6">
        <f>AVERAGE(AD6:AE6)</f>
        <v>1.8871</v>
      </c>
      <c r="AO6">
        <v>0</v>
      </c>
      <c r="AP6">
        <v>1.8924000000000001</v>
      </c>
      <c r="AQ6">
        <v>1.8817999999999999</v>
      </c>
      <c r="AR6">
        <f>AVERAGE(AP6:AQ6)</f>
        <v>1.8871</v>
      </c>
    </row>
    <row r="7" spans="1:44" x14ac:dyDescent="0.2">
      <c r="A7">
        <v>2</v>
      </c>
      <c r="B7">
        <v>0.72599999999999998</v>
      </c>
      <c r="C7">
        <v>0.74890000000000001</v>
      </c>
      <c r="D7">
        <f t="shared" si="0"/>
        <v>0.73744999999999994</v>
      </c>
      <c r="F7">
        <v>0.5</v>
      </c>
      <c r="G7">
        <v>1.113</v>
      </c>
      <c r="H7">
        <v>1.1046</v>
      </c>
      <c r="I7">
        <f>AVERAGE(G7:H7)</f>
        <v>1.1088</v>
      </c>
      <c r="AC7">
        <v>0.5</v>
      </c>
      <c r="AE7">
        <v>1.431</v>
      </c>
      <c r="AF7">
        <f t="shared" ref="AF7:AF13" si="1">AVERAGE(AD7:AE7)</f>
        <v>1.431</v>
      </c>
      <c r="AO7">
        <v>0.5</v>
      </c>
      <c r="AQ7">
        <v>1.431</v>
      </c>
      <c r="AR7">
        <f>AVERAGE(AP7:AQ7)</f>
        <v>1.431</v>
      </c>
    </row>
    <row r="8" spans="1:44" x14ac:dyDescent="0.2">
      <c r="A8">
        <v>3</v>
      </c>
      <c r="B8">
        <v>0.61670000000000003</v>
      </c>
      <c r="C8">
        <v>0.72230000000000005</v>
      </c>
      <c r="D8">
        <f t="shared" si="0"/>
        <v>0.66949999999999998</v>
      </c>
      <c r="F8">
        <v>1</v>
      </c>
      <c r="G8">
        <v>1.135</v>
      </c>
      <c r="H8">
        <v>1.0289999999999999</v>
      </c>
      <c r="I8">
        <f>AVERAGE(G8:H8)</f>
        <v>1.0819999999999999</v>
      </c>
      <c r="AC8">
        <v>1</v>
      </c>
      <c r="AD8">
        <v>1.0533999999999999</v>
      </c>
      <c r="AE8">
        <v>1.0979000000000001</v>
      </c>
      <c r="AF8">
        <f t="shared" si="1"/>
        <v>1.07565</v>
      </c>
      <c r="AO8">
        <v>1</v>
      </c>
      <c r="AP8">
        <v>1.0533999999999999</v>
      </c>
      <c r="AQ8">
        <v>1.0979000000000001</v>
      </c>
      <c r="AR8">
        <f>AVERAGE(AP8:AQ8)</f>
        <v>1.07565</v>
      </c>
    </row>
    <row r="9" spans="1:44" x14ac:dyDescent="0.2">
      <c r="A9">
        <v>5</v>
      </c>
      <c r="B9">
        <v>0.44550000000000001</v>
      </c>
      <c r="C9">
        <v>0.45429999999999998</v>
      </c>
      <c r="D9">
        <f t="shared" si="0"/>
        <v>0.44989999999999997</v>
      </c>
      <c r="F9">
        <v>2</v>
      </c>
      <c r="G9">
        <v>0.72599999999999998</v>
      </c>
      <c r="H9">
        <v>0.74890000000000001</v>
      </c>
      <c r="I9">
        <f>AVERAGE(G9:H9)</f>
        <v>0.73744999999999994</v>
      </c>
      <c r="AC9">
        <v>2</v>
      </c>
      <c r="AD9">
        <v>0.85489999999999999</v>
      </c>
      <c r="AE9">
        <v>0.84030000000000005</v>
      </c>
      <c r="AF9">
        <f t="shared" si="1"/>
        <v>0.84760000000000002</v>
      </c>
      <c r="AO9">
        <v>2</v>
      </c>
      <c r="AP9">
        <v>0.85489999999999999</v>
      </c>
      <c r="AQ9">
        <v>0.84030000000000005</v>
      </c>
      <c r="AR9">
        <f>AVERAGE(AP9:AQ9)</f>
        <v>0.84760000000000002</v>
      </c>
    </row>
    <row r="10" spans="1:44" x14ac:dyDescent="0.2">
      <c r="A10">
        <v>10</v>
      </c>
      <c r="B10">
        <v>0.34710000000000002</v>
      </c>
      <c r="C10">
        <v>0.27750000000000002</v>
      </c>
      <c r="D10">
        <f t="shared" si="0"/>
        <v>0.31230000000000002</v>
      </c>
      <c r="F10">
        <v>3</v>
      </c>
      <c r="G10">
        <v>0.61670000000000003</v>
      </c>
      <c r="H10">
        <v>0.72230000000000005</v>
      </c>
      <c r="I10">
        <f>AVERAGE(G10:H10)</f>
        <v>0.66949999999999998</v>
      </c>
      <c r="AC10">
        <v>3</v>
      </c>
      <c r="AD10">
        <v>0.5494</v>
      </c>
      <c r="AE10">
        <v>0.68710000000000004</v>
      </c>
      <c r="AF10">
        <f t="shared" si="1"/>
        <v>0.61824999999999997</v>
      </c>
      <c r="AO10">
        <v>3</v>
      </c>
      <c r="AP10">
        <v>0.5494</v>
      </c>
      <c r="AR10">
        <f>AVERAGE(AP10:AQ10)</f>
        <v>0.5494</v>
      </c>
    </row>
    <row r="11" spans="1:44" x14ac:dyDescent="0.2">
      <c r="A11">
        <v>25</v>
      </c>
      <c r="B11">
        <v>0.22259999999999999</v>
      </c>
      <c r="C11">
        <v>0.23280000000000001</v>
      </c>
      <c r="D11">
        <f t="shared" si="0"/>
        <v>0.22770000000000001</v>
      </c>
      <c r="AC11">
        <v>5</v>
      </c>
      <c r="AD11">
        <v>0.64500000000000002</v>
      </c>
      <c r="AE11">
        <v>0.46110000000000001</v>
      </c>
      <c r="AF11">
        <f t="shared" si="1"/>
        <v>0.55305000000000004</v>
      </c>
    </row>
    <row r="12" spans="1:44" x14ac:dyDescent="0.2">
      <c r="AC12">
        <v>10</v>
      </c>
      <c r="AD12">
        <v>0.30130000000000001</v>
      </c>
      <c r="AE12">
        <v>0.33950000000000002</v>
      </c>
      <c r="AF12">
        <f t="shared" si="1"/>
        <v>0.32040000000000002</v>
      </c>
    </row>
    <row r="13" spans="1:44" x14ac:dyDescent="0.2">
      <c r="AC13">
        <v>25</v>
      </c>
      <c r="AD13">
        <v>0.21299999999999999</v>
      </c>
      <c r="AE13">
        <v>0.22359999999999999</v>
      </c>
      <c r="AF13">
        <f t="shared" si="1"/>
        <v>0.21829999999999999</v>
      </c>
    </row>
    <row r="18" spans="4:46" x14ac:dyDescent="0.2">
      <c r="AC18" s="3" t="s">
        <v>63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19</v>
      </c>
      <c r="AJ18" s="3" t="s">
        <v>20</v>
      </c>
    </row>
    <row r="19" spans="4:46" s="3" customFormat="1" x14ac:dyDescent="0.2">
      <c r="D19" s="3" t="s">
        <v>63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19</v>
      </c>
      <c r="K19" s="3" t="s">
        <v>20</v>
      </c>
      <c r="AC19" t="s">
        <v>113</v>
      </c>
      <c r="AD19" t="s">
        <v>9</v>
      </c>
      <c r="AE19" t="s">
        <v>10</v>
      </c>
      <c r="AF19" s="4" t="s">
        <v>67</v>
      </c>
      <c r="AG19">
        <v>2.1615000000000002</v>
      </c>
      <c r="AH19" t="e">
        <f>EXP(LN((AG19-1.0898)/(-0.312)))</f>
        <v>#NUM!</v>
      </c>
      <c r="AI19" s="4">
        <v>10</v>
      </c>
      <c r="AJ19" s="4" t="e">
        <f>AI19*AH19</f>
        <v>#NUM!</v>
      </c>
      <c r="AL19" s="3">
        <v>1E-3</v>
      </c>
      <c r="AM19" s="3">
        <f t="shared" ref="AM19:AM78" si="2">AL19*AI19</f>
        <v>0.01</v>
      </c>
      <c r="AN19" t="s">
        <v>10</v>
      </c>
      <c r="AP19" s="3" t="s">
        <v>4</v>
      </c>
      <c r="AQ19" s="3" t="s">
        <v>5</v>
      </c>
      <c r="AR19" s="3" t="s">
        <v>64</v>
      </c>
      <c r="AS19" s="3" t="s">
        <v>65</v>
      </c>
      <c r="AT19" s="3" t="s">
        <v>66</v>
      </c>
    </row>
    <row r="20" spans="4:46" x14ac:dyDescent="0.2">
      <c r="D20" t="s">
        <v>61</v>
      </c>
      <c r="E20" t="s">
        <v>9</v>
      </c>
      <c r="F20" t="s">
        <v>10</v>
      </c>
      <c r="G20" t="s">
        <v>26</v>
      </c>
      <c r="H20">
        <v>0.72650000000000003</v>
      </c>
      <c r="I20">
        <f>EXP(LN((H20-0.955)/(-0.255)))</f>
        <v>0.89607843137254872</v>
      </c>
      <c r="J20">
        <v>10</v>
      </c>
      <c r="K20">
        <f>I20*J20</f>
        <v>8.9607843137254868</v>
      </c>
      <c r="L20" s="3">
        <f>(H20-1.2919)/(-0.23)</f>
        <v>2.4582608695652173</v>
      </c>
      <c r="M20" s="3">
        <f>L20*J20</f>
        <v>24.582608695652173</v>
      </c>
      <c r="O20" t="s">
        <v>4</v>
      </c>
      <c r="P20" t="s">
        <v>5</v>
      </c>
      <c r="Q20" t="s">
        <v>64</v>
      </c>
      <c r="R20" t="s">
        <v>65</v>
      </c>
      <c r="S20" t="s">
        <v>66</v>
      </c>
      <c r="AF20" s="4" t="s">
        <v>68</v>
      </c>
      <c r="AG20">
        <v>2.1126999999999998</v>
      </c>
      <c r="AH20" t="e">
        <f t="shared" ref="AH20:AH78" si="3">EXP(LN((AG20-1.0898)/(-0.312)))</f>
        <v>#NUM!</v>
      </c>
      <c r="AI20" s="4">
        <v>10</v>
      </c>
      <c r="AJ20" s="4" t="e">
        <f t="shared" ref="AJ20:AJ48" si="4">AI20*AH20</f>
        <v>#NUM!</v>
      </c>
      <c r="AL20" s="3">
        <v>1E-3</v>
      </c>
      <c r="AM20" s="3">
        <f t="shared" si="2"/>
        <v>0.01</v>
      </c>
      <c r="AP20" t="s">
        <v>9</v>
      </c>
      <c r="AQ20" t="s">
        <v>10</v>
      </c>
      <c r="AR20">
        <f>AVERAGE(AM19:AM24,M20:M23)</f>
        <v>16.508606356865183</v>
      </c>
      <c r="AS20">
        <f>COUNT(AM19:AM24,M20:M23)</f>
        <v>10</v>
      </c>
      <c r="AT20">
        <f>STDEV(AM19:AM24,M20:M23)/SQRT(AS20)</f>
        <v>6.1170005195776289</v>
      </c>
    </row>
    <row r="21" spans="4:46" x14ac:dyDescent="0.2">
      <c r="G21" t="s">
        <v>27</v>
      </c>
      <c r="H21">
        <v>0.22750000000000001</v>
      </c>
      <c r="I21">
        <f>EXP(LN((H21-0.955)/(-0.255)))</f>
        <v>2.8529411764705879</v>
      </c>
      <c r="J21">
        <v>10</v>
      </c>
      <c r="K21">
        <f>I21*J21</f>
        <v>28.529411764705877</v>
      </c>
      <c r="L21" s="3">
        <f>(H21-1.2919)/(-0.23)</f>
        <v>4.6278260869565218</v>
      </c>
      <c r="M21" s="3">
        <f>L21*J21</f>
        <v>46.278260869565216</v>
      </c>
      <c r="O21" t="s">
        <v>9</v>
      </c>
      <c r="P21" t="s">
        <v>10</v>
      </c>
      <c r="Q21">
        <f>AVERAGE(K20:K23)</f>
        <v>20.280392156862746</v>
      </c>
      <c r="R21">
        <f>COUNT(K20:K23)</f>
        <v>4</v>
      </c>
      <c r="S21">
        <f>STDEV(K20:K23)/SQRT(R21)</f>
        <v>5.4587377209467931</v>
      </c>
      <c r="AF21" s="4" t="s">
        <v>69</v>
      </c>
      <c r="AG21">
        <v>2.1616</v>
      </c>
      <c r="AH21" t="e">
        <f t="shared" si="3"/>
        <v>#NUM!</v>
      </c>
      <c r="AI21" s="4">
        <v>10</v>
      </c>
      <c r="AJ21" s="4" t="e">
        <f t="shared" si="4"/>
        <v>#NUM!</v>
      </c>
      <c r="AL21" s="3">
        <v>1E-3</v>
      </c>
      <c r="AM21" s="3">
        <f t="shared" si="2"/>
        <v>0.01</v>
      </c>
      <c r="AQ21" t="s">
        <v>11</v>
      </c>
      <c r="AR21">
        <f>AVERAGE(AM25:AM31,M27:M30)</f>
        <v>31.696100106212729</v>
      </c>
      <c r="AS21">
        <f>COUNT(AM25:AM31,M27:M30)</f>
        <v>11</v>
      </c>
      <c r="AT21">
        <f>STDEV(AM25:AM31,M27:M30)/SQRT(AS21)</f>
        <v>2.966947945239863</v>
      </c>
    </row>
    <row r="22" spans="4:46" x14ac:dyDescent="0.2">
      <c r="G22" t="s">
        <v>28</v>
      </c>
      <c r="H22">
        <v>0.17299999999999999</v>
      </c>
      <c r="I22">
        <f>EXP(LN((H22-0.955)/(-0.255)))</f>
        <v>3.0666666666666669</v>
      </c>
      <c r="J22">
        <v>10</v>
      </c>
      <c r="K22">
        <f>I22*J22</f>
        <v>30.666666666666668</v>
      </c>
      <c r="L22" s="3">
        <f>(H22-1.2919)/(-0.23)</f>
        <v>4.864782608695652</v>
      </c>
      <c r="M22" s="3">
        <f>L22*J22</f>
        <v>48.64782608695652</v>
      </c>
      <c r="P22" t="s">
        <v>11</v>
      </c>
      <c r="Q22">
        <f>AVERAGE(K27:K31)</f>
        <v>15.658825529411763</v>
      </c>
      <c r="R22">
        <v>5</v>
      </c>
      <c r="S22">
        <f>STDEV(K27:K31)/SQRT(R22)</f>
        <v>6.4131409229833096</v>
      </c>
      <c r="AF22" s="4" t="s">
        <v>14</v>
      </c>
      <c r="AG22">
        <v>1.3158000000000001</v>
      </c>
      <c r="AH22" t="e">
        <f t="shared" si="3"/>
        <v>#NUM!</v>
      </c>
      <c r="AI22" s="4">
        <v>10</v>
      </c>
      <c r="AJ22" s="4" t="e">
        <f t="shared" si="4"/>
        <v>#NUM!</v>
      </c>
      <c r="AL22" s="3">
        <f t="shared" ref="AL22:AL76" si="5">(AG22-1.6946)/(-0.4127)</f>
        <v>0.91785800823842989</v>
      </c>
      <c r="AM22" s="3">
        <f t="shared" si="2"/>
        <v>9.1785800823842987</v>
      </c>
      <c r="AQ22" t="s">
        <v>12</v>
      </c>
      <c r="AR22">
        <f>AVERAGE(AM32:AM39,M32:M33)</f>
        <v>26.170945207066932</v>
      </c>
      <c r="AS22">
        <f>COUNT(AM32:AM39,M32:M33)</f>
        <v>10</v>
      </c>
      <c r="AT22">
        <f>STDEV(AM32:AM39,M32:M33)/SQRT(AS22)</f>
        <v>4.3920416021218252</v>
      </c>
    </row>
    <row r="23" spans="4:46" x14ac:dyDescent="0.2">
      <c r="G23" t="s">
        <v>29</v>
      </c>
      <c r="H23">
        <v>0.62439999999999996</v>
      </c>
      <c r="I23">
        <f>EXP(LN((H23-0.955)/(-0.255)))</f>
        <v>1.296470588235294</v>
      </c>
      <c r="J23">
        <v>10</v>
      </c>
      <c r="K23">
        <f>I23*J23</f>
        <v>12.964705882352941</v>
      </c>
      <c r="L23" s="3">
        <f>(H23-1.2919)/(-0.23)</f>
        <v>2.9021739130434785</v>
      </c>
      <c r="M23" s="3">
        <f>L23*J23</f>
        <v>29.021739130434785</v>
      </c>
      <c r="P23" t="s">
        <v>12</v>
      </c>
      <c r="Q23">
        <f>AVERAGE(K32:K35)</f>
        <v>12.146083431372549</v>
      </c>
      <c r="R23">
        <v>4</v>
      </c>
      <c r="S23">
        <f>STDEV(K32:K35)/SQRT(R23)</f>
        <v>7.2879057776696952</v>
      </c>
      <c r="AF23" s="4" t="s">
        <v>70</v>
      </c>
      <c r="AG23">
        <v>1.3917999999999999</v>
      </c>
      <c r="AH23" t="e">
        <f t="shared" si="3"/>
        <v>#NUM!</v>
      </c>
      <c r="AI23" s="4">
        <v>10</v>
      </c>
      <c r="AJ23" s="4" t="e">
        <f t="shared" si="4"/>
        <v>#NUM!</v>
      </c>
      <c r="AL23" s="3">
        <f t="shared" si="5"/>
        <v>0.73370487036588361</v>
      </c>
      <c r="AM23" s="3">
        <f t="shared" si="2"/>
        <v>7.3370487036588363</v>
      </c>
      <c r="AQ23" t="s">
        <v>13</v>
      </c>
      <c r="AR23">
        <f>AVERAGE(AM41:AM43,AM48,M36:M37,M39)</f>
        <v>22.808598127465395</v>
      </c>
      <c r="AS23">
        <f>COUNT(AM41:AM43,AM48,M36:M37,M39)</f>
        <v>7</v>
      </c>
      <c r="AT23">
        <f>STDEV(AM41:AM43,AM48,M36:M37,M39)/SQRT(AS23)</f>
        <v>6.5683603537345032</v>
      </c>
    </row>
    <row r="24" spans="4:46" x14ac:dyDescent="0.2">
      <c r="P24" t="s">
        <v>13</v>
      </c>
      <c r="Q24">
        <f>AVERAGE(K36:K40)</f>
        <v>10.880006000000002</v>
      </c>
      <c r="R24">
        <v>5</v>
      </c>
      <c r="S24">
        <f>STDEV(K36:K40)/SQRT(R24)</f>
        <v>6.7108960016880852</v>
      </c>
      <c r="AF24" s="4" t="s">
        <v>71</v>
      </c>
      <c r="AG24">
        <v>2.1951999999999998</v>
      </c>
      <c r="AH24" t="e">
        <f t="shared" si="3"/>
        <v>#NUM!</v>
      </c>
      <c r="AI24" s="4">
        <v>10</v>
      </c>
      <c r="AJ24" s="4" t="e">
        <f t="shared" si="4"/>
        <v>#NUM!</v>
      </c>
      <c r="AL24" s="3">
        <v>1E-3</v>
      </c>
      <c r="AM24" s="3">
        <f t="shared" si="2"/>
        <v>0.01</v>
      </c>
    </row>
    <row r="25" spans="4:46" x14ac:dyDescent="0.2">
      <c r="AE25" t="s">
        <v>11</v>
      </c>
      <c r="AF25" s="4" t="s">
        <v>72</v>
      </c>
      <c r="AG25">
        <v>0.68889999999999996</v>
      </c>
      <c r="AH25">
        <f t="shared" si="3"/>
        <v>1.284935897435898</v>
      </c>
      <c r="AI25" s="4">
        <v>10</v>
      </c>
      <c r="AJ25" s="4">
        <f t="shared" si="4"/>
        <v>12.84935897435898</v>
      </c>
      <c r="AL25" s="3">
        <f t="shared" si="5"/>
        <v>2.436879088926581</v>
      </c>
      <c r="AM25" s="3">
        <f t="shared" si="2"/>
        <v>24.36879088926581</v>
      </c>
      <c r="AN25" t="s">
        <v>11</v>
      </c>
      <c r="AP25" t="s">
        <v>18</v>
      </c>
      <c r="AQ25" t="s">
        <v>10</v>
      </c>
      <c r="AR25">
        <f>AVERAGE(AM50:AM56,M43:M45)</f>
        <v>1.7655217391304352</v>
      </c>
      <c r="AS25">
        <v>10</v>
      </c>
      <c r="AT25">
        <f>STDEV(AM50:AM56,M43:M45)/SQRT(AS25)</f>
        <v>1.7555217391304343</v>
      </c>
    </row>
    <row r="26" spans="4:46" x14ac:dyDescent="0.2">
      <c r="O26" t="s">
        <v>18</v>
      </c>
      <c r="P26" t="s">
        <v>10</v>
      </c>
      <c r="Q26">
        <f>AVERAGE(K43:K45)</f>
        <v>0.87713084967320187</v>
      </c>
      <c r="R26">
        <v>3</v>
      </c>
      <c r="S26">
        <f>STDEV(K43:K45)/SQRT(R26)</f>
        <v>0.87712084967320181</v>
      </c>
      <c r="AF26" s="4" t="s">
        <v>73</v>
      </c>
      <c r="AG26">
        <v>0.91379999999999995</v>
      </c>
      <c r="AH26">
        <f t="shared" si="3"/>
        <v>0.56410256410256465</v>
      </c>
      <c r="AI26" s="4">
        <v>10</v>
      </c>
      <c r="AJ26" s="4">
        <f t="shared" si="4"/>
        <v>5.6410256410256467</v>
      </c>
      <c r="AL26" s="3">
        <f t="shared" si="5"/>
        <v>1.8919311848800584</v>
      </c>
      <c r="AM26" s="3">
        <f t="shared" si="2"/>
        <v>18.919311848800582</v>
      </c>
      <c r="AQ26" t="s">
        <v>11</v>
      </c>
      <c r="AR26">
        <f>AVERAGE(AM57:AM64,M46,M48:M50)</f>
        <v>33.456129395321724</v>
      </c>
      <c r="AS26">
        <f>COUNT(AM57:AM64,M46,M48:M50)</f>
        <v>12</v>
      </c>
      <c r="AT26">
        <f>STDEV(AM57:AM64,M46,M48:M50)/SQRT(AS26)</f>
        <v>1.4487831983697159</v>
      </c>
    </row>
    <row r="27" spans="4:46" x14ac:dyDescent="0.2">
      <c r="F27" t="s">
        <v>11</v>
      </c>
      <c r="G27" t="s">
        <v>34</v>
      </c>
      <c r="H27">
        <v>0.95209999999999995</v>
      </c>
      <c r="I27">
        <f t="shared" ref="I27:I40" si="6">EXP(LN((H27-0.955)/(-0.255)))</f>
        <v>1.1372549019607891E-2</v>
      </c>
      <c r="J27">
        <v>10</v>
      </c>
      <c r="K27">
        <f>I27*J27</f>
        <v>0.11372549019607892</v>
      </c>
      <c r="L27" s="3">
        <f t="shared" ref="L27:L59" si="7">(H27-1.2919)/(-0.23)</f>
        <v>1.4773913043478264</v>
      </c>
      <c r="M27" s="3">
        <f t="shared" ref="M27:M59" si="8">L27*J27</f>
        <v>14.773913043478263</v>
      </c>
      <c r="P27" t="s">
        <v>11</v>
      </c>
      <c r="Q27">
        <f>AVERAGE(K46,K48:K50)</f>
        <v>22.565686274509801</v>
      </c>
      <c r="R27">
        <v>4</v>
      </c>
      <c r="S27">
        <f>STDEV(K46,K48:K50)/SQRT(R27)</f>
        <v>0.65508074542926831</v>
      </c>
      <c r="AF27" s="4" t="s">
        <v>74</v>
      </c>
      <c r="AG27">
        <v>0.502</v>
      </c>
      <c r="AH27">
        <f t="shared" si="3"/>
        <v>1.8839743589743594</v>
      </c>
      <c r="AI27" s="4">
        <v>10</v>
      </c>
      <c r="AJ27" s="4">
        <f t="shared" si="4"/>
        <v>18.839743589743595</v>
      </c>
      <c r="AL27" s="3">
        <f t="shared" si="5"/>
        <v>2.8897504240368308</v>
      </c>
      <c r="AM27" s="3">
        <f t="shared" si="2"/>
        <v>28.897504240368306</v>
      </c>
      <c r="AQ27" t="s">
        <v>12</v>
      </c>
      <c r="AR27">
        <f>AVERAGE(AM65:AM71, M51:M54)</f>
        <v>17.517186157675617</v>
      </c>
      <c r="AS27">
        <f>COUNT(AM65:AM71, M51:M54)</f>
        <v>11</v>
      </c>
      <c r="AT27">
        <f>STDEV(AM65:AM71, M51:M54)/SQRT(AS27)</f>
        <v>3.896993330136254</v>
      </c>
    </row>
    <row r="28" spans="4:46" x14ac:dyDescent="0.2">
      <c r="G28" t="s">
        <v>35</v>
      </c>
      <c r="H28">
        <v>0.35709999999999997</v>
      </c>
      <c r="I28">
        <f t="shared" si="6"/>
        <v>2.3447058823529412</v>
      </c>
      <c r="J28">
        <v>10</v>
      </c>
      <c r="K28">
        <f>I28*J28</f>
        <v>23.44705882352941</v>
      </c>
      <c r="L28" s="3">
        <f t="shared" si="7"/>
        <v>4.0643478260869568</v>
      </c>
      <c r="M28" s="3">
        <f t="shared" si="8"/>
        <v>40.643478260869571</v>
      </c>
      <c r="P28" t="s">
        <v>12</v>
      </c>
      <c r="Q28">
        <f>AVERAGE(K51:K54)</f>
        <v>12.742156862745096</v>
      </c>
      <c r="R28">
        <v>4</v>
      </c>
      <c r="S28">
        <f>STDEV(K51:K54)/SQRT(R28)</f>
        <v>4.4629347326951558</v>
      </c>
      <c r="AF28" s="4" t="s">
        <v>75</v>
      </c>
      <c r="AG28">
        <v>0.28839999999999999</v>
      </c>
      <c r="AH28">
        <f t="shared" si="3"/>
        <v>2.5685897435897438</v>
      </c>
      <c r="AI28" s="4">
        <v>10</v>
      </c>
      <c r="AJ28" s="4">
        <f t="shared" si="4"/>
        <v>25.685897435897438</v>
      </c>
      <c r="AL28" s="3">
        <f t="shared" si="5"/>
        <v>3.4073176641628304</v>
      </c>
      <c r="AM28" s="3">
        <f t="shared" si="2"/>
        <v>34.073176641628308</v>
      </c>
      <c r="AQ28" t="s">
        <v>13</v>
      </c>
      <c r="AR28">
        <f>AVERAGE(AM72:AM78,M55:M59)</f>
        <v>15.276750271278223</v>
      </c>
      <c r="AS28">
        <f>COUNT(AM72:AM78,M55:M59)</f>
        <v>12</v>
      </c>
      <c r="AT28">
        <f>STDEV(AM72:AM78,M55:M59)/SQRT(AS28)</f>
        <v>5.5379052456970008</v>
      </c>
    </row>
    <row r="29" spans="4:46" x14ac:dyDescent="0.2">
      <c r="G29" t="s">
        <v>36</v>
      </c>
      <c r="H29">
        <v>0.2399</v>
      </c>
      <c r="I29">
        <f t="shared" si="6"/>
        <v>2.804313725490196</v>
      </c>
      <c r="J29">
        <v>10</v>
      </c>
      <c r="K29">
        <f>I29*J29</f>
        <v>28.043137254901961</v>
      </c>
      <c r="L29" s="3">
        <f t="shared" si="7"/>
        <v>4.5739130434782611</v>
      </c>
      <c r="M29" s="3">
        <f t="shared" si="8"/>
        <v>45.739130434782609</v>
      </c>
      <c r="P29" t="s">
        <v>13</v>
      </c>
      <c r="Q29">
        <f>AVERAGE(K56:K59)</f>
        <v>21.246078431372545</v>
      </c>
      <c r="R29">
        <v>4</v>
      </c>
      <c r="S29">
        <f>STDEV(K56:K59)/SQRT(R29)</f>
        <v>4.5988741455254187</v>
      </c>
      <c r="AF29" s="4" t="s">
        <v>15</v>
      </c>
      <c r="AG29">
        <v>0.2303</v>
      </c>
      <c r="AH29">
        <f t="shared" si="3"/>
        <v>2.754807692307693</v>
      </c>
      <c r="AI29" s="4">
        <v>10</v>
      </c>
      <c r="AJ29" s="4">
        <f t="shared" si="4"/>
        <v>27.54807692307693</v>
      </c>
      <c r="AL29" s="3">
        <f t="shared" si="5"/>
        <v>3.5480978919311852</v>
      </c>
      <c r="AM29" s="3">
        <f t="shared" si="2"/>
        <v>35.480978919311852</v>
      </c>
    </row>
    <row r="30" spans="4:46" x14ac:dyDescent="0.2">
      <c r="G30" t="s">
        <v>37</v>
      </c>
      <c r="H30">
        <v>0.27439999999999998</v>
      </c>
      <c r="I30">
        <f t="shared" si="6"/>
        <v>2.6690196078431372</v>
      </c>
      <c r="J30">
        <v>10</v>
      </c>
      <c r="K30">
        <f>I30*J30</f>
        <v>26.69019607843137</v>
      </c>
      <c r="L30" s="3">
        <f t="shared" si="7"/>
        <v>4.4239130434782608</v>
      </c>
      <c r="M30" s="3">
        <f t="shared" si="8"/>
        <v>44.239130434782609</v>
      </c>
      <c r="AF30" s="4" t="s">
        <v>76</v>
      </c>
      <c r="AG30">
        <v>0.45219999999999999</v>
      </c>
      <c r="AH30">
        <f t="shared" si="3"/>
        <v>2.0435897435897443</v>
      </c>
      <c r="AI30" s="4">
        <v>10</v>
      </c>
      <c r="AJ30" s="4">
        <f t="shared" si="4"/>
        <v>20.435897435897445</v>
      </c>
      <c r="AL30" s="3">
        <f t="shared" si="5"/>
        <v>3.0104191906954205</v>
      </c>
      <c r="AM30" s="3">
        <f t="shared" si="2"/>
        <v>30.104191906954206</v>
      </c>
    </row>
    <row r="31" spans="4:46" x14ac:dyDescent="0.2">
      <c r="G31" s="1" t="s">
        <v>38</v>
      </c>
      <c r="H31" s="1">
        <v>1.2553000000000001</v>
      </c>
      <c r="I31" s="1" t="e">
        <f t="shared" si="6"/>
        <v>#NUM!</v>
      </c>
      <c r="J31" s="1">
        <v>10</v>
      </c>
      <c r="K31" s="1">
        <v>1.0000000000000001E-5</v>
      </c>
      <c r="L31" s="2">
        <f t="shared" si="7"/>
        <v>0.15913043478260855</v>
      </c>
      <c r="M31" s="2">
        <f t="shared" si="8"/>
        <v>1.5913043478260855</v>
      </c>
      <c r="AF31" s="4" t="s">
        <v>77</v>
      </c>
      <c r="AG31">
        <v>0.39800000000000002</v>
      </c>
      <c r="AH31">
        <f t="shared" si="3"/>
        <v>2.2173076923076924</v>
      </c>
      <c r="AI31" s="4">
        <v>10</v>
      </c>
      <c r="AJ31" s="4">
        <f t="shared" si="4"/>
        <v>22.173076923076923</v>
      </c>
      <c r="AL31" s="3">
        <f t="shared" si="5"/>
        <v>3.1417494548097897</v>
      </c>
      <c r="AM31" s="3">
        <f t="shared" si="2"/>
        <v>31.417494548097899</v>
      </c>
    </row>
    <row r="32" spans="4:46" x14ac:dyDescent="0.2">
      <c r="F32" t="s">
        <v>12</v>
      </c>
      <c r="G32" t="s">
        <v>44</v>
      </c>
      <c r="H32">
        <v>0.21160000000000001</v>
      </c>
      <c r="I32">
        <f t="shared" si="6"/>
        <v>2.9152941176470586</v>
      </c>
      <c r="J32">
        <v>10</v>
      </c>
      <c r="K32">
        <f>I32*J32</f>
        <v>29.152941176470584</v>
      </c>
      <c r="L32" s="3">
        <f t="shared" si="7"/>
        <v>4.6969565217391303</v>
      </c>
      <c r="M32" s="3">
        <f t="shared" si="8"/>
        <v>46.969565217391306</v>
      </c>
      <c r="AE32" t="s">
        <v>12</v>
      </c>
      <c r="AF32" s="4" t="s">
        <v>16</v>
      </c>
      <c r="AG32">
        <v>0.3392</v>
      </c>
      <c r="AH32">
        <f t="shared" si="3"/>
        <v>2.4057692307692311</v>
      </c>
      <c r="AI32" s="4">
        <v>10</v>
      </c>
      <c r="AJ32" s="4">
        <f t="shared" si="4"/>
        <v>24.05769230769231</v>
      </c>
      <c r="AL32" s="3">
        <f t="shared" si="5"/>
        <v>3.2842258299006546</v>
      </c>
      <c r="AM32" s="3">
        <f t="shared" si="2"/>
        <v>32.842258299006545</v>
      </c>
      <c r="AN32" t="s">
        <v>12</v>
      </c>
    </row>
    <row r="33" spans="4:40" x14ac:dyDescent="0.2">
      <c r="G33" t="s">
        <v>45</v>
      </c>
      <c r="H33">
        <v>0.45950000000000002</v>
      </c>
      <c r="I33">
        <f t="shared" si="6"/>
        <v>1.9431372549019605</v>
      </c>
      <c r="J33">
        <v>10</v>
      </c>
      <c r="K33">
        <f>I33*J33</f>
        <v>19.431372549019606</v>
      </c>
      <c r="L33" s="3">
        <f t="shared" si="7"/>
        <v>3.6191304347826088</v>
      </c>
      <c r="M33" s="3">
        <f t="shared" si="8"/>
        <v>36.19130434782609</v>
      </c>
      <c r="AF33" s="4" t="s">
        <v>78</v>
      </c>
      <c r="AG33">
        <v>0.42430000000000001</v>
      </c>
      <c r="AH33">
        <f t="shared" si="3"/>
        <v>2.1330128205128207</v>
      </c>
      <c r="AI33" s="4">
        <v>10</v>
      </c>
      <c r="AJ33" s="4">
        <f t="shared" si="4"/>
        <v>21.330128205128208</v>
      </c>
      <c r="AL33" s="3">
        <f t="shared" si="5"/>
        <v>3.078022776835474</v>
      </c>
      <c r="AM33" s="3">
        <f t="shared" si="2"/>
        <v>30.780227768354742</v>
      </c>
    </row>
    <row r="34" spans="4:40" x14ac:dyDescent="0.2">
      <c r="G34" s="1" t="s">
        <v>46</v>
      </c>
      <c r="H34" s="1">
        <v>1.5242</v>
      </c>
      <c r="I34" s="1" t="e">
        <f t="shared" si="6"/>
        <v>#NUM!</v>
      </c>
      <c r="J34" s="1">
        <v>10</v>
      </c>
      <c r="K34" s="1">
        <v>1.0000000000000001E-5</v>
      </c>
      <c r="L34" s="2">
        <v>1E-3</v>
      </c>
      <c r="M34" s="2">
        <f t="shared" si="8"/>
        <v>0.01</v>
      </c>
      <c r="AF34" s="4" t="s">
        <v>79</v>
      </c>
      <c r="AG34">
        <v>1.5580000000000001</v>
      </c>
      <c r="AH34" t="e">
        <f t="shared" si="3"/>
        <v>#NUM!</v>
      </c>
      <c r="AI34" s="4">
        <v>10</v>
      </c>
      <c r="AJ34" s="4" t="e">
        <f t="shared" si="4"/>
        <v>#NUM!</v>
      </c>
      <c r="AL34" s="3">
        <f t="shared" si="5"/>
        <v>0.33099103464986684</v>
      </c>
      <c r="AM34" s="3">
        <f t="shared" si="2"/>
        <v>3.3099103464986683</v>
      </c>
    </row>
    <row r="35" spans="4:40" x14ac:dyDescent="0.2">
      <c r="G35" s="1" t="s">
        <v>47</v>
      </c>
      <c r="H35" s="1">
        <v>1.7518</v>
      </c>
      <c r="I35" s="1" t="e">
        <f t="shared" si="6"/>
        <v>#NUM!</v>
      </c>
      <c r="J35" s="1">
        <v>10</v>
      </c>
      <c r="K35" s="1">
        <v>1.0000000000000001E-5</v>
      </c>
      <c r="L35" s="2">
        <v>1E-3</v>
      </c>
      <c r="M35" s="2">
        <f t="shared" si="8"/>
        <v>0.01</v>
      </c>
      <c r="AF35" s="4" t="s">
        <v>80</v>
      </c>
      <c r="AG35">
        <v>1.4339</v>
      </c>
      <c r="AH35" t="e">
        <f t="shared" si="3"/>
        <v>#NUM!</v>
      </c>
      <c r="AI35" s="4">
        <v>10</v>
      </c>
      <c r="AJ35" s="4" t="e">
        <f t="shared" si="4"/>
        <v>#NUM!</v>
      </c>
      <c r="AL35" s="3">
        <f t="shared" si="5"/>
        <v>0.63169372425490711</v>
      </c>
      <c r="AM35" s="3">
        <f t="shared" si="2"/>
        <v>6.3169372425490709</v>
      </c>
    </row>
    <row r="36" spans="4:40" x14ac:dyDescent="0.2">
      <c r="F36" t="s">
        <v>13</v>
      </c>
      <c r="G36" t="s">
        <v>51</v>
      </c>
      <c r="H36">
        <v>0.1966</v>
      </c>
      <c r="I36">
        <f t="shared" si="6"/>
        <v>2.9741176470588235</v>
      </c>
      <c r="J36">
        <v>10</v>
      </c>
      <c r="K36">
        <f>I36*J36</f>
        <v>29.741176470588236</v>
      </c>
      <c r="L36" s="3">
        <f t="shared" si="7"/>
        <v>4.7621739130434779</v>
      </c>
      <c r="M36" s="3">
        <f t="shared" si="8"/>
        <v>47.621739130434776</v>
      </c>
      <c r="AF36" s="4" t="s">
        <v>81</v>
      </c>
      <c r="AG36">
        <v>1.1083000000000001</v>
      </c>
      <c r="AH36" t="e">
        <f t="shared" si="3"/>
        <v>#NUM!</v>
      </c>
      <c r="AI36" s="4">
        <v>10</v>
      </c>
      <c r="AJ36" s="4" t="e">
        <f t="shared" si="4"/>
        <v>#NUM!</v>
      </c>
      <c r="AL36" s="3">
        <f t="shared" si="5"/>
        <v>1.4206445359825539</v>
      </c>
      <c r="AM36" s="3">
        <f t="shared" si="2"/>
        <v>14.206445359825539</v>
      </c>
    </row>
    <row r="37" spans="4:40" x14ac:dyDescent="0.2">
      <c r="G37" t="s">
        <v>52</v>
      </c>
      <c r="H37">
        <v>0.32619999999999999</v>
      </c>
      <c r="I37">
        <f t="shared" si="6"/>
        <v>2.4658823529411764</v>
      </c>
      <c r="J37">
        <v>10</v>
      </c>
      <c r="K37">
        <f>I37*J37</f>
        <v>24.658823529411762</v>
      </c>
      <c r="L37" s="3">
        <f t="shared" si="7"/>
        <v>4.1986956521739129</v>
      </c>
      <c r="M37" s="3">
        <f t="shared" si="8"/>
        <v>41.986956521739131</v>
      </c>
      <c r="AF37" s="4" t="s">
        <v>82</v>
      </c>
      <c r="AG37">
        <v>0.29959999999999998</v>
      </c>
      <c r="AH37">
        <f t="shared" si="3"/>
        <v>2.532692307692308</v>
      </c>
      <c r="AI37" s="4">
        <v>10</v>
      </c>
      <c r="AJ37" s="4">
        <f t="shared" si="4"/>
        <v>25.32692307692308</v>
      </c>
      <c r="AL37" s="3">
        <f t="shared" si="5"/>
        <v>3.3801793070026651</v>
      </c>
      <c r="AM37" s="3">
        <f t="shared" si="2"/>
        <v>33.801793070026648</v>
      </c>
    </row>
    <row r="38" spans="4:40" x14ac:dyDescent="0.2">
      <c r="G38" t="s">
        <v>53</v>
      </c>
      <c r="H38">
        <v>1.5430999999999999</v>
      </c>
      <c r="I38" t="e">
        <f t="shared" si="6"/>
        <v>#NUM!</v>
      </c>
      <c r="J38">
        <v>10</v>
      </c>
      <c r="K38">
        <v>1.0000000000000001E-5</v>
      </c>
      <c r="L38" s="3">
        <v>1E-3</v>
      </c>
      <c r="M38" s="3">
        <f t="shared" si="8"/>
        <v>0.01</v>
      </c>
      <c r="AF38" s="4" t="s">
        <v>118</v>
      </c>
      <c r="AG38">
        <v>0.58919999999999995</v>
      </c>
      <c r="AH38">
        <f t="shared" si="3"/>
        <v>1.60448717948718</v>
      </c>
      <c r="AI38" s="4">
        <v>10</v>
      </c>
      <c r="AJ38" s="4">
        <f t="shared" si="4"/>
        <v>16.044871794871799</v>
      </c>
      <c r="AL38" s="3">
        <f t="shared" si="5"/>
        <v>2.6784589290041194</v>
      </c>
      <c r="AM38" s="3">
        <f t="shared" si="2"/>
        <v>26.784589290041193</v>
      </c>
    </row>
    <row r="39" spans="4:40" x14ac:dyDescent="0.2">
      <c r="G39" t="s">
        <v>54</v>
      </c>
      <c r="H39">
        <v>1.1831</v>
      </c>
      <c r="I39" t="e">
        <f t="shared" si="6"/>
        <v>#NUM!</v>
      </c>
      <c r="J39">
        <v>10</v>
      </c>
      <c r="K39">
        <v>1.0000000000000001E-5</v>
      </c>
      <c r="L39" s="3">
        <f t="shared" si="7"/>
        <v>0.47304347826086957</v>
      </c>
      <c r="M39" s="3">
        <f t="shared" si="8"/>
        <v>4.7304347826086959</v>
      </c>
      <c r="AF39" s="4" t="s">
        <v>119</v>
      </c>
      <c r="AG39">
        <v>0.43559999999999999</v>
      </c>
      <c r="AH39">
        <f t="shared" si="3"/>
        <v>2.0967948717948723</v>
      </c>
      <c r="AI39" s="4">
        <v>10</v>
      </c>
      <c r="AJ39" s="4">
        <f t="shared" si="4"/>
        <v>20.967948717948723</v>
      </c>
      <c r="AL39" s="3">
        <f t="shared" si="5"/>
        <v>3.0506421129149506</v>
      </c>
      <c r="AM39" s="3">
        <f t="shared" si="2"/>
        <v>30.506421129149505</v>
      </c>
    </row>
    <row r="40" spans="4:40" x14ac:dyDescent="0.2">
      <c r="G40" t="s">
        <v>55</v>
      </c>
      <c r="H40">
        <v>1.7847999999999999</v>
      </c>
      <c r="I40" t="e">
        <f t="shared" si="6"/>
        <v>#NUM!</v>
      </c>
      <c r="J40">
        <v>10</v>
      </c>
      <c r="K40">
        <v>1.0000000000000001E-5</v>
      </c>
      <c r="L40" s="3">
        <v>1E-3</v>
      </c>
      <c r="M40" s="3">
        <f t="shared" si="8"/>
        <v>0.01</v>
      </c>
      <c r="AF40" s="1" t="s">
        <v>120</v>
      </c>
      <c r="AG40" s="1">
        <v>1.9414</v>
      </c>
      <c r="AH40" s="1" t="e">
        <f t="shared" si="3"/>
        <v>#NUM!</v>
      </c>
      <c r="AI40" s="1">
        <v>10</v>
      </c>
      <c r="AJ40" s="1" t="e">
        <f t="shared" si="4"/>
        <v>#NUM!</v>
      </c>
      <c r="AK40" s="1"/>
      <c r="AL40" s="2">
        <v>1E-3</v>
      </c>
      <c r="AM40" s="2">
        <f t="shared" si="2"/>
        <v>0.01</v>
      </c>
    </row>
    <row r="41" spans="4:40" x14ac:dyDescent="0.2">
      <c r="AE41" t="s">
        <v>13</v>
      </c>
      <c r="AF41" s="4" t="s">
        <v>83</v>
      </c>
      <c r="AG41">
        <v>1.6551</v>
      </c>
      <c r="AH41" t="e">
        <f t="shared" si="3"/>
        <v>#NUM!</v>
      </c>
      <c r="AI41" s="4">
        <v>10</v>
      </c>
      <c r="AJ41" s="4" t="e">
        <f t="shared" si="4"/>
        <v>#NUM!</v>
      </c>
      <c r="AL41" s="3">
        <f t="shared" si="5"/>
        <v>9.5711170341652746E-2</v>
      </c>
      <c r="AM41" s="3">
        <f t="shared" si="2"/>
        <v>0.95711170341652752</v>
      </c>
      <c r="AN41" t="s">
        <v>13</v>
      </c>
    </row>
    <row r="42" spans="4:40" x14ac:dyDescent="0.2">
      <c r="D42" t="s">
        <v>62</v>
      </c>
      <c r="E42" t="s">
        <v>18</v>
      </c>
      <c r="F42" t="s">
        <v>10</v>
      </c>
      <c r="G42" s="1" t="s">
        <v>30</v>
      </c>
      <c r="H42" s="1">
        <v>0.3135</v>
      </c>
      <c r="I42" s="1">
        <f>EXP(LN((H42-0.955)/(-0.255)))</f>
        <v>2.5156862745098039</v>
      </c>
      <c r="J42" s="1">
        <v>10</v>
      </c>
      <c r="K42" s="1">
        <f>I42*J42</f>
        <v>25.156862745098039</v>
      </c>
      <c r="L42" s="2">
        <f t="shared" si="7"/>
        <v>4.2539130434782608</v>
      </c>
      <c r="M42" s="2">
        <f t="shared" si="8"/>
        <v>42.539130434782606</v>
      </c>
      <c r="AF42" s="4" t="s">
        <v>17</v>
      </c>
      <c r="AG42">
        <v>0.66479999999999995</v>
      </c>
      <c r="AH42">
        <f t="shared" si="3"/>
        <v>1.3621794871794877</v>
      </c>
      <c r="AI42" s="4">
        <v>10</v>
      </c>
      <c r="AJ42" s="4">
        <f t="shared" si="4"/>
        <v>13.621794871794876</v>
      </c>
      <c r="AL42" s="3">
        <f t="shared" si="5"/>
        <v>2.4952750181730075</v>
      </c>
      <c r="AM42" s="3">
        <f t="shared" si="2"/>
        <v>24.952750181730075</v>
      </c>
    </row>
    <row r="43" spans="4:40" x14ac:dyDescent="0.2">
      <c r="G43" s="4" t="s">
        <v>31</v>
      </c>
      <c r="H43" s="4">
        <v>0.88790000000000002</v>
      </c>
      <c r="I43" s="4">
        <f t="shared" ref="I43:I59" si="9">EXP(LN((H43-0.955)/(-0.255)))</f>
        <v>0.26313725490196055</v>
      </c>
      <c r="J43" s="4">
        <v>10</v>
      </c>
      <c r="K43" s="4">
        <f t="shared" ref="K43:K59" si="10">I43*J43</f>
        <v>2.6313725490196056</v>
      </c>
      <c r="L43" s="5">
        <f t="shared" si="7"/>
        <v>1.7565217391304349</v>
      </c>
      <c r="M43" s="5">
        <f t="shared" si="8"/>
        <v>17.565217391304348</v>
      </c>
      <c r="AF43" s="4" t="s">
        <v>84</v>
      </c>
      <c r="AG43">
        <v>0.89880000000000004</v>
      </c>
      <c r="AH43">
        <f t="shared" si="3"/>
        <v>0.61217948717948734</v>
      </c>
      <c r="AI43" s="4">
        <v>10</v>
      </c>
      <c r="AJ43" s="4">
        <f t="shared" si="4"/>
        <v>6.1217948717948731</v>
      </c>
      <c r="AL43" s="3">
        <f t="shared" si="5"/>
        <v>1.9282771989338503</v>
      </c>
      <c r="AM43" s="3">
        <f t="shared" si="2"/>
        <v>19.282771989338503</v>
      </c>
    </row>
    <row r="44" spans="4:40" x14ac:dyDescent="0.2">
      <c r="G44" t="s">
        <v>32</v>
      </c>
      <c r="H44">
        <v>1.5958000000000001</v>
      </c>
      <c r="I44" s="4" t="e">
        <f t="shared" si="9"/>
        <v>#NUM!</v>
      </c>
      <c r="J44">
        <v>10</v>
      </c>
      <c r="K44">
        <v>1.0000000000000001E-5</v>
      </c>
      <c r="L44" s="3">
        <v>1E-3</v>
      </c>
      <c r="M44" s="3">
        <f t="shared" si="8"/>
        <v>0.01</v>
      </c>
      <c r="AF44" s="1" t="s">
        <v>85</v>
      </c>
      <c r="AG44" s="1">
        <v>2.1438999999999999</v>
      </c>
      <c r="AH44" s="1" t="e">
        <f t="shared" si="3"/>
        <v>#NUM!</v>
      </c>
      <c r="AI44" s="1">
        <v>10</v>
      </c>
      <c r="AJ44" s="1" t="e">
        <f t="shared" si="4"/>
        <v>#NUM!</v>
      </c>
      <c r="AK44" s="1"/>
      <c r="AL44" s="2">
        <f>0.001</f>
        <v>1E-3</v>
      </c>
      <c r="AM44" s="2">
        <f t="shared" si="2"/>
        <v>0.01</v>
      </c>
    </row>
    <row r="45" spans="4:40" x14ac:dyDescent="0.2">
      <c r="G45" t="s">
        <v>33</v>
      </c>
      <c r="H45">
        <v>1.3407</v>
      </c>
      <c r="I45" s="4" t="e">
        <f t="shared" si="9"/>
        <v>#NUM!</v>
      </c>
      <c r="J45">
        <v>10</v>
      </c>
      <c r="K45">
        <v>1.0000000000000001E-5</v>
      </c>
      <c r="L45" s="3">
        <v>1E-3</v>
      </c>
      <c r="M45" s="3">
        <f t="shared" si="8"/>
        <v>0.01</v>
      </c>
      <c r="AF45" s="4" t="s">
        <v>86</v>
      </c>
      <c r="AG45">
        <v>1.5772999999999999</v>
      </c>
      <c r="AH45" t="e">
        <f t="shared" si="3"/>
        <v>#NUM!</v>
      </c>
      <c r="AI45" s="4">
        <v>10</v>
      </c>
      <c r="AJ45" s="4" t="e">
        <f t="shared" si="4"/>
        <v>#NUM!</v>
      </c>
      <c r="AL45" s="3">
        <f t="shared" si="5"/>
        <v>0.28422582990065465</v>
      </c>
      <c r="AM45" s="3">
        <f t="shared" si="2"/>
        <v>2.8422582990065464</v>
      </c>
    </row>
    <row r="46" spans="4:40" x14ac:dyDescent="0.2">
      <c r="F46" t="s">
        <v>11</v>
      </c>
      <c r="G46" t="s">
        <v>39</v>
      </c>
      <c r="H46">
        <v>0.3427</v>
      </c>
      <c r="I46" s="4">
        <f t="shared" si="9"/>
        <v>2.401176470588235</v>
      </c>
      <c r="J46">
        <v>10</v>
      </c>
      <c r="K46" s="4">
        <f t="shared" si="10"/>
        <v>24.011764705882349</v>
      </c>
      <c r="L46" s="3">
        <f t="shared" si="7"/>
        <v>4.1269565217391309</v>
      </c>
      <c r="M46" s="3">
        <f t="shared" si="8"/>
        <v>41.26956521739131</v>
      </c>
      <c r="AF46" s="4" t="s">
        <v>87</v>
      </c>
      <c r="AG46">
        <v>1.1154999999999999</v>
      </c>
      <c r="AH46" t="e">
        <f t="shared" si="3"/>
        <v>#NUM!</v>
      </c>
      <c r="AI46" s="4">
        <v>10</v>
      </c>
      <c r="AJ46" s="4" t="e">
        <f t="shared" si="4"/>
        <v>#NUM!</v>
      </c>
      <c r="AL46" s="3">
        <f t="shared" si="5"/>
        <v>1.403198449236734</v>
      </c>
      <c r="AM46" s="3">
        <f t="shared" si="2"/>
        <v>14.031984492367339</v>
      </c>
    </row>
    <row r="47" spans="4:40" x14ac:dyDescent="0.2">
      <c r="G47" s="1" t="s">
        <v>40</v>
      </c>
      <c r="H47" s="1">
        <v>0.98799999999999999</v>
      </c>
      <c r="I47" s="1" t="e">
        <f t="shared" si="9"/>
        <v>#NUM!</v>
      </c>
      <c r="J47" s="1">
        <v>10</v>
      </c>
      <c r="K47" s="1">
        <v>1.0000000000000001E-5</v>
      </c>
      <c r="L47" s="2">
        <f t="shared" si="7"/>
        <v>1.3213043478260871</v>
      </c>
      <c r="M47" s="2">
        <f t="shared" si="8"/>
        <v>13.213043478260872</v>
      </c>
      <c r="AF47" s="1" t="s">
        <v>88</v>
      </c>
      <c r="AG47" s="1">
        <v>2.4235000000000002</v>
      </c>
      <c r="AH47" s="1" t="e">
        <f t="shared" si="3"/>
        <v>#NUM!</v>
      </c>
      <c r="AI47" s="1">
        <v>10</v>
      </c>
      <c r="AJ47" s="1" t="e">
        <f t="shared" si="4"/>
        <v>#NUM!</v>
      </c>
      <c r="AK47" s="1"/>
      <c r="AL47" s="2">
        <v>1E-3</v>
      </c>
      <c r="AM47" s="2">
        <f t="shared" si="2"/>
        <v>0.01</v>
      </c>
    </row>
    <row r="48" spans="4:40" x14ac:dyDescent="0.2">
      <c r="G48" t="s">
        <v>41</v>
      </c>
      <c r="H48">
        <v>0.38519999999999999</v>
      </c>
      <c r="I48" s="4">
        <f t="shared" si="9"/>
        <v>2.2345098039215685</v>
      </c>
      <c r="J48">
        <v>10</v>
      </c>
      <c r="K48" s="4">
        <f t="shared" si="10"/>
        <v>22.345098039215685</v>
      </c>
      <c r="L48" s="3">
        <f t="shared" si="7"/>
        <v>3.9421739130434785</v>
      </c>
      <c r="M48" s="3">
        <f t="shared" si="8"/>
        <v>39.421739130434787</v>
      </c>
      <c r="AF48" s="4" t="s">
        <v>89</v>
      </c>
      <c r="AG48">
        <v>0.8639</v>
      </c>
      <c r="AH48">
        <f t="shared" si="3"/>
        <v>0.72403846153846185</v>
      </c>
      <c r="AI48" s="4">
        <v>10</v>
      </c>
      <c r="AJ48" s="4">
        <f t="shared" si="4"/>
        <v>7.2403846153846185</v>
      </c>
      <c r="AL48" s="3">
        <f t="shared" si="5"/>
        <v>2.0128422582990066</v>
      </c>
      <c r="AM48" s="3">
        <f t="shared" si="2"/>
        <v>20.128422582990066</v>
      </c>
    </row>
    <row r="49" spans="6:40" x14ac:dyDescent="0.2">
      <c r="G49" t="s">
        <v>42</v>
      </c>
      <c r="H49">
        <v>0.36809999999999998</v>
      </c>
      <c r="I49" s="4">
        <f t="shared" si="9"/>
        <v>2.3015686274509801</v>
      </c>
      <c r="J49">
        <v>10</v>
      </c>
      <c r="K49" s="4">
        <f t="shared" si="10"/>
        <v>23.0156862745098</v>
      </c>
      <c r="L49" s="3">
        <f t="shared" si="7"/>
        <v>4.0165217391304351</v>
      </c>
      <c r="M49" s="3">
        <f t="shared" si="8"/>
        <v>40.165217391304353</v>
      </c>
      <c r="AG49" s="4"/>
      <c r="AH49" s="4"/>
      <c r="AI49" s="4"/>
      <c r="AJ49" s="4"/>
      <c r="AL49" s="3"/>
      <c r="AM49" s="3">
        <f t="shared" si="2"/>
        <v>0</v>
      </c>
    </row>
    <row r="50" spans="6:40" x14ac:dyDescent="0.2">
      <c r="G50" t="s">
        <v>43</v>
      </c>
      <c r="H50">
        <v>0.42230000000000001</v>
      </c>
      <c r="I50" s="4">
        <f t="shared" si="9"/>
        <v>2.0890196078431371</v>
      </c>
      <c r="J50">
        <v>10</v>
      </c>
      <c r="K50" s="4">
        <f t="shared" si="10"/>
        <v>20.890196078431373</v>
      </c>
      <c r="L50" s="3">
        <f t="shared" si="7"/>
        <v>3.7808695652173911</v>
      </c>
      <c r="M50" s="3">
        <f t="shared" si="8"/>
        <v>37.80869565217391</v>
      </c>
      <c r="AC50" t="s">
        <v>112</v>
      </c>
      <c r="AD50" t="s">
        <v>18</v>
      </c>
      <c r="AE50" t="s">
        <v>10</v>
      </c>
      <c r="AF50" s="4" t="s">
        <v>90</v>
      </c>
      <c r="AG50">
        <v>2.133</v>
      </c>
      <c r="AH50" t="e">
        <f t="shared" si="3"/>
        <v>#NUM!</v>
      </c>
      <c r="AI50" s="4">
        <v>10</v>
      </c>
      <c r="AJ50" s="4" t="e">
        <f>AH50*AI50</f>
        <v>#NUM!</v>
      </c>
      <c r="AL50" s="3">
        <v>1E-3</v>
      </c>
      <c r="AM50" s="3">
        <f t="shared" si="2"/>
        <v>0.01</v>
      </c>
      <c r="AN50" t="s">
        <v>10</v>
      </c>
    </row>
    <row r="51" spans="6:40" x14ac:dyDescent="0.2">
      <c r="F51" t="s">
        <v>12</v>
      </c>
      <c r="G51" t="s">
        <v>48</v>
      </c>
      <c r="H51">
        <v>0.68089999999999995</v>
      </c>
      <c r="I51" s="4">
        <f t="shared" si="9"/>
        <v>1.0749019607843138</v>
      </c>
      <c r="J51">
        <v>10</v>
      </c>
      <c r="K51" s="4">
        <f t="shared" si="10"/>
        <v>10.749019607843138</v>
      </c>
      <c r="L51" s="3">
        <f t="shared" si="7"/>
        <v>2.6565217391304352</v>
      </c>
      <c r="M51" s="3">
        <f t="shared" si="8"/>
        <v>26.565217391304351</v>
      </c>
      <c r="AF51" s="4" t="s">
        <v>91</v>
      </c>
      <c r="AG51">
        <v>2.1212</v>
      </c>
      <c r="AH51" t="e">
        <f t="shared" si="3"/>
        <v>#NUM!</v>
      </c>
      <c r="AI51" s="4">
        <v>10</v>
      </c>
      <c r="AJ51" s="4" t="e">
        <f t="shared" ref="AJ51:AJ78" si="11">AH51*AI51</f>
        <v>#NUM!</v>
      </c>
      <c r="AL51" s="3">
        <v>1E-3</v>
      </c>
      <c r="AM51" s="3">
        <f t="shared" si="2"/>
        <v>0.01</v>
      </c>
    </row>
    <row r="52" spans="6:40" x14ac:dyDescent="0.2">
      <c r="G52" t="s">
        <v>49</v>
      </c>
      <c r="H52">
        <v>0.5948</v>
      </c>
      <c r="I52" s="4">
        <f t="shared" si="9"/>
        <v>1.412549019607843</v>
      </c>
      <c r="J52">
        <v>10</v>
      </c>
      <c r="K52" s="4">
        <f t="shared" si="10"/>
        <v>14.125490196078429</v>
      </c>
      <c r="L52" s="3">
        <f t="shared" si="7"/>
        <v>3.0308695652173916</v>
      </c>
      <c r="M52" s="3">
        <f t="shared" si="8"/>
        <v>30.308695652173917</v>
      </c>
      <c r="AF52" s="4" t="s">
        <v>21</v>
      </c>
      <c r="AG52">
        <v>1.9212</v>
      </c>
      <c r="AH52" t="e">
        <f t="shared" si="3"/>
        <v>#NUM!</v>
      </c>
      <c r="AI52" s="4">
        <v>10</v>
      </c>
      <c r="AJ52" s="4" t="e">
        <f t="shared" si="11"/>
        <v>#NUM!</v>
      </c>
      <c r="AL52" s="3">
        <v>1E-3</v>
      </c>
      <c r="AM52" s="3">
        <f t="shared" si="2"/>
        <v>0.01</v>
      </c>
    </row>
    <row r="53" spans="6:40" x14ac:dyDescent="0.2">
      <c r="G53" t="s">
        <v>23</v>
      </c>
      <c r="H53">
        <v>0.34710000000000002</v>
      </c>
      <c r="I53" s="4">
        <f t="shared" si="9"/>
        <v>2.3839215686274504</v>
      </c>
      <c r="J53">
        <v>10</v>
      </c>
      <c r="K53" s="4">
        <f t="shared" si="10"/>
        <v>23.839215686274503</v>
      </c>
      <c r="L53" s="3">
        <f t="shared" si="7"/>
        <v>4.1078260869565222</v>
      </c>
      <c r="M53" s="3">
        <f t="shared" si="8"/>
        <v>41.07826086956522</v>
      </c>
      <c r="AF53" s="4" t="s">
        <v>92</v>
      </c>
      <c r="AG53">
        <v>2.0023</v>
      </c>
      <c r="AH53" t="e">
        <f t="shared" si="3"/>
        <v>#NUM!</v>
      </c>
      <c r="AI53" s="4">
        <v>10</v>
      </c>
      <c r="AJ53" s="4" t="e">
        <f t="shared" si="11"/>
        <v>#NUM!</v>
      </c>
      <c r="AL53" s="3">
        <v>1E-3</v>
      </c>
      <c r="AM53" s="3">
        <f t="shared" si="2"/>
        <v>0.01</v>
      </c>
    </row>
    <row r="54" spans="6:40" x14ac:dyDescent="0.2">
      <c r="G54" t="s">
        <v>50</v>
      </c>
      <c r="H54">
        <v>0.89749999999999996</v>
      </c>
      <c r="I54" s="4">
        <f t="shared" si="9"/>
        <v>0.22549019607843135</v>
      </c>
      <c r="J54">
        <v>10</v>
      </c>
      <c r="K54" s="4">
        <f t="shared" si="10"/>
        <v>2.2549019607843137</v>
      </c>
      <c r="L54" s="3">
        <f t="shared" si="7"/>
        <v>1.7147826086956524</v>
      </c>
      <c r="M54" s="3">
        <f t="shared" si="8"/>
        <v>17.147826086956524</v>
      </c>
      <c r="AF54" s="4" t="s">
        <v>93</v>
      </c>
      <c r="AG54">
        <v>1.9327000000000001</v>
      </c>
      <c r="AH54" t="e">
        <f t="shared" si="3"/>
        <v>#NUM!</v>
      </c>
      <c r="AI54" s="4">
        <v>10</v>
      </c>
      <c r="AJ54" s="4" t="e">
        <f t="shared" si="11"/>
        <v>#NUM!</v>
      </c>
      <c r="AL54" s="3">
        <v>1E-3</v>
      </c>
      <c r="AM54" s="3">
        <f t="shared" si="2"/>
        <v>0.01</v>
      </c>
    </row>
    <row r="55" spans="6:40" x14ac:dyDescent="0.2">
      <c r="F55" t="s">
        <v>13</v>
      </c>
      <c r="G55" t="s">
        <v>56</v>
      </c>
      <c r="H55">
        <v>1.4757</v>
      </c>
      <c r="I55" s="4" t="e">
        <f t="shared" si="9"/>
        <v>#NUM!</v>
      </c>
      <c r="J55">
        <v>10</v>
      </c>
      <c r="K55">
        <v>1.0000000000000001E-5</v>
      </c>
      <c r="L55" s="3">
        <v>1E-3</v>
      </c>
      <c r="M55" s="3">
        <f t="shared" si="8"/>
        <v>0.01</v>
      </c>
      <c r="AF55" s="4" t="s">
        <v>94</v>
      </c>
      <c r="AG55">
        <v>1.9617</v>
      </c>
      <c r="AH55" t="e">
        <f t="shared" si="3"/>
        <v>#NUM!</v>
      </c>
      <c r="AI55" s="4">
        <v>10</v>
      </c>
      <c r="AJ55" s="4" t="e">
        <f t="shared" si="11"/>
        <v>#NUM!</v>
      </c>
      <c r="AL55" s="3">
        <v>1E-3</v>
      </c>
      <c r="AM55" s="3">
        <f t="shared" si="2"/>
        <v>0.01</v>
      </c>
    </row>
    <row r="56" spans="6:40" x14ac:dyDescent="0.2">
      <c r="G56" t="s">
        <v>57</v>
      </c>
      <c r="H56">
        <v>0.69630000000000003</v>
      </c>
      <c r="I56" s="4">
        <f t="shared" si="9"/>
        <v>1.0145098039215683</v>
      </c>
      <c r="J56">
        <v>10</v>
      </c>
      <c r="K56" s="4">
        <f t="shared" si="10"/>
        <v>10.145098039215682</v>
      </c>
      <c r="L56" s="3">
        <f t="shared" si="7"/>
        <v>2.5895652173913044</v>
      </c>
      <c r="M56" s="3">
        <f t="shared" si="8"/>
        <v>25.895652173913042</v>
      </c>
      <c r="AF56" s="4" t="s">
        <v>95</v>
      </c>
      <c r="AG56">
        <v>2.5499000000000001</v>
      </c>
      <c r="AH56" t="e">
        <f t="shared" si="3"/>
        <v>#NUM!</v>
      </c>
      <c r="AI56" s="4">
        <v>10</v>
      </c>
      <c r="AJ56" s="4" t="e">
        <f t="shared" si="11"/>
        <v>#NUM!</v>
      </c>
      <c r="AL56" s="3">
        <v>1E-3</v>
      </c>
      <c r="AM56" s="3">
        <f t="shared" si="2"/>
        <v>0.01</v>
      </c>
    </row>
    <row r="57" spans="6:40" x14ac:dyDescent="0.2">
      <c r="G57" t="s">
        <v>58</v>
      </c>
      <c r="H57">
        <v>0.51449999999999996</v>
      </c>
      <c r="I57" s="4">
        <f t="shared" si="9"/>
        <v>1.7274509803921569</v>
      </c>
      <c r="J57">
        <v>10</v>
      </c>
      <c r="K57" s="4">
        <f t="shared" si="10"/>
        <v>17.274509803921568</v>
      </c>
      <c r="L57" s="3">
        <f t="shared" si="7"/>
        <v>3.3800000000000003</v>
      </c>
      <c r="M57" s="3">
        <f t="shared" si="8"/>
        <v>33.800000000000004</v>
      </c>
      <c r="AE57" t="s">
        <v>11</v>
      </c>
      <c r="AF57" s="4" t="s">
        <v>114</v>
      </c>
      <c r="AG57">
        <v>0.3458</v>
      </c>
      <c r="AH57">
        <f t="shared" si="3"/>
        <v>2.384615384615385</v>
      </c>
      <c r="AI57" s="4">
        <v>10</v>
      </c>
      <c r="AJ57" s="4">
        <f t="shared" si="11"/>
        <v>23.84615384615385</v>
      </c>
      <c r="AL57" s="3">
        <f t="shared" si="5"/>
        <v>3.2682335837169862</v>
      </c>
      <c r="AM57" s="3">
        <f t="shared" si="2"/>
        <v>32.682335837169859</v>
      </c>
      <c r="AN57" t="s">
        <v>11</v>
      </c>
    </row>
    <row r="58" spans="6:40" x14ac:dyDescent="0.2">
      <c r="G58" t="s">
        <v>59</v>
      </c>
      <c r="H58">
        <v>0.20130000000000001</v>
      </c>
      <c r="I58" s="4">
        <f t="shared" si="9"/>
        <v>2.9556862745098034</v>
      </c>
      <c r="J58">
        <v>10</v>
      </c>
      <c r="K58" s="4">
        <f t="shared" si="10"/>
        <v>29.556862745098034</v>
      </c>
      <c r="L58" s="3">
        <f t="shared" si="7"/>
        <v>4.7417391304347829</v>
      </c>
      <c r="M58" s="3">
        <f t="shared" si="8"/>
        <v>47.417391304347831</v>
      </c>
      <c r="AF58" s="4" t="s">
        <v>115</v>
      </c>
      <c r="AG58">
        <v>0.4929</v>
      </c>
      <c r="AH58">
        <f t="shared" si="3"/>
        <v>1.9131410256410259</v>
      </c>
      <c r="AI58" s="4">
        <v>10</v>
      </c>
      <c r="AJ58" s="4">
        <f t="shared" si="11"/>
        <v>19.131410256410259</v>
      </c>
      <c r="AL58" s="3">
        <f t="shared" si="5"/>
        <v>2.9118003392294649</v>
      </c>
      <c r="AM58" s="3">
        <f t="shared" si="2"/>
        <v>29.11800339229465</v>
      </c>
    </row>
    <row r="59" spans="6:40" x14ac:dyDescent="0.2">
      <c r="G59" t="s">
        <v>60</v>
      </c>
      <c r="H59">
        <v>0.24079999999999999</v>
      </c>
      <c r="I59" s="4">
        <f t="shared" si="9"/>
        <v>2.8007843137254897</v>
      </c>
      <c r="J59">
        <v>10</v>
      </c>
      <c r="K59" s="4">
        <f t="shared" si="10"/>
        <v>28.007843137254898</v>
      </c>
      <c r="L59" s="3">
        <f t="shared" si="7"/>
        <v>4.57</v>
      </c>
      <c r="M59" s="3">
        <f t="shared" si="8"/>
        <v>45.7</v>
      </c>
      <c r="AF59" s="4" t="s">
        <v>116</v>
      </c>
      <c r="AG59">
        <v>0.61350000000000005</v>
      </c>
      <c r="AH59">
        <f t="shared" si="3"/>
        <v>1.5266025641025642</v>
      </c>
      <c r="AI59" s="4">
        <v>10</v>
      </c>
      <c r="AJ59" s="4">
        <f t="shared" si="11"/>
        <v>15.266025641025642</v>
      </c>
      <c r="AL59" s="3">
        <f t="shared" si="5"/>
        <v>2.6195783862369764</v>
      </c>
      <c r="AM59" s="3">
        <f t="shared" si="2"/>
        <v>26.195783862369765</v>
      </c>
    </row>
    <row r="60" spans="6:40" x14ac:dyDescent="0.2">
      <c r="AF60" s="4" t="s">
        <v>117</v>
      </c>
      <c r="AG60">
        <v>0.39369999999999999</v>
      </c>
      <c r="AH60">
        <f t="shared" si="3"/>
        <v>2.2310897435897443</v>
      </c>
      <c r="AI60" s="4">
        <v>10</v>
      </c>
      <c r="AJ60" s="4">
        <f t="shared" si="11"/>
        <v>22.310897435897445</v>
      </c>
      <c r="AL60" s="3">
        <f t="shared" si="5"/>
        <v>3.1521686455052098</v>
      </c>
      <c r="AM60" s="3">
        <f t="shared" si="2"/>
        <v>31.521686455052098</v>
      </c>
    </row>
    <row r="61" spans="6:40" x14ac:dyDescent="0.2">
      <c r="AF61" s="4" t="s">
        <v>96</v>
      </c>
      <c r="AG61">
        <v>0.47299999999999998</v>
      </c>
      <c r="AH61">
        <f t="shared" si="3"/>
        <v>1.9769230769230772</v>
      </c>
      <c r="AI61" s="4">
        <v>10</v>
      </c>
      <c r="AJ61" s="4">
        <f t="shared" si="11"/>
        <v>19.769230769230774</v>
      </c>
      <c r="AL61" s="3">
        <f t="shared" si="5"/>
        <v>2.9600193845408285</v>
      </c>
      <c r="AM61" s="3">
        <f t="shared" si="2"/>
        <v>29.600193845408285</v>
      </c>
    </row>
    <row r="62" spans="6:40" x14ac:dyDescent="0.2">
      <c r="AF62" s="4" t="s">
        <v>22</v>
      </c>
      <c r="AG62">
        <v>0.29949999999999999</v>
      </c>
      <c r="AH62">
        <f t="shared" si="3"/>
        <v>2.5330128205128211</v>
      </c>
      <c r="AI62" s="4">
        <v>10</v>
      </c>
      <c r="AJ62" s="4">
        <f t="shared" si="11"/>
        <v>25.330128205128212</v>
      </c>
      <c r="AL62" s="3">
        <f t="shared" si="5"/>
        <v>3.3804216137630245</v>
      </c>
      <c r="AM62" s="3">
        <f t="shared" si="2"/>
        <v>33.804216137630249</v>
      </c>
    </row>
    <row r="63" spans="6:40" x14ac:dyDescent="0.2">
      <c r="AF63" s="4" t="s">
        <v>97</v>
      </c>
      <c r="AG63">
        <v>0.4869</v>
      </c>
      <c r="AH63">
        <f t="shared" si="3"/>
        <v>1.9323717948717951</v>
      </c>
      <c r="AI63" s="4">
        <v>10</v>
      </c>
      <c r="AJ63" s="4">
        <f t="shared" si="11"/>
        <v>19.323717948717952</v>
      </c>
      <c r="AL63" s="3">
        <f t="shared" si="5"/>
        <v>2.9263387448509812</v>
      </c>
      <c r="AM63" s="3">
        <f t="shared" si="2"/>
        <v>29.26338744850981</v>
      </c>
    </row>
    <row r="64" spans="6:40" x14ac:dyDescent="0.2">
      <c r="AF64" s="4" t="s">
        <v>98</v>
      </c>
      <c r="AG64">
        <v>0.43080000000000002</v>
      </c>
      <c r="AH64">
        <f t="shared" si="3"/>
        <v>2.1121794871794872</v>
      </c>
      <c r="AI64" s="4">
        <v>10</v>
      </c>
      <c r="AJ64" s="4">
        <f t="shared" si="11"/>
        <v>21.121794871794872</v>
      </c>
      <c r="AL64" s="3">
        <f t="shared" si="5"/>
        <v>3.0622728374121637</v>
      </c>
      <c r="AM64" s="3">
        <f t="shared" si="2"/>
        <v>30.622728374121635</v>
      </c>
    </row>
    <row r="65" spans="31:40" x14ac:dyDescent="0.2">
      <c r="AE65" t="s">
        <v>12</v>
      </c>
      <c r="AF65" s="4" t="s">
        <v>99</v>
      </c>
      <c r="AG65">
        <v>1.0390999999999999</v>
      </c>
      <c r="AH65">
        <f t="shared" si="3"/>
        <v>0.16250000000000062</v>
      </c>
      <c r="AI65" s="4">
        <v>10</v>
      </c>
      <c r="AJ65" s="4">
        <f t="shared" si="11"/>
        <v>1.6250000000000062</v>
      </c>
      <c r="AL65" s="3">
        <f t="shared" si="5"/>
        <v>1.5883208141507152</v>
      </c>
      <c r="AM65" s="3">
        <f t="shared" si="2"/>
        <v>15.883208141507152</v>
      </c>
      <c r="AN65" t="s">
        <v>12</v>
      </c>
    </row>
    <row r="66" spans="31:40" x14ac:dyDescent="0.2">
      <c r="AF66" s="4" t="s">
        <v>100</v>
      </c>
      <c r="AG66">
        <v>1.4548000000000001</v>
      </c>
      <c r="AH66" t="e">
        <f t="shared" si="3"/>
        <v>#NUM!</v>
      </c>
      <c r="AI66" s="4">
        <v>10</v>
      </c>
      <c r="AJ66" s="4" t="e">
        <f t="shared" si="11"/>
        <v>#NUM!</v>
      </c>
      <c r="AL66" s="3">
        <f t="shared" si="5"/>
        <v>0.58105161133995642</v>
      </c>
      <c r="AM66" s="3">
        <f t="shared" si="2"/>
        <v>5.8105161133995642</v>
      </c>
    </row>
    <row r="67" spans="31:40" x14ac:dyDescent="0.2">
      <c r="AF67" s="4" t="s">
        <v>101</v>
      </c>
      <c r="AG67">
        <v>1.5689</v>
      </c>
      <c r="AH67" t="e">
        <f t="shared" si="3"/>
        <v>#NUM!</v>
      </c>
      <c r="AI67" s="4">
        <v>10</v>
      </c>
      <c r="AJ67" s="4" t="e">
        <f t="shared" si="11"/>
        <v>#NUM!</v>
      </c>
      <c r="AL67" s="3">
        <f t="shared" si="5"/>
        <v>0.30457959777077814</v>
      </c>
      <c r="AM67" s="3">
        <f t="shared" si="2"/>
        <v>3.0457959777077814</v>
      </c>
    </row>
    <row r="68" spans="31:40" x14ac:dyDescent="0.2">
      <c r="AF68" s="4" t="s">
        <v>102</v>
      </c>
      <c r="AG68">
        <v>0.40689999999999998</v>
      </c>
      <c r="AH68">
        <f t="shared" si="3"/>
        <v>2.1887820512820513</v>
      </c>
      <c r="AI68" s="4">
        <v>10</v>
      </c>
      <c r="AJ68" s="4">
        <f t="shared" si="11"/>
        <v>21.887820512820511</v>
      </c>
      <c r="AL68" s="3">
        <f t="shared" si="5"/>
        <v>3.1201841531378727</v>
      </c>
      <c r="AM68" s="3">
        <f t="shared" si="2"/>
        <v>31.201841531378726</v>
      </c>
    </row>
    <row r="69" spans="31:40" x14ac:dyDescent="0.2">
      <c r="AF69" s="4" t="s">
        <v>103</v>
      </c>
      <c r="AG69">
        <v>1.2814000000000001</v>
      </c>
      <c r="AH69" t="e">
        <f t="shared" si="3"/>
        <v>#NUM!</v>
      </c>
      <c r="AI69" s="4">
        <v>10</v>
      </c>
      <c r="AJ69" s="4" t="e">
        <f t="shared" si="11"/>
        <v>#NUM!</v>
      </c>
      <c r="AL69" s="3">
        <f t="shared" si="5"/>
        <v>1.0012115338017931</v>
      </c>
      <c r="AM69" s="3">
        <f t="shared" si="2"/>
        <v>10.012115338017932</v>
      </c>
    </row>
    <row r="70" spans="31:40" x14ac:dyDescent="0.2">
      <c r="AF70" s="4" t="s">
        <v>104</v>
      </c>
      <c r="AG70">
        <v>1.4016</v>
      </c>
      <c r="AH70" t="e">
        <f t="shared" si="3"/>
        <v>#NUM!</v>
      </c>
      <c r="AI70" s="4">
        <v>10</v>
      </c>
      <c r="AJ70" s="4" t="e">
        <f t="shared" si="11"/>
        <v>#NUM!</v>
      </c>
      <c r="AL70" s="3">
        <f t="shared" si="5"/>
        <v>0.70995880785073939</v>
      </c>
      <c r="AM70" s="3">
        <f t="shared" si="2"/>
        <v>7.0995880785073942</v>
      </c>
    </row>
    <row r="71" spans="31:40" x14ac:dyDescent="0.2">
      <c r="AF71" s="4" t="s">
        <v>105</v>
      </c>
      <c r="AG71">
        <v>1.5074000000000001</v>
      </c>
      <c r="AH71" t="e">
        <f t="shared" si="3"/>
        <v>#NUM!</v>
      </c>
      <c r="AI71" s="4">
        <v>10</v>
      </c>
      <c r="AJ71" s="4" t="e">
        <f t="shared" si="11"/>
        <v>#NUM!</v>
      </c>
      <c r="AL71" s="3">
        <f t="shared" si="5"/>
        <v>0.45359825539132548</v>
      </c>
      <c r="AM71" s="3">
        <f t="shared" si="2"/>
        <v>4.5359825539132546</v>
      </c>
    </row>
    <row r="72" spans="31:40" x14ac:dyDescent="0.2">
      <c r="AE72" t="s">
        <v>13</v>
      </c>
      <c r="AF72" s="4" t="s">
        <v>106</v>
      </c>
      <c r="AG72">
        <v>1.5290999999999999</v>
      </c>
      <c r="AH72" t="e">
        <f t="shared" si="3"/>
        <v>#NUM!</v>
      </c>
      <c r="AI72" s="4">
        <v>10</v>
      </c>
      <c r="AJ72" s="4" t="e">
        <f t="shared" si="11"/>
        <v>#NUM!</v>
      </c>
      <c r="AL72" s="3">
        <f t="shared" si="5"/>
        <v>0.40101768839350665</v>
      </c>
      <c r="AM72" s="3">
        <f t="shared" si="2"/>
        <v>4.0101768839350669</v>
      </c>
      <c r="AN72" t="s">
        <v>13</v>
      </c>
    </row>
    <row r="73" spans="31:40" x14ac:dyDescent="0.2">
      <c r="AF73" s="4" t="s">
        <v>107</v>
      </c>
      <c r="AG73">
        <v>2.1787999999999998</v>
      </c>
      <c r="AH73" t="e">
        <f t="shared" si="3"/>
        <v>#NUM!</v>
      </c>
      <c r="AI73" s="4">
        <v>10</v>
      </c>
      <c r="AJ73" s="4" t="e">
        <f t="shared" si="11"/>
        <v>#NUM!</v>
      </c>
      <c r="AL73" s="3">
        <v>1E-3</v>
      </c>
      <c r="AM73" s="3">
        <f t="shared" si="2"/>
        <v>0.01</v>
      </c>
    </row>
    <row r="74" spans="31:40" x14ac:dyDescent="0.2">
      <c r="AF74" s="4" t="s">
        <v>108</v>
      </c>
      <c r="AG74">
        <v>0.61629999999999996</v>
      </c>
      <c r="AH74">
        <f t="shared" si="3"/>
        <v>1.5176282051282055</v>
      </c>
      <c r="AI74" s="4">
        <v>10</v>
      </c>
      <c r="AJ74" s="4">
        <f t="shared" si="11"/>
        <v>15.176282051282055</v>
      </c>
      <c r="AL74" s="3">
        <f t="shared" si="5"/>
        <v>2.612793796946935</v>
      </c>
      <c r="AM74" s="3">
        <f t="shared" si="2"/>
        <v>26.12793796946935</v>
      </c>
    </row>
    <row r="75" spans="31:40" x14ac:dyDescent="0.2">
      <c r="AF75" s="4" t="s">
        <v>109</v>
      </c>
      <c r="AG75">
        <v>2.2778</v>
      </c>
      <c r="AH75" t="e">
        <f t="shared" si="3"/>
        <v>#NUM!</v>
      </c>
      <c r="AI75" s="4">
        <v>10</v>
      </c>
      <c r="AJ75" s="4" t="e">
        <f t="shared" si="11"/>
        <v>#NUM!</v>
      </c>
      <c r="AL75" s="3">
        <v>1E-3</v>
      </c>
      <c r="AM75" s="3">
        <f t="shared" si="2"/>
        <v>0.01</v>
      </c>
    </row>
    <row r="76" spans="31:40" x14ac:dyDescent="0.2">
      <c r="AF76" s="4" t="s">
        <v>110</v>
      </c>
      <c r="AG76">
        <v>1.6814</v>
      </c>
      <c r="AH76" t="e">
        <f t="shared" si="3"/>
        <v>#NUM!</v>
      </c>
      <c r="AI76" s="4">
        <v>10</v>
      </c>
      <c r="AJ76" s="4" t="e">
        <f t="shared" si="11"/>
        <v>#NUM!</v>
      </c>
      <c r="AL76" s="3">
        <f t="shared" si="5"/>
        <v>3.1984492367337289E-2</v>
      </c>
      <c r="AM76" s="3">
        <f t="shared" si="2"/>
        <v>0.31984492367337292</v>
      </c>
    </row>
    <row r="77" spans="31:40" x14ac:dyDescent="0.2">
      <c r="AF77" s="4" t="s">
        <v>111</v>
      </c>
      <c r="AG77">
        <v>1.7377</v>
      </c>
      <c r="AH77" t="e">
        <f t="shared" si="3"/>
        <v>#NUM!</v>
      </c>
      <c r="AI77" s="4">
        <v>10</v>
      </c>
      <c r="AJ77" s="4" t="e">
        <f t="shared" si="11"/>
        <v>#NUM!</v>
      </c>
      <c r="AL77" s="3">
        <v>1E-3</v>
      </c>
      <c r="AM77" s="3">
        <f t="shared" si="2"/>
        <v>0.01</v>
      </c>
    </row>
    <row r="78" spans="31:40" x14ac:dyDescent="0.2">
      <c r="AF78" s="4" t="s">
        <v>24</v>
      </c>
      <c r="AG78">
        <v>1.8105</v>
      </c>
      <c r="AH78" t="e">
        <f t="shared" si="3"/>
        <v>#NUM!</v>
      </c>
      <c r="AI78" s="4">
        <v>10</v>
      </c>
      <c r="AJ78" s="4" t="e">
        <f t="shared" si="11"/>
        <v>#NUM!</v>
      </c>
      <c r="AL78" s="3">
        <v>1E-3</v>
      </c>
      <c r="AM78" s="3">
        <f t="shared" si="2"/>
        <v>0.01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F1" workbookViewId="0">
      <selection activeCell="M2" sqref="M2"/>
    </sheetView>
  </sheetViews>
  <sheetFormatPr baseColWidth="10" defaultColWidth="8.796875" defaultRowHeight="15" x14ac:dyDescent="0.2"/>
  <cols>
    <col min="9" max="9" width="8.3984375" bestFit="1" customWidth="1"/>
    <col min="16" max="16" width="10.3984375" bestFit="1" customWidth="1"/>
  </cols>
  <sheetData>
    <row r="1" spans="1:26" ht="45" x14ac:dyDescent="0.2">
      <c r="A1" s="24" t="s">
        <v>144</v>
      </c>
      <c r="B1" s="24" t="s">
        <v>228</v>
      </c>
      <c r="C1" s="24" t="s">
        <v>229</v>
      </c>
      <c r="D1" s="24" t="s">
        <v>230</v>
      </c>
      <c r="E1" s="24" t="s">
        <v>231</v>
      </c>
      <c r="F1" s="24" t="s">
        <v>232</v>
      </c>
      <c r="G1" s="24" t="s">
        <v>233</v>
      </c>
      <c r="H1" s="24" t="s">
        <v>234</v>
      </c>
      <c r="I1" s="24" t="s">
        <v>235</v>
      </c>
      <c r="J1" s="24" t="s">
        <v>19</v>
      </c>
      <c r="K1" s="24" t="s">
        <v>235</v>
      </c>
      <c r="L1" s="24" t="s">
        <v>334</v>
      </c>
      <c r="M1" s="24" t="s">
        <v>19</v>
      </c>
      <c r="N1" s="24" t="s">
        <v>336</v>
      </c>
      <c r="P1" s="2" t="s">
        <v>323</v>
      </c>
      <c r="Q1" s="1"/>
      <c r="R1" s="2" t="s">
        <v>335</v>
      </c>
      <c r="S1" s="1"/>
      <c r="T1" s="1"/>
    </row>
    <row r="2" spans="1:26" x14ac:dyDescent="0.2">
      <c r="A2" s="48">
        <v>1</v>
      </c>
      <c r="B2" s="24" t="s">
        <v>236</v>
      </c>
      <c r="C2" s="24">
        <v>0.28299999999999997</v>
      </c>
      <c r="D2" s="48"/>
      <c r="E2" s="24">
        <v>375.78500000000003</v>
      </c>
      <c r="F2" s="49">
        <v>376.31299999999999</v>
      </c>
      <c r="G2" s="48">
        <v>0.747</v>
      </c>
      <c r="H2" s="48">
        <v>0.2</v>
      </c>
      <c r="I2">
        <f>F2/1000</f>
        <v>0.37631300000000001</v>
      </c>
      <c r="J2">
        <v>50</v>
      </c>
      <c r="K2" s="25">
        <f>I2*50</f>
        <v>18.815650000000002</v>
      </c>
      <c r="L2">
        <v>121.5</v>
      </c>
      <c r="M2">
        <v>5</v>
      </c>
      <c r="N2">
        <f>K2*M2</f>
        <v>94.078250000000011</v>
      </c>
      <c r="P2" s="5" t="s">
        <v>4</v>
      </c>
      <c r="Q2" s="5" t="s">
        <v>5</v>
      </c>
      <c r="R2" s="5" t="s">
        <v>323</v>
      </c>
      <c r="S2" s="5" t="s">
        <v>65</v>
      </c>
      <c r="T2" s="5" t="s">
        <v>66</v>
      </c>
      <c r="U2" s="3"/>
      <c r="V2" s="3"/>
      <c r="W2" s="3"/>
      <c r="X2" s="3"/>
      <c r="Y2" s="3"/>
      <c r="Z2" s="3"/>
    </row>
    <row r="3" spans="1:26" x14ac:dyDescent="0.2">
      <c r="A3" s="48"/>
      <c r="B3" s="24" t="s">
        <v>237</v>
      </c>
      <c r="C3" s="24">
        <v>0.28399999999999997</v>
      </c>
      <c r="D3" s="48"/>
      <c r="E3" s="24">
        <v>376.84100000000001</v>
      </c>
      <c r="F3" s="49"/>
      <c r="G3" s="48"/>
      <c r="H3" s="48"/>
      <c r="I3">
        <f t="shared" ref="I3:I66" si="0">F3/1000</f>
        <v>0</v>
      </c>
      <c r="J3">
        <v>50</v>
      </c>
      <c r="K3" s="25">
        <f t="shared" ref="K3:K66" si="1">I3*50</f>
        <v>0</v>
      </c>
      <c r="M3">
        <v>5</v>
      </c>
      <c r="N3">
        <f t="shared" ref="N3:N66" si="2">K3*M3</f>
        <v>0</v>
      </c>
      <c r="P3" s="4" t="s">
        <v>18</v>
      </c>
      <c r="Q3" s="4">
        <v>0</v>
      </c>
      <c r="R3" s="23">
        <f>AVERAGE('Liver LDH'!AA3:AA14)</f>
        <v>18.644449999999999</v>
      </c>
      <c r="S3" s="4">
        <v>12</v>
      </c>
      <c r="T3" s="4">
        <f>STDEV('Liver LDH'!AA3:AA14)/SQRT(S3)</f>
        <v>0.2773370356869711</v>
      </c>
      <c r="U3" s="4"/>
      <c r="V3" s="4"/>
      <c r="W3" s="4"/>
      <c r="X3" s="4"/>
      <c r="Y3" s="4"/>
      <c r="Z3" s="4"/>
    </row>
    <row r="4" spans="1:26" x14ac:dyDescent="0.2">
      <c r="A4" s="48">
        <v>2</v>
      </c>
      <c r="B4" s="24" t="s">
        <v>238</v>
      </c>
      <c r="C4" s="24">
        <v>0.30299999999999999</v>
      </c>
      <c r="D4" s="48"/>
      <c r="E4" s="24">
        <v>416.97800000000001</v>
      </c>
      <c r="F4" s="49">
        <v>431.76499999999999</v>
      </c>
      <c r="G4" s="48">
        <v>20.911999999999999</v>
      </c>
      <c r="H4" s="48">
        <v>4.8</v>
      </c>
      <c r="I4">
        <f t="shared" si="0"/>
        <v>0.43176500000000001</v>
      </c>
      <c r="J4">
        <v>50</v>
      </c>
      <c r="K4" s="25">
        <f t="shared" si="1"/>
        <v>21.588250000000002</v>
      </c>
      <c r="L4">
        <v>111.5</v>
      </c>
      <c r="M4">
        <v>5</v>
      </c>
      <c r="N4">
        <f t="shared" si="2"/>
        <v>107.94125000000001</v>
      </c>
      <c r="P4" s="4"/>
      <c r="Q4" s="4">
        <v>1</v>
      </c>
      <c r="R4" s="23">
        <f>AVERAGE('Liver LDH'!AA15:AA27)</f>
        <v>19.019580769230767</v>
      </c>
      <c r="S4" s="4">
        <v>13</v>
      </c>
      <c r="T4" s="4">
        <f>STDEV('Liver LDH'!AA15:AA27)/SQRT(S4)</f>
        <v>0.38512896268895919</v>
      </c>
      <c r="U4" s="4"/>
      <c r="V4" s="4"/>
      <c r="W4" s="4"/>
      <c r="X4" s="4"/>
      <c r="Y4" s="4"/>
      <c r="Z4" s="4"/>
    </row>
    <row r="5" spans="1:26" x14ac:dyDescent="0.2">
      <c r="A5" s="48"/>
      <c r="B5" s="24" t="s">
        <v>239</v>
      </c>
      <c r="C5" s="24">
        <v>0.317</v>
      </c>
      <c r="D5" s="48"/>
      <c r="E5" s="24">
        <v>446.55200000000002</v>
      </c>
      <c r="F5" s="49"/>
      <c r="G5" s="48"/>
      <c r="H5" s="48"/>
      <c r="I5">
        <f t="shared" si="0"/>
        <v>0</v>
      </c>
      <c r="J5">
        <v>50</v>
      </c>
      <c r="K5" s="25">
        <f t="shared" si="1"/>
        <v>0</v>
      </c>
      <c r="M5">
        <v>5</v>
      </c>
      <c r="N5">
        <f t="shared" si="2"/>
        <v>0</v>
      </c>
      <c r="P5" s="4"/>
      <c r="Q5" s="4">
        <v>4</v>
      </c>
      <c r="R5" s="23">
        <f>AVERAGE('Liver LDH'!AA28:AA38)</f>
        <v>18.303377272727275</v>
      </c>
      <c r="S5" s="4">
        <v>11</v>
      </c>
      <c r="T5" s="4">
        <f>STDEV('Liver LDH'!AA28:AA38)/SQRT(S5)</f>
        <v>0.45683548343536112</v>
      </c>
      <c r="U5" s="4"/>
      <c r="V5" s="4"/>
      <c r="W5" s="4"/>
      <c r="X5" s="4"/>
      <c r="Y5" s="4"/>
      <c r="Z5" s="4"/>
    </row>
    <row r="6" spans="1:26" x14ac:dyDescent="0.2">
      <c r="A6" s="48">
        <v>3</v>
      </c>
      <c r="B6" s="24" t="s">
        <v>240</v>
      </c>
      <c r="C6" s="24">
        <v>0.30399999999999999</v>
      </c>
      <c r="D6" s="48"/>
      <c r="E6" s="24">
        <v>420.14600000000002</v>
      </c>
      <c r="F6" s="49">
        <v>420.56900000000002</v>
      </c>
      <c r="G6" s="48">
        <v>0.59699999999999998</v>
      </c>
      <c r="H6" s="48">
        <v>0.1</v>
      </c>
      <c r="I6">
        <f t="shared" si="0"/>
        <v>0.42056900000000003</v>
      </c>
      <c r="J6">
        <v>50</v>
      </c>
      <c r="K6" s="25">
        <f t="shared" si="1"/>
        <v>21.028450000000003</v>
      </c>
      <c r="L6">
        <v>87.4</v>
      </c>
      <c r="M6">
        <v>5</v>
      </c>
      <c r="N6">
        <f t="shared" si="2"/>
        <v>105.14225000000002</v>
      </c>
      <c r="P6" s="4"/>
      <c r="Q6" s="4">
        <v>24</v>
      </c>
      <c r="R6" s="23">
        <f>AVERAGE('Liver LDH'!AA39:AA50)</f>
        <v>19.94404583333333</v>
      </c>
      <c r="S6" s="4">
        <v>12</v>
      </c>
      <c r="T6" s="4">
        <f>STDEV('Liver LDH'!AA39:AA50)/SQRT(S6)</f>
        <v>0.74238089651458494</v>
      </c>
      <c r="U6" s="4"/>
      <c r="V6" s="4"/>
      <c r="W6" s="4"/>
      <c r="X6" s="4"/>
      <c r="Y6" s="4"/>
      <c r="Z6" s="4"/>
    </row>
    <row r="7" spans="1:26" x14ac:dyDescent="0.2">
      <c r="A7" s="48"/>
      <c r="B7" s="24" t="s">
        <v>241</v>
      </c>
      <c r="C7" s="24">
        <v>0.30499999999999999</v>
      </c>
      <c r="D7" s="48"/>
      <c r="E7" s="24">
        <v>420.99099999999999</v>
      </c>
      <c r="F7" s="49"/>
      <c r="G7" s="48"/>
      <c r="H7" s="48"/>
      <c r="I7">
        <f t="shared" si="0"/>
        <v>0</v>
      </c>
      <c r="J7">
        <v>50</v>
      </c>
      <c r="K7" s="25">
        <f t="shared" si="1"/>
        <v>0</v>
      </c>
      <c r="M7">
        <v>5</v>
      </c>
      <c r="N7">
        <f t="shared" si="2"/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48">
        <v>4</v>
      </c>
      <c r="B8" s="24" t="s">
        <v>242</v>
      </c>
      <c r="C8" s="24">
        <v>0.30099999999999999</v>
      </c>
      <c r="D8" s="48"/>
      <c r="E8" s="24">
        <v>413.38600000000002</v>
      </c>
      <c r="F8" s="49">
        <v>400.923</v>
      </c>
      <c r="G8" s="48">
        <v>17.626000000000001</v>
      </c>
      <c r="H8" s="48">
        <v>4.4000000000000004</v>
      </c>
      <c r="I8">
        <f t="shared" si="0"/>
        <v>0.40092300000000003</v>
      </c>
      <c r="J8">
        <v>50</v>
      </c>
      <c r="K8" s="25">
        <f t="shared" si="1"/>
        <v>20.046150000000001</v>
      </c>
      <c r="L8">
        <v>114.6</v>
      </c>
      <c r="M8">
        <v>5</v>
      </c>
      <c r="N8">
        <f t="shared" si="2"/>
        <v>100.23075</v>
      </c>
      <c r="P8" s="4" t="s">
        <v>9</v>
      </c>
      <c r="Q8" s="4">
        <v>0</v>
      </c>
      <c r="R8" s="20">
        <f>AVERAGE('Liver LDH'!K3:K14)</f>
        <v>19.066062500000005</v>
      </c>
      <c r="S8" s="4">
        <v>12</v>
      </c>
      <c r="T8" s="4">
        <f>STDEV('Liver LDH'!K3:K14)/SQRT(S8)</f>
        <v>0.47894113022046481</v>
      </c>
      <c r="U8" s="4"/>
      <c r="V8" s="4"/>
      <c r="W8" s="4"/>
      <c r="X8" s="4"/>
      <c r="Y8" s="4"/>
      <c r="Z8" s="4"/>
    </row>
    <row r="9" spans="1:26" x14ac:dyDescent="0.2">
      <c r="A9" s="48"/>
      <c r="B9" s="24" t="s">
        <v>243</v>
      </c>
      <c r="C9" s="24">
        <v>0.28899999999999998</v>
      </c>
      <c r="D9" s="48"/>
      <c r="E9" s="24">
        <v>388.46</v>
      </c>
      <c r="F9" s="49"/>
      <c r="G9" s="48"/>
      <c r="H9" s="48"/>
      <c r="I9">
        <f t="shared" si="0"/>
        <v>0</v>
      </c>
      <c r="J9">
        <v>50</v>
      </c>
      <c r="K9">
        <f t="shared" si="1"/>
        <v>0</v>
      </c>
      <c r="M9">
        <v>5</v>
      </c>
      <c r="N9">
        <f t="shared" si="2"/>
        <v>0</v>
      </c>
      <c r="P9" s="4"/>
      <c r="Q9" s="4">
        <v>1</v>
      </c>
      <c r="R9" s="20">
        <f>AVERAGE('Liver LDH'!K15:K27)</f>
        <v>18.467903846153845</v>
      </c>
      <c r="S9" s="4">
        <v>13</v>
      </c>
      <c r="T9" s="4">
        <f>STDEV('Liver LDH'!K15:K27)/SQRT(S9)</f>
        <v>0.53986715280247377</v>
      </c>
      <c r="U9" s="4"/>
      <c r="V9" s="4"/>
      <c r="W9" s="4"/>
      <c r="X9" s="4"/>
      <c r="Y9" s="4"/>
      <c r="Z9" s="4"/>
    </row>
    <row r="10" spans="1:26" x14ac:dyDescent="0.2">
      <c r="A10" s="48">
        <v>5</v>
      </c>
      <c r="B10" s="24" t="s">
        <v>244</v>
      </c>
      <c r="C10" s="24">
        <v>0.27700000000000002</v>
      </c>
      <c r="D10" s="48"/>
      <c r="E10" s="24">
        <v>362.05399999999997</v>
      </c>
      <c r="F10" s="48">
        <v>356.45600000000002</v>
      </c>
      <c r="G10" s="48">
        <v>7.9169999999999998</v>
      </c>
      <c r="H10" s="48">
        <v>2.2000000000000002</v>
      </c>
      <c r="I10">
        <f t="shared" si="0"/>
        <v>0.356456</v>
      </c>
      <c r="J10">
        <v>50</v>
      </c>
      <c r="K10">
        <f t="shared" si="1"/>
        <v>17.822800000000001</v>
      </c>
      <c r="L10">
        <v>86.1</v>
      </c>
      <c r="M10">
        <v>5</v>
      </c>
      <c r="N10">
        <f t="shared" si="2"/>
        <v>89.114000000000004</v>
      </c>
      <c r="P10" s="4"/>
      <c r="Q10" s="4">
        <v>4</v>
      </c>
      <c r="R10" s="20">
        <f>AVERAGE('Liver LDH'!K28:K39)</f>
        <v>19.577450000000002</v>
      </c>
      <c r="S10" s="4">
        <v>12</v>
      </c>
      <c r="T10" s="4">
        <f>STDEV('Liver LDH'!K28:K39)/SQRT(S10)</f>
        <v>0.59044806089412838</v>
      </c>
      <c r="U10" s="4"/>
      <c r="V10" s="4"/>
      <c r="W10" s="4"/>
      <c r="X10" s="4"/>
      <c r="Y10" s="4"/>
      <c r="Z10" s="4"/>
    </row>
    <row r="11" spans="1:26" x14ac:dyDescent="0.2">
      <c r="A11" s="48"/>
      <c r="B11" s="24" t="s">
        <v>245</v>
      </c>
      <c r="C11" s="24">
        <v>0.27200000000000002</v>
      </c>
      <c r="D11" s="48"/>
      <c r="E11" s="24">
        <v>350.858</v>
      </c>
      <c r="F11" s="48"/>
      <c r="G11" s="48"/>
      <c r="H11" s="48"/>
      <c r="I11">
        <f t="shared" si="0"/>
        <v>0</v>
      </c>
      <c r="J11">
        <v>50</v>
      </c>
      <c r="K11">
        <f t="shared" si="1"/>
        <v>0</v>
      </c>
      <c r="M11">
        <v>5</v>
      </c>
      <c r="N11">
        <f t="shared" si="2"/>
        <v>0</v>
      </c>
      <c r="P11" s="4"/>
      <c r="Q11" s="4">
        <v>24</v>
      </c>
      <c r="R11" s="20">
        <f>AVERAGE('Liver LDH'!K40:K52)</f>
        <v>19.297046153846154</v>
      </c>
      <c r="S11" s="4">
        <v>13</v>
      </c>
      <c r="T11" s="4">
        <f>STDEV('Liver LDH'!K40:K52)/SQRT(S11)</f>
        <v>0.32432797149138409</v>
      </c>
      <c r="U11" s="4"/>
      <c r="V11" s="4"/>
      <c r="W11" s="4"/>
      <c r="X11" s="4"/>
      <c r="Y11" s="4"/>
      <c r="Z11" s="4"/>
    </row>
    <row r="12" spans="1:26" x14ac:dyDescent="0.2">
      <c r="A12" s="48">
        <v>6</v>
      </c>
      <c r="B12" s="24" t="s">
        <v>68</v>
      </c>
      <c r="C12" s="24">
        <v>0.28499999999999998</v>
      </c>
      <c r="D12" s="48"/>
      <c r="E12" s="24">
        <v>380.221</v>
      </c>
      <c r="F12" s="48">
        <v>386.55799999999999</v>
      </c>
      <c r="G12" s="48">
        <v>8.9619999999999997</v>
      </c>
      <c r="H12" s="48">
        <v>2.2999999999999998</v>
      </c>
      <c r="I12">
        <f t="shared" si="0"/>
        <v>0.38655800000000001</v>
      </c>
      <c r="J12">
        <v>50</v>
      </c>
      <c r="K12">
        <f t="shared" si="1"/>
        <v>19.3279</v>
      </c>
      <c r="L12">
        <v>74.5</v>
      </c>
      <c r="M12">
        <v>5</v>
      </c>
      <c r="N12">
        <f t="shared" si="2"/>
        <v>96.639499999999998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8"/>
      <c r="B13" s="24" t="s">
        <v>69</v>
      </c>
      <c r="C13" s="24">
        <v>0.29099999999999998</v>
      </c>
      <c r="D13" s="48"/>
      <c r="E13" s="24">
        <v>392.89600000000002</v>
      </c>
      <c r="F13" s="48"/>
      <c r="G13" s="48"/>
      <c r="H13" s="48"/>
      <c r="I13">
        <f t="shared" si="0"/>
        <v>0</v>
      </c>
      <c r="J13">
        <v>50</v>
      </c>
      <c r="K13">
        <f t="shared" si="1"/>
        <v>0</v>
      </c>
      <c r="M13">
        <v>5</v>
      </c>
      <c r="N13">
        <f t="shared" si="2"/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8">
        <v>7</v>
      </c>
      <c r="B14" s="24" t="s">
        <v>246</v>
      </c>
      <c r="C14" s="24">
        <v>0.28299999999999997</v>
      </c>
      <c r="D14" s="48"/>
      <c r="E14" s="24">
        <v>374.517</v>
      </c>
      <c r="F14" s="48">
        <v>373.03899999999999</v>
      </c>
      <c r="G14" s="48">
        <v>2.0910000000000002</v>
      </c>
      <c r="H14" s="48">
        <v>0.6</v>
      </c>
      <c r="I14">
        <f t="shared" si="0"/>
        <v>0.37303900000000001</v>
      </c>
      <c r="J14">
        <v>50</v>
      </c>
      <c r="K14">
        <f t="shared" si="1"/>
        <v>18.651949999999999</v>
      </c>
      <c r="L14">
        <v>91.8</v>
      </c>
      <c r="M14">
        <v>5</v>
      </c>
      <c r="N14">
        <f t="shared" si="2"/>
        <v>93.259749999999997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8"/>
      <c r="B15" s="24" t="s">
        <v>247</v>
      </c>
      <c r="C15" s="24">
        <v>0.28100000000000003</v>
      </c>
      <c r="D15" s="48"/>
      <c r="E15" s="24">
        <v>371.56</v>
      </c>
      <c r="F15" s="48"/>
      <c r="G15" s="48"/>
      <c r="H15" s="48"/>
      <c r="I15">
        <f t="shared" si="0"/>
        <v>0</v>
      </c>
      <c r="J15">
        <v>50</v>
      </c>
      <c r="K15">
        <f t="shared" si="1"/>
        <v>0</v>
      </c>
      <c r="M15">
        <v>5</v>
      </c>
      <c r="N15">
        <f t="shared" si="2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8">
        <v>8</v>
      </c>
      <c r="B16" s="24" t="s">
        <v>248</v>
      </c>
      <c r="C16" s="24">
        <v>0.28499999999999998</v>
      </c>
      <c r="D16" s="48"/>
      <c r="E16" s="24">
        <v>378.53100000000001</v>
      </c>
      <c r="F16" s="48">
        <v>377.58</v>
      </c>
      <c r="G16" s="48">
        <v>1.3440000000000001</v>
      </c>
      <c r="H16" s="48">
        <v>0.4</v>
      </c>
      <c r="I16">
        <f t="shared" si="0"/>
        <v>0.37757999999999997</v>
      </c>
      <c r="J16">
        <v>50</v>
      </c>
      <c r="K16">
        <f t="shared" si="1"/>
        <v>18.878999999999998</v>
      </c>
      <c r="L16">
        <v>81.8</v>
      </c>
      <c r="M16">
        <v>5</v>
      </c>
      <c r="N16">
        <f t="shared" si="2"/>
        <v>94.394999999999982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8"/>
      <c r="B17" s="24" t="s">
        <v>249</v>
      </c>
      <c r="C17" s="24">
        <v>0.28399999999999997</v>
      </c>
      <c r="D17" s="48"/>
      <c r="E17" s="24">
        <v>376.63</v>
      </c>
      <c r="F17" s="48"/>
      <c r="G17" s="48"/>
      <c r="H17" s="48"/>
      <c r="I17">
        <f t="shared" si="0"/>
        <v>0</v>
      </c>
      <c r="J17">
        <v>50</v>
      </c>
      <c r="K17">
        <f t="shared" si="1"/>
        <v>0</v>
      </c>
      <c r="M17">
        <v>5</v>
      </c>
      <c r="N17">
        <f t="shared" si="2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8">
        <v>9</v>
      </c>
      <c r="B18" s="24" t="s">
        <v>250</v>
      </c>
      <c r="C18" s="24">
        <v>0.27600000000000002</v>
      </c>
      <c r="D18" s="48"/>
      <c r="E18" s="24">
        <v>360.99799999999999</v>
      </c>
      <c r="F18" s="48">
        <v>365.11700000000002</v>
      </c>
      <c r="G18" s="48">
        <v>5.8259999999999996</v>
      </c>
      <c r="H18" s="48">
        <v>1.6</v>
      </c>
      <c r="I18">
        <f t="shared" si="0"/>
        <v>0.36511700000000002</v>
      </c>
      <c r="J18">
        <v>50</v>
      </c>
      <c r="K18" s="25">
        <f t="shared" si="1"/>
        <v>18.255850000000002</v>
      </c>
      <c r="L18">
        <v>143</v>
      </c>
      <c r="M18">
        <v>5</v>
      </c>
      <c r="N18">
        <f t="shared" si="2"/>
        <v>91.279250000000019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8"/>
      <c r="B19" s="24" t="s">
        <v>251</v>
      </c>
      <c r="C19" s="24">
        <v>0.28000000000000003</v>
      </c>
      <c r="D19" s="48"/>
      <c r="E19" s="24">
        <v>369.23599999999999</v>
      </c>
      <c r="F19" s="48"/>
      <c r="G19" s="48"/>
      <c r="H19" s="48"/>
      <c r="I19">
        <f t="shared" si="0"/>
        <v>0</v>
      </c>
      <c r="J19">
        <v>50</v>
      </c>
      <c r="K19" s="25">
        <f t="shared" si="1"/>
        <v>0</v>
      </c>
      <c r="M19">
        <v>5</v>
      </c>
      <c r="N19">
        <f t="shared" si="2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8">
        <v>10</v>
      </c>
      <c r="B20" s="24" t="s">
        <v>252</v>
      </c>
      <c r="C20" s="24">
        <v>0.26400000000000001</v>
      </c>
      <c r="D20" s="48"/>
      <c r="E20" s="24">
        <v>335.64800000000002</v>
      </c>
      <c r="F20" s="48">
        <v>333.32499999999999</v>
      </c>
      <c r="G20" s="48">
        <v>3.286</v>
      </c>
      <c r="H20" s="48">
        <v>1</v>
      </c>
      <c r="I20">
        <f t="shared" si="0"/>
        <v>0.33332499999999998</v>
      </c>
      <c r="J20">
        <v>50</v>
      </c>
      <c r="K20" s="25">
        <f t="shared" si="1"/>
        <v>16.666249999999998</v>
      </c>
      <c r="L20">
        <v>119.6</v>
      </c>
      <c r="M20">
        <v>5</v>
      </c>
      <c r="N20">
        <f t="shared" si="2"/>
        <v>83.331249999999983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8"/>
      <c r="B21" s="24" t="s">
        <v>253</v>
      </c>
      <c r="C21" s="24">
        <v>0.26200000000000001</v>
      </c>
      <c r="D21" s="48"/>
      <c r="E21" s="24">
        <v>331.00099999999998</v>
      </c>
      <c r="F21" s="48"/>
      <c r="G21" s="48"/>
      <c r="H21" s="48"/>
      <c r="I21">
        <f t="shared" si="0"/>
        <v>0</v>
      </c>
      <c r="J21">
        <v>50</v>
      </c>
      <c r="K21" s="25">
        <f t="shared" si="1"/>
        <v>0</v>
      </c>
      <c r="M21">
        <v>5</v>
      </c>
      <c r="N21">
        <f t="shared" si="2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8">
        <v>11</v>
      </c>
      <c r="B22" s="24" t="s">
        <v>254</v>
      </c>
      <c r="C22" s="24">
        <v>0.309</v>
      </c>
      <c r="D22" s="48"/>
      <c r="E22" s="24">
        <v>429.01900000000001</v>
      </c>
      <c r="F22" s="48">
        <v>436.41199999999998</v>
      </c>
      <c r="G22" s="48">
        <v>10.456</v>
      </c>
      <c r="H22" s="48">
        <v>2.4</v>
      </c>
      <c r="I22">
        <f t="shared" si="0"/>
        <v>0.43641199999999997</v>
      </c>
      <c r="J22">
        <v>50</v>
      </c>
      <c r="K22" s="25">
        <f t="shared" si="1"/>
        <v>21.820599999999999</v>
      </c>
      <c r="L22">
        <v>100</v>
      </c>
      <c r="M22">
        <v>5</v>
      </c>
      <c r="N22">
        <f t="shared" si="2"/>
        <v>109.10299999999999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8"/>
      <c r="B23" s="24" t="s">
        <v>255</v>
      </c>
      <c r="C23" s="24">
        <v>0.316</v>
      </c>
      <c r="D23" s="48"/>
      <c r="E23" s="24">
        <v>443.80599999999998</v>
      </c>
      <c r="F23" s="48"/>
      <c r="G23" s="48"/>
      <c r="H23" s="48"/>
      <c r="I23">
        <f t="shared" si="0"/>
        <v>0</v>
      </c>
      <c r="J23">
        <v>50</v>
      </c>
      <c r="K23" s="25">
        <f t="shared" si="1"/>
        <v>0</v>
      </c>
      <c r="M23">
        <v>5</v>
      </c>
      <c r="N23">
        <f t="shared" si="2"/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8">
        <v>12</v>
      </c>
      <c r="B24" s="24" t="s">
        <v>256</v>
      </c>
      <c r="C24" s="24">
        <v>0.28499999999999998</v>
      </c>
      <c r="D24" s="48"/>
      <c r="E24" s="24">
        <v>380.01</v>
      </c>
      <c r="F24" s="48">
        <v>374.834</v>
      </c>
      <c r="G24" s="48">
        <v>7.319</v>
      </c>
      <c r="H24" s="48">
        <v>2</v>
      </c>
      <c r="I24">
        <f t="shared" si="0"/>
        <v>0.374834</v>
      </c>
      <c r="J24">
        <v>50</v>
      </c>
      <c r="K24" s="25">
        <f t="shared" si="1"/>
        <v>18.741700000000002</v>
      </c>
      <c r="L24">
        <v>93.7</v>
      </c>
      <c r="M24">
        <v>5</v>
      </c>
      <c r="N24">
        <f t="shared" si="2"/>
        <v>93.708500000000015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8"/>
      <c r="B25" s="24" t="s">
        <v>257</v>
      </c>
      <c r="C25" s="24">
        <v>0.28000000000000003</v>
      </c>
      <c r="D25" s="48"/>
      <c r="E25" s="24">
        <v>369.65899999999999</v>
      </c>
      <c r="F25" s="48"/>
      <c r="G25" s="48"/>
      <c r="H25" s="48"/>
      <c r="I25">
        <f t="shared" si="0"/>
        <v>0</v>
      </c>
      <c r="J25">
        <v>50</v>
      </c>
      <c r="K25">
        <f t="shared" si="1"/>
        <v>0</v>
      </c>
      <c r="M25">
        <v>5</v>
      </c>
      <c r="N25">
        <f t="shared" si="2"/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8">
        <v>13</v>
      </c>
      <c r="B26" s="24" t="s">
        <v>258</v>
      </c>
      <c r="C26" s="24">
        <v>0.29799999999999999</v>
      </c>
      <c r="D26" s="48"/>
      <c r="E26" s="24">
        <v>406.20400000000001</v>
      </c>
      <c r="F26" s="48">
        <v>411.274</v>
      </c>
      <c r="G26" s="48">
        <v>7.17</v>
      </c>
      <c r="H26" s="48">
        <v>1.7</v>
      </c>
      <c r="I26">
        <f t="shared" si="0"/>
        <v>0.41127400000000003</v>
      </c>
      <c r="J26">
        <v>50</v>
      </c>
      <c r="K26">
        <f t="shared" si="1"/>
        <v>20.563700000000001</v>
      </c>
      <c r="L26">
        <v>73.599999999999994</v>
      </c>
      <c r="M26">
        <v>5</v>
      </c>
      <c r="N26">
        <f t="shared" si="2"/>
        <v>102.8185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8"/>
      <c r="B27" s="24" t="s">
        <v>259</v>
      </c>
      <c r="C27" s="24">
        <v>0.30199999999999999</v>
      </c>
      <c r="D27" s="48"/>
      <c r="E27" s="24">
        <v>416.34399999999999</v>
      </c>
      <c r="F27" s="48"/>
      <c r="G27" s="48"/>
      <c r="H27" s="48"/>
      <c r="I27">
        <f t="shared" si="0"/>
        <v>0</v>
      </c>
      <c r="J27">
        <v>50</v>
      </c>
      <c r="K27">
        <f t="shared" si="1"/>
        <v>0</v>
      </c>
      <c r="M27">
        <v>5</v>
      </c>
      <c r="N27">
        <f t="shared" si="2"/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8">
        <v>14</v>
      </c>
      <c r="B28" s="24" t="s">
        <v>260</v>
      </c>
      <c r="C28" s="24">
        <v>0.27100000000000002</v>
      </c>
      <c r="D28" s="48"/>
      <c r="E28" s="24">
        <v>348.745</v>
      </c>
      <c r="F28" s="48">
        <v>364.589</v>
      </c>
      <c r="G28" s="48">
        <v>22.405999999999999</v>
      </c>
      <c r="H28" s="48">
        <v>6.1</v>
      </c>
      <c r="I28">
        <f t="shared" si="0"/>
        <v>0.364589</v>
      </c>
      <c r="J28">
        <v>50</v>
      </c>
      <c r="K28">
        <f t="shared" si="1"/>
        <v>18.22945</v>
      </c>
      <c r="L28">
        <v>88.8</v>
      </c>
      <c r="M28">
        <v>5</v>
      </c>
      <c r="N28">
        <f t="shared" si="2"/>
        <v>91.14725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8"/>
      <c r="B29" s="24" t="s">
        <v>90</v>
      </c>
      <c r="C29" s="24">
        <v>0.28499999999999998</v>
      </c>
      <c r="D29" s="48"/>
      <c r="E29" s="24">
        <v>380.43200000000002</v>
      </c>
      <c r="F29" s="48"/>
      <c r="G29" s="48"/>
      <c r="H29" s="48"/>
      <c r="I29">
        <f t="shared" si="0"/>
        <v>0</v>
      </c>
      <c r="J29">
        <v>50</v>
      </c>
      <c r="K29">
        <f t="shared" si="1"/>
        <v>0</v>
      </c>
      <c r="M29">
        <v>5</v>
      </c>
      <c r="N29">
        <f t="shared" si="2"/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8">
        <v>15</v>
      </c>
      <c r="B30" s="24" t="s">
        <v>261</v>
      </c>
      <c r="C30" s="24">
        <v>0.26600000000000001</v>
      </c>
      <c r="D30" s="48"/>
      <c r="E30" s="24">
        <v>340.084</v>
      </c>
      <c r="F30" s="48">
        <v>344.73200000000003</v>
      </c>
      <c r="G30" s="48">
        <v>6.5720000000000001</v>
      </c>
      <c r="H30" s="48">
        <v>1.9</v>
      </c>
      <c r="I30">
        <f t="shared" si="0"/>
        <v>0.34473200000000004</v>
      </c>
      <c r="J30">
        <v>50</v>
      </c>
      <c r="K30">
        <f t="shared" si="1"/>
        <v>17.236600000000003</v>
      </c>
      <c r="L30">
        <v>95.9</v>
      </c>
      <c r="M30">
        <v>5</v>
      </c>
      <c r="N30">
        <f t="shared" si="2"/>
        <v>86.183000000000021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8"/>
      <c r="B31" s="24" t="s">
        <v>262</v>
      </c>
      <c r="C31" s="24">
        <v>0.27100000000000002</v>
      </c>
      <c r="D31" s="48"/>
      <c r="E31" s="24">
        <v>349.37900000000002</v>
      </c>
      <c r="F31" s="48"/>
      <c r="G31" s="48"/>
      <c r="H31" s="48"/>
      <c r="I31">
        <f t="shared" si="0"/>
        <v>0</v>
      </c>
      <c r="J31">
        <v>50</v>
      </c>
      <c r="K31">
        <f t="shared" si="1"/>
        <v>0</v>
      </c>
      <c r="M31">
        <v>5</v>
      </c>
      <c r="N31">
        <f t="shared" si="2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8">
        <v>16</v>
      </c>
      <c r="B32" s="24" t="s">
        <v>263</v>
      </c>
      <c r="C32" s="24">
        <v>0.26800000000000002</v>
      </c>
      <c r="D32" s="48"/>
      <c r="E32" s="24">
        <v>344.30900000000003</v>
      </c>
      <c r="F32" s="48">
        <v>345.471</v>
      </c>
      <c r="G32" s="48">
        <v>1.643</v>
      </c>
      <c r="H32" s="48">
        <v>0.5</v>
      </c>
      <c r="I32">
        <f t="shared" si="0"/>
        <v>0.34547100000000003</v>
      </c>
      <c r="J32">
        <v>50</v>
      </c>
      <c r="K32">
        <f t="shared" si="1"/>
        <v>17.27355</v>
      </c>
      <c r="L32">
        <v>99.4</v>
      </c>
      <c r="M32">
        <v>5</v>
      </c>
      <c r="N32">
        <f t="shared" si="2"/>
        <v>86.367750000000001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8"/>
      <c r="B33" s="24" t="s">
        <v>264</v>
      </c>
      <c r="C33" s="24">
        <v>0.27</v>
      </c>
      <c r="D33" s="48"/>
      <c r="E33" s="24">
        <v>346.63299999999998</v>
      </c>
      <c r="F33" s="48"/>
      <c r="G33" s="48"/>
      <c r="H33" s="48"/>
      <c r="I33">
        <f t="shared" si="0"/>
        <v>0</v>
      </c>
      <c r="J33">
        <v>50</v>
      </c>
      <c r="K33">
        <f t="shared" si="1"/>
        <v>0</v>
      </c>
      <c r="M33">
        <v>5</v>
      </c>
      <c r="N33">
        <f t="shared" si="2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8">
        <v>17</v>
      </c>
      <c r="B34" s="24" t="s">
        <v>265</v>
      </c>
      <c r="C34" s="24">
        <v>0.29599999999999999</v>
      </c>
      <c r="D34" s="48"/>
      <c r="E34" s="24">
        <v>402.82400000000001</v>
      </c>
      <c r="F34" s="48">
        <v>399.65600000000001</v>
      </c>
      <c r="G34" s="48">
        <v>4.4809999999999999</v>
      </c>
      <c r="H34" s="48">
        <v>1.1000000000000001</v>
      </c>
      <c r="I34">
        <f t="shared" si="0"/>
        <v>0.39965600000000001</v>
      </c>
      <c r="J34">
        <v>50</v>
      </c>
      <c r="K34" s="25">
        <f t="shared" si="1"/>
        <v>19.982800000000001</v>
      </c>
      <c r="L34">
        <v>92.3</v>
      </c>
      <c r="M34">
        <v>5</v>
      </c>
      <c r="N34">
        <f t="shared" si="2"/>
        <v>99.914000000000001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8"/>
      <c r="B35" s="24" t="s">
        <v>266</v>
      </c>
      <c r="C35" s="24">
        <v>0.29299999999999998</v>
      </c>
      <c r="D35" s="48"/>
      <c r="E35" s="24">
        <v>396.48700000000002</v>
      </c>
      <c r="F35" s="48"/>
      <c r="G35" s="48"/>
      <c r="H35" s="48"/>
      <c r="I35">
        <f t="shared" si="0"/>
        <v>0</v>
      </c>
      <c r="J35">
        <v>50</v>
      </c>
      <c r="K35" s="25">
        <f t="shared" si="1"/>
        <v>0</v>
      </c>
      <c r="M35">
        <v>5</v>
      </c>
      <c r="N35">
        <f t="shared" si="2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8">
        <v>18</v>
      </c>
      <c r="B36" s="24" t="s">
        <v>267</v>
      </c>
      <c r="C36" s="24">
        <v>0.29199999999999998</v>
      </c>
      <c r="D36" s="48"/>
      <c r="E36" s="24">
        <v>394.16300000000001</v>
      </c>
      <c r="F36" s="48">
        <v>392.57900000000001</v>
      </c>
      <c r="G36" s="48">
        <v>2.2410000000000001</v>
      </c>
      <c r="H36" s="48">
        <v>0.6</v>
      </c>
      <c r="I36">
        <f t="shared" si="0"/>
        <v>0.39257900000000001</v>
      </c>
      <c r="J36">
        <v>50</v>
      </c>
      <c r="K36" s="25">
        <f t="shared" si="1"/>
        <v>19.62895</v>
      </c>
      <c r="L36">
        <v>70.7</v>
      </c>
      <c r="M36">
        <v>5</v>
      </c>
      <c r="N36">
        <f t="shared" si="2"/>
        <v>98.144750000000002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8"/>
      <c r="B37" s="24" t="s">
        <v>268</v>
      </c>
      <c r="C37" s="24">
        <v>0.28999999999999998</v>
      </c>
      <c r="D37" s="48"/>
      <c r="E37" s="24">
        <v>390.99400000000003</v>
      </c>
      <c r="F37" s="48"/>
      <c r="G37" s="48"/>
      <c r="H37" s="48"/>
      <c r="I37">
        <f t="shared" si="0"/>
        <v>0</v>
      </c>
      <c r="J37">
        <v>50</v>
      </c>
      <c r="K37" s="25">
        <f t="shared" si="1"/>
        <v>0</v>
      </c>
      <c r="M37">
        <v>5</v>
      </c>
      <c r="N37">
        <f t="shared" si="2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8">
        <v>19</v>
      </c>
      <c r="B38" s="24" t="s">
        <v>269</v>
      </c>
      <c r="C38" s="24">
        <v>0.28299999999999997</v>
      </c>
      <c r="D38" s="48"/>
      <c r="E38" s="24">
        <v>375.78500000000003</v>
      </c>
      <c r="F38" s="48">
        <v>375.67899999999997</v>
      </c>
      <c r="G38" s="48">
        <v>0.14899999999999999</v>
      </c>
      <c r="H38" s="48">
        <v>0</v>
      </c>
      <c r="I38">
        <f t="shared" si="0"/>
        <v>0.37567899999999999</v>
      </c>
      <c r="J38">
        <v>50</v>
      </c>
      <c r="K38" s="25">
        <f t="shared" si="1"/>
        <v>18.783950000000001</v>
      </c>
      <c r="L38">
        <v>84.3</v>
      </c>
      <c r="M38">
        <v>5</v>
      </c>
      <c r="N38">
        <f t="shared" si="2"/>
        <v>93.919750000000008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8"/>
      <c r="B39" s="24" t="s">
        <v>270</v>
      </c>
      <c r="C39" s="24">
        <v>0.28299999999999997</v>
      </c>
      <c r="D39" s="48"/>
      <c r="E39" s="24">
        <v>375.57400000000001</v>
      </c>
      <c r="F39" s="48"/>
      <c r="G39" s="48"/>
      <c r="H39" s="48"/>
      <c r="I39">
        <f t="shared" si="0"/>
        <v>0</v>
      </c>
      <c r="J39">
        <v>50</v>
      </c>
      <c r="K39" s="25">
        <f t="shared" si="1"/>
        <v>0</v>
      </c>
      <c r="M39">
        <v>5</v>
      </c>
      <c r="N39">
        <f t="shared" si="2"/>
        <v>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8">
        <v>20</v>
      </c>
      <c r="B40" s="24" t="s">
        <v>271</v>
      </c>
      <c r="C40" s="24">
        <v>0.22800000000000001</v>
      </c>
      <c r="D40" s="48"/>
      <c r="E40" s="24">
        <v>257.91000000000003</v>
      </c>
      <c r="F40" s="48">
        <v>254.21299999999999</v>
      </c>
      <c r="G40" s="48">
        <v>5.2279999999999998</v>
      </c>
      <c r="H40" s="48">
        <v>2.1</v>
      </c>
      <c r="I40">
        <f t="shared" si="0"/>
        <v>0.25421299999999997</v>
      </c>
      <c r="J40">
        <v>50</v>
      </c>
      <c r="K40" s="25">
        <f t="shared" si="1"/>
        <v>12.710649999999998</v>
      </c>
      <c r="L40">
        <v>88.5</v>
      </c>
      <c r="M40">
        <v>5</v>
      </c>
      <c r="N40">
        <f t="shared" si="2"/>
        <v>63.553249999999991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8"/>
      <c r="B41" s="24" t="s">
        <v>272</v>
      </c>
      <c r="C41" s="24">
        <v>0.224</v>
      </c>
      <c r="D41" s="48"/>
      <c r="E41" s="24">
        <v>250.517</v>
      </c>
      <c r="F41" s="48"/>
      <c r="G41" s="48"/>
      <c r="H41" s="48"/>
      <c r="I41">
        <f t="shared" si="0"/>
        <v>0</v>
      </c>
      <c r="J41">
        <v>50</v>
      </c>
      <c r="K41">
        <f t="shared" si="1"/>
        <v>0</v>
      </c>
      <c r="M41">
        <v>5</v>
      </c>
      <c r="N41">
        <f t="shared" si="2"/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8">
        <v>21</v>
      </c>
      <c r="B42" s="24" t="s">
        <v>273</v>
      </c>
      <c r="C42" s="24">
        <v>0.28000000000000003</v>
      </c>
      <c r="D42" s="48"/>
      <c r="E42" s="24">
        <v>367.96899999999999</v>
      </c>
      <c r="F42" s="48">
        <v>367.22899999999998</v>
      </c>
      <c r="G42" s="48">
        <v>1.046</v>
      </c>
      <c r="H42" s="48">
        <v>0.3</v>
      </c>
      <c r="I42">
        <f t="shared" si="0"/>
        <v>0.36722899999999997</v>
      </c>
      <c r="J42">
        <v>50</v>
      </c>
      <c r="K42">
        <f t="shared" si="1"/>
        <v>18.361449999999998</v>
      </c>
      <c r="L42">
        <v>111</v>
      </c>
      <c r="M42">
        <v>5</v>
      </c>
      <c r="N42">
        <f t="shared" si="2"/>
        <v>91.807249999999982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8"/>
      <c r="B43" s="24" t="s">
        <v>274</v>
      </c>
      <c r="C43" s="24">
        <v>0.27900000000000003</v>
      </c>
      <c r="D43" s="48"/>
      <c r="E43" s="24">
        <v>366.49</v>
      </c>
      <c r="F43" s="48"/>
      <c r="G43" s="48"/>
      <c r="H43" s="48"/>
      <c r="I43">
        <f t="shared" si="0"/>
        <v>0</v>
      </c>
      <c r="J43">
        <v>50</v>
      </c>
      <c r="K43">
        <f t="shared" si="1"/>
        <v>0</v>
      </c>
      <c r="M43">
        <v>5</v>
      </c>
      <c r="N43">
        <f t="shared" si="2"/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8">
        <v>22</v>
      </c>
      <c r="B44" s="24" t="s">
        <v>91</v>
      </c>
      <c r="C44" s="24">
        <v>0.29299999999999998</v>
      </c>
      <c r="D44" s="48"/>
      <c r="E44" s="24">
        <v>395.85300000000001</v>
      </c>
      <c r="F44" s="48">
        <v>378.74200000000002</v>
      </c>
      <c r="G44" s="48">
        <v>24.198</v>
      </c>
      <c r="H44" s="48">
        <v>6.4</v>
      </c>
      <c r="I44">
        <f t="shared" si="0"/>
        <v>0.37874200000000002</v>
      </c>
      <c r="J44">
        <v>50</v>
      </c>
      <c r="K44">
        <f t="shared" si="1"/>
        <v>18.937100000000001</v>
      </c>
      <c r="L44">
        <v>160</v>
      </c>
      <c r="M44">
        <v>5</v>
      </c>
      <c r="N44">
        <f t="shared" si="2"/>
        <v>94.685500000000005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8"/>
      <c r="B45" s="24" t="s">
        <v>21</v>
      </c>
      <c r="C45" s="24">
        <v>0.27700000000000002</v>
      </c>
      <c r="D45" s="48"/>
      <c r="E45" s="24">
        <v>361.63099999999997</v>
      </c>
      <c r="F45" s="48"/>
      <c r="G45" s="48"/>
      <c r="H45" s="48"/>
      <c r="I45">
        <f t="shared" si="0"/>
        <v>0</v>
      </c>
      <c r="J45">
        <v>50</v>
      </c>
      <c r="K45">
        <f t="shared" si="1"/>
        <v>0</v>
      </c>
      <c r="M45">
        <v>5</v>
      </c>
      <c r="N45">
        <f t="shared" si="2"/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8">
        <v>23</v>
      </c>
      <c r="B46" s="24" t="s">
        <v>275</v>
      </c>
      <c r="C46" s="24">
        <v>0.26500000000000001</v>
      </c>
      <c r="D46" s="48"/>
      <c r="E46" s="24">
        <v>337.97199999999998</v>
      </c>
      <c r="F46" s="48">
        <v>332.26799999999997</v>
      </c>
      <c r="G46" s="48">
        <v>8.0660000000000007</v>
      </c>
      <c r="H46" s="48">
        <v>2.4</v>
      </c>
      <c r="I46">
        <f t="shared" si="0"/>
        <v>0.33226799999999995</v>
      </c>
      <c r="J46">
        <v>50</v>
      </c>
      <c r="K46">
        <f t="shared" si="1"/>
        <v>16.613399999999999</v>
      </c>
      <c r="L46">
        <v>83.4</v>
      </c>
      <c r="M46">
        <v>5</v>
      </c>
      <c r="N46">
        <f t="shared" si="2"/>
        <v>83.066999999999993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8"/>
      <c r="B47" s="24" t="s">
        <v>276</v>
      </c>
      <c r="C47" s="24">
        <v>0.26</v>
      </c>
      <c r="D47" s="48"/>
      <c r="E47" s="24">
        <v>326.565</v>
      </c>
      <c r="F47" s="48"/>
      <c r="G47" s="48"/>
      <c r="H47" s="48"/>
      <c r="I47">
        <f t="shared" si="0"/>
        <v>0</v>
      </c>
      <c r="J47">
        <v>50</v>
      </c>
      <c r="K47">
        <f t="shared" si="1"/>
        <v>0</v>
      </c>
      <c r="M47">
        <v>5</v>
      </c>
      <c r="N47">
        <f t="shared" si="2"/>
        <v>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8">
        <v>24</v>
      </c>
      <c r="B48" s="24" t="s">
        <v>277</v>
      </c>
      <c r="C48" s="24">
        <v>0.28299999999999997</v>
      </c>
      <c r="D48" s="48"/>
      <c r="E48" s="24">
        <v>375.36200000000002</v>
      </c>
      <c r="F48" s="48">
        <v>370.71499999999997</v>
      </c>
      <c r="G48" s="48">
        <v>6.5720000000000001</v>
      </c>
      <c r="H48" s="48">
        <v>1.8</v>
      </c>
      <c r="I48">
        <f t="shared" si="0"/>
        <v>0.37071499999999996</v>
      </c>
      <c r="J48">
        <v>50</v>
      </c>
      <c r="K48">
        <f t="shared" si="1"/>
        <v>18.535749999999997</v>
      </c>
      <c r="L48">
        <v>108.1</v>
      </c>
      <c r="M48">
        <v>5</v>
      </c>
      <c r="N48">
        <f t="shared" si="2"/>
        <v>92.67874999999998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8"/>
      <c r="B49" s="24" t="s">
        <v>278</v>
      </c>
      <c r="C49" s="24">
        <v>0.27900000000000003</v>
      </c>
      <c r="D49" s="48"/>
      <c r="E49" s="24">
        <v>366.06799999999998</v>
      </c>
      <c r="F49" s="48"/>
      <c r="G49" s="48"/>
      <c r="H49" s="48"/>
      <c r="I49">
        <f t="shared" si="0"/>
        <v>0</v>
      </c>
      <c r="J49">
        <v>50</v>
      </c>
      <c r="K49">
        <f t="shared" si="1"/>
        <v>0</v>
      </c>
      <c r="M49">
        <v>5</v>
      </c>
      <c r="N49">
        <f t="shared" si="2"/>
        <v>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8">
        <v>25</v>
      </c>
      <c r="B50" s="24" t="s">
        <v>279</v>
      </c>
      <c r="C50" s="24">
        <v>0.27900000000000003</v>
      </c>
      <c r="D50" s="48"/>
      <c r="E50" s="24">
        <v>366.70100000000002</v>
      </c>
      <c r="F50" s="48">
        <v>370.08100000000002</v>
      </c>
      <c r="G50" s="48">
        <v>4.78</v>
      </c>
      <c r="H50" s="48">
        <v>1.3</v>
      </c>
      <c r="I50">
        <f t="shared" si="0"/>
        <v>0.37008099999999999</v>
      </c>
      <c r="J50">
        <v>50</v>
      </c>
      <c r="K50" s="25">
        <f t="shared" si="1"/>
        <v>18.504049999999999</v>
      </c>
      <c r="L50">
        <v>112.4</v>
      </c>
      <c r="M50">
        <v>5</v>
      </c>
      <c r="N50">
        <f t="shared" si="2"/>
        <v>92.520250000000004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8"/>
      <c r="B51" s="24" t="s">
        <v>280</v>
      </c>
      <c r="C51" s="24">
        <v>0.28199999999999997</v>
      </c>
      <c r="D51" s="48"/>
      <c r="E51" s="24">
        <v>373.46100000000001</v>
      </c>
      <c r="F51" s="48"/>
      <c r="G51" s="48"/>
      <c r="H51" s="48"/>
      <c r="I51">
        <f t="shared" si="0"/>
        <v>0</v>
      </c>
      <c r="J51">
        <v>50</v>
      </c>
      <c r="K51" s="25">
        <f t="shared" si="1"/>
        <v>0</v>
      </c>
      <c r="M51">
        <v>5</v>
      </c>
      <c r="N51">
        <f t="shared" si="2"/>
        <v>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8">
        <v>26</v>
      </c>
      <c r="B52" s="24" t="s">
        <v>281</v>
      </c>
      <c r="C52" s="24">
        <v>0.27600000000000002</v>
      </c>
      <c r="D52" s="48"/>
      <c r="E52" s="24">
        <v>360.57499999999999</v>
      </c>
      <c r="F52" s="48">
        <v>352.75900000000001</v>
      </c>
      <c r="G52" s="48">
        <v>11.054</v>
      </c>
      <c r="H52" s="48">
        <v>3.1</v>
      </c>
      <c r="I52">
        <f t="shared" si="0"/>
        <v>0.35275899999999999</v>
      </c>
      <c r="J52">
        <v>50</v>
      </c>
      <c r="K52" s="25">
        <f t="shared" si="1"/>
        <v>17.63795</v>
      </c>
      <c r="L52">
        <v>115</v>
      </c>
      <c r="M52">
        <v>5</v>
      </c>
      <c r="N52">
        <f t="shared" si="2"/>
        <v>88.189750000000004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8"/>
      <c r="B53" s="24" t="s">
        <v>282</v>
      </c>
      <c r="C53" s="24">
        <v>0.26900000000000002</v>
      </c>
      <c r="D53" s="48"/>
      <c r="E53" s="24">
        <v>344.94299999999998</v>
      </c>
      <c r="F53" s="48"/>
      <c r="G53" s="48"/>
      <c r="H53" s="48"/>
      <c r="I53">
        <f t="shared" si="0"/>
        <v>0</v>
      </c>
      <c r="J53">
        <v>50</v>
      </c>
      <c r="K53" s="25">
        <f t="shared" si="1"/>
        <v>0</v>
      </c>
      <c r="M53">
        <v>5</v>
      </c>
      <c r="N53">
        <f t="shared" si="2"/>
        <v>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8">
        <v>27</v>
      </c>
      <c r="B54" s="24" t="s">
        <v>283</v>
      </c>
      <c r="C54" s="24">
        <v>0.28699999999999998</v>
      </c>
      <c r="D54" s="48"/>
      <c r="E54" s="24">
        <v>384.23500000000001</v>
      </c>
      <c r="F54" s="48">
        <v>379.798</v>
      </c>
      <c r="G54" s="48">
        <v>6.274</v>
      </c>
      <c r="H54" s="48">
        <v>1.7</v>
      </c>
      <c r="I54">
        <f t="shared" si="0"/>
        <v>0.37979800000000002</v>
      </c>
      <c r="J54">
        <v>50</v>
      </c>
      <c r="K54" s="25">
        <f t="shared" si="1"/>
        <v>18.989900000000002</v>
      </c>
      <c r="L54">
        <v>101.2</v>
      </c>
      <c r="M54">
        <v>5</v>
      </c>
      <c r="N54">
        <f t="shared" si="2"/>
        <v>94.949500000000015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8"/>
      <c r="B55" s="24" t="s">
        <v>284</v>
      </c>
      <c r="C55" s="24">
        <v>0.28299999999999997</v>
      </c>
      <c r="D55" s="48"/>
      <c r="E55" s="24">
        <v>375.36200000000002</v>
      </c>
      <c r="F55" s="48"/>
      <c r="G55" s="48"/>
      <c r="H55" s="48"/>
      <c r="I55">
        <f t="shared" si="0"/>
        <v>0</v>
      </c>
      <c r="J55">
        <v>50</v>
      </c>
      <c r="K55" s="25">
        <f t="shared" si="1"/>
        <v>0</v>
      </c>
      <c r="M55">
        <v>5</v>
      </c>
      <c r="N55">
        <f t="shared" si="2"/>
        <v>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8">
        <v>28</v>
      </c>
      <c r="B56" s="24" t="s">
        <v>285</v>
      </c>
      <c r="C56" s="24">
        <v>0.30199999999999999</v>
      </c>
      <c r="D56" s="48"/>
      <c r="E56" s="24">
        <v>416.34399999999999</v>
      </c>
      <c r="F56" s="48">
        <v>412.43599999999998</v>
      </c>
      <c r="G56" s="48">
        <v>5.5270000000000001</v>
      </c>
      <c r="H56" s="48">
        <v>1.3</v>
      </c>
      <c r="I56">
        <f t="shared" si="0"/>
        <v>0.41243599999999997</v>
      </c>
      <c r="J56">
        <v>50</v>
      </c>
      <c r="K56" s="25">
        <f t="shared" si="1"/>
        <v>20.621799999999997</v>
      </c>
      <c r="L56">
        <v>75.3</v>
      </c>
      <c r="M56">
        <v>5</v>
      </c>
      <c r="N56">
        <f t="shared" si="2"/>
        <v>103.10899999999998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8"/>
      <c r="B57" s="24" t="s">
        <v>286</v>
      </c>
      <c r="C57" s="24">
        <v>0.29899999999999999</v>
      </c>
      <c r="D57" s="48"/>
      <c r="E57" s="24">
        <v>408.52800000000002</v>
      </c>
      <c r="F57" s="48"/>
      <c r="G57" s="48"/>
      <c r="H57" s="48"/>
      <c r="I57">
        <f t="shared" si="0"/>
        <v>0</v>
      </c>
      <c r="J57">
        <v>50</v>
      </c>
      <c r="K57" s="25">
        <f t="shared" si="1"/>
        <v>0</v>
      </c>
      <c r="M57">
        <v>5</v>
      </c>
      <c r="N57">
        <f t="shared" si="2"/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8">
        <v>29</v>
      </c>
      <c r="B58" s="24" t="s">
        <v>287</v>
      </c>
      <c r="C58" s="24">
        <v>0.28999999999999998</v>
      </c>
      <c r="D58" s="48"/>
      <c r="E58" s="24">
        <v>389.93799999999999</v>
      </c>
      <c r="F58" s="48">
        <v>385.92500000000001</v>
      </c>
      <c r="G58" s="48">
        <v>5.6760000000000002</v>
      </c>
      <c r="H58" s="48">
        <v>1.5</v>
      </c>
      <c r="I58">
        <f t="shared" si="0"/>
        <v>0.38592500000000002</v>
      </c>
      <c r="J58">
        <v>50</v>
      </c>
      <c r="K58">
        <f t="shared" si="1"/>
        <v>19.296250000000001</v>
      </c>
      <c r="L58">
        <v>128.19999999999999</v>
      </c>
      <c r="M58">
        <v>5</v>
      </c>
      <c r="N58">
        <f t="shared" si="2"/>
        <v>96.481250000000003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8"/>
      <c r="B59" s="24" t="s">
        <v>288</v>
      </c>
      <c r="C59" s="24">
        <v>0.28599999999999998</v>
      </c>
      <c r="D59" s="48"/>
      <c r="E59" s="24">
        <v>381.911</v>
      </c>
      <c r="F59" s="48"/>
      <c r="G59" s="48"/>
      <c r="H59" s="48"/>
      <c r="I59">
        <f t="shared" si="0"/>
        <v>0</v>
      </c>
      <c r="J59">
        <v>50</v>
      </c>
      <c r="K59">
        <f t="shared" si="1"/>
        <v>0</v>
      </c>
      <c r="M59">
        <v>5</v>
      </c>
      <c r="N59">
        <f t="shared" si="2"/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8">
        <v>30</v>
      </c>
      <c r="B60" s="24" t="s">
        <v>14</v>
      </c>
      <c r="C60" s="24">
        <v>0.29499999999999998</v>
      </c>
      <c r="D60" s="48"/>
      <c r="E60" s="24">
        <v>400.07799999999997</v>
      </c>
      <c r="F60" s="48">
        <v>409.16199999999998</v>
      </c>
      <c r="G60" s="48">
        <v>12.846</v>
      </c>
      <c r="H60" s="48">
        <v>3.1</v>
      </c>
      <c r="I60">
        <f t="shared" si="0"/>
        <v>0.40916199999999997</v>
      </c>
      <c r="J60">
        <v>50</v>
      </c>
      <c r="K60">
        <f t="shared" si="1"/>
        <v>20.458099999999998</v>
      </c>
      <c r="L60">
        <v>84.6</v>
      </c>
      <c r="M60">
        <v>5</v>
      </c>
      <c r="N60">
        <f t="shared" si="2"/>
        <v>102.29049999999999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8"/>
      <c r="B61" s="24" t="s">
        <v>289</v>
      </c>
      <c r="C61" s="24">
        <v>0.30299999999999999</v>
      </c>
      <c r="D61" s="48"/>
      <c r="E61" s="24">
        <v>418.245</v>
      </c>
      <c r="F61" s="48"/>
      <c r="G61" s="48"/>
      <c r="H61" s="48"/>
      <c r="I61">
        <f t="shared" si="0"/>
        <v>0</v>
      </c>
      <c r="J61">
        <v>50</v>
      </c>
      <c r="K61">
        <f t="shared" si="1"/>
        <v>0</v>
      </c>
      <c r="M61">
        <v>5</v>
      </c>
      <c r="N61">
        <f t="shared" si="2"/>
        <v>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8">
        <v>31</v>
      </c>
      <c r="B62" s="24" t="s">
        <v>290</v>
      </c>
      <c r="C62" s="24">
        <v>0.29799999999999999</v>
      </c>
      <c r="D62" s="48"/>
      <c r="E62" s="24">
        <v>407.26</v>
      </c>
      <c r="F62" s="48">
        <v>394.05799999999999</v>
      </c>
      <c r="G62" s="48">
        <v>18.672000000000001</v>
      </c>
      <c r="H62" s="48">
        <v>4.7</v>
      </c>
      <c r="I62">
        <f t="shared" si="0"/>
        <v>0.39405800000000002</v>
      </c>
      <c r="J62">
        <v>50</v>
      </c>
      <c r="K62">
        <f t="shared" si="1"/>
        <v>19.7029</v>
      </c>
      <c r="L62">
        <v>104.8</v>
      </c>
      <c r="M62">
        <v>5</v>
      </c>
      <c r="N62">
        <f t="shared" si="2"/>
        <v>98.514499999999998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8"/>
      <c r="B63" s="24" t="s">
        <v>291</v>
      </c>
      <c r="C63" s="24">
        <v>0.28599999999999998</v>
      </c>
      <c r="D63" s="48"/>
      <c r="E63" s="24">
        <v>380.85500000000002</v>
      </c>
      <c r="F63" s="48"/>
      <c r="G63" s="48"/>
      <c r="H63" s="48"/>
      <c r="I63">
        <f t="shared" si="0"/>
        <v>0</v>
      </c>
      <c r="J63">
        <v>50</v>
      </c>
      <c r="K63">
        <f t="shared" si="1"/>
        <v>0</v>
      </c>
      <c r="M63">
        <v>5</v>
      </c>
      <c r="N63">
        <f t="shared" si="2"/>
        <v>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8">
        <v>32</v>
      </c>
      <c r="B64" s="24" t="s">
        <v>292</v>
      </c>
      <c r="C64" s="24">
        <v>0.28100000000000003</v>
      </c>
      <c r="D64" s="48"/>
      <c r="E64" s="24">
        <v>370.08100000000002</v>
      </c>
      <c r="F64" s="48">
        <v>365.43400000000003</v>
      </c>
      <c r="G64" s="48">
        <v>6.5720000000000001</v>
      </c>
      <c r="H64" s="48">
        <v>1.8</v>
      </c>
      <c r="I64">
        <f t="shared" si="0"/>
        <v>0.36543400000000004</v>
      </c>
      <c r="J64">
        <v>50</v>
      </c>
      <c r="K64">
        <f t="shared" si="1"/>
        <v>18.271700000000003</v>
      </c>
      <c r="L64">
        <v>89.8</v>
      </c>
      <c r="M64">
        <v>5</v>
      </c>
      <c r="N64">
        <f t="shared" si="2"/>
        <v>91.358500000000021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8"/>
      <c r="B65" s="24" t="s">
        <v>293</v>
      </c>
      <c r="C65" s="24">
        <v>0.27600000000000002</v>
      </c>
      <c r="D65" s="48"/>
      <c r="E65" s="24">
        <v>360.786</v>
      </c>
      <c r="F65" s="48"/>
      <c r="G65" s="48"/>
      <c r="H65" s="48"/>
      <c r="I65">
        <f t="shared" si="0"/>
        <v>0</v>
      </c>
      <c r="J65">
        <v>50</v>
      </c>
      <c r="K65">
        <f t="shared" si="1"/>
        <v>0</v>
      </c>
      <c r="M65">
        <v>5</v>
      </c>
      <c r="N65">
        <f t="shared" si="2"/>
        <v>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8">
        <v>33</v>
      </c>
      <c r="B66" s="24" t="s">
        <v>294</v>
      </c>
      <c r="C66" s="24">
        <v>0.29699999999999999</v>
      </c>
      <c r="D66" s="48"/>
      <c r="E66" s="24">
        <v>405.14800000000002</v>
      </c>
      <c r="F66" s="48">
        <v>428.279</v>
      </c>
      <c r="G66" s="48">
        <v>32.713000000000001</v>
      </c>
      <c r="H66" s="48">
        <v>7.6</v>
      </c>
      <c r="I66">
        <f t="shared" si="0"/>
        <v>0.42827900000000002</v>
      </c>
      <c r="J66">
        <v>50</v>
      </c>
      <c r="K66" s="25">
        <f t="shared" si="1"/>
        <v>21.41395</v>
      </c>
      <c r="L66">
        <v>80.900000000000006</v>
      </c>
      <c r="M66">
        <v>5</v>
      </c>
      <c r="N66">
        <f t="shared" si="2"/>
        <v>107.06975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8"/>
      <c r="B67" s="24" t="s">
        <v>295</v>
      </c>
      <c r="C67" s="24">
        <v>0.31900000000000001</v>
      </c>
      <c r="D67" s="48"/>
      <c r="E67" s="24">
        <v>451.411</v>
      </c>
      <c r="F67" s="48"/>
      <c r="G67" s="48"/>
      <c r="H67" s="48"/>
      <c r="I67">
        <f t="shared" ref="I67:I130" si="3">F67/1000</f>
        <v>0</v>
      </c>
      <c r="J67">
        <v>50</v>
      </c>
      <c r="K67" s="25">
        <f t="shared" ref="K67:K130" si="4">I67*50</f>
        <v>0</v>
      </c>
      <c r="M67">
        <v>5</v>
      </c>
      <c r="N67">
        <f t="shared" ref="N67:N130" si="5">K67*M67</f>
        <v>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8">
        <v>34</v>
      </c>
      <c r="B68" s="24" t="s">
        <v>296</v>
      </c>
      <c r="C68" s="24">
        <v>0.29899999999999999</v>
      </c>
      <c r="D68" s="48"/>
      <c r="E68" s="24">
        <v>410.00700000000001</v>
      </c>
      <c r="F68" s="48">
        <v>399.55</v>
      </c>
      <c r="G68" s="48">
        <v>14.788</v>
      </c>
      <c r="H68" s="48">
        <v>3.7</v>
      </c>
      <c r="I68">
        <f t="shared" si="3"/>
        <v>0.39955000000000002</v>
      </c>
      <c r="J68">
        <v>50</v>
      </c>
      <c r="K68" s="25">
        <f t="shared" si="4"/>
        <v>19.977499999999999</v>
      </c>
      <c r="L68">
        <v>76.3</v>
      </c>
      <c r="M68">
        <v>5</v>
      </c>
      <c r="N68">
        <f t="shared" si="5"/>
        <v>99.887499999999989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8"/>
      <c r="B69" s="24" t="s">
        <v>297</v>
      </c>
      <c r="C69" s="24">
        <v>0.28999999999999998</v>
      </c>
      <c r="D69" s="48"/>
      <c r="E69" s="24">
        <v>389.09300000000002</v>
      </c>
      <c r="F69" s="48"/>
      <c r="G69" s="48"/>
      <c r="H69" s="48"/>
      <c r="I69">
        <f t="shared" si="3"/>
        <v>0</v>
      </c>
      <c r="J69">
        <v>50</v>
      </c>
      <c r="K69" s="25">
        <f t="shared" si="4"/>
        <v>0</v>
      </c>
      <c r="M69">
        <v>5</v>
      </c>
      <c r="N69">
        <f t="shared" si="5"/>
        <v>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8">
        <v>35</v>
      </c>
      <c r="B70" s="24" t="s">
        <v>298</v>
      </c>
      <c r="C70" s="24">
        <v>0.29899999999999999</v>
      </c>
      <c r="D70" s="48"/>
      <c r="E70" s="24">
        <v>409.79500000000002</v>
      </c>
      <c r="F70" s="48">
        <v>399.339</v>
      </c>
      <c r="G70" s="48">
        <v>14.788</v>
      </c>
      <c r="H70" s="48">
        <v>3.7</v>
      </c>
      <c r="I70">
        <f t="shared" si="3"/>
        <v>0.399339</v>
      </c>
      <c r="J70">
        <v>50</v>
      </c>
      <c r="K70" s="25">
        <f t="shared" si="4"/>
        <v>19.966950000000001</v>
      </c>
      <c r="L70">
        <v>81.3</v>
      </c>
      <c r="M70">
        <v>5</v>
      </c>
      <c r="N70">
        <f t="shared" si="5"/>
        <v>99.83475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8"/>
      <c r="B71" s="24" t="s">
        <v>299</v>
      </c>
      <c r="C71" s="24">
        <v>0.28899999999999998</v>
      </c>
      <c r="D71" s="48"/>
      <c r="E71" s="24">
        <v>388.88200000000001</v>
      </c>
      <c r="F71" s="48"/>
      <c r="G71" s="48"/>
      <c r="H71" s="48"/>
      <c r="I71">
        <f t="shared" si="3"/>
        <v>0</v>
      </c>
      <c r="J71">
        <v>50</v>
      </c>
      <c r="K71" s="25">
        <f t="shared" si="4"/>
        <v>0</v>
      </c>
      <c r="M71">
        <v>5</v>
      </c>
      <c r="N71">
        <f t="shared" si="5"/>
        <v>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8">
        <v>36</v>
      </c>
      <c r="B72" s="24" t="s">
        <v>300</v>
      </c>
      <c r="C72" s="24">
        <v>0.308</v>
      </c>
      <c r="D72" s="48"/>
      <c r="E72" s="24">
        <v>427.32900000000001</v>
      </c>
      <c r="F72" s="48">
        <v>410.74599999999998</v>
      </c>
      <c r="G72" s="48">
        <v>23.452000000000002</v>
      </c>
      <c r="H72" s="48">
        <v>5.7</v>
      </c>
      <c r="I72">
        <f t="shared" si="3"/>
        <v>0.410746</v>
      </c>
      <c r="J72">
        <v>50</v>
      </c>
      <c r="K72" s="25">
        <f t="shared" si="4"/>
        <v>20.537299999999998</v>
      </c>
      <c r="L72">
        <v>150.19999999999999</v>
      </c>
      <c r="M72">
        <v>5</v>
      </c>
      <c r="N72">
        <f t="shared" si="5"/>
        <v>102.6865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8"/>
      <c r="B73" s="24" t="s">
        <v>301</v>
      </c>
      <c r="C73" s="24">
        <v>0.29199999999999998</v>
      </c>
      <c r="D73" s="48"/>
      <c r="E73" s="24">
        <v>394.16300000000001</v>
      </c>
      <c r="F73" s="48"/>
      <c r="G73" s="48"/>
      <c r="H73" s="48"/>
      <c r="I73">
        <f t="shared" si="3"/>
        <v>0</v>
      </c>
      <c r="J73">
        <v>50</v>
      </c>
      <c r="K73" s="25">
        <f t="shared" si="4"/>
        <v>0</v>
      </c>
      <c r="M73">
        <v>5</v>
      </c>
      <c r="N73">
        <f t="shared" si="5"/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8">
        <v>37</v>
      </c>
      <c r="B74" s="24" t="s">
        <v>302</v>
      </c>
      <c r="C74" s="24">
        <v>0.28199999999999997</v>
      </c>
      <c r="D74" s="48"/>
      <c r="E74" s="24">
        <v>373.03899999999999</v>
      </c>
      <c r="F74" s="48">
        <v>361.315</v>
      </c>
      <c r="G74" s="48">
        <v>16.579999999999998</v>
      </c>
      <c r="H74" s="48">
        <v>4.5999999999999996</v>
      </c>
      <c r="I74">
        <f t="shared" si="3"/>
        <v>0.361315</v>
      </c>
      <c r="J74">
        <v>50</v>
      </c>
      <c r="K74" s="4">
        <f t="shared" si="4"/>
        <v>18.065750000000001</v>
      </c>
      <c r="L74">
        <v>99.8</v>
      </c>
      <c r="M74">
        <v>5</v>
      </c>
      <c r="N74">
        <f t="shared" si="5"/>
        <v>90.328750000000014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8"/>
      <c r="B75" s="24" t="s">
        <v>303</v>
      </c>
      <c r="C75" s="24">
        <v>0.27100000000000002</v>
      </c>
      <c r="D75" s="48"/>
      <c r="E75" s="24">
        <v>349.59</v>
      </c>
      <c r="F75" s="48"/>
      <c r="G75" s="48"/>
      <c r="H75" s="48"/>
      <c r="I75">
        <f t="shared" si="3"/>
        <v>0</v>
      </c>
      <c r="J75">
        <v>50</v>
      </c>
      <c r="K75">
        <f t="shared" si="4"/>
        <v>0</v>
      </c>
      <c r="M75">
        <v>5</v>
      </c>
      <c r="N75">
        <f t="shared" si="5"/>
        <v>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8">
        <v>38</v>
      </c>
      <c r="B76" s="24" t="s">
        <v>70</v>
      </c>
      <c r="C76" s="24">
        <v>0.26</v>
      </c>
      <c r="D76" s="48"/>
      <c r="E76" s="24">
        <v>326.98700000000002</v>
      </c>
      <c r="F76" s="48">
        <v>335.54300000000001</v>
      </c>
      <c r="G76" s="48">
        <v>12.099</v>
      </c>
      <c r="H76" s="48">
        <v>3.6</v>
      </c>
      <c r="I76">
        <f t="shared" si="3"/>
        <v>0.33554299999999998</v>
      </c>
      <c r="J76">
        <v>50</v>
      </c>
      <c r="K76">
        <f t="shared" si="4"/>
        <v>16.777149999999999</v>
      </c>
      <c r="L76">
        <v>91.9</v>
      </c>
      <c r="M76">
        <v>5</v>
      </c>
      <c r="N76">
        <f t="shared" si="5"/>
        <v>83.885750000000002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8"/>
      <c r="B77" s="24" t="s">
        <v>71</v>
      </c>
      <c r="C77" s="24">
        <v>0.26800000000000002</v>
      </c>
      <c r="D77" s="48"/>
      <c r="E77" s="24">
        <v>344.09800000000001</v>
      </c>
      <c r="F77" s="48"/>
      <c r="G77" s="48"/>
      <c r="H77" s="48"/>
      <c r="I77">
        <f t="shared" si="3"/>
        <v>0</v>
      </c>
      <c r="J77">
        <v>50</v>
      </c>
      <c r="K77">
        <f t="shared" si="4"/>
        <v>0</v>
      </c>
      <c r="M77">
        <v>5</v>
      </c>
      <c r="N77">
        <f t="shared" si="5"/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8">
        <v>39</v>
      </c>
      <c r="B78" s="24" t="s">
        <v>304</v>
      </c>
      <c r="C78" s="24">
        <v>0.26900000000000002</v>
      </c>
      <c r="D78" s="48"/>
      <c r="E78" s="24">
        <v>345.577</v>
      </c>
      <c r="F78" s="48">
        <v>339.13400000000001</v>
      </c>
      <c r="G78" s="48">
        <v>9.1120000000000001</v>
      </c>
      <c r="H78" s="48">
        <v>2.7</v>
      </c>
      <c r="I78">
        <f t="shared" si="3"/>
        <v>0.33913399999999999</v>
      </c>
      <c r="J78">
        <v>50</v>
      </c>
      <c r="K78">
        <f t="shared" si="4"/>
        <v>16.956699999999998</v>
      </c>
      <c r="L78">
        <v>108.5</v>
      </c>
      <c r="M78">
        <v>5</v>
      </c>
      <c r="N78">
        <f t="shared" si="5"/>
        <v>84.783499999999989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8"/>
      <c r="B79" s="24" t="s">
        <v>305</v>
      </c>
      <c r="C79" s="24">
        <v>0.26300000000000001</v>
      </c>
      <c r="D79" s="48"/>
      <c r="E79" s="24">
        <v>332.69099999999997</v>
      </c>
      <c r="F79" s="48"/>
      <c r="G79" s="48"/>
      <c r="H79" s="48"/>
      <c r="I79">
        <f t="shared" si="3"/>
        <v>0</v>
      </c>
      <c r="J79">
        <v>50</v>
      </c>
      <c r="K79">
        <f t="shared" si="4"/>
        <v>0</v>
      </c>
      <c r="M79">
        <v>5</v>
      </c>
      <c r="N79">
        <f t="shared" si="5"/>
        <v>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8">
        <v>40</v>
      </c>
      <c r="B80" s="24" t="s">
        <v>306</v>
      </c>
      <c r="C80" s="24">
        <v>0.27100000000000002</v>
      </c>
      <c r="D80" s="48"/>
      <c r="E80" s="24">
        <v>349.80200000000002</v>
      </c>
      <c r="F80" s="48">
        <v>343.887</v>
      </c>
      <c r="G80" s="48">
        <v>8.3650000000000002</v>
      </c>
      <c r="H80" s="48">
        <v>2.4</v>
      </c>
      <c r="I80">
        <f t="shared" si="3"/>
        <v>0.343887</v>
      </c>
      <c r="J80">
        <v>50</v>
      </c>
      <c r="K80">
        <f t="shared" si="4"/>
        <v>17.19435</v>
      </c>
      <c r="L80">
        <v>100.8</v>
      </c>
      <c r="M80">
        <v>5</v>
      </c>
      <c r="N80">
        <f t="shared" si="5"/>
        <v>85.97175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8"/>
      <c r="B81" s="24" t="s">
        <v>307</v>
      </c>
      <c r="C81" s="24">
        <v>0.26500000000000001</v>
      </c>
      <c r="D81" s="48"/>
      <c r="E81" s="24">
        <v>337.97199999999998</v>
      </c>
      <c r="F81" s="48"/>
      <c r="G81" s="48"/>
      <c r="H81" s="48"/>
      <c r="I81">
        <f t="shared" si="3"/>
        <v>0</v>
      </c>
      <c r="J81">
        <v>50</v>
      </c>
      <c r="K81">
        <f t="shared" si="4"/>
        <v>0</v>
      </c>
      <c r="M81">
        <v>5</v>
      </c>
      <c r="N81">
        <f t="shared" si="5"/>
        <v>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8">
        <v>41</v>
      </c>
      <c r="B82" s="24" t="s">
        <v>308</v>
      </c>
      <c r="C82" s="24">
        <v>0.314</v>
      </c>
      <c r="D82" s="48"/>
      <c r="E82" s="24">
        <v>439.58100000000002</v>
      </c>
      <c r="F82" s="48">
        <v>433.666</v>
      </c>
      <c r="G82" s="48">
        <v>8.3650000000000002</v>
      </c>
      <c r="H82" s="48">
        <v>1.9</v>
      </c>
      <c r="I82">
        <f t="shared" si="3"/>
        <v>0.433666</v>
      </c>
      <c r="J82">
        <v>50</v>
      </c>
      <c r="K82" s="25">
        <f t="shared" si="4"/>
        <v>21.683299999999999</v>
      </c>
      <c r="L82">
        <v>61.7</v>
      </c>
      <c r="M82">
        <v>5</v>
      </c>
      <c r="N82">
        <f t="shared" si="5"/>
        <v>108.4165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8"/>
      <c r="B83" s="24" t="s">
        <v>309</v>
      </c>
      <c r="C83" s="24">
        <v>0.308</v>
      </c>
      <c r="D83" s="48"/>
      <c r="E83" s="24">
        <v>427.75099999999998</v>
      </c>
      <c r="F83" s="48"/>
      <c r="G83" s="48"/>
      <c r="H83" s="48"/>
      <c r="I83">
        <f t="shared" si="3"/>
        <v>0</v>
      </c>
      <c r="J83">
        <v>50</v>
      </c>
      <c r="K83" s="25">
        <f t="shared" si="4"/>
        <v>0</v>
      </c>
      <c r="M83">
        <v>5</v>
      </c>
      <c r="N83">
        <f t="shared" si="5"/>
        <v>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8">
        <v>42</v>
      </c>
      <c r="B84" s="24" t="s">
        <v>310</v>
      </c>
      <c r="C84" s="24">
        <v>0.30099999999999999</v>
      </c>
      <c r="D84" s="48"/>
      <c r="E84" s="24">
        <v>414.23099999999999</v>
      </c>
      <c r="F84" s="48">
        <v>398.38799999999998</v>
      </c>
      <c r="G84" s="48">
        <v>22.405999999999999</v>
      </c>
      <c r="H84" s="48">
        <v>5.6</v>
      </c>
      <c r="I84">
        <f t="shared" si="3"/>
        <v>0.39838799999999996</v>
      </c>
      <c r="J84">
        <v>50</v>
      </c>
      <c r="K84" s="25">
        <f t="shared" si="4"/>
        <v>19.9194</v>
      </c>
      <c r="L84">
        <v>111.3</v>
      </c>
      <c r="M84">
        <v>5</v>
      </c>
      <c r="N84">
        <f t="shared" si="5"/>
        <v>99.596999999999994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8"/>
      <c r="B85" s="24" t="s">
        <v>311</v>
      </c>
      <c r="C85" s="24">
        <v>0.28599999999999998</v>
      </c>
      <c r="D85" s="48"/>
      <c r="E85" s="24">
        <v>382.54500000000002</v>
      </c>
      <c r="F85" s="48"/>
      <c r="G85" s="48"/>
      <c r="H85" s="48"/>
      <c r="I85">
        <f t="shared" si="3"/>
        <v>0</v>
      </c>
      <c r="J85">
        <v>50</v>
      </c>
      <c r="K85" s="25">
        <f t="shared" si="4"/>
        <v>0</v>
      </c>
      <c r="M85">
        <v>5</v>
      </c>
      <c r="N85">
        <f t="shared" si="5"/>
        <v>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8">
        <v>43</v>
      </c>
      <c r="B86" s="24" t="s">
        <v>312</v>
      </c>
      <c r="C86" s="24">
        <v>0.318</v>
      </c>
      <c r="D86" s="48"/>
      <c r="E86" s="24">
        <v>449.298</v>
      </c>
      <c r="F86" s="48">
        <v>442.53800000000001</v>
      </c>
      <c r="G86" s="48">
        <v>9.56</v>
      </c>
      <c r="H86" s="48">
        <v>2.2000000000000002</v>
      </c>
      <c r="I86">
        <f t="shared" si="3"/>
        <v>0.44253799999999999</v>
      </c>
      <c r="J86">
        <v>50</v>
      </c>
      <c r="K86" s="25">
        <f t="shared" si="4"/>
        <v>22.126899999999999</v>
      </c>
      <c r="L86">
        <v>81</v>
      </c>
      <c r="M86">
        <v>5</v>
      </c>
      <c r="N86">
        <f t="shared" si="5"/>
        <v>110.6345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8"/>
      <c r="B87" s="24" t="s">
        <v>313</v>
      </c>
      <c r="C87" s="24">
        <v>0.312</v>
      </c>
      <c r="D87" s="48"/>
      <c r="E87" s="24">
        <v>435.77800000000002</v>
      </c>
      <c r="F87" s="48"/>
      <c r="G87" s="48"/>
      <c r="H87" s="48"/>
      <c r="I87">
        <f t="shared" si="3"/>
        <v>0</v>
      </c>
      <c r="J87">
        <v>50</v>
      </c>
      <c r="K87" s="25">
        <f t="shared" si="4"/>
        <v>0</v>
      </c>
      <c r="M87">
        <v>5</v>
      </c>
      <c r="N87">
        <f t="shared" si="5"/>
        <v>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8">
        <v>44</v>
      </c>
      <c r="B88" s="24" t="s">
        <v>314</v>
      </c>
      <c r="C88" s="24">
        <v>0.30499999999999999</v>
      </c>
      <c r="D88" s="48"/>
      <c r="E88" s="24">
        <v>421.41399999999999</v>
      </c>
      <c r="F88" s="48">
        <v>411.59100000000001</v>
      </c>
      <c r="G88" s="48">
        <v>13.891999999999999</v>
      </c>
      <c r="H88" s="48">
        <v>3.4</v>
      </c>
      <c r="I88">
        <f t="shared" si="3"/>
        <v>0.41159099999999998</v>
      </c>
      <c r="J88">
        <v>50</v>
      </c>
      <c r="K88" s="25">
        <f t="shared" si="4"/>
        <v>20.579549999999998</v>
      </c>
      <c r="L88">
        <v>67</v>
      </c>
      <c r="M88">
        <v>5</v>
      </c>
      <c r="N88">
        <f t="shared" si="5"/>
        <v>102.89774999999999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8"/>
      <c r="B89" s="24" t="s">
        <v>315</v>
      </c>
      <c r="C89" s="24">
        <v>0.29599999999999999</v>
      </c>
      <c r="D89" s="48"/>
      <c r="E89" s="24">
        <v>401.76799999999997</v>
      </c>
      <c r="F89" s="48"/>
      <c r="G89" s="48"/>
      <c r="H89" s="48"/>
      <c r="I89">
        <f t="shared" si="3"/>
        <v>0</v>
      </c>
      <c r="J89">
        <v>50</v>
      </c>
      <c r="K89">
        <f t="shared" si="4"/>
        <v>0</v>
      </c>
      <c r="M89">
        <v>5</v>
      </c>
      <c r="N89">
        <f t="shared" si="5"/>
        <v>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8">
        <v>45</v>
      </c>
      <c r="B90" s="24" t="s">
        <v>316</v>
      </c>
      <c r="C90" s="24">
        <v>0.312</v>
      </c>
      <c r="D90" s="48"/>
      <c r="E90" s="24">
        <v>436.83499999999998</v>
      </c>
      <c r="F90" s="48">
        <v>435.25</v>
      </c>
      <c r="G90" s="48">
        <v>2.2410000000000001</v>
      </c>
      <c r="H90" s="48">
        <v>0.5</v>
      </c>
      <c r="I90">
        <f t="shared" si="3"/>
        <v>0.43525000000000003</v>
      </c>
      <c r="J90">
        <v>50</v>
      </c>
      <c r="K90">
        <f t="shared" si="4"/>
        <v>21.762500000000003</v>
      </c>
      <c r="L90">
        <v>90.9</v>
      </c>
      <c r="M90">
        <v>5</v>
      </c>
      <c r="N90">
        <f t="shared" si="5"/>
        <v>108.81250000000001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8"/>
      <c r="B91" s="24" t="s">
        <v>317</v>
      </c>
      <c r="C91" s="24">
        <v>0.311</v>
      </c>
      <c r="D91" s="48"/>
      <c r="E91" s="24">
        <v>433.666</v>
      </c>
      <c r="F91" s="48"/>
      <c r="G91" s="48"/>
      <c r="H91" s="48"/>
      <c r="I91">
        <f t="shared" si="3"/>
        <v>0</v>
      </c>
      <c r="J91">
        <v>50</v>
      </c>
      <c r="K91">
        <f t="shared" si="4"/>
        <v>0</v>
      </c>
      <c r="M91">
        <v>5</v>
      </c>
      <c r="N91">
        <f t="shared" si="5"/>
        <v>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8">
        <v>46</v>
      </c>
      <c r="B92" s="24" t="s">
        <v>318</v>
      </c>
      <c r="C92" s="24">
        <v>0.29699999999999999</v>
      </c>
      <c r="D92" s="48"/>
      <c r="E92" s="24">
        <v>404.09199999999998</v>
      </c>
      <c r="F92" s="48">
        <v>392.57900000000001</v>
      </c>
      <c r="G92" s="48">
        <v>16.282</v>
      </c>
      <c r="H92" s="48">
        <v>4.0999999999999996</v>
      </c>
      <c r="I92">
        <f t="shared" si="3"/>
        <v>0.39257900000000001</v>
      </c>
      <c r="J92">
        <v>50</v>
      </c>
      <c r="K92">
        <f t="shared" si="4"/>
        <v>19.62895</v>
      </c>
      <c r="L92">
        <v>78.599999999999994</v>
      </c>
      <c r="M92">
        <v>5</v>
      </c>
      <c r="N92">
        <f t="shared" si="5"/>
        <v>98.144750000000002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8"/>
      <c r="B93" s="24" t="s">
        <v>67</v>
      </c>
      <c r="C93" s="24">
        <v>0.28599999999999998</v>
      </c>
      <c r="D93" s="48"/>
      <c r="E93" s="24">
        <v>381.06599999999997</v>
      </c>
      <c r="F93" s="48"/>
      <c r="G93" s="48"/>
      <c r="H93" s="48"/>
      <c r="I93">
        <f t="shared" si="3"/>
        <v>0</v>
      </c>
      <c r="J93">
        <v>50</v>
      </c>
      <c r="K93">
        <f t="shared" si="4"/>
        <v>0</v>
      </c>
      <c r="M93">
        <v>5</v>
      </c>
      <c r="N93">
        <f t="shared" si="5"/>
        <v>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8">
        <v>47</v>
      </c>
      <c r="B94" s="24" t="s">
        <v>319</v>
      </c>
      <c r="C94" s="24">
        <v>0.29499999999999998</v>
      </c>
      <c r="D94" s="48"/>
      <c r="E94" s="24">
        <v>399.65600000000001</v>
      </c>
      <c r="F94" s="48">
        <v>390.149</v>
      </c>
      <c r="G94" s="48">
        <v>13.444000000000001</v>
      </c>
      <c r="H94" s="48">
        <v>3.4</v>
      </c>
      <c r="I94">
        <f t="shared" si="3"/>
        <v>0.39014900000000002</v>
      </c>
      <c r="J94">
        <v>50</v>
      </c>
      <c r="K94">
        <f t="shared" si="4"/>
        <v>19.507450000000002</v>
      </c>
      <c r="L94">
        <v>85.4</v>
      </c>
      <c r="M94">
        <v>5</v>
      </c>
      <c r="N94">
        <f t="shared" si="5"/>
        <v>97.537250000000014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8"/>
      <c r="B95" s="24" t="s">
        <v>320</v>
      </c>
      <c r="C95" s="24">
        <v>0.28599999999999998</v>
      </c>
      <c r="D95" s="48"/>
      <c r="E95" s="24">
        <v>380.64299999999997</v>
      </c>
      <c r="F95" s="48"/>
      <c r="G95" s="48"/>
      <c r="H95" s="48"/>
      <c r="I95">
        <f t="shared" si="3"/>
        <v>0</v>
      </c>
      <c r="J95">
        <v>50</v>
      </c>
      <c r="K95">
        <f t="shared" si="4"/>
        <v>0</v>
      </c>
      <c r="M95">
        <v>5</v>
      </c>
      <c r="N95">
        <f t="shared" si="5"/>
        <v>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8">
        <v>48</v>
      </c>
      <c r="B96" s="24" t="s">
        <v>321</v>
      </c>
      <c r="C96" s="24">
        <v>0.27400000000000002</v>
      </c>
      <c r="D96" s="48"/>
      <c r="E96" s="24">
        <v>356.56200000000001</v>
      </c>
      <c r="F96" s="48">
        <v>351.91399999999999</v>
      </c>
      <c r="G96" s="48">
        <v>6.5720000000000001</v>
      </c>
      <c r="H96" s="48">
        <v>1.9</v>
      </c>
      <c r="I96">
        <f t="shared" si="3"/>
        <v>0.351914</v>
      </c>
      <c r="J96">
        <v>50</v>
      </c>
      <c r="K96">
        <f t="shared" si="4"/>
        <v>17.595700000000001</v>
      </c>
      <c r="L96">
        <v>71</v>
      </c>
      <c r="M96">
        <v>5</v>
      </c>
      <c r="N96">
        <f t="shared" si="5"/>
        <v>87.978499999999997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8"/>
      <c r="B97" s="24" t="s">
        <v>322</v>
      </c>
      <c r="C97" s="24">
        <v>0.27</v>
      </c>
      <c r="D97" s="48"/>
      <c r="E97" s="24">
        <v>347.267</v>
      </c>
      <c r="F97" s="48"/>
      <c r="G97" s="48"/>
      <c r="H97" s="48"/>
      <c r="I97">
        <f t="shared" si="3"/>
        <v>0</v>
      </c>
      <c r="J97">
        <v>50</v>
      </c>
      <c r="K97">
        <f t="shared" si="4"/>
        <v>0</v>
      </c>
      <c r="M97">
        <v>5</v>
      </c>
      <c r="N97">
        <f t="shared" si="5"/>
        <v>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8">
        <v>49</v>
      </c>
      <c r="B98" s="24" t="s">
        <v>236</v>
      </c>
      <c r="C98" s="24">
        <v>0.27200000000000002</v>
      </c>
      <c r="D98" s="48"/>
      <c r="E98" s="24">
        <v>352.548</v>
      </c>
      <c r="F98" s="48">
        <v>352.33699999999999</v>
      </c>
      <c r="G98" s="48">
        <v>0.29899999999999999</v>
      </c>
      <c r="H98" s="48">
        <v>0.1</v>
      </c>
      <c r="I98">
        <f t="shared" si="3"/>
        <v>0.35233700000000001</v>
      </c>
      <c r="J98">
        <v>50</v>
      </c>
      <c r="K98" s="25">
        <f t="shared" si="4"/>
        <v>17.616849999999999</v>
      </c>
      <c r="L98">
        <v>95.6</v>
      </c>
      <c r="M98">
        <v>5</v>
      </c>
      <c r="N98">
        <f t="shared" si="5"/>
        <v>88.084249999999997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8"/>
      <c r="B99" s="24" t="s">
        <v>237</v>
      </c>
      <c r="C99" s="24">
        <v>0.27200000000000002</v>
      </c>
      <c r="D99" s="48"/>
      <c r="E99" s="24">
        <v>352.125</v>
      </c>
      <c r="F99" s="48"/>
      <c r="G99" s="48"/>
      <c r="H99" s="48"/>
      <c r="I99">
        <f t="shared" si="3"/>
        <v>0</v>
      </c>
      <c r="J99">
        <v>50</v>
      </c>
      <c r="K99" s="25">
        <f t="shared" si="4"/>
        <v>0</v>
      </c>
      <c r="M99">
        <v>5</v>
      </c>
      <c r="N99">
        <f t="shared" si="5"/>
        <v>0</v>
      </c>
    </row>
    <row r="100" spans="1:26" x14ac:dyDescent="0.2">
      <c r="A100" s="48">
        <v>50</v>
      </c>
      <c r="B100" s="24" t="s">
        <v>238</v>
      </c>
      <c r="C100" s="24">
        <v>0.308</v>
      </c>
      <c r="D100" s="48"/>
      <c r="E100" s="24">
        <v>428.17399999999998</v>
      </c>
      <c r="F100" s="48">
        <v>428.596</v>
      </c>
      <c r="G100" s="48">
        <v>0.59699999999999998</v>
      </c>
      <c r="H100" s="48">
        <v>0.1</v>
      </c>
      <c r="I100">
        <f t="shared" si="3"/>
        <v>0.42859599999999998</v>
      </c>
      <c r="J100">
        <v>50</v>
      </c>
      <c r="K100" s="25">
        <f t="shared" si="4"/>
        <v>21.4298</v>
      </c>
      <c r="L100">
        <v>84.7</v>
      </c>
      <c r="M100">
        <v>5</v>
      </c>
      <c r="N100">
        <f t="shared" si="5"/>
        <v>107.149</v>
      </c>
    </row>
    <row r="101" spans="1:26" x14ac:dyDescent="0.2">
      <c r="A101" s="48"/>
      <c r="B101" s="24" t="s">
        <v>239</v>
      </c>
      <c r="C101" s="24">
        <v>0.309</v>
      </c>
      <c r="D101" s="48"/>
      <c r="E101" s="24">
        <v>429.01900000000001</v>
      </c>
      <c r="F101" s="48"/>
      <c r="G101" s="48"/>
      <c r="H101" s="48"/>
      <c r="I101">
        <f t="shared" si="3"/>
        <v>0</v>
      </c>
      <c r="J101">
        <v>50</v>
      </c>
      <c r="K101" s="25">
        <f t="shared" si="4"/>
        <v>0</v>
      </c>
      <c r="M101">
        <v>5</v>
      </c>
      <c r="N101">
        <f t="shared" si="5"/>
        <v>0</v>
      </c>
    </row>
    <row r="102" spans="1:26" x14ac:dyDescent="0.2">
      <c r="A102" s="48">
        <v>51</v>
      </c>
      <c r="B102" s="24" t="s">
        <v>240</v>
      </c>
      <c r="C102" s="24">
        <v>0.3</v>
      </c>
      <c r="D102" s="48"/>
      <c r="E102" s="24">
        <v>411.69600000000003</v>
      </c>
      <c r="F102" s="48">
        <v>412.964</v>
      </c>
      <c r="G102" s="48">
        <v>1.792</v>
      </c>
      <c r="H102" s="48">
        <v>0.4</v>
      </c>
      <c r="I102">
        <f t="shared" si="3"/>
        <v>0.412964</v>
      </c>
      <c r="J102">
        <v>50</v>
      </c>
      <c r="K102" s="25">
        <f t="shared" si="4"/>
        <v>20.648199999999999</v>
      </c>
      <c r="L102">
        <v>151.4</v>
      </c>
      <c r="M102">
        <v>5</v>
      </c>
      <c r="N102">
        <f t="shared" si="5"/>
        <v>103.241</v>
      </c>
    </row>
    <row r="103" spans="1:26" x14ac:dyDescent="0.2">
      <c r="A103" s="48"/>
      <c r="B103" s="24" t="s">
        <v>241</v>
      </c>
      <c r="C103" s="24">
        <v>0.30099999999999999</v>
      </c>
      <c r="D103" s="48"/>
      <c r="E103" s="24">
        <v>414.23099999999999</v>
      </c>
      <c r="F103" s="48"/>
      <c r="G103" s="48"/>
      <c r="H103" s="48"/>
      <c r="I103">
        <f t="shared" si="3"/>
        <v>0</v>
      </c>
      <c r="J103">
        <v>50</v>
      </c>
      <c r="K103" s="25">
        <f t="shared" si="4"/>
        <v>0</v>
      </c>
      <c r="M103">
        <v>5</v>
      </c>
      <c r="N103">
        <f t="shared" si="5"/>
        <v>0</v>
      </c>
    </row>
    <row r="104" spans="1:26" x14ac:dyDescent="0.2">
      <c r="A104" s="48">
        <v>52</v>
      </c>
      <c r="B104" s="24" t="s">
        <v>242</v>
      </c>
      <c r="C104" s="24">
        <v>0.28000000000000003</v>
      </c>
      <c r="D104" s="48"/>
      <c r="E104" s="24">
        <v>368.81400000000002</v>
      </c>
      <c r="F104" s="48">
        <v>366.38400000000001</v>
      </c>
      <c r="G104" s="48">
        <v>3.4359999999999999</v>
      </c>
      <c r="H104" s="48">
        <v>0.9</v>
      </c>
      <c r="I104">
        <f t="shared" si="3"/>
        <v>0.36638399999999999</v>
      </c>
      <c r="J104">
        <v>50</v>
      </c>
      <c r="K104" s="25">
        <f t="shared" si="4"/>
        <v>18.319199999999999</v>
      </c>
      <c r="L104">
        <v>147</v>
      </c>
      <c r="M104">
        <v>5</v>
      </c>
      <c r="N104">
        <f t="shared" si="5"/>
        <v>91.595999999999989</v>
      </c>
    </row>
    <row r="105" spans="1:26" x14ac:dyDescent="0.2">
      <c r="A105" s="48"/>
      <c r="B105" s="24" t="s">
        <v>243</v>
      </c>
      <c r="C105" s="24">
        <v>0.27800000000000002</v>
      </c>
      <c r="D105" s="48"/>
      <c r="E105" s="24">
        <v>363.95499999999998</v>
      </c>
      <c r="F105" s="48"/>
      <c r="G105" s="48"/>
      <c r="H105" s="48"/>
      <c r="I105">
        <f t="shared" si="3"/>
        <v>0</v>
      </c>
      <c r="J105">
        <v>50</v>
      </c>
      <c r="K105">
        <f t="shared" si="4"/>
        <v>0</v>
      </c>
      <c r="M105">
        <v>5</v>
      </c>
      <c r="N105">
        <f t="shared" si="5"/>
        <v>0</v>
      </c>
    </row>
    <row r="106" spans="1:26" x14ac:dyDescent="0.2">
      <c r="A106" s="48">
        <v>53</v>
      </c>
      <c r="B106" s="24" t="s">
        <v>244</v>
      </c>
      <c r="C106" s="24">
        <v>0.27900000000000003</v>
      </c>
      <c r="D106" s="48"/>
      <c r="E106" s="24">
        <v>365.64499999999998</v>
      </c>
      <c r="F106" s="48">
        <v>377.26400000000001</v>
      </c>
      <c r="G106" s="48">
        <v>16.431000000000001</v>
      </c>
      <c r="H106" s="48">
        <v>4.4000000000000004</v>
      </c>
      <c r="I106">
        <f t="shared" si="3"/>
        <v>0.37726399999999999</v>
      </c>
      <c r="J106">
        <v>50</v>
      </c>
      <c r="K106">
        <f t="shared" si="4"/>
        <v>18.863199999999999</v>
      </c>
      <c r="L106">
        <v>79.900000000000006</v>
      </c>
      <c r="M106">
        <v>5</v>
      </c>
      <c r="N106">
        <f t="shared" si="5"/>
        <v>94.316000000000003</v>
      </c>
    </row>
    <row r="107" spans="1:26" x14ac:dyDescent="0.2">
      <c r="A107" s="48"/>
      <c r="B107" s="24" t="s">
        <v>245</v>
      </c>
      <c r="C107" s="24">
        <v>0.28899999999999998</v>
      </c>
      <c r="D107" s="48"/>
      <c r="E107" s="24">
        <v>388.88200000000001</v>
      </c>
      <c r="F107" s="48"/>
      <c r="G107" s="48"/>
      <c r="H107" s="48"/>
      <c r="I107">
        <f t="shared" si="3"/>
        <v>0</v>
      </c>
      <c r="J107">
        <v>50</v>
      </c>
      <c r="K107">
        <f t="shared" si="4"/>
        <v>0</v>
      </c>
      <c r="M107">
        <v>5</v>
      </c>
      <c r="N107">
        <f t="shared" si="5"/>
        <v>0</v>
      </c>
    </row>
    <row r="108" spans="1:26" x14ac:dyDescent="0.2">
      <c r="A108" s="48">
        <v>54</v>
      </c>
      <c r="B108" s="24" t="s">
        <v>68</v>
      </c>
      <c r="C108" s="24">
        <v>0.27</v>
      </c>
      <c r="D108" s="48"/>
      <c r="E108" s="24">
        <v>347.68900000000002</v>
      </c>
      <c r="F108" s="48">
        <v>551.96299999999997</v>
      </c>
      <c r="G108" s="48">
        <v>288.887</v>
      </c>
      <c r="H108" s="48">
        <v>52.3</v>
      </c>
      <c r="I108">
        <f t="shared" si="3"/>
        <v>0.55196299999999998</v>
      </c>
      <c r="J108">
        <v>50</v>
      </c>
      <c r="K108">
        <f t="shared" si="4"/>
        <v>27.59815</v>
      </c>
      <c r="L108">
        <v>95.4</v>
      </c>
      <c r="M108">
        <v>5</v>
      </c>
      <c r="N108">
        <f t="shared" si="5"/>
        <v>137.99074999999999</v>
      </c>
    </row>
    <row r="109" spans="1:26" x14ac:dyDescent="0.2">
      <c r="A109" s="48"/>
      <c r="B109" s="24" t="s">
        <v>69</v>
      </c>
      <c r="C109" s="24">
        <v>0.46300000000000002</v>
      </c>
      <c r="D109" s="48"/>
      <c r="E109" s="24">
        <v>756.23699999999997</v>
      </c>
      <c r="F109" s="48"/>
      <c r="G109" s="48"/>
      <c r="H109" s="48"/>
      <c r="I109">
        <f t="shared" si="3"/>
        <v>0</v>
      </c>
      <c r="J109">
        <v>50</v>
      </c>
      <c r="K109">
        <f t="shared" si="4"/>
        <v>0</v>
      </c>
      <c r="M109">
        <v>5</v>
      </c>
      <c r="N109">
        <f t="shared" si="5"/>
        <v>0</v>
      </c>
    </row>
    <row r="110" spans="1:26" x14ac:dyDescent="0.2">
      <c r="A110" s="48">
        <v>55</v>
      </c>
      <c r="B110" s="24" t="s">
        <v>246</v>
      </c>
      <c r="C110" s="24">
        <v>0.29099999999999998</v>
      </c>
      <c r="D110" s="48"/>
      <c r="E110" s="24">
        <v>392.89600000000002</v>
      </c>
      <c r="F110" s="48">
        <v>391.31099999999998</v>
      </c>
      <c r="G110" s="48">
        <v>2.2410000000000001</v>
      </c>
      <c r="H110" s="48">
        <v>0.6</v>
      </c>
      <c r="I110">
        <f t="shared" si="3"/>
        <v>0.39131099999999996</v>
      </c>
      <c r="J110">
        <v>50</v>
      </c>
      <c r="K110">
        <f t="shared" si="4"/>
        <v>19.565549999999998</v>
      </c>
      <c r="L110">
        <v>87.6</v>
      </c>
      <c r="M110">
        <v>5</v>
      </c>
      <c r="N110">
        <f t="shared" si="5"/>
        <v>97.827749999999995</v>
      </c>
    </row>
    <row r="111" spans="1:26" x14ac:dyDescent="0.2">
      <c r="A111" s="48"/>
      <c r="B111" s="24" t="s">
        <v>247</v>
      </c>
      <c r="C111" s="24">
        <v>0.28999999999999998</v>
      </c>
      <c r="D111" s="48"/>
      <c r="E111" s="24">
        <v>389.72699999999998</v>
      </c>
      <c r="F111" s="48"/>
      <c r="G111" s="48"/>
      <c r="H111" s="48"/>
      <c r="I111">
        <f t="shared" si="3"/>
        <v>0</v>
      </c>
      <c r="J111">
        <v>50</v>
      </c>
      <c r="K111">
        <f t="shared" si="4"/>
        <v>0</v>
      </c>
      <c r="M111">
        <v>5</v>
      </c>
      <c r="N111">
        <f t="shared" si="5"/>
        <v>0</v>
      </c>
    </row>
    <row r="112" spans="1:26" x14ac:dyDescent="0.2">
      <c r="A112" s="48">
        <v>56</v>
      </c>
      <c r="B112" s="24" t="s">
        <v>248</v>
      </c>
      <c r="C112" s="24">
        <v>0.29299999999999998</v>
      </c>
      <c r="D112" s="48"/>
      <c r="E112" s="24">
        <v>395.642</v>
      </c>
      <c r="F112" s="48">
        <v>390.88900000000001</v>
      </c>
      <c r="G112" s="48">
        <v>6.7220000000000004</v>
      </c>
      <c r="H112" s="48">
        <v>1.7</v>
      </c>
      <c r="I112">
        <f t="shared" si="3"/>
        <v>0.39088899999999999</v>
      </c>
      <c r="J112">
        <v>50</v>
      </c>
      <c r="K112">
        <f t="shared" si="4"/>
        <v>19.544449999999998</v>
      </c>
      <c r="L112">
        <v>89.2</v>
      </c>
      <c r="M112">
        <v>5</v>
      </c>
      <c r="N112">
        <f t="shared" si="5"/>
        <v>97.722249999999988</v>
      </c>
    </row>
    <row r="113" spans="1:14" x14ac:dyDescent="0.2">
      <c r="A113" s="48"/>
      <c r="B113" s="24" t="s">
        <v>249</v>
      </c>
      <c r="C113" s="24">
        <v>0.28799999999999998</v>
      </c>
      <c r="D113" s="48"/>
      <c r="E113" s="24">
        <v>386.13600000000002</v>
      </c>
      <c r="F113" s="48"/>
      <c r="G113" s="48"/>
      <c r="H113" s="48"/>
      <c r="I113">
        <f t="shared" si="3"/>
        <v>0</v>
      </c>
      <c r="J113">
        <v>50</v>
      </c>
      <c r="K113">
        <f t="shared" si="4"/>
        <v>0</v>
      </c>
      <c r="M113">
        <v>5</v>
      </c>
      <c r="N113">
        <f t="shared" si="5"/>
        <v>0</v>
      </c>
    </row>
    <row r="114" spans="1:14" x14ac:dyDescent="0.2">
      <c r="A114" s="48">
        <v>57</v>
      </c>
      <c r="B114" s="24" t="s">
        <v>250</v>
      </c>
      <c r="C114" s="24">
        <v>0.28100000000000003</v>
      </c>
      <c r="D114" s="48"/>
      <c r="E114" s="24">
        <v>370.92599999999999</v>
      </c>
      <c r="F114" s="48">
        <v>374.62299999999999</v>
      </c>
      <c r="G114" s="48">
        <v>5.2279999999999998</v>
      </c>
      <c r="H114" s="48">
        <v>1.4</v>
      </c>
      <c r="I114">
        <f t="shared" si="3"/>
        <v>0.37462299999999998</v>
      </c>
      <c r="J114">
        <v>50</v>
      </c>
      <c r="K114" s="25">
        <f t="shared" si="4"/>
        <v>18.73115</v>
      </c>
      <c r="L114">
        <v>95.1</v>
      </c>
      <c r="M114">
        <v>5</v>
      </c>
      <c r="N114">
        <f t="shared" si="5"/>
        <v>93.655749999999998</v>
      </c>
    </row>
    <row r="115" spans="1:14" x14ac:dyDescent="0.2">
      <c r="A115" s="48"/>
      <c r="B115" s="24" t="s">
        <v>251</v>
      </c>
      <c r="C115" s="24">
        <v>0.28399999999999997</v>
      </c>
      <c r="D115" s="48"/>
      <c r="E115" s="24">
        <v>378.32</v>
      </c>
      <c r="F115" s="48"/>
      <c r="G115" s="48"/>
      <c r="H115" s="48"/>
      <c r="I115">
        <f t="shared" si="3"/>
        <v>0</v>
      </c>
      <c r="J115">
        <v>50</v>
      </c>
      <c r="K115" s="25">
        <f t="shared" si="4"/>
        <v>0</v>
      </c>
      <c r="M115">
        <v>5</v>
      </c>
      <c r="N115">
        <f t="shared" si="5"/>
        <v>0</v>
      </c>
    </row>
    <row r="116" spans="1:14" x14ac:dyDescent="0.2">
      <c r="A116" s="48">
        <v>58</v>
      </c>
      <c r="B116" s="24" t="s">
        <v>252</v>
      </c>
      <c r="C116" s="24">
        <v>0.29699999999999999</v>
      </c>
      <c r="D116" s="48"/>
      <c r="E116" s="24">
        <v>405.14800000000002</v>
      </c>
      <c r="F116" s="48">
        <v>407.89400000000001</v>
      </c>
      <c r="G116" s="48">
        <v>3.8839999999999999</v>
      </c>
      <c r="H116" s="48">
        <v>1</v>
      </c>
      <c r="I116">
        <f t="shared" si="3"/>
        <v>0.40789399999999998</v>
      </c>
      <c r="J116">
        <v>50</v>
      </c>
      <c r="K116" s="25">
        <f t="shared" si="4"/>
        <v>20.3947</v>
      </c>
      <c r="L116">
        <v>100.8</v>
      </c>
      <c r="M116">
        <v>5</v>
      </c>
      <c r="N116">
        <f t="shared" si="5"/>
        <v>101.9735</v>
      </c>
    </row>
    <row r="117" spans="1:14" x14ac:dyDescent="0.2">
      <c r="A117" s="48"/>
      <c r="B117" s="24" t="s">
        <v>253</v>
      </c>
      <c r="C117" s="24">
        <v>0.3</v>
      </c>
      <c r="D117" s="48"/>
      <c r="E117" s="24">
        <v>410.64</v>
      </c>
      <c r="F117" s="48"/>
      <c r="G117" s="48"/>
      <c r="H117" s="48"/>
      <c r="I117">
        <f t="shared" si="3"/>
        <v>0</v>
      </c>
      <c r="J117">
        <v>50</v>
      </c>
      <c r="K117" s="25">
        <f t="shared" si="4"/>
        <v>0</v>
      </c>
      <c r="M117">
        <v>5</v>
      </c>
      <c r="N117">
        <f t="shared" si="5"/>
        <v>0</v>
      </c>
    </row>
    <row r="118" spans="1:14" x14ac:dyDescent="0.2">
      <c r="A118" s="48">
        <v>59</v>
      </c>
      <c r="B118" s="24" t="s">
        <v>254</v>
      </c>
      <c r="C118" s="24">
        <v>0.27900000000000003</v>
      </c>
      <c r="D118" s="48"/>
      <c r="E118" s="24">
        <v>366.91300000000001</v>
      </c>
      <c r="F118" s="48">
        <v>398.17700000000002</v>
      </c>
      <c r="G118" s="48">
        <v>44.213999999999999</v>
      </c>
      <c r="H118" s="48">
        <v>11.1</v>
      </c>
      <c r="I118">
        <f t="shared" si="3"/>
        <v>0.398177</v>
      </c>
      <c r="J118">
        <v>50</v>
      </c>
      <c r="K118" s="25">
        <f t="shared" si="4"/>
        <v>19.908850000000001</v>
      </c>
      <c r="L118">
        <v>92.8</v>
      </c>
      <c r="M118">
        <v>5</v>
      </c>
      <c r="N118">
        <f t="shared" si="5"/>
        <v>99.544250000000005</v>
      </c>
    </row>
    <row r="119" spans="1:14" x14ac:dyDescent="0.2">
      <c r="A119" s="48"/>
      <c r="B119" s="24" t="s">
        <v>255</v>
      </c>
      <c r="C119" s="24">
        <v>0.309</v>
      </c>
      <c r="D119" s="48"/>
      <c r="E119" s="24">
        <v>429.44099999999997</v>
      </c>
      <c r="F119" s="48"/>
      <c r="G119" s="48"/>
      <c r="H119" s="48"/>
      <c r="I119">
        <f t="shared" si="3"/>
        <v>0</v>
      </c>
      <c r="J119">
        <v>50</v>
      </c>
      <c r="K119" s="25">
        <f t="shared" si="4"/>
        <v>0</v>
      </c>
      <c r="M119">
        <v>5</v>
      </c>
      <c r="N119">
        <f t="shared" si="5"/>
        <v>0</v>
      </c>
    </row>
    <row r="120" spans="1:14" x14ac:dyDescent="0.2">
      <c r="A120" s="48">
        <v>60</v>
      </c>
      <c r="B120" s="24" t="s">
        <v>256</v>
      </c>
      <c r="C120" s="24">
        <v>0.28799999999999998</v>
      </c>
      <c r="D120" s="48"/>
      <c r="E120" s="24">
        <v>386.13600000000002</v>
      </c>
      <c r="F120" s="48">
        <v>381.27699999999999</v>
      </c>
      <c r="G120" s="48">
        <v>6.8710000000000004</v>
      </c>
      <c r="H120" s="48">
        <v>1.8</v>
      </c>
      <c r="I120">
        <f t="shared" si="3"/>
        <v>0.38127699999999998</v>
      </c>
      <c r="J120">
        <v>50</v>
      </c>
      <c r="K120" s="25">
        <f t="shared" si="4"/>
        <v>19.063849999999999</v>
      </c>
      <c r="L120">
        <v>80.5</v>
      </c>
      <c r="M120">
        <v>5</v>
      </c>
      <c r="N120">
        <f t="shared" si="5"/>
        <v>95.319249999999997</v>
      </c>
    </row>
    <row r="121" spans="1:14" x14ac:dyDescent="0.2">
      <c r="A121" s="48"/>
      <c r="B121" s="24" t="s">
        <v>257</v>
      </c>
      <c r="C121" s="24">
        <v>0.28399999999999997</v>
      </c>
      <c r="D121" s="48"/>
      <c r="E121" s="24">
        <v>376.41899999999998</v>
      </c>
      <c r="F121" s="48"/>
      <c r="G121" s="48"/>
      <c r="H121" s="48"/>
      <c r="I121">
        <f t="shared" si="3"/>
        <v>0</v>
      </c>
      <c r="J121">
        <v>50</v>
      </c>
      <c r="K121">
        <f t="shared" si="4"/>
        <v>0</v>
      </c>
      <c r="M121">
        <v>5</v>
      </c>
      <c r="N121">
        <f t="shared" si="5"/>
        <v>0</v>
      </c>
    </row>
    <row r="122" spans="1:14" x14ac:dyDescent="0.2">
      <c r="A122" s="48">
        <v>61</v>
      </c>
      <c r="B122" s="24" t="s">
        <v>258</v>
      </c>
      <c r="C122" s="24">
        <v>0.27600000000000002</v>
      </c>
      <c r="D122" s="48"/>
      <c r="E122" s="24">
        <v>361.209</v>
      </c>
      <c r="F122" s="48">
        <v>363.74400000000003</v>
      </c>
      <c r="G122" s="48">
        <v>3.585</v>
      </c>
      <c r="H122" s="48">
        <v>1</v>
      </c>
      <c r="I122">
        <f t="shared" si="3"/>
        <v>0.36374400000000001</v>
      </c>
      <c r="J122">
        <v>50</v>
      </c>
      <c r="K122">
        <f t="shared" si="4"/>
        <v>18.187200000000001</v>
      </c>
      <c r="L122">
        <v>100</v>
      </c>
      <c r="M122">
        <v>5</v>
      </c>
      <c r="N122">
        <f t="shared" si="5"/>
        <v>90.936000000000007</v>
      </c>
    </row>
    <row r="123" spans="1:14" x14ac:dyDescent="0.2">
      <c r="A123" s="48"/>
      <c r="B123" s="24" t="s">
        <v>259</v>
      </c>
      <c r="C123" s="24">
        <v>0.27900000000000003</v>
      </c>
      <c r="D123" s="48"/>
      <c r="E123" s="24">
        <v>366.279</v>
      </c>
      <c r="F123" s="48"/>
      <c r="G123" s="48"/>
      <c r="H123" s="48"/>
      <c r="I123">
        <f t="shared" si="3"/>
        <v>0</v>
      </c>
      <c r="J123">
        <v>50</v>
      </c>
      <c r="K123">
        <f t="shared" si="4"/>
        <v>0</v>
      </c>
      <c r="M123">
        <v>5</v>
      </c>
      <c r="N123">
        <f t="shared" si="5"/>
        <v>0</v>
      </c>
    </row>
    <row r="124" spans="1:14" x14ac:dyDescent="0.2">
      <c r="A124" s="48">
        <v>62</v>
      </c>
      <c r="B124" s="24" t="s">
        <v>260</v>
      </c>
      <c r="C124" s="24">
        <v>0.28100000000000003</v>
      </c>
      <c r="D124" s="48"/>
      <c r="E124" s="24">
        <v>370.08100000000002</v>
      </c>
      <c r="F124" s="48">
        <v>373.98899999999998</v>
      </c>
      <c r="G124" s="48">
        <v>5.5270000000000001</v>
      </c>
      <c r="H124" s="48">
        <v>1.5</v>
      </c>
      <c r="I124">
        <f t="shared" si="3"/>
        <v>0.37398899999999996</v>
      </c>
      <c r="J124">
        <v>50</v>
      </c>
      <c r="K124">
        <f t="shared" si="4"/>
        <v>18.699449999999999</v>
      </c>
      <c r="L124">
        <v>99.8</v>
      </c>
      <c r="M124">
        <v>5</v>
      </c>
      <c r="N124">
        <f t="shared" si="5"/>
        <v>93.497249999999994</v>
      </c>
    </row>
    <row r="125" spans="1:14" x14ac:dyDescent="0.2">
      <c r="A125" s="48"/>
      <c r="B125" s="24" t="s">
        <v>90</v>
      </c>
      <c r="C125" s="24">
        <v>0.28399999999999997</v>
      </c>
      <c r="D125" s="48"/>
      <c r="E125" s="24">
        <v>377.89699999999999</v>
      </c>
      <c r="F125" s="48"/>
      <c r="G125" s="48"/>
      <c r="H125" s="48"/>
      <c r="I125">
        <f t="shared" si="3"/>
        <v>0</v>
      </c>
      <c r="J125">
        <v>50</v>
      </c>
      <c r="K125">
        <f t="shared" si="4"/>
        <v>0</v>
      </c>
      <c r="M125">
        <v>5</v>
      </c>
      <c r="N125">
        <f t="shared" si="5"/>
        <v>0</v>
      </c>
    </row>
    <row r="126" spans="1:14" x14ac:dyDescent="0.2">
      <c r="A126" s="48">
        <v>64</v>
      </c>
      <c r="B126" s="24" t="s">
        <v>261</v>
      </c>
      <c r="C126" s="24">
        <v>0.27400000000000002</v>
      </c>
      <c r="D126" s="48"/>
      <c r="E126" s="24">
        <v>356.98399999999998</v>
      </c>
      <c r="F126" s="48">
        <v>347.161</v>
      </c>
      <c r="G126" s="48">
        <v>13.891999999999999</v>
      </c>
      <c r="H126" s="48">
        <v>4</v>
      </c>
      <c r="I126">
        <f t="shared" si="3"/>
        <v>0.347161</v>
      </c>
      <c r="J126">
        <v>50</v>
      </c>
      <c r="K126">
        <f t="shared" si="4"/>
        <v>17.358049999999999</v>
      </c>
      <c r="L126">
        <v>127.8</v>
      </c>
      <c r="M126">
        <v>5</v>
      </c>
      <c r="N126">
        <f t="shared" si="5"/>
        <v>86.790249999999986</v>
      </c>
    </row>
    <row r="127" spans="1:14" x14ac:dyDescent="0.2">
      <c r="A127" s="48"/>
      <c r="B127" s="24" t="s">
        <v>262</v>
      </c>
      <c r="C127" s="24">
        <v>0.26500000000000001</v>
      </c>
      <c r="D127" s="48"/>
      <c r="E127" s="24">
        <v>337.33800000000002</v>
      </c>
      <c r="F127" s="48"/>
      <c r="G127" s="48"/>
      <c r="H127" s="48"/>
      <c r="I127">
        <f t="shared" si="3"/>
        <v>0</v>
      </c>
      <c r="J127">
        <v>50</v>
      </c>
      <c r="K127">
        <f t="shared" si="4"/>
        <v>0</v>
      </c>
      <c r="M127">
        <v>5</v>
      </c>
      <c r="N127">
        <f t="shared" si="5"/>
        <v>0</v>
      </c>
    </row>
    <row r="128" spans="1:14" x14ac:dyDescent="0.2">
      <c r="A128" s="48">
        <v>65</v>
      </c>
      <c r="B128" s="24" t="s">
        <v>263</v>
      </c>
      <c r="C128" s="24">
        <v>0.28100000000000003</v>
      </c>
      <c r="D128" s="48"/>
      <c r="E128" s="24">
        <v>369.87</v>
      </c>
      <c r="F128" s="48">
        <v>359.94099999999997</v>
      </c>
      <c r="G128" s="48">
        <v>14.041</v>
      </c>
      <c r="H128" s="48">
        <v>3.9</v>
      </c>
      <c r="I128">
        <f t="shared" si="3"/>
        <v>0.35994099999999996</v>
      </c>
      <c r="J128">
        <v>50</v>
      </c>
      <c r="K128" s="25">
        <f t="shared" si="4"/>
        <v>17.997049999999998</v>
      </c>
      <c r="L128">
        <v>150.9</v>
      </c>
      <c r="M128">
        <v>5</v>
      </c>
      <c r="N128">
        <f t="shared" si="5"/>
        <v>89.985249999999994</v>
      </c>
    </row>
    <row r="129" spans="1:14" x14ac:dyDescent="0.2">
      <c r="A129" s="48"/>
      <c r="B129" s="24" t="s">
        <v>264</v>
      </c>
      <c r="C129" s="24">
        <v>0.27100000000000002</v>
      </c>
      <c r="D129" s="48"/>
      <c r="E129" s="24">
        <v>350.01299999999998</v>
      </c>
      <c r="F129" s="48"/>
      <c r="G129" s="48"/>
      <c r="H129" s="48"/>
      <c r="I129">
        <f t="shared" si="3"/>
        <v>0</v>
      </c>
      <c r="J129">
        <v>50</v>
      </c>
      <c r="K129" s="25">
        <f t="shared" si="4"/>
        <v>0</v>
      </c>
      <c r="M129">
        <v>5</v>
      </c>
      <c r="N129">
        <f t="shared" si="5"/>
        <v>0</v>
      </c>
    </row>
    <row r="130" spans="1:14" x14ac:dyDescent="0.2">
      <c r="A130" s="48">
        <v>66</v>
      </c>
      <c r="B130" s="24" t="s">
        <v>265</v>
      </c>
      <c r="C130" s="24">
        <v>0.27700000000000002</v>
      </c>
      <c r="D130" s="48"/>
      <c r="E130" s="24">
        <v>362.68799999999999</v>
      </c>
      <c r="F130" s="48">
        <v>359.30799999999999</v>
      </c>
      <c r="G130" s="48">
        <v>4.78</v>
      </c>
      <c r="H130" s="48">
        <v>1.3</v>
      </c>
      <c r="I130">
        <f t="shared" si="3"/>
        <v>0.35930800000000002</v>
      </c>
      <c r="J130">
        <v>50</v>
      </c>
      <c r="K130" s="25">
        <f t="shared" si="4"/>
        <v>17.965400000000002</v>
      </c>
      <c r="L130">
        <v>87.8</v>
      </c>
      <c r="M130">
        <v>5</v>
      </c>
      <c r="N130">
        <f t="shared" si="5"/>
        <v>89.827000000000012</v>
      </c>
    </row>
    <row r="131" spans="1:14" x14ac:dyDescent="0.2">
      <c r="A131" s="48"/>
      <c r="B131" s="24" t="s">
        <v>266</v>
      </c>
      <c r="C131" s="24">
        <v>0.27400000000000002</v>
      </c>
      <c r="D131" s="48"/>
      <c r="E131" s="24">
        <v>355.928</v>
      </c>
      <c r="F131" s="48"/>
      <c r="G131" s="48"/>
      <c r="H131" s="48"/>
      <c r="I131">
        <f t="shared" ref="I131:I194" si="6">F131/1000</f>
        <v>0</v>
      </c>
      <c r="J131">
        <v>50</v>
      </c>
      <c r="K131" s="25">
        <f t="shared" ref="K131:K194" si="7">I131*50</f>
        <v>0</v>
      </c>
      <c r="M131">
        <v>5</v>
      </c>
      <c r="N131">
        <f t="shared" ref="N131:N194" si="8">K131*M131</f>
        <v>0</v>
      </c>
    </row>
    <row r="132" spans="1:14" x14ac:dyDescent="0.2">
      <c r="A132" s="48">
        <v>67</v>
      </c>
      <c r="B132" s="24" t="s">
        <v>267</v>
      </c>
      <c r="C132" s="24">
        <v>0.28100000000000003</v>
      </c>
      <c r="D132" s="48"/>
      <c r="E132" s="24">
        <v>371.98200000000003</v>
      </c>
      <c r="F132" s="48">
        <v>360.47</v>
      </c>
      <c r="G132" s="48">
        <v>16.282</v>
      </c>
      <c r="H132" s="48">
        <v>4.5</v>
      </c>
      <c r="I132">
        <f t="shared" si="6"/>
        <v>0.36047000000000001</v>
      </c>
      <c r="J132">
        <v>50</v>
      </c>
      <c r="K132" s="25">
        <f t="shared" si="7"/>
        <v>18.023500000000002</v>
      </c>
      <c r="L132">
        <v>87.9</v>
      </c>
      <c r="M132">
        <v>5</v>
      </c>
      <c r="N132">
        <f t="shared" si="8"/>
        <v>90.117500000000007</v>
      </c>
    </row>
    <row r="133" spans="1:14" x14ac:dyDescent="0.2">
      <c r="A133" s="48"/>
      <c r="B133" s="24" t="s">
        <v>268</v>
      </c>
      <c r="C133" s="24">
        <v>0.27100000000000002</v>
      </c>
      <c r="D133" s="48"/>
      <c r="E133" s="24">
        <v>348.95699999999999</v>
      </c>
      <c r="F133" s="48"/>
      <c r="G133" s="48"/>
      <c r="H133" s="48"/>
      <c r="I133">
        <f t="shared" si="6"/>
        <v>0</v>
      </c>
      <c r="J133">
        <v>50</v>
      </c>
      <c r="K133" s="25">
        <f t="shared" si="7"/>
        <v>0</v>
      </c>
      <c r="M133">
        <v>5</v>
      </c>
      <c r="N133">
        <f t="shared" si="8"/>
        <v>0</v>
      </c>
    </row>
    <row r="134" spans="1:14" x14ac:dyDescent="0.2">
      <c r="A134" s="48">
        <v>68</v>
      </c>
      <c r="B134" s="24" t="s">
        <v>269</v>
      </c>
      <c r="C134" s="24">
        <v>0.27800000000000002</v>
      </c>
      <c r="D134" s="48"/>
      <c r="E134" s="24">
        <v>364.8</v>
      </c>
      <c r="F134" s="48">
        <v>356.87799999999999</v>
      </c>
      <c r="G134" s="48">
        <v>11.202999999999999</v>
      </c>
      <c r="H134" s="48">
        <v>3.1</v>
      </c>
      <c r="I134">
        <f t="shared" si="6"/>
        <v>0.35687799999999997</v>
      </c>
      <c r="J134">
        <v>50</v>
      </c>
      <c r="K134" s="25">
        <f t="shared" si="7"/>
        <v>17.843899999999998</v>
      </c>
      <c r="L134">
        <v>90.7</v>
      </c>
      <c r="M134">
        <v>5</v>
      </c>
      <c r="N134">
        <f t="shared" si="8"/>
        <v>89.219499999999982</v>
      </c>
    </row>
    <row r="135" spans="1:14" x14ac:dyDescent="0.2">
      <c r="A135" s="48"/>
      <c r="B135" s="24" t="s">
        <v>270</v>
      </c>
      <c r="C135" s="24">
        <v>0.27100000000000002</v>
      </c>
      <c r="D135" s="48"/>
      <c r="E135" s="24">
        <v>348.95699999999999</v>
      </c>
      <c r="F135" s="48"/>
      <c r="G135" s="48"/>
      <c r="H135" s="48"/>
      <c r="I135">
        <f t="shared" si="6"/>
        <v>0</v>
      </c>
      <c r="J135">
        <v>50</v>
      </c>
      <c r="K135">
        <f t="shared" si="7"/>
        <v>0</v>
      </c>
      <c r="M135">
        <v>5</v>
      </c>
      <c r="N135">
        <f t="shared" si="8"/>
        <v>0</v>
      </c>
    </row>
    <row r="136" spans="1:14" x14ac:dyDescent="0.2">
      <c r="A136" s="48">
        <v>69</v>
      </c>
      <c r="B136" s="24" t="s">
        <v>271</v>
      </c>
      <c r="C136" s="24">
        <v>0.29499999999999998</v>
      </c>
      <c r="D136" s="48"/>
      <c r="E136" s="24">
        <v>399.86700000000002</v>
      </c>
      <c r="F136" s="48">
        <v>387.08600000000001</v>
      </c>
      <c r="G136" s="48">
        <v>18.074000000000002</v>
      </c>
      <c r="H136" s="48">
        <v>4.7</v>
      </c>
      <c r="I136">
        <f t="shared" si="6"/>
        <v>0.38708599999999999</v>
      </c>
      <c r="J136">
        <v>50</v>
      </c>
      <c r="K136">
        <f t="shared" si="7"/>
        <v>19.354299999999999</v>
      </c>
      <c r="L136">
        <v>102.8</v>
      </c>
      <c r="M136">
        <v>5</v>
      </c>
      <c r="N136">
        <f t="shared" si="8"/>
        <v>96.771499999999989</v>
      </c>
    </row>
    <row r="137" spans="1:14" x14ac:dyDescent="0.2">
      <c r="A137" s="48"/>
      <c r="B137" s="24" t="s">
        <v>272</v>
      </c>
      <c r="C137" s="24">
        <v>0.28299999999999997</v>
      </c>
      <c r="D137" s="48"/>
      <c r="E137" s="24">
        <v>374.30599999999998</v>
      </c>
      <c r="F137" s="48"/>
      <c r="G137" s="48"/>
      <c r="H137" s="48"/>
      <c r="I137">
        <f t="shared" si="6"/>
        <v>0</v>
      </c>
      <c r="J137">
        <v>50</v>
      </c>
      <c r="K137">
        <f t="shared" si="7"/>
        <v>0</v>
      </c>
      <c r="M137">
        <v>5</v>
      </c>
      <c r="N137">
        <f t="shared" si="8"/>
        <v>0</v>
      </c>
    </row>
    <row r="138" spans="1:14" x14ac:dyDescent="0.2">
      <c r="A138" s="48">
        <v>70</v>
      </c>
      <c r="B138" s="24" t="s">
        <v>273</v>
      </c>
      <c r="C138" s="24">
        <v>0.28699999999999998</v>
      </c>
      <c r="D138" s="48"/>
      <c r="E138" s="24">
        <v>382.75599999999997</v>
      </c>
      <c r="F138" s="48">
        <v>383.39</v>
      </c>
      <c r="G138" s="48">
        <v>0.89600000000000002</v>
      </c>
      <c r="H138" s="48">
        <v>0.2</v>
      </c>
      <c r="I138">
        <f t="shared" si="6"/>
        <v>0.38339000000000001</v>
      </c>
      <c r="J138">
        <v>50</v>
      </c>
      <c r="K138">
        <f t="shared" si="7"/>
        <v>19.169499999999999</v>
      </c>
      <c r="L138">
        <v>110.2</v>
      </c>
      <c r="M138">
        <v>5</v>
      </c>
      <c r="N138">
        <f t="shared" si="8"/>
        <v>95.847499999999997</v>
      </c>
    </row>
    <row r="139" spans="1:14" x14ac:dyDescent="0.2">
      <c r="A139" s="48"/>
      <c r="B139" s="24" t="s">
        <v>274</v>
      </c>
      <c r="C139" s="24">
        <v>0.28699999999999998</v>
      </c>
      <c r="D139" s="48"/>
      <c r="E139" s="24">
        <v>384.02300000000002</v>
      </c>
      <c r="F139" s="48"/>
      <c r="G139" s="48"/>
      <c r="H139" s="48"/>
      <c r="I139">
        <f t="shared" si="6"/>
        <v>0</v>
      </c>
      <c r="J139">
        <v>50</v>
      </c>
      <c r="K139">
        <f t="shared" si="7"/>
        <v>0</v>
      </c>
      <c r="M139">
        <v>5</v>
      </c>
      <c r="N139">
        <f t="shared" si="8"/>
        <v>0</v>
      </c>
    </row>
    <row r="140" spans="1:14" x14ac:dyDescent="0.2">
      <c r="A140" s="48">
        <v>71</v>
      </c>
      <c r="B140" s="24" t="s">
        <v>91</v>
      </c>
      <c r="C140" s="24">
        <v>0.28299999999999997</v>
      </c>
      <c r="D140" s="48"/>
      <c r="E140" s="24">
        <v>374.517</v>
      </c>
      <c r="F140" s="48">
        <v>381.80500000000001</v>
      </c>
      <c r="G140" s="48">
        <v>10.307</v>
      </c>
      <c r="H140" s="48">
        <v>2.7</v>
      </c>
      <c r="I140">
        <f t="shared" si="6"/>
        <v>0.38180500000000001</v>
      </c>
      <c r="J140">
        <v>50</v>
      </c>
      <c r="K140">
        <f t="shared" si="7"/>
        <v>19.090250000000001</v>
      </c>
      <c r="L140">
        <v>89</v>
      </c>
      <c r="M140">
        <v>5</v>
      </c>
      <c r="N140">
        <f t="shared" si="8"/>
        <v>95.451250000000002</v>
      </c>
    </row>
    <row r="141" spans="1:14" x14ac:dyDescent="0.2">
      <c r="A141" s="48"/>
      <c r="B141" s="24" t="s">
        <v>21</v>
      </c>
      <c r="C141" s="24">
        <v>0.28999999999999998</v>
      </c>
      <c r="D141" s="48"/>
      <c r="E141" s="24">
        <v>389.09300000000002</v>
      </c>
      <c r="F141" s="48"/>
      <c r="G141" s="48"/>
      <c r="H141" s="48"/>
      <c r="I141">
        <f t="shared" si="6"/>
        <v>0</v>
      </c>
      <c r="J141">
        <v>50</v>
      </c>
      <c r="K141">
        <f t="shared" si="7"/>
        <v>0</v>
      </c>
      <c r="M141">
        <v>5</v>
      </c>
      <c r="N141">
        <f t="shared" si="8"/>
        <v>0</v>
      </c>
    </row>
    <row r="142" spans="1:14" x14ac:dyDescent="0.2">
      <c r="A142" s="48">
        <v>72</v>
      </c>
      <c r="B142" s="24" t="s">
        <v>275</v>
      </c>
      <c r="C142" s="24">
        <v>0.27500000000000002</v>
      </c>
      <c r="D142" s="48"/>
      <c r="E142" s="24">
        <v>358.67399999999998</v>
      </c>
      <c r="F142" s="48">
        <v>362.68799999999999</v>
      </c>
      <c r="G142" s="48">
        <v>5.6760000000000002</v>
      </c>
      <c r="H142" s="48">
        <v>1.6</v>
      </c>
      <c r="I142">
        <f t="shared" si="6"/>
        <v>0.36268800000000001</v>
      </c>
      <c r="J142">
        <v>50</v>
      </c>
      <c r="K142">
        <f t="shared" si="7"/>
        <v>18.134399999999999</v>
      </c>
      <c r="L142">
        <v>113.2</v>
      </c>
      <c r="M142">
        <v>5</v>
      </c>
      <c r="N142">
        <f t="shared" si="8"/>
        <v>90.671999999999997</v>
      </c>
    </row>
    <row r="143" spans="1:14" x14ac:dyDescent="0.2">
      <c r="A143" s="48"/>
      <c r="B143" s="24" t="s">
        <v>276</v>
      </c>
      <c r="C143" s="24">
        <v>0.27900000000000003</v>
      </c>
      <c r="D143" s="48"/>
      <c r="E143" s="24">
        <v>366.70100000000002</v>
      </c>
      <c r="F143" s="48"/>
      <c r="G143" s="48"/>
      <c r="H143" s="48"/>
      <c r="I143">
        <f t="shared" si="6"/>
        <v>0</v>
      </c>
      <c r="J143">
        <v>50</v>
      </c>
      <c r="K143">
        <f t="shared" si="7"/>
        <v>0</v>
      </c>
      <c r="M143">
        <v>5</v>
      </c>
      <c r="N143">
        <f t="shared" si="8"/>
        <v>0</v>
      </c>
    </row>
    <row r="144" spans="1:14" x14ac:dyDescent="0.2">
      <c r="A144" s="48">
        <v>73</v>
      </c>
      <c r="B144" s="24" t="s">
        <v>277</v>
      </c>
      <c r="C144" s="24">
        <v>0.28499999999999998</v>
      </c>
      <c r="D144" s="48"/>
      <c r="E144" s="24">
        <v>379.37599999999998</v>
      </c>
      <c r="F144" s="48">
        <v>372.08800000000002</v>
      </c>
      <c r="G144" s="48">
        <v>10.307</v>
      </c>
      <c r="H144" s="48">
        <v>2.8</v>
      </c>
      <c r="I144">
        <f t="shared" si="6"/>
        <v>0.37208800000000003</v>
      </c>
      <c r="J144">
        <v>50</v>
      </c>
      <c r="K144" s="25">
        <f t="shared" si="7"/>
        <v>18.604400000000002</v>
      </c>
      <c r="L144">
        <v>90.3</v>
      </c>
      <c r="M144">
        <v>5</v>
      </c>
      <c r="N144">
        <f t="shared" si="8"/>
        <v>93.022000000000006</v>
      </c>
    </row>
    <row r="145" spans="1:14" x14ac:dyDescent="0.2">
      <c r="A145" s="48"/>
      <c r="B145" s="24" t="s">
        <v>278</v>
      </c>
      <c r="C145" s="24">
        <v>0.27800000000000002</v>
      </c>
      <c r="D145" s="48"/>
      <c r="E145" s="24">
        <v>364.8</v>
      </c>
      <c r="F145" s="48"/>
      <c r="G145" s="48"/>
      <c r="H145" s="48"/>
      <c r="I145">
        <f t="shared" si="6"/>
        <v>0</v>
      </c>
      <c r="J145">
        <v>50</v>
      </c>
      <c r="K145" s="25">
        <f t="shared" si="7"/>
        <v>0</v>
      </c>
      <c r="M145">
        <v>5</v>
      </c>
      <c r="N145">
        <f t="shared" si="8"/>
        <v>0</v>
      </c>
    </row>
    <row r="146" spans="1:14" x14ac:dyDescent="0.2">
      <c r="A146" s="48">
        <v>74</v>
      </c>
      <c r="B146" s="24" t="s">
        <v>279</v>
      </c>
      <c r="C146" s="24">
        <v>0.27400000000000002</v>
      </c>
      <c r="D146" s="48"/>
      <c r="E146" s="24">
        <v>355.29399999999998</v>
      </c>
      <c r="F146" s="48">
        <v>357.512</v>
      </c>
      <c r="G146" s="48">
        <v>3.137</v>
      </c>
      <c r="H146" s="48">
        <v>0.9</v>
      </c>
      <c r="I146">
        <f t="shared" si="6"/>
        <v>0.357512</v>
      </c>
      <c r="J146">
        <v>50</v>
      </c>
      <c r="K146" s="25">
        <f t="shared" si="7"/>
        <v>17.875599999999999</v>
      </c>
      <c r="L146">
        <v>101.8</v>
      </c>
      <c r="M146">
        <v>5</v>
      </c>
      <c r="N146">
        <f t="shared" si="8"/>
        <v>89.377999999999986</v>
      </c>
    </row>
    <row r="147" spans="1:14" x14ac:dyDescent="0.2">
      <c r="A147" s="48"/>
      <c r="B147" s="24" t="s">
        <v>280</v>
      </c>
      <c r="C147" s="24">
        <v>0.27600000000000002</v>
      </c>
      <c r="D147" s="48"/>
      <c r="E147" s="24">
        <v>359.73</v>
      </c>
      <c r="F147" s="48"/>
      <c r="G147" s="48"/>
      <c r="H147" s="48"/>
      <c r="I147">
        <f t="shared" si="6"/>
        <v>0</v>
      </c>
      <c r="J147">
        <v>50</v>
      </c>
      <c r="K147" s="25">
        <f t="shared" si="7"/>
        <v>0</v>
      </c>
      <c r="M147">
        <v>5</v>
      </c>
      <c r="N147">
        <f t="shared" si="8"/>
        <v>0</v>
      </c>
    </row>
    <row r="148" spans="1:14" x14ac:dyDescent="0.2">
      <c r="A148" s="48">
        <v>75</v>
      </c>
      <c r="B148" s="24" t="s">
        <v>281</v>
      </c>
      <c r="C148" s="24">
        <v>0.28499999999999998</v>
      </c>
      <c r="D148" s="48"/>
      <c r="E148" s="24">
        <v>379.58699999999999</v>
      </c>
      <c r="F148" s="48">
        <v>379.58699999999999</v>
      </c>
      <c r="G148" s="48">
        <v>0</v>
      </c>
      <c r="H148" s="48">
        <v>0</v>
      </c>
      <c r="I148">
        <f t="shared" si="6"/>
        <v>0.37958700000000001</v>
      </c>
      <c r="J148">
        <v>50</v>
      </c>
      <c r="K148" s="25">
        <f t="shared" si="7"/>
        <v>18.97935</v>
      </c>
      <c r="L148">
        <v>99</v>
      </c>
      <c r="M148">
        <v>5</v>
      </c>
      <c r="N148">
        <f t="shared" si="8"/>
        <v>94.896749999999997</v>
      </c>
    </row>
    <row r="149" spans="1:14" x14ac:dyDescent="0.2">
      <c r="A149" s="48"/>
      <c r="B149" s="24" t="s">
        <v>282</v>
      </c>
      <c r="C149" s="24">
        <v>0.28499999999999998</v>
      </c>
      <c r="D149" s="48"/>
      <c r="E149" s="24">
        <v>379.58699999999999</v>
      </c>
      <c r="F149" s="48"/>
      <c r="G149" s="48"/>
      <c r="H149" s="48"/>
      <c r="I149">
        <f t="shared" si="6"/>
        <v>0</v>
      </c>
      <c r="J149">
        <v>50</v>
      </c>
      <c r="K149" s="25">
        <f t="shared" si="7"/>
        <v>0</v>
      </c>
      <c r="M149">
        <v>5</v>
      </c>
      <c r="N149">
        <f t="shared" si="8"/>
        <v>0</v>
      </c>
    </row>
    <row r="150" spans="1:14" x14ac:dyDescent="0.2">
      <c r="A150" s="48">
        <v>76</v>
      </c>
      <c r="B150" s="24" t="s">
        <v>283</v>
      </c>
      <c r="C150" s="24">
        <v>0.27600000000000002</v>
      </c>
      <c r="D150" s="48"/>
      <c r="E150" s="24">
        <v>359.73</v>
      </c>
      <c r="F150" s="48">
        <v>357.61799999999999</v>
      </c>
      <c r="G150" s="48">
        <v>2.9870000000000001</v>
      </c>
      <c r="H150" s="48">
        <v>0.8</v>
      </c>
      <c r="I150">
        <f t="shared" si="6"/>
        <v>0.35761799999999999</v>
      </c>
      <c r="J150">
        <v>50</v>
      </c>
      <c r="K150" s="25">
        <f t="shared" si="7"/>
        <v>17.8809</v>
      </c>
      <c r="L150">
        <v>93.7</v>
      </c>
      <c r="M150">
        <v>5</v>
      </c>
      <c r="N150">
        <f t="shared" si="8"/>
        <v>89.404499999999999</v>
      </c>
    </row>
    <row r="151" spans="1:14" x14ac:dyDescent="0.2">
      <c r="A151" s="48"/>
      <c r="B151" s="24" t="s">
        <v>284</v>
      </c>
      <c r="C151" s="24">
        <v>0.27400000000000002</v>
      </c>
      <c r="D151" s="48"/>
      <c r="E151" s="24">
        <v>355.505</v>
      </c>
      <c r="F151" s="48"/>
      <c r="G151" s="48"/>
      <c r="H151" s="48"/>
      <c r="I151">
        <f t="shared" si="6"/>
        <v>0</v>
      </c>
      <c r="J151">
        <v>50</v>
      </c>
      <c r="K151" s="25">
        <f t="shared" si="7"/>
        <v>0</v>
      </c>
      <c r="M151">
        <v>5</v>
      </c>
      <c r="N151">
        <f t="shared" si="8"/>
        <v>0</v>
      </c>
    </row>
    <row r="152" spans="1:14" x14ac:dyDescent="0.2">
      <c r="A152" s="48">
        <v>77</v>
      </c>
      <c r="B152" s="24" t="s">
        <v>285</v>
      </c>
      <c r="C152" s="24">
        <v>0.29399999999999998</v>
      </c>
      <c r="D152" s="48"/>
      <c r="E152" s="24">
        <v>398.38799999999998</v>
      </c>
      <c r="F152" s="48">
        <v>397.649</v>
      </c>
      <c r="G152" s="48">
        <v>1.046</v>
      </c>
      <c r="H152" s="48">
        <v>0.3</v>
      </c>
      <c r="I152">
        <f t="shared" si="6"/>
        <v>0.39764899999999997</v>
      </c>
      <c r="J152">
        <v>50</v>
      </c>
      <c r="K152" s="25">
        <f t="shared" si="7"/>
        <v>19.882449999999999</v>
      </c>
      <c r="L152">
        <v>110.7</v>
      </c>
      <c r="M152">
        <v>5</v>
      </c>
      <c r="N152">
        <f t="shared" si="8"/>
        <v>99.41225</v>
      </c>
    </row>
    <row r="153" spans="1:14" x14ac:dyDescent="0.2">
      <c r="A153" s="48"/>
      <c r="B153" s="24" t="s">
        <v>286</v>
      </c>
      <c r="C153" s="24">
        <v>0.29299999999999998</v>
      </c>
      <c r="D153" s="48"/>
      <c r="E153" s="24">
        <v>396.90899999999999</v>
      </c>
      <c r="F153" s="48"/>
      <c r="G153" s="48"/>
      <c r="H153" s="48"/>
      <c r="I153">
        <f t="shared" si="6"/>
        <v>0</v>
      </c>
      <c r="J153">
        <v>50</v>
      </c>
      <c r="K153">
        <f t="shared" si="7"/>
        <v>0</v>
      </c>
      <c r="M153">
        <v>5</v>
      </c>
      <c r="N153">
        <f t="shared" si="8"/>
        <v>0</v>
      </c>
    </row>
    <row r="154" spans="1:14" x14ac:dyDescent="0.2">
      <c r="A154" s="48">
        <v>78</v>
      </c>
      <c r="B154" s="24" t="s">
        <v>287</v>
      </c>
      <c r="C154" s="24">
        <v>0.30199999999999999</v>
      </c>
      <c r="D154" s="48"/>
      <c r="E154" s="24">
        <v>414.44299999999998</v>
      </c>
      <c r="F154" s="48">
        <v>407.47199999999998</v>
      </c>
      <c r="G154" s="48">
        <v>9.859</v>
      </c>
      <c r="H154" s="48">
        <v>2.4</v>
      </c>
      <c r="I154">
        <f t="shared" si="6"/>
        <v>0.407472</v>
      </c>
      <c r="J154">
        <v>50</v>
      </c>
      <c r="K154">
        <f t="shared" si="7"/>
        <v>20.3736</v>
      </c>
      <c r="L154">
        <v>76.7</v>
      </c>
      <c r="M154">
        <v>5</v>
      </c>
      <c r="N154">
        <f t="shared" si="8"/>
        <v>101.86799999999999</v>
      </c>
    </row>
    <row r="155" spans="1:14" x14ac:dyDescent="0.2">
      <c r="A155" s="48"/>
      <c r="B155" s="24" t="s">
        <v>288</v>
      </c>
      <c r="C155" s="24">
        <v>0.29499999999999998</v>
      </c>
      <c r="D155" s="48"/>
      <c r="E155" s="24">
        <v>400.5</v>
      </c>
      <c r="F155" s="48"/>
      <c r="G155" s="48"/>
      <c r="H155" s="48"/>
      <c r="I155">
        <f t="shared" si="6"/>
        <v>0</v>
      </c>
      <c r="J155">
        <v>50</v>
      </c>
      <c r="K155">
        <f t="shared" si="7"/>
        <v>0</v>
      </c>
      <c r="M155">
        <v>5</v>
      </c>
      <c r="N155">
        <f t="shared" si="8"/>
        <v>0</v>
      </c>
    </row>
    <row r="156" spans="1:14" x14ac:dyDescent="0.2">
      <c r="A156" s="48">
        <v>79</v>
      </c>
      <c r="B156" s="24" t="s">
        <v>14</v>
      </c>
      <c r="C156" s="24">
        <v>0.29799999999999999</v>
      </c>
      <c r="D156" s="48"/>
      <c r="E156" s="24">
        <v>407.47199999999998</v>
      </c>
      <c r="F156" s="48">
        <v>407.78800000000001</v>
      </c>
      <c r="G156" s="48">
        <v>0.44800000000000001</v>
      </c>
      <c r="H156" s="48">
        <v>0.1</v>
      </c>
      <c r="I156">
        <f t="shared" si="6"/>
        <v>0.40778799999999998</v>
      </c>
      <c r="J156">
        <v>50</v>
      </c>
      <c r="K156">
        <f t="shared" si="7"/>
        <v>20.389399999999998</v>
      </c>
      <c r="L156">
        <v>78.599999999999994</v>
      </c>
      <c r="M156">
        <v>5</v>
      </c>
      <c r="N156">
        <f t="shared" si="8"/>
        <v>101.94699999999999</v>
      </c>
    </row>
    <row r="157" spans="1:14" x14ac:dyDescent="0.2">
      <c r="A157" s="48"/>
      <c r="B157" s="24" t="s">
        <v>289</v>
      </c>
      <c r="C157" s="24">
        <v>0.29899999999999999</v>
      </c>
      <c r="D157" s="48"/>
      <c r="E157" s="24">
        <v>408.10500000000002</v>
      </c>
      <c r="F157" s="48"/>
      <c r="G157" s="48"/>
      <c r="H157" s="48"/>
      <c r="I157">
        <f t="shared" si="6"/>
        <v>0</v>
      </c>
      <c r="J157">
        <v>50</v>
      </c>
      <c r="K157">
        <f t="shared" si="7"/>
        <v>0</v>
      </c>
      <c r="M157">
        <v>5</v>
      </c>
      <c r="N157">
        <f t="shared" si="8"/>
        <v>0</v>
      </c>
    </row>
    <row r="158" spans="1:14" x14ac:dyDescent="0.2">
      <c r="A158" s="48">
        <v>80</v>
      </c>
      <c r="B158" s="24" t="s">
        <v>290</v>
      </c>
      <c r="C158" s="24">
        <v>0.312</v>
      </c>
      <c r="D158" s="48"/>
      <c r="E158" s="24">
        <v>436.62299999999999</v>
      </c>
      <c r="F158" s="48">
        <v>425.85</v>
      </c>
      <c r="G158" s="48">
        <v>15.236000000000001</v>
      </c>
      <c r="H158" s="48">
        <v>3.6</v>
      </c>
      <c r="I158">
        <f t="shared" si="6"/>
        <v>0.42585000000000001</v>
      </c>
      <c r="J158">
        <v>50</v>
      </c>
      <c r="K158">
        <f t="shared" si="7"/>
        <v>21.2925</v>
      </c>
      <c r="L158">
        <v>82.9</v>
      </c>
      <c r="M158">
        <v>5</v>
      </c>
      <c r="N158">
        <f t="shared" si="8"/>
        <v>106.46250000000001</v>
      </c>
    </row>
    <row r="159" spans="1:14" x14ac:dyDescent="0.2">
      <c r="A159" s="48"/>
      <c r="B159" s="24" t="s">
        <v>291</v>
      </c>
      <c r="C159" s="24">
        <v>0.30199999999999999</v>
      </c>
      <c r="D159" s="48"/>
      <c r="E159" s="24">
        <v>415.07600000000002</v>
      </c>
      <c r="F159" s="48"/>
      <c r="G159" s="48"/>
      <c r="H159" s="48"/>
      <c r="I159">
        <f t="shared" si="6"/>
        <v>0</v>
      </c>
      <c r="J159">
        <v>50</v>
      </c>
      <c r="K159">
        <f t="shared" si="7"/>
        <v>0</v>
      </c>
      <c r="M159">
        <v>5</v>
      </c>
      <c r="N159">
        <f t="shared" si="8"/>
        <v>0</v>
      </c>
    </row>
    <row r="160" spans="1:14" x14ac:dyDescent="0.2">
      <c r="A160" s="48">
        <v>81</v>
      </c>
      <c r="B160" s="24" t="s">
        <v>292</v>
      </c>
      <c r="C160" s="24">
        <v>0.26800000000000002</v>
      </c>
      <c r="D160" s="48"/>
      <c r="E160" s="24">
        <v>343.67599999999999</v>
      </c>
      <c r="F160" s="48">
        <v>346.31599999999997</v>
      </c>
      <c r="G160" s="48">
        <v>3.734</v>
      </c>
      <c r="H160" s="48">
        <v>1.1000000000000001</v>
      </c>
      <c r="I160">
        <f t="shared" si="6"/>
        <v>0.34631599999999996</v>
      </c>
      <c r="J160">
        <v>50</v>
      </c>
      <c r="K160">
        <f t="shared" si="7"/>
        <v>17.315799999999999</v>
      </c>
      <c r="L160">
        <v>117.6</v>
      </c>
      <c r="M160">
        <v>5</v>
      </c>
      <c r="N160">
        <f t="shared" si="8"/>
        <v>86.578999999999994</v>
      </c>
    </row>
    <row r="161" spans="1:14" x14ac:dyDescent="0.2">
      <c r="A161" s="48"/>
      <c r="B161" s="24" t="s">
        <v>293</v>
      </c>
      <c r="C161" s="24">
        <v>0.27100000000000002</v>
      </c>
      <c r="D161" s="48"/>
      <c r="E161" s="24">
        <v>348.95699999999999</v>
      </c>
      <c r="F161" s="48"/>
      <c r="G161" s="48"/>
      <c r="H161" s="48"/>
      <c r="I161">
        <f t="shared" si="6"/>
        <v>0</v>
      </c>
      <c r="J161">
        <v>50</v>
      </c>
      <c r="K161">
        <f t="shared" si="7"/>
        <v>0</v>
      </c>
      <c r="M161">
        <v>5</v>
      </c>
      <c r="N161">
        <f t="shared" si="8"/>
        <v>0</v>
      </c>
    </row>
    <row r="162" spans="1:14" x14ac:dyDescent="0.2">
      <c r="A162" s="48">
        <v>82</v>
      </c>
      <c r="B162" s="24" t="s">
        <v>294</v>
      </c>
      <c r="C162" s="24">
        <v>0.27500000000000002</v>
      </c>
      <c r="D162" s="48"/>
      <c r="E162" s="24">
        <v>358.88499999999999</v>
      </c>
      <c r="F162" s="48">
        <v>354.13200000000001</v>
      </c>
      <c r="G162" s="48">
        <v>6.7220000000000004</v>
      </c>
      <c r="H162" s="48">
        <v>1.9</v>
      </c>
      <c r="I162">
        <f t="shared" si="6"/>
        <v>0.354132</v>
      </c>
      <c r="J162">
        <v>50</v>
      </c>
      <c r="K162">
        <f t="shared" si="7"/>
        <v>17.706600000000002</v>
      </c>
      <c r="L162">
        <v>98.5</v>
      </c>
      <c r="M162">
        <v>5</v>
      </c>
      <c r="N162">
        <f t="shared" si="8"/>
        <v>88.533000000000015</v>
      </c>
    </row>
    <row r="163" spans="1:14" x14ac:dyDescent="0.2">
      <c r="A163" s="48"/>
      <c r="B163" s="24" t="s">
        <v>295</v>
      </c>
      <c r="C163" s="24">
        <v>0.27100000000000002</v>
      </c>
      <c r="D163" s="48"/>
      <c r="E163" s="24">
        <v>349.37900000000002</v>
      </c>
      <c r="F163" s="48"/>
      <c r="G163" s="48"/>
      <c r="H163" s="48"/>
      <c r="I163">
        <f t="shared" si="6"/>
        <v>0</v>
      </c>
      <c r="J163">
        <v>50</v>
      </c>
      <c r="K163">
        <f t="shared" si="7"/>
        <v>0</v>
      </c>
      <c r="M163">
        <v>5</v>
      </c>
      <c r="N163">
        <f t="shared" si="8"/>
        <v>0</v>
      </c>
    </row>
    <row r="164" spans="1:14" x14ac:dyDescent="0.2">
      <c r="A164" s="48">
        <v>83</v>
      </c>
      <c r="B164" s="24" t="s">
        <v>296</v>
      </c>
      <c r="C164" s="24">
        <v>0.25600000000000001</v>
      </c>
      <c r="D164" s="48"/>
      <c r="E164" s="24">
        <v>317.05900000000003</v>
      </c>
      <c r="F164" s="48">
        <v>311.88299999999998</v>
      </c>
      <c r="G164" s="48">
        <v>7.319</v>
      </c>
      <c r="H164" s="48">
        <v>2.2999999999999998</v>
      </c>
      <c r="I164">
        <f t="shared" si="6"/>
        <v>0.31188299999999997</v>
      </c>
      <c r="J164">
        <v>50</v>
      </c>
      <c r="K164" s="25">
        <f t="shared" si="7"/>
        <v>15.594149999999999</v>
      </c>
      <c r="L164">
        <v>86.3</v>
      </c>
      <c r="M164">
        <v>5</v>
      </c>
      <c r="N164">
        <f t="shared" si="8"/>
        <v>77.970749999999995</v>
      </c>
    </row>
    <row r="165" spans="1:14" x14ac:dyDescent="0.2">
      <c r="A165" s="48"/>
      <c r="B165" s="24" t="s">
        <v>297</v>
      </c>
      <c r="C165" s="24">
        <v>0.251</v>
      </c>
      <c r="D165" s="48"/>
      <c r="E165" s="24">
        <v>306.70800000000003</v>
      </c>
      <c r="F165" s="48"/>
      <c r="G165" s="48"/>
      <c r="H165" s="48"/>
      <c r="I165">
        <f t="shared" si="6"/>
        <v>0</v>
      </c>
      <c r="J165">
        <v>50</v>
      </c>
      <c r="K165" s="25">
        <f t="shared" si="7"/>
        <v>0</v>
      </c>
      <c r="M165">
        <v>5</v>
      </c>
      <c r="N165">
        <f t="shared" si="8"/>
        <v>0</v>
      </c>
    </row>
    <row r="166" spans="1:14" x14ac:dyDescent="0.2">
      <c r="A166" s="48">
        <v>84</v>
      </c>
      <c r="B166" s="24" t="s">
        <v>298</v>
      </c>
      <c r="C166" s="24">
        <v>0.27200000000000002</v>
      </c>
      <c r="D166" s="48"/>
      <c r="E166" s="24">
        <v>350.858</v>
      </c>
      <c r="F166" s="48">
        <v>337.233</v>
      </c>
      <c r="G166" s="48">
        <v>19.268999999999998</v>
      </c>
      <c r="H166" s="48">
        <v>5.7</v>
      </c>
      <c r="I166">
        <f t="shared" si="6"/>
        <v>0.337233</v>
      </c>
      <c r="J166">
        <v>50</v>
      </c>
      <c r="K166" s="25">
        <f t="shared" si="7"/>
        <v>16.861650000000001</v>
      </c>
      <c r="L166">
        <v>76.099999999999994</v>
      </c>
      <c r="M166">
        <v>5</v>
      </c>
      <c r="N166">
        <f t="shared" si="8"/>
        <v>84.308250000000001</v>
      </c>
    </row>
    <row r="167" spans="1:14" x14ac:dyDescent="0.2">
      <c r="A167" s="48"/>
      <c r="B167" s="24" t="s">
        <v>299</v>
      </c>
      <c r="C167" s="24">
        <v>0.25900000000000001</v>
      </c>
      <c r="D167" s="48"/>
      <c r="E167" s="24">
        <v>323.60700000000003</v>
      </c>
      <c r="F167" s="48"/>
      <c r="G167" s="48"/>
      <c r="H167" s="48"/>
      <c r="I167">
        <f t="shared" si="6"/>
        <v>0</v>
      </c>
      <c r="J167">
        <v>50</v>
      </c>
      <c r="K167" s="25">
        <f t="shared" si="7"/>
        <v>0</v>
      </c>
      <c r="M167">
        <v>5</v>
      </c>
      <c r="N167">
        <f t="shared" si="8"/>
        <v>0</v>
      </c>
    </row>
    <row r="168" spans="1:14" x14ac:dyDescent="0.2">
      <c r="A168" s="48">
        <v>85</v>
      </c>
      <c r="B168" s="24" t="s">
        <v>300</v>
      </c>
      <c r="C168" s="24">
        <v>0.27300000000000002</v>
      </c>
      <c r="D168" s="48"/>
      <c r="E168" s="24">
        <v>354.238</v>
      </c>
      <c r="F168" s="48">
        <v>342.93599999999998</v>
      </c>
      <c r="G168" s="48">
        <v>15.983000000000001</v>
      </c>
      <c r="H168" s="48">
        <v>4.7</v>
      </c>
      <c r="I168">
        <f t="shared" si="6"/>
        <v>0.34293599999999996</v>
      </c>
      <c r="J168">
        <v>50</v>
      </c>
      <c r="K168" s="25">
        <f t="shared" si="7"/>
        <v>17.146799999999999</v>
      </c>
      <c r="L168">
        <v>98.2</v>
      </c>
      <c r="M168">
        <v>5</v>
      </c>
      <c r="N168">
        <f t="shared" si="8"/>
        <v>85.733999999999995</v>
      </c>
    </row>
    <row r="169" spans="1:14" x14ac:dyDescent="0.2">
      <c r="A169" s="48"/>
      <c r="B169" s="24" t="s">
        <v>301</v>
      </c>
      <c r="C169" s="24">
        <v>0.26200000000000001</v>
      </c>
      <c r="D169" s="48"/>
      <c r="E169" s="24">
        <v>331.63499999999999</v>
      </c>
      <c r="F169" s="48"/>
      <c r="G169" s="48"/>
      <c r="H169" s="48"/>
      <c r="I169">
        <f t="shared" si="6"/>
        <v>0</v>
      </c>
      <c r="J169">
        <v>50</v>
      </c>
      <c r="K169" s="25">
        <f t="shared" si="7"/>
        <v>0</v>
      </c>
      <c r="M169">
        <v>5</v>
      </c>
      <c r="N169">
        <f t="shared" si="8"/>
        <v>0</v>
      </c>
    </row>
    <row r="170" spans="1:14" x14ac:dyDescent="0.2">
      <c r="A170" s="48">
        <v>86</v>
      </c>
      <c r="B170" s="24" t="s">
        <v>302</v>
      </c>
      <c r="C170" s="24">
        <v>0.29199999999999998</v>
      </c>
      <c r="D170" s="48"/>
      <c r="E170" s="24">
        <v>393.952</v>
      </c>
      <c r="F170" s="48">
        <v>382.43900000000002</v>
      </c>
      <c r="G170" s="48">
        <v>16.282</v>
      </c>
      <c r="H170" s="48">
        <v>4.3</v>
      </c>
      <c r="I170">
        <f t="shared" si="6"/>
        <v>0.38243900000000003</v>
      </c>
      <c r="J170">
        <v>50</v>
      </c>
      <c r="K170" s="25">
        <f t="shared" si="7"/>
        <v>19.121950000000002</v>
      </c>
      <c r="L170">
        <v>104.7</v>
      </c>
      <c r="M170">
        <v>5</v>
      </c>
      <c r="N170">
        <f t="shared" si="8"/>
        <v>95.609750000000005</v>
      </c>
    </row>
    <row r="171" spans="1:14" x14ac:dyDescent="0.2">
      <c r="A171" s="48"/>
      <c r="B171" s="24" t="s">
        <v>303</v>
      </c>
      <c r="C171" s="24">
        <v>0.28100000000000003</v>
      </c>
      <c r="D171" s="48"/>
      <c r="E171" s="24">
        <v>370.92599999999999</v>
      </c>
      <c r="F171" s="48"/>
      <c r="G171" s="48"/>
      <c r="H171" s="48"/>
      <c r="I171">
        <f t="shared" si="6"/>
        <v>0</v>
      </c>
      <c r="J171">
        <v>50</v>
      </c>
      <c r="K171">
        <f t="shared" si="7"/>
        <v>0</v>
      </c>
      <c r="M171">
        <v>5</v>
      </c>
      <c r="N171">
        <f t="shared" si="8"/>
        <v>0</v>
      </c>
    </row>
    <row r="172" spans="1:14" x14ac:dyDescent="0.2">
      <c r="A172" s="48">
        <v>87</v>
      </c>
      <c r="B172" s="24" t="s">
        <v>70</v>
      </c>
      <c r="C172" s="24">
        <v>0.28899999999999998</v>
      </c>
      <c r="D172" s="48"/>
      <c r="E172" s="24">
        <v>387.61500000000001</v>
      </c>
      <c r="F172" s="48">
        <v>374.517</v>
      </c>
      <c r="G172" s="48">
        <v>18.521999999999998</v>
      </c>
      <c r="H172" s="48">
        <v>4.9000000000000004</v>
      </c>
      <c r="I172">
        <f t="shared" si="6"/>
        <v>0.37451699999999999</v>
      </c>
      <c r="J172">
        <v>50</v>
      </c>
      <c r="K172">
        <f t="shared" si="7"/>
        <v>18.725850000000001</v>
      </c>
      <c r="L172">
        <v>90.3</v>
      </c>
      <c r="M172">
        <v>5</v>
      </c>
      <c r="N172">
        <f t="shared" si="8"/>
        <v>93.629250000000013</v>
      </c>
    </row>
    <row r="173" spans="1:14" x14ac:dyDescent="0.2">
      <c r="A173" s="48"/>
      <c r="B173" s="24" t="s">
        <v>71</v>
      </c>
      <c r="C173" s="24">
        <v>0.27700000000000002</v>
      </c>
      <c r="D173" s="48"/>
      <c r="E173" s="24">
        <v>361.42</v>
      </c>
      <c r="F173" s="48"/>
      <c r="G173" s="48"/>
      <c r="H173" s="48"/>
      <c r="I173">
        <f t="shared" si="6"/>
        <v>0</v>
      </c>
      <c r="J173">
        <v>50</v>
      </c>
      <c r="K173">
        <f t="shared" si="7"/>
        <v>0</v>
      </c>
      <c r="M173">
        <v>5</v>
      </c>
      <c r="N173">
        <f t="shared" si="8"/>
        <v>0</v>
      </c>
    </row>
    <row r="174" spans="1:14" x14ac:dyDescent="0.2">
      <c r="A174" s="48">
        <v>89</v>
      </c>
      <c r="B174" s="24" t="s">
        <v>304</v>
      </c>
      <c r="C174" s="24">
        <v>0.26900000000000002</v>
      </c>
      <c r="D174" s="48"/>
      <c r="E174" s="24">
        <v>346.21100000000001</v>
      </c>
      <c r="F174" s="48">
        <v>340.50700000000001</v>
      </c>
      <c r="G174" s="48">
        <v>8.0660000000000007</v>
      </c>
      <c r="H174" s="48">
        <v>2.4</v>
      </c>
      <c r="I174">
        <f t="shared" si="6"/>
        <v>0.340507</v>
      </c>
      <c r="J174">
        <v>50</v>
      </c>
      <c r="K174">
        <f t="shared" si="7"/>
        <v>17.02535</v>
      </c>
      <c r="L174">
        <v>82</v>
      </c>
      <c r="M174">
        <v>5</v>
      </c>
      <c r="N174">
        <f t="shared" si="8"/>
        <v>85.126750000000001</v>
      </c>
    </row>
    <row r="175" spans="1:14" x14ac:dyDescent="0.2">
      <c r="A175" s="48"/>
      <c r="B175" s="24" t="s">
        <v>305</v>
      </c>
      <c r="C175" s="24">
        <v>0.26400000000000001</v>
      </c>
      <c r="D175" s="48"/>
      <c r="E175" s="24">
        <v>334.803</v>
      </c>
      <c r="F175" s="48"/>
      <c r="G175" s="48"/>
      <c r="H175" s="48"/>
      <c r="I175">
        <f t="shared" si="6"/>
        <v>0</v>
      </c>
      <c r="J175">
        <v>50</v>
      </c>
      <c r="K175">
        <f t="shared" si="7"/>
        <v>0</v>
      </c>
      <c r="M175">
        <v>5</v>
      </c>
      <c r="N175">
        <f t="shared" si="8"/>
        <v>0</v>
      </c>
    </row>
    <row r="176" spans="1:14" x14ac:dyDescent="0.2">
      <c r="A176" s="48">
        <v>90</v>
      </c>
      <c r="B176" s="24" t="s">
        <v>306</v>
      </c>
      <c r="C176" s="24">
        <v>0.28299999999999997</v>
      </c>
      <c r="D176" s="48"/>
      <c r="E176" s="24">
        <v>375.15100000000001</v>
      </c>
      <c r="F176" s="48">
        <v>361.94799999999998</v>
      </c>
      <c r="G176" s="48">
        <v>18.672000000000001</v>
      </c>
      <c r="H176" s="48">
        <v>5.2</v>
      </c>
      <c r="I176">
        <f t="shared" si="6"/>
        <v>0.36194799999999999</v>
      </c>
      <c r="J176">
        <v>50</v>
      </c>
      <c r="K176">
        <f t="shared" si="7"/>
        <v>18.0974</v>
      </c>
      <c r="L176">
        <v>93.1</v>
      </c>
      <c r="M176">
        <v>5</v>
      </c>
      <c r="N176">
        <f t="shared" si="8"/>
        <v>90.486999999999995</v>
      </c>
    </row>
    <row r="177" spans="1:14" x14ac:dyDescent="0.2">
      <c r="A177" s="48"/>
      <c r="B177" s="24" t="s">
        <v>307</v>
      </c>
      <c r="C177" s="24">
        <v>0.27100000000000002</v>
      </c>
      <c r="D177" s="48"/>
      <c r="E177" s="24">
        <v>348.745</v>
      </c>
      <c r="F177" s="48"/>
      <c r="G177" s="48"/>
      <c r="H177" s="48"/>
      <c r="I177">
        <f t="shared" si="6"/>
        <v>0</v>
      </c>
      <c r="J177">
        <v>50</v>
      </c>
      <c r="K177">
        <f t="shared" si="7"/>
        <v>0</v>
      </c>
      <c r="M177">
        <v>5</v>
      </c>
      <c r="N177">
        <f t="shared" si="8"/>
        <v>0</v>
      </c>
    </row>
    <row r="178" spans="1:14" x14ac:dyDescent="0.2">
      <c r="A178" s="48">
        <v>91</v>
      </c>
      <c r="B178" s="24" t="s">
        <v>308</v>
      </c>
      <c r="C178" s="24">
        <v>0.27900000000000003</v>
      </c>
      <c r="D178" s="48"/>
      <c r="E178" s="24">
        <v>366.279</v>
      </c>
      <c r="F178" s="48">
        <v>356.245</v>
      </c>
      <c r="G178" s="48">
        <v>14.19</v>
      </c>
      <c r="H178" s="48">
        <v>4</v>
      </c>
      <c r="I178">
        <f t="shared" si="6"/>
        <v>0.35624499999999998</v>
      </c>
      <c r="J178">
        <v>50</v>
      </c>
      <c r="K178" s="25">
        <f t="shared" si="7"/>
        <v>17.812249999999999</v>
      </c>
      <c r="L178">
        <v>99.3</v>
      </c>
      <c r="M178">
        <v>5</v>
      </c>
      <c r="N178">
        <f t="shared" si="8"/>
        <v>89.061250000000001</v>
      </c>
    </row>
    <row r="179" spans="1:14" x14ac:dyDescent="0.2">
      <c r="A179" s="48"/>
      <c r="B179" s="24" t="s">
        <v>309</v>
      </c>
      <c r="C179" s="24">
        <v>0.26900000000000002</v>
      </c>
      <c r="D179" s="48"/>
      <c r="E179" s="24">
        <v>346.21100000000001</v>
      </c>
      <c r="F179" s="48"/>
      <c r="G179" s="48"/>
      <c r="H179" s="48"/>
      <c r="I179">
        <f t="shared" si="6"/>
        <v>0</v>
      </c>
      <c r="J179">
        <v>50</v>
      </c>
      <c r="K179" s="25">
        <f t="shared" si="7"/>
        <v>0</v>
      </c>
      <c r="M179">
        <v>5</v>
      </c>
      <c r="N179">
        <f t="shared" si="8"/>
        <v>0</v>
      </c>
    </row>
    <row r="180" spans="1:14" x14ac:dyDescent="0.2">
      <c r="A180" s="48">
        <v>92</v>
      </c>
      <c r="B180" s="24" t="s">
        <v>310</v>
      </c>
      <c r="C180" s="24">
        <v>0.29599999999999999</v>
      </c>
      <c r="D180" s="48"/>
      <c r="E180" s="24">
        <v>401.97899999999998</v>
      </c>
      <c r="F180" s="48">
        <v>401.55700000000002</v>
      </c>
      <c r="G180" s="48">
        <v>0.59699999999999998</v>
      </c>
      <c r="H180" s="48">
        <v>0.1</v>
      </c>
      <c r="I180">
        <f t="shared" si="6"/>
        <v>0.401557</v>
      </c>
      <c r="J180">
        <v>50</v>
      </c>
      <c r="K180" s="25">
        <f t="shared" si="7"/>
        <v>20.077850000000002</v>
      </c>
      <c r="L180">
        <v>102.1</v>
      </c>
      <c r="M180">
        <v>5</v>
      </c>
      <c r="N180">
        <f t="shared" si="8"/>
        <v>100.38925</v>
      </c>
    </row>
    <row r="181" spans="1:14" x14ac:dyDescent="0.2">
      <c r="A181" s="48"/>
      <c r="B181" s="24" t="s">
        <v>311</v>
      </c>
      <c r="C181" s="24">
        <v>0.29499999999999998</v>
      </c>
      <c r="D181" s="48"/>
      <c r="E181" s="24">
        <v>401.13400000000001</v>
      </c>
      <c r="F181" s="48"/>
      <c r="G181" s="48"/>
      <c r="H181" s="48"/>
      <c r="I181">
        <f t="shared" si="6"/>
        <v>0</v>
      </c>
      <c r="J181">
        <v>50</v>
      </c>
      <c r="K181" s="25">
        <f t="shared" si="7"/>
        <v>0</v>
      </c>
      <c r="M181">
        <v>5</v>
      </c>
      <c r="N181">
        <f t="shared" si="8"/>
        <v>0</v>
      </c>
    </row>
    <row r="182" spans="1:14" x14ac:dyDescent="0.2">
      <c r="A182" s="48">
        <v>93</v>
      </c>
      <c r="B182" s="24" t="s">
        <v>312</v>
      </c>
      <c r="C182" s="24">
        <v>0.28999999999999998</v>
      </c>
      <c r="D182" s="48"/>
      <c r="E182" s="24">
        <v>389.51600000000002</v>
      </c>
      <c r="F182" s="48">
        <v>389.72699999999998</v>
      </c>
      <c r="G182" s="48">
        <v>0.29899999999999999</v>
      </c>
      <c r="H182" s="48">
        <v>0.1</v>
      </c>
      <c r="I182">
        <f t="shared" si="6"/>
        <v>0.38972699999999999</v>
      </c>
      <c r="J182">
        <v>50</v>
      </c>
      <c r="K182" s="25">
        <f t="shared" si="7"/>
        <v>19.486349999999998</v>
      </c>
      <c r="L182">
        <v>110.3</v>
      </c>
      <c r="M182">
        <v>5</v>
      </c>
      <c r="N182">
        <f t="shared" si="8"/>
        <v>97.431749999999994</v>
      </c>
    </row>
    <row r="183" spans="1:14" x14ac:dyDescent="0.2">
      <c r="A183" s="48"/>
      <c r="B183" s="24" t="s">
        <v>313</v>
      </c>
      <c r="C183" s="24">
        <v>0.28999999999999998</v>
      </c>
      <c r="D183" s="48"/>
      <c r="E183" s="24">
        <v>389.93799999999999</v>
      </c>
      <c r="F183" s="48"/>
      <c r="G183" s="48"/>
      <c r="H183" s="48"/>
      <c r="I183">
        <f t="shared" si="6"/>
        <v>0</v>
      </c>
      <c r="J183">
        <v>50</v>
      </c>
      <c r="K183" s="25">
        <f t="shared" si="7"/>
        <v>0</v>
      </c>
      <c r="M183">
        <v>5</v>
      </c>
      <c r="N183">
        <f t="shared" si="8"/>
        <v>0</v>
      </c>
    </row>
    <row r="184" spans="1:14" x14ac:dyDescent="0.2">
      <c r="A184" s="48">
        <v>94</v>
      </c>
      <c r="B184" s="24" t="s">
        <v>314</v>
      </c>
      <c r="C184" s="24">
        <v>0.27800000000000002</v>
      </c>
      <c r="D184" s="48"/>
      <c r="E184" s="24">
        <v>363.95499999999998</v>
      </c>
      <c r="F184" s="48">
        <v>361.84300000000002</v>
      </c>
      <c r="G184" s="48">
        <v>2.9870000000000001</v>
      </c>
      <c r="H184" s="48">
        <v>0.8</v>
      </c>
      <c r="I184">
        <f t="shared" si="6"/>
        <v>0.36184300000000003</v>
      </c>
      <c r="J184">
        <v>50</v>
      </c>
      <c r="K184" s="25">
        <f t="shared" si="7"/>
        <v>18.09215</v>
      </c>
      <c r="L184">
        <v>90.3</v>
      </c>
      <c r="M184">
        <v>5</v>
      </c>
      <c r="N184">
        <f t="shared" si="8"/>
        <v>90.460750000000004</v>
      </c>
    </row>
    <row r="185" spans="1:14" x14ac:dyDescent="0.2">
      <c r="A185" s="48"/>
      <c r="B185" s="24" t="s">
        <v>315</v>
      </c>
      <c r="C185" s="24">
        <v>0.27600000000000002</v>
      </c>
      <c r="D185" s="48"/>
      <c r="E185" s="24">
        <v>359.73</v>
      </c>
      <c r="F185" s="48"/>
      <c r="G185" s="48"/>
      <c r="H185" s="48"/>
      <c r="I185">
        <f t="shared" si="6"/>
        <v>0</v>
      </c>
      <c r="J185">
        <v>50</v>
      </c>
      <c r="K185" s="25">
        <f t="shared" si="7"/>
        <v>0</v>
      </c>
      <c r="M185">
        <v>5</v>
      </c>
      <c r="N185">
        <f t="shared" si="8"/>
        <v>0</v>
      </c>
    </row>
    <row r="186" spans="1:14" x14ac:dyDescent="0.2">
      <c r="A186" s="48">
        <v>95</v>
      </c>
      <c r="B186" s="24" t="s">
        <v>316</v>
      </c>
      <c r="C186" s="24">
        <v>0.29199999999999998</v>
      </c>
      <c r="D186" s="48"/>
      <c r="E186" s="24">
        <v>394.37400000000002</v>
      </c>
      <c r="F186" s="48">
        <v>385.608</v>
      </c>
      <c r="G186" s="48">
        <v>12.398</v>
      </c>
      <c r="H186" s="48">
        <v>3.2</v>
      </c>
      <c r="I186">
        <f t="shared" si="6"/>
        <v>0.38560800000000001</v>
      </c>
      <c r="J186">
        <v>50</v>
      </c>
      <c r="K186" s="25">
        <f t="shared" si="7"/>
        <v>19.2804</v>
      </c>
      <c r="L186">
        <v>107.7</v>
      </c>
      <c r="M186">
        <v>5</v>
      </c>
      <c r="N186">
        <f t="shared" si="8"/>
        <v>96.402000000000001</v>
      </c>
    </row>
    <row r="187" spans="1:14" x14ac:dyDescent="0.2">
      <c r="A187" s="48"/>
      <c r="B187" s="24" t="s">
        <v>317</v>
      </c>
      <c r="C187" s="24">
        <v>0.28399999999999997</v>
      </c>
      <c r="D187" s="48"/>
      <c r="E187" s="24">
        <v>376.84100000000001</v>
      </c>
      <c r="F187" s="48"/>
      <c r="G187" s="48"/>
      <c r="H187" s="48"/>
      <c r="I187">
        <f t="shared" si="6"/>
        <v>0</v>
      </c>
      <c r="J187">
        <v>50</v>
      </c>
      <c r="K187">
        <f t="shared" si="7"/>
        <v>0</v>
      </c>
      <c r="M187">
        <v>5</v>
      </c>
      <c r="N187">
        <f t="shared" si="8"/>
        <v>0</v>
      </c>
    </row>
    <row r="188" spans="1:14" x14ac:dyDescent="0.2">
      <c r="A188" s="48">
        <v>96</v>
      </c>
      <c r="B188" s="24" t="s">
        <v>318</v>
      </c>
      <c r="C188" s="24">
        <v>0.29899999999999999</v>
      </c>
      <c r="D188" s="48"/>
      <c r="E188" s="24">
        <v>408.10500000000002</v>
      </c>
      <c r="F188" s="48">
        <v>405.887</v>
      </c>
      <c r="G188" s="48">
        <v>3.137</v>
      </c>
      <c r="H188" s="48">
        <v>0.8</v>
      </c>
      <c r="I188">
        <f t="shared" si="6"/>
        <v>0.405887</v>
      </c>
      <c r="J188">
        <v>50</v>
      </c>
      <c r="K188">
        <f t="shared" si="7"/>
        <v>20.294350000000001</v>
      </c>
      <c r="L188">
        <v>82.4</v>
      </c>
      <c r="M188">
        <v>5</v>
      </c>
      <c r="N188">
        <f t="shared" si="8"/>
        <v>101.47175000000001</v>
      </c>
    </row>
    <row r="189" spans="1:14" x14ac:dyDescent="0.2">
      <c r="A189" s="48"/>
      <c r="B189" s="24" t="s">
        <v>67</v>
      </c>
      <c r="C189" s="24">
        <v>0.29599999999999999</v>
      </c>
      <c r="D189" s="48"/>
      <c r="E189" s="24">
        <v>403.66899999999998</v>
      </c>
      <c r="F189" s="48"/>
      <c r="G189" s="48"/>
      <c r="H189" s="48"/>
      <c r="I189">
        <f t="shared" si="6"/>
        <v>0</v>
      </c>
      <c r="J189">
        <v>50</v>
      </c>
      <c r="K189">
        <f t="shared" si="7"/>
        <v>0</v>
      </c>
      <c r="M189">
        <v>5</v>
      </c>
      <c r="N189">
        <f t="shared" si="8"/>
        <v>0</v>
      </c>
    </row>
    <row r="190" spans="1:14" x14ac:dyDescent="0.2">
      <c r="A190" s="48">
        <v>97</v>
      </c>
      <c r="B190" s="24" t="s">
        <v>319</v>
      </c>
      <c r="C190" s="24">
        <v>0.28699999999999998</v>
      </c>
      <c r="D190" s="48"/>
      <c r="E190" s="24">
        <v>383.81200000000001</v>
      </c>
      <c r="F190" s="48">
        <v>383.495</v>
      </c>
      <c r="G190" s="48">
        <v>0.44800000000000001</v>
      </c>
      <c r="H190" s="48">
        <v>0.1</v>
      </c>
      <c r="I190">
        <f t="shared" si="6"/>
        <v>0.38349500000000003</v>
      </c>
      <c r="J190">
        <v>50</v>
      </c>
      <c r="K190">
        <f t="shared" si="7"/>
        <v>19.174750000000003</v>
      </c>
      <c r="L190">
        <v>108.8</v>
      </c>
      <c r="M190">
        <v>5</v>
      </c>
      <c r="N190">
        <f t="shared" si="8"/>
        <v>95.873750000000015</v>
      </c>
    </row>
    <row r="191" spans="1:14" x14ac:dyDescent="0.2">
      <c r="A191" s="48"/>
      <c r="B191" s="24" t="s">
        <v>320</v>
      </c>
      <c r="C191" s="24">
        <v>0.28699999999999998</v>
      </c>
      <c r="D191" s="48"/>
      <c r="E191" s="24">
        <v>383.178</v>
      </c>
      <c r="F191" s="48"/>
      <c r="G191" s="48"/>
      <c r="H191" s="48"/>
      <c r="I191">
        <f t="shared" si="6"/>
        <v>0</v>
      </c>
      <c r="J191">
        <v>50</v>
      </c>
      <c r="K191">
        <f t="shared" si="7"/>
        <v>0</v>
      </c>
      <c r="M191">
        <v>5</v>
      </c>
      <c r="N191">
        <f t="shared" si="8"/>
        <v>0</v>
      </c>
    </row>
    <row r="192" spans="1:14" x14ac:dyDescent="0.2">
      <c r="A192" s="48">
        <v>98</v>
      </c>
      <c r="B192" s="24" t="s">
        <v>321</v>
      </c>
      <c r="C192" s="24">
        <v>0.28699999999999998</v>
      </c>
      <c r="D192" s="48"/>
      <c r="E192" s="24">
        <v>384.23500000000001</v>
      </c>
      <c r="F192" s="48">
        <v>388.14299999999997</v>
      </c>
      <c r="G192" s="48">
        <v>5.5270000000000001</v>
      </c>
      <c r="H192" s="48">
        <v>1.4</v>
      </c>
      <c r="I192">
        <f t="shared" si="6"/>
        <v>0.38814299999999996</v>
      </c>
      <c r="J192">
        <v>50</v>
      </c>
      <c r="K192">
        <f t="shared" si="7"/>
        <v>19.407149999999998</v>
      </c>
      <c r="L192">
        <v>113.4</v>
      </c>
      <c r="M192">
        <v>5</v>
      </c>
      <c r="N192">
        <f t="shared" si="8"/>
        <v>97.035749999999993</v>
      </c>
    </row>
    <row r="193" spans="1:14" x14ac:dyDescent="0.2">
      <c r="A193" s="48"/>
      <c r="B193" s="24" t="s">
        <v>322</v>
      </c>
      <c r="C193" s="24">
        <v>0.29099999999999998</v>
      </c>
      <c r="D193" s="48"/>
      <c r="E193" s="24">
        <v>392.05099999999999</v>
      </c>
      <c r="F193" s="48"/>
      <c r="G193" s="48"/>
      <c r="H193" s="48"/>
      <c r="I193">
        <f t="shared" si="6"/>
        <v>0</v>
      </c>
      <c r="J193">
        <v>50</v>
      </c>
      <c r="K193">
        <f t="shared" si="7"/>
        <v>0</v>
      </c>
      <c r="M193">
        <v>5</v>
      </c>
      <c r="N193">
        <f t="shared" si="8"/>
        <v>0</v>
      </c>
    </row>
    <row r="194" spans="1:14" x14ac:dyDescent="0.2">
      <c r="A194" s="48">
        <v>99</v>
      </c>
      <c r="B194" s="24" t="s">
        <v>236</v>
      </c>
      <c r="C194" s="24">
        <v>0.29799999999999999</v>
      </c>
      <c r="D194" s="48"/>
      <c r="E194" s="24">
        <v>406.41500000000002</v>
      </c>
      <c r="F194" s="48">
        <v>402.19</v>
      </c>
      <c r="G194" s="48">
        <v>5.9749999999999996</v>
      </c>
      <c r="H194" s="48">
        <v>1.5</v>
      </c>
      <c r="I194">
        <f t="shared" si="6"/>
        <v>0.40218999999999999</v>
      </c>
      <c r="J194">
        <v>50</v>
      </c>
      <c r="K194">
        <f t="shared" si="7"/>
        <v>20.109500000000001</v>
      </c>
      <c r="L194">
        <v>104.1</v>
      </c>
      <c r="M194">
        <v>5</v>
      </c>
      <c r="N194">
        <f t="shared" si="8"/>
        <v>100.5475</v>
      </c>
    </row>
    <row r="195" spans="1:14" x14ac:dyDescent="0.2">
      <c r="A195" s="48"/>
      <c r="B195" s="24" t="s">
        <v>237</v>
      </c>
      <c r="C195" s="24">
        <v>0.29399999999999998</v>
      </c>
      <c r="D195" s="48"/>
      <c r="E195" s="24">
        <v>397.96600000000001</v>
      </c>
      <c r="F195" s="48"/>
      <c r="G195" s="48"/>
      <c r="H195" s="48"/>
      <c r="I195">
        <f>F195/1000</f>
        <v>0</v>
      </c>
      <c r="J195">
        <v>50</v>
      </c>
      <c r="K195">
        <f>I195*50</f>
        <v>0</v>
      </c>
      <c r="M195">
        <v>5</v>
      </c>
      <c r="N195">
        <f>K195*M195</f>
        <v>0</v>
      </c>
    </row>
    <row r="196" spans="1:14" x14ac:dyDescent="0.2">
      <c r="A196" s="48">
        <v>100</v>
      </c>
      <c r="B196" s="24" t="s">
        <v>238</v>
      </c>
      <c r="C196" s="24">
        <v>0.30199999999999999</v>
      </c>
      <c r="D196" s="48"/>
      <c r="E196" s="24">
        <v>415.92099999999999</v>
      </c>
      <c r="F196" s="48">
        <v>410.53500000000003</v>
      </c>
      <c r="G196" s="48">
        <v>7.6180000000000003</v>
      </c>
      <c r="H196" s="48">
        <v>1.9</v>
      </c>
      <c r="I196">
        <f>F196/1000</f>
        <v>0.41053500000000004</v>
      </c>
      <c r="J196">
        <v>50</v>
      </c>
      <c r="K196">
        <f>I196*50</f>
        <v>20.526750000000003</v>
      </c>
      <c r="L196">
        <v>84.1</v>
      </c>
      <c r="M196">
        <v>5</v>
      </c>
      <c r="N196">
        <f>K196*M196</f>
        <v>102.63375000000002</v>
      </c>
    </row>
    <row r="197" spans="1:14" x14ac:dyDescent="0.2">
      <c r="A197" s="48"/>
      <c r="B197" s="24" t="s">
        <v>239</v>
      </c>
      <c r="C197" s="24">
        <v>0.29699999999999999</v>
      </c>
      <c r="D197" s="48"/>
      <c r="E197" s="24">
        <v>405.14800000000002</v>
      </c>
      <c r="F197" s="48"/>
      <c r="G197" s="48"/>
      <c r="H197" s="48"/>
      <c r="I197">
        <f>F197/1000</f>
        <v>0</v>
      </c>
      <c r="J197">
        <v>50</v>
      </c>
      <c r="K197">
        <f>I197*50</f>
        <v>0</v>
      </c>
      <c r="M197">
        <v>5</v>
      </c>
      <c r="N197">
        <f>K197*M197</f>
        <v>0</v>
      </c>
    </row>
  </sheetData>
  <mergeCells count="490">
    <mergeCell ref="A194:A195"/>
    <mergeCell ref="D194:D195"/>
    <mergeCell ref="F194:F195"/>
    <mergeCell ref="G194:G195"/>
    <mergeCell ref="H194:H195"/>
    <mergeCell ref="A196:A197"/>
    <mergeCell ref="D196:D197"/>
    <mergeCell ref="F196:F197"/>
    <mergeCell ref="G196:G197"/>
    <mergeCell ref="H196:H197"/>
    <mergeCell ref="A190:A191"/>
    <mergeCell ref="D190:D191"/>
    <mergeCell ref="F190:F191"/>
    <mergeCell ref="G190:G191"/>
    <mergeCell ref="H190:H191"/>
    <mergeCell ref="A192:A193"/>
    <mergeCell ref="D192:D193"/>
    <mergeCell ref="F192:F193"/>
    <mergeCell ref="G192:G193"/>
    <mergeCell ref="H192:H193"/>
    <mergeCell ref="A186:A187"/>
    <mergeCell ref="D186:D187"/>
    <mergeCell ref="F186:F187"/>
    <mergeCell ref="G186:G187"/>
    <mergeCell ref="H186:H187"/>
    <mergeCell ref="A188:A189"/>
    <mergeCell ref="D188:D189"/>
    <mergeCell ref="F188:F189"/>
    <mergeCell ref="G188:G189"/>
    <mergeCell ref="H188:H189"/>
    <mergeCell ref="A182:A183"/>
    <mergeCell ref="D182:D183"/>
    <mergeCell ref="F182:F183"/>
    <mergeCell ref="G182:G183"/>
    <mergeCell ref="H182:H183"/>
    <mergeCell ref="A184:A185"/>
    <mergeCell ref="D184:D185"/>
    <mergeCell ref="F184:F185"/>
    <mergeCell ref="G184:G185"/>
    <mergeCell ref="H184:H185"/>
    <mergeCell ref="A178:A179"/>
    <mergeCell ref="D178:D179"/>
    <mergeCell ref="F178:F179"/>
    <mergeCell ref="G178:G179"/>
    <mergeCell ref="H178:H179"/>
    <mergeCell ref="A180:A181"/>
    <mergeCell ref="D180:D181"/>
    <mergeCell ref="F180:F181"/>
    <mergeCell ref="G180:G181"/>
    <mergeCell ref="H180:H181"/>
    <mergeCell ref="A174:A175"/>
    <mergeCell ref="D174:D175"/>
    <mergeCell ref="F174:F175"/>
    <mergeCell ref="G174:G175"/>
    <mergeCell ref="H174:H175"/>
    <mergeCell ref="A176:A177"/>
    <mergeCell ref="D176:D177"/>
    <mergeCell ref="F176:F177"/>
    <mergeCell ref="G176:G177"/>
    <mergeCell ref="H176:H177"/>
    <mergeCell ref="A170:A171"/>
    <mergeCell ref="D170:D171"/>
    <mergeCell ref="F170:F171"/>
    <mergeCell ref="G170:G171"/>
    <mergeCell ref="H170:H171"/>
    <mergeCell ref="A172:A173"/>
    <mergeCell ref="D172:D173"/>
    <mergeCell ref="F172:F173"/>
    <mergeCell ref="G172:G173"/>
    <mergeCell ref="H172:H173"/>
    <mergeCell ref="A166:A167"/>
    <mergeCell ref="D166:D167"/>
    <mergeCell ref="F166:F167"/>
    <mergeCell ref="G166:G167"/>
    <mergeCell ref="H166:H167"/>
    <mergeCell ref="A168:A169"/>
    <mergeCell ref="D168:D169"/>
    <mergeCell ref="F168:F169"/>
    <mergeCell ref="G168:G169"/>
    <mergeCell ref="H168:H169"/>
    <mergeCell ref="A162:A163"/>
    <mergeCell ref="D162:D163"/>
    <mergeCell ref="F162:F163"/>
    <mergeCell ref="G162:G163"/>
    <mergeCell ref="H162:H163"/>
    <mergeCell ref="A164:A165"/>
    <mergeCell ref="D164:D165"/>
    <mergeCell ref="F164:F165"/>
    <mergeCell ref="G164:G165"/>
    <mergeCell ref="H164:H165"/>
    <mergeCell ref="A158:A159"/>
    <mergeCell ref="D158:D159"/>
    <mergeCell ref="F158:F159"/>
    <mergeCell ref="G158:G159"/>
    <mergeCell ref="H158:H159"/>
    <mergeCell ref="A160:A161"/>
    <mergeCell ref="D160:D161"/>
    <mergeCell ref="F160:F161"/>
    <mergeCell ref="G160:G161"/>
    <mergeCell ref="H160:H161"/>
    <mergeCell ref="A154:A155"/>
    <mergeCell ref="D154:D155"/>
    <mergeCell ref="F154:F155"/>
    <mergeCell ref="G154:G155"/>
    <mergeCell ref="H154:H155"/>
    <mergeCell ref="A156:A157"/>
    <mergeCell ref="D156:D157"/>
    <mergeCell ref="F156:F157"/>
    <mergeCell ref="G156:G157"/>
    <mergeCell ref="H156:H157"/>
    <mergeCell ref="A150:A151"/>
    <mergeCell ref="D150:D151"/>
    <mergeCell ref="F150:F151"/>
    <mergeCell ref="G150:G151"/>
    <mergeCell ref="H150:H151"/>
    <mergeCell ref="A152:A153"/>
    <mergeCell ref="D152:D153"/>
    <mergeCell ref="F152:F153"/>
    <mergeCell ref="G152:G153"/>
    <mergeCell ref="H152:H153"/>
    <mergeCell ref="A146:A147"/>
    <mergeCell ref="D146:D147"/>
    <mergeCell ref="F146:F147"/>
    <mergeCell ref="G146:G147"/>
    <mergeCell ref="H146:H147"/>
    <mergeCell ref="A148:A149"/>
    <mergeCell ref="D148:D149"/>
    <mergeCell ref="F148:F149"/>
    <mergeCell ref="G148:G149"/>
    <mergeCell ref="H148:H149"/>
    <mergeCell ref="A142:A143"/>
    <mergeCell ref="D142:D143"/>
    <mergeCell ref="F142:F143"/>
    <mergeCell ref="G142:G143"/>
    <mergeCell ref="H142:H143"/>
    <mergeCell ref="A144:A145"/>
    <mergeCell ref="D144:D145"/>
    <mergeCell ref="F144:F145"/>
    <mergeCell ref="G144:G145"/>
    <mergeCell ref="H144:H145"/>
    <mergeCell ref="A138:A139"/>
    <mergeCell ref="D138:D139"/>
    <mergeCell ref="F138:F139"/>
    <mergeCell ref="G138:G139"/>
    <mergeCell ref="H138:H139"/>
    <mergeCell ref="A140:A141"/>
    <mergeCell ref="D140:D141"/>
    <mergeCell ref="F140:F141"/>
    <mergeCell ref="G140:G141"/>
    <mergeCell ref="H140:H141"/>
    <mergeCell ref="A134:A135"/>
    <mergeCell ref="D134:D135"/>
    <mergeCell ref="F134:F135"/>
    <mergeCell ref="G134:G135"/>
    <mergeCell ref="H134:H135"/>
    <mergeCell ref="A136:A137"/>
    <mergeCell ref="D136:D137"/>
    <mergeCell ref="F136:F137"/>
    <mergeCell ref="G136:G137"/>
    <mergeCell ref="H136:H137"/>
    <mergeCell ref="A130:A131"/>
    <mergeCell ref="D130:D131"/>
    <mergeCell ref="F130:F131"/>
    <mergeCell ref="G130:G131"/>
    <mergeCell ref="H130:H131"/>
    <mergeCell ref="A132:A133"/>
    <mergeCell ref="D132:D133"/>
    <mergeCell ref="F132:F133"/>
    <mergeCell ref="G132:G133"/>
    <mergeCell ref="H132:H133"/>
    <mergeCell ref="A126:A127"/>
    <mergeCell ref="D126:D127"/>
    <mergeCell ref="F126:F127"/>
    <mergeCell ref="G126:G127"/>
    <mergeCell ref="H126:H127"/>
    <mergeCell ref="A128:A129"/>
    <mergeCell ref="D128:D129"/>
    <mergeCell ref="F128:F129"/>
    <mergeCell ref="G128:G129"/>
    <mergeCell ref="H128:H129"/>
    <mergeCell ref="A122:A123"/>
    <mergeCell ref="D122:D123"/>
    <mergeCell ref="F122:F123"/>
    <mergeCell ref="G122:G123"/>
    <mergeCell ref="H122:H123"/>
    <mergeCell ref="A124:A125"/>
    <mergeCell ref="D124:D125"/>
    <mergeCell ref="F124:F125"/>
    <mergeCell ref="G124:G125"/>
    <mergeCell ref="H124:H125"/>
    <mergeCell ref="A118:A119"/>
    <mergeCell ref="D118:D119"/>
    <mergeCell ref="F118:F119"/>
    <mergeCell ref="G118:G119"/>
    <mergeCell ref="H118:H119"/>
    <mergeCell ref="A120:A121"/>
    <mergeCell ref="D120:D121"/>
    <mergeCell ref="F120:F121"/>
    <mergeCell ref="G120:G121"/>
    <mergeCell ref="H120:H121"/>
    <mergeCell ref="A114:A115"/>
    <mergeCell ref="D114:D115"/>
    <mergeCell ref="F114:F115"/>
    <mergeCell ref="G114:G115"/>
    <mergeCell ref="H114:H115"/>
    <mergeCell ref="A116:A117"/>
    <mergeCell ref="D116:D117"/>
    <mergeCell ref="F116:F117"/>
    <mergeCell ref="G116:G117"/>
    <mergeCell ref="H116:H117"/>
    <mergeCell ref="A110:A111"/>
    <mergeCell ref="D110:D111"/>
    <mergeCell ref="F110:F111"/>
    <mergeCell ref="G110:G111"/>
    <mergeCell ref="H110:H111"/>
    <mergeCell ref="A112:A113"/>
    <mergeCell ref="D112:D113"/>
    <mergeCell ref="F112:F113"/>
    <mergeCell ref="G112:G113"/>
    <mergeCell ref="H112:H113"/>
    <mergeCell ref="A106:A107"/>
    <mergeCell ref="D106:D107"/>
    <mergeCell ref="F106:F107"/>
    <mergeCell ref="G106:G107"/>
    <mergeCell ref="H106:H107"/>
    <mergeCell ref="A108:A109"/>
    <mergeCell ref="D108:D109"/>
    <mergeCell ref="F108:F109"/>
    <mergeCell ref="G108:G109"/>
    <mergeCell ref="H108:H109"/>
    <mergeCell ref="A102:A103"/>
    <mergeCell ref="D102:D103"/>
    <mergeCell ref="F102:F103"/>
    <mergeCell ref="G102:G103"/>
    <mergeCell ref="H102:H103"/>
    <mergeCell ref="A104:A105"/>
    <mergeCell ref="D104:D105"/>
    <mergeCell ref="F104:F105"/>
    <mergeCell ref="G104:G105"/>
    <mergeCell ref="H104:H105"/>
    <mergeCell ref="A98:A99"/>
    <mergeCell ref="D98:D99"/>
    <mergeCell ref="F98:F99"/>
    <mergeCell ref="G98:G99"/>
    <mergeCell ref="H98:H99"/>
    <mergeCell ref="A100:A101"/>
    <mergeCell ref="D100:D101"/>
    <mergeCell ref="F100:F101"/>
    <mergeCell ref="G100:G101"/>
    <mergeCell ref="H100:H101"/>
    <mergeCell ref="A94:A95"/>
    <mergeCell ref="D94:D95"/>
    <mergeCell ref="F94:F95"/>
    <mergeCell ref="G94:G95"/>
    <mergeCell ref="H94:H95"/>
    <mergeCell ref="A96:A97"/>
    <mergeCell ref="D96:D97"/>
    <mergeCell ref="F96:F97"/>
    <mergeCell ref="G96:G97"/>
    <mergeCell ref="H96:H97"/>
    <mergeCell ref="A90:A91"/>
    <mergeCell ref="D90:D91"/>
    <mergeCell ref="F90:F91"/>
    <mergeCell ref="G90:G91"/>
    <mergeCell ref="H90:H91"/>
    <mergeCell ref="A92:A93"/>
    <mergeCell ref="D92:D93"/>
    <mergeCell ref="F92:F93"/>
    <mergeCell ref="G92:G93"/>
    <mergeCell ref="H92:H93"/>
    <mergeCell ref="A86:A87"/>
    <mergeCell ref="D86:D87"/>
    <mergeCell ref="F86:F87"/>
    <mergeCell ref="G86:G87"/>
    <mergeCell ref="H86:H87"/>
    <mergeCell ref="A88:A89"/>
    <mergeCell ref="D88:D89"/>
    <mergeCell ref="F88:F89"/>
    <mergeCell ref="G88:G89"/>
    <mergeCell ref="H88:H89"/>
    <mergeCell ref="A82:A83"/>
    <mergeCell ref="D82:D83"/>
    <mergeCell ref="F82:F83"/>
    <mergeCell ref="G82:G83"/>
    <mergeCell ref="H82:H83"/>
    <mergeCell ref="A84:A85"/>
    <mergeCell ref="D84:D85"/>
    <mergeCell ref="F84:F85"/>
    <mergeCell ref="G84:G85"/>
    <mergeCell ref="H84:H85"/>
    <mergeCell ref="A78:A79"/>
    <mergeCell ref="D78:D79"/>
    <mergeCell ref="F78:F79"/>
    <mergeCell ref="G78:G79"/>
    <mergeCell ref="H78:H79"/>
    <mergeCell ref="A80:A81"/>
    <mergeCell ref="D80:D81"/>
    <mergeCell ref="F80:F81"/>
    <mergeCell ref="G80:G81"/>
    <mergeCell ref="H80:H81"/>
    <mergeCell ref="A74:A75"/>
    <mergeCell ref="D74:D75"/>
    <mergeCell ref="F74:F75"/>
    <mergeCell ref="G74:G75"/>
    <mergeCell ref="H74:H75"/>
    <mergeCell ref="A76:A77"/>
    <mergeCell ref="D76:D77"/>
    <mergeCell ref="F76:F77"/>
    <mergeCell ref="G76:G77"/>
    <mergeCell ref="H76:H77"/>
    <mergeCell ref="A70:A71"/>
    <mergeCell ref="D70:D71"/>
    <mergeCell ref="F70:F71"/>
    <mergeCell ref="G70:G71"/>
    <mergeCell ref="H70:H71"/>
    <mergeCell ref="A72:A73"/>
    <mergeCell ref="D72:D73"/>
    <mergeCell ref="F72:F73"/>
    <mergeCell ref="G72:G73"/>
    <mergeCell ref="H72:H73"/>
    <mergeCell ref="A66:A67"/>
    <mergeCell ref="D66:D67"/>
    <mergeCell ref="F66:F67"/>
    <mergeCell ref="G66:G67"/>
    <mergeCell ref="H66:H67"/>
    <mergeCell ref="A68:A69"/>
    <mergeCell ref="D68:D69"/>
    <mergeCell ref="F68:F69"/>
    <mergeCell ref="G68:G69"/>
    <mergeCell ref="H68:H69"/>
    <mergeCell ref="A62:A63"/>
    <mergeCell ref="D62:D63"/>
    <mergeCell ref="F62:F63"/>
    <mergeCell ref="G62:G63"/>
    <mergeCell ref="H62:H63"/>
    <mergeCell ref="A64:A65"/>
    <mergeCell ref="D64:D65"/>
    <mergeCell ref="F64:F65"/>
    <mergeCell ref="G64:G65"/>
    <mergeCell ref="H64:H65"/>
    <mergeCell ref="A58:A59"/>
    <mergeCell ref="D58:D59"/>
    <mergeCell ref="F58:F59"/>
    <mergeCell ref="G58:G59"/>
    <mergeCell ref="H58:H59"/>
    <mergeCell ref="A60:A61"/>
    <mergeCell ref="D60:D61"/>
    <mergeCell ref="F60:F61"/>
    <mergeCell ref="G60:G61"/>
    <mergeCell ref="H60:H61"/>
    <mergeCell ref="A54:A55"/>
    <mergeCell ref="D54:D55"/>
    <mergeCell ref="F54:F55"/>
    <mergeCell ref="G54:G55"/>
    <mergeCell ref="H54:H55"/>
    <mergeCell ref="A56:A57"/>
    <mergeCell ref="D56:D57"/>
    <mergeCell ref="F56:F57"/>
    <mergeCell ref="G56:G57"/>
    <mergeCell ref="H56:H57"/>
    <mergeCell ref="A50:A51"/>
    <mergeCell ref="D50:D51"/>
    <mergeCell ref="F50:F51"/>
    <mergeCell ref="G50:G51"/>
    <mergeCell ref="H50:H51"/>
    <mergeCell ref="A52:A53"/>
    <mergeCell ref="D52:D53"/>
    <mergeCell ref="F52:F53"/>
    <mergeCell ref="G52:G53"/>
    <mergeCell ref="H52:H53"/>
    <mergeCell ref="A46:A47"/>
    <mergeCell ref="D46:D47"/>
    <mergeCell ref="F46:F47"/>
    <mergeCell ref="G46:G47"/>
    <mergeCell ref="H46:H47"/>
    <mergeCell ref="A48:A49"/>
    <mergeCell ref="D48:D49"/>
    <mergeCell ref="F48:F49"/>
    <mergeCell ref="G48:G49"/>
    <mergeCell ref="H48:H49"/>
    <mergeCell ref="A42:A43"/>
    <mergeCell ref="D42:D43"/>
    <mergeCell ref="F42:F43"/>
    <mergeCell ref="G42:G43"/>
    <mergeCell ref="H42:H43"/>
    <mergeCell ref="A44:A45"/>
    <mergeCell ref="D44:D45"/>
    <mergeCell ref="F44:F45"/>
    <mergeCell ref="G44:G45"/>
    <mergeCell ref="H44:H45"/>
    <mergeCell ref="A38:A39"/>
    <mergeCell ref="D38:D39"/>
    <mergeCell ref="F38:F39"/>
    <mergeCell ref="G38:G39"/>
    <mergeCell ref="H38:H39"/>
    <mergeCell ref="A40:A41"/>
    <mergeCell ref="D40:D41"/>
    <mergeCell ref="F40:F41"/>
    <mergeCell ref="G40:G41"/>
    <mergeCell ref="H40:H41"/>
    <mergeCell ref="A34:A35"/>
    <mergeCell ref="D34:D35"/>
    <mergeCell ref="F34:F35"/>
    <mergeCell ref="G34:G35"/>
    <mergeCell ref="H34:H35"/>
    <mergeCell ref="A36:A37"/>
    <mergeCell ref="D36:D37"/>
    <mergeCell ref="F36:F37"/>
    <mergeCell ref="G36:G37"/>
    <mergeCell ref="H36:H37"/>
    <mergeCell ref="A30:A31"/>
    <mergeCell ref="D30:D31"/>
    <mergeCell ref="F30:F31"/>
    <mergeCell ref="G30:G31"/>
    <mergeCell ref="H30:H31"/>
    <mergeCell ref="A32:A33"/>
    <mergeCell ref="D32:D33"/>
    <mergeCell ref="F32:F33"/>
    <mergeCell ref="G32:G33"/>
    <mergeCell ref="H32:H33"/>
    <mergeCell ref="A26:A27"/>
    <mergeCell ref="D26:D27"/>
    <mergeCell ref="F26:F27"/>
    <mergeCell ref="G26:G27"/>
    <mergeCell ref="H26:H27"/>
    <mergeCell ref="A28:A29"/>
    <mergeCell ref="D28:D29"/>
    <mergeCell ref="F28:F29"/>
    <mergeCell ref="G28:G29"/>
    <mergeCell ref="H28:H29"/>
    <mergeCell ref="A22:A23"/>
    <mergeCell ref="D22:D23"/>
    <mergeCell ref="F22:F23"/>
    <mergeCell ref="G22:G23"/>
    <mergeCell ref="H22:H23"/>
    <mergeCell ref="A24:A25"/>
    <mergeCell ref="D24:D25"/>
    <mergeCell ref="F24:F25"/>
    <mergeCell ref="G24:G25"/>
    <mergeCell ref="H24:H25"/>
    <mergeCell ref="A18:A19"/>
    <mergeCell ref="D18:D19"/>
    <mergeCell ref="F18:F19"/>
    <mergeCell ref="G18:G19"/>
    <mergeCell ref="H18:H19"/>
    <mergeCell ref="A20:A21"/>
    <mergeCell ref="D20:D21"/>
    <mergeCell ref="F20:F21"/>
    <mergeCell ref="G20:G21"/>
    <mergeCell ref="H20:H21"/>
    <mergeCell ref="A14:A15"/>
    <mergeCell ref="D14:D15"/>
    <mergeCell ref="F14:F15"/>
    <mergeCell ref="G14:G15"/>
    <mergeCell ref="H14:H15"/>
    <mergeCell ref="A16:A17"/>
    <mergeCell ref="D16:D17"/>
    <mergeCell ref="F16:F17"/>
    <mergeCell ref="G16:G17"/>
    <mergeCell ref="H16:H17"/>
    <mergeCell ref="A10:A11"/>
    <mergeCell ref="D10:D11"/>
    <mergeCell ref="F10:F11"/>
    <mergeCell ref="G10:G11"/>
    <mergeCell ref="H10:H11"/>
    <mergeCell ref="A12:A13"/>
    <mergeCell ref="D12:D13"/>
    <mergeCell ref="F12:F13"/>
    <mergeCell ref="G12:G13"/>
    <mergeCell ref="H12:H13"/>
    <mergeCell ref="A6:A7"/>
    <mergeCell ref="D6:D7"/>
    <mergeCell ref="F6:F7"/>
    <mergeCell ref="G6:G7"/>
    <mergeCell ref="H6:H7"/>
    <mergeCell ref="A8:A9"/>
    <mergeCell ref="D8:D9"/>
    <mergeCell ref="F8:F9"/>
    <mergeCell ref="G8:G9"/>
    <mergeCell ref="H8:H9"/>
    <mergeCell ref="A2:A3"/>
    <mergeCell ref="D2:D3"/>
    <mergeCell ref="F2:F3"/>
    <mergeCell ref="G2:G3"/>
    <mergeCell ref="H2:H3"/>
    <mergeCell ref="A4:A5"/>
    <mergeCell ref="D4:D5"/>
    <mergeCell ref="F4:F5"/>
    <mergeCell ref="G4:G5"/>
    <mergeCell ref="H4:H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77"/>
  <sheetViews>
    <sheetView topLeftCell="H1" workbookViewId="0">
      <selection activeCell="G12" sqref="G12"/>
    </sheetView>
  </sheetViews>
  <sheetFormatPr baseColWidth="10" defaultColWidth="8.796875" defaultRowHeight="15" x14ac:dyDescent="0.2"/>
  <cols>
    <col min="2" max="2" width="11.3984375" bestFit="1" customWidth="1"/>
    <col min="5" max="5" width="15.3984375" bestFit="1" customWidth="1"/>
    <col min="6" max="6" width="18.3984375" bestFit="1" customWidth="1"/>
    <col min="7" max="7" width="12.3984375" bestFit="1" customWidth="1"/>
    <col min="10" max="10" width="11.3984375" bestFit="1" customWidth="1"/>
    <col min="11" max="11" width="17.3984375" bestFit="1" customWidth="1"/>
    <col min="12" max="13" width="17.3984375" customWidth="1"/>
    <col min="17" max="17" width="10.3984375" bestFit="1" customWidth="1"/>
    <col min="18" max="18" width="15.796875" bestFit="1" customWidth="1"/>
    <col min="25" max="25" width="12.19921875" bestFit="1" customWidth="1"/>
    <col min="26" max="26" width="12" bestFit="1" customWidth="1"/>
    <col min="27" max="27" width="17.3984375" bestFit="1" customWidth="1"/>
    <col min="28" max="28" width="17.3984375" customWidth="1"/>
    <col min="29" max="29" width="18.3984375" bestFit="1" customWidth="1"/>
    <col min="32" max="32" width="10.3984375" bestFit="1" customWidth="1"/>
    <col min="40" max="40" width="11.3984375" bestFit="1" customWidth="1"/>
    <col min="41" max="41" width="17.3984375" bestFit="1" customWidth="1"/>
    <col min="42" max="43" width="17.3984375" customWidth="1"/>
    <col min="47" max="47" width="10.3984375" bestFit="1" customWidth="1"/>
    <col min="55" max="55" width="12.19921875" bestFit="1" customWidth="1"/>
    <col min="56" max="56" width="12" bestFit="1" customWidth="1"/>
    <col min="57" max="57" width="17.3984375" bestFit="1" customWidth="1"/>
    <col min="58" max="58" width="17.3984375" customWidth="1"/>
    <col min="59" max="59" width="18.3984375" bestFit="1" customWidth="1"/>
    <col min="60" max="60" width="18.3984375" customWidth="1"/>
    <col min="61" max="61" width="10.3984375" bestFit="1" customWidth="1"/>
    <col min="63" max="63" width="18.3984375" bestFit="1" customWidth="1"/>
    <col min="71" max="71" width="17.796875" bestFit="1" customWidth="1"/>
  </cols>
  <sheetData>
    <row r="2" spans="1:22" x14ac:dyDescent="0.2">
      <c r="A2" t="s">
        <v>151</v>
      </c>
      <c r="B2" t="s">
        <v>149</v>
      </c>
      <c r="C2" t="s">
        <v>150</v>
      </c>
      <c r="D2" t="s">
        <v>152</v>
      </c>
      <c r="E2" t="s">
        <v>153</v>
      </c>
      <c r="F2" t="s">
        <v>147</v>
      </c>
      <c r="R2" t="s">
        <v>151</v>
      </c>
      <c r="S2" t="s">
        <v>149</v>
      </c>
      <c r="T2" t="s">
        <v>150</v>
      </c>
      <c r="U2" t="s">
        <v>152</v>
      </c>
      <c r="V2" t="s">
        <v>147</v>
      </c>
    </row>
    <row r="3" spans="1:22" x14ac:dyDescent="0.2">
      <c r="A3">
        <v>0</v>
      </c>
      <c r="B3">
        <v>4.4999999999999998E-2</v>
      </c>
      <c r="C3">
        <v>4.5199999999999997E-2</v>
      </c>
      <c r="D3">
        <v>4.65E-2</v>
      </c>
      <c r="E3">
        <v>4.6699999999999998E-2</v>
      </c>
      <c r="F3">
        <f>AVERAGE(B3:E3)</f>
        <v>4.5849999999999995E-2</v>
      </c>
      <c r="R3">
        <v>0</v>
      </c>
      <c r="S3">
        <v>4.6399999999999997E-2</v>
      </c>
      <c r="T3">
        <v>4.5499999999999999E-2</v>
      </c>
      <c r="U3">
        <v>4.4699999999999997E-2</v>
      </c>
      <c r="V3">
        <f>AVERAGE(S3:U3)</f>
        <v>4.5533333333333335E-2</v>
      </c>
    </row>
    <row r="4" spans="1:22" x14ac:dyDescent="0.2">
      <c r="A4">
        <v>0.5</v>
      </c>
      <c r="B4">
        <v>8.6199999999999999E-2</v>
      </c>
      <c r="C4">
        <v>8.2299999999999998E-2</v>
      </c>
      <c r="D4">
        <v>9.0899999999999995E-2</v>
      </c>
      <c r="E4">
        <v>9.2799999999999994E-2</v>
      </c>
      <c r="F4">
        <f t="shared" ref="F4:F10" si="0">AVERAGE(B4:E4)</f>
        <v>8.8049999999999989E-2</v>
      </c>
      <c r="R4">
        <v>0.5</v>
      </c>
      <c r="S4">
        <v>8.7099999999999997E-2</v>
      </c>
      <c r="T4">
        <v>8.9800000000000005E-2</v>
      </c>
      <c r="U4">
        <v>8.3500000000000005E-2</v>
      </c>
      <c r="V4">
        <f t="shared" ref="V4:V10" si="1">AVERAGE(S4:U4)</f>
        <v>8.6800000000000002E-2</v>
      </c>
    </row>
    <row r="5" spans="1:22" x14ac:dyDescent="0.2">
      <c r="A5">
        <v>1</v>
      </c>
      <c r="B5">
        <v>0.1174</v>
      </c>
      <c r="C5">
        <v>0.1171</v>
      </c>
      <c r="D5">
        <v>0.1245</v>
      </c>
      <c r="E5">
        <v>0.12659999999999999</v>
      </c>
      <c r="F5">
        <f t="shared" si="0"/>
        <v>0.12139999999999999</v>
      </c>
      <c r="R5">
        <v>1</v>
      </c>
      <c r="S5">
        <v>0.1234</v>
      </c>
      <c r="T5">
        <v>0.12690000000000001</v>
      </c>
      <c r="U5">
        <v>0.1235</v>
      </c>
      <c r="V5">
        <f t="shared" si="1"/>
        <v>0.1246</v>
      </c>
    </row>
    <row r="6" spans="1:22" x14ac:dyDescent="0.2">
      <c r="A6">
        <v>2</v>
      </c>
      <c r="B6">
        <v>0.19059999999999999</v>
      </c>
      <c r="C6">
        <v>0.18529999999999999</v>
      </c>
      <c r="D6">
        <v>0.2117</v>
      </c>
      <c r="E6">
        <v>0.20530000000000001</v>
      </c>
      <c r="F6">
        <f t="shared" si="0"/>
        <v>0.19822500000000001</v>
      </c>
      <c r="R6">
        <v>2</v>
      </c>
      <c r="S6">
        <v>0.20269999999999999</v>
      </c>
      <c r="T6">
        <v>0.20039999999999999</v>
      </c>
      <c r="U6">
        <v>0.2029</v>
      </c>
      <c r="V6">
        <f t="shared" si="1"/>
        <v>0.20199999999999999</v>
      </c>
    </row>
    <row r="7" spans="1:22" x14ac:dyDescent="0.2">
      <c r="A7">
        <v>4</v>
      </c>
      <c r="B7">
        <v>0.33189999999999997</v>
      </c>
      <c r="C7">
        <v>0.32400000000000001</v>
      </c>
      <c r="D7">
        <v>0.37680000000000002</v>
      </c>
      <c r="E7">
        <v>0.34770000000000001</v>
      </c>
      <c r="F7">
        <f t="shared" si="0"/>
        <v>0.34509999999999996</v>
      </c>
      <c r="R7">
        <v>4</v>
      </c>
      <c r="S7">
        <v>0.35220000000000001</v>
      </c>
      <c r="T7">
        <v>0.35310000000000002</v>
      </c>
      <c r="U7">
        <v>0.35070000000000001</v>
      </c>
      <c r="V7">
        <f t="shared" si="1"/>
        <v>0.35200000000000004</v>
      </c>
    </row>
    <row r="8" spans="1:22" x14ac:dyDescent="0.2">
      <c r="A8">
        <v>6</v>
      </c>
      <c r="B8">
        <v>0.48799999999999999</v>
      </c>
      <c r="C8">
        <v>0.45739999999999997</v>
      </c>
      <c r="D8">
        <v>0.51290000000000002</v>
      </c>
      <c r="E8">
        <v>0.49630000000000002</v>
      </c>
      <c r="F8">
        <f t="shared" si="0"/>
        <v>0.48864999999999997</v>
      </c>
      <c r="R8">
        <v>6</v>
      </c>
      <c r="S8">
        <v>0.52610000000000001</v>
      </c>
      <c r="T8">
        <v>0.50339999999999996</v>
      </c>
      <c r="U8">
        <v>0.47449999999999998</v>
      </c>
      <c r="V8">
        <f t="shared" si="1"/>
        <v>0.5013333333333333</v>
      </c>
    </row>
    <row r="9" spans="1:22" x14ac:dyDescent="0.2">
      <c r="A9">
        <v>8</v>
      </c>
      <c r="B9">
        <v>0.62519999999999998</v>
      </c>
      <c r="C9">
        <v>0.62880000000000003</v>
      </c>
      <c r="D9">
        <v>0.67759999999999998</v>
      </c>
      <c r="E9">
        <v>0.65469999999999995</v>
      </c>
      <c r="F9">
        <f t="shared" si="0"/>
        <v>0.64657500000000001</v>
      </c>
      <c r="R9">
        <v>8</v>
      </c>
      <c r="S9">
        <v>0.66769999999999996</v>
      </c>
      <c r="T9">
        <v>0.63819999999999999</v>
      </c>
      <c r="U9">
        <v>0.63109999999999999</v>
      </c>
      <c r="V9">
        <f t="shared" si="1"/>
        <v>0.64566666666666661</v>
      </c>
    </row>
    <row r="10" spans="1:22" x14ac:dyDescent="0.2">
      <c r="A10">
        <v>10</v>
      </c>
      <c r="B10">
        <v>0.68530000000000002</v>
      </c>
      <c r="C10">
        <v>0.77300000000000002</v>
      </c>
      <c r="D10">
        <v>0.80349999999999999</v>
      </c>
      <c r="E10">
        <v>0.78569999999999995</v>
      </c>
      <c r="F10">
        <f t="shared" si="0"/>
        <v>0.76187499999999997</v>
      </c>
      <c r="R10">
        <v>10</v>
      </c>
      <c r="S10">
        <v>0.79220000000000002</v>
      </c>
      <c r="T10">
        <v>0.79479999999999995</v>
      </c>
      <c r="U10">
        <v>0.7782</v>
      </c>
      <c r="V10">
        <f t="shared" si="1"/>
        <v>0.78839999999999988</v>
      </c>
    </row>
    <row r="11" spans="1:22" x14ac:dyDescent="0.2">
      <c r="B11" s="3"/>
      <c r="C11" s="3" t="s">
        <v>149</v>
      </c>
      <c r="D11" s="3" t="s">
        <v>150</v>
      </c>
      <c r="E11" s="3" t="s">
        <v>156</v>
      </c>
      <c r="F11" s="3" t="s">
        <v>155</v>
      </c>
      <c r="G11" s="3" t="s">
        <v>162</v>
      </c>
    </row>
    <row r="12" spans="1:22" x14ac:dyDescent="0.2">
      <c r="B12" s="3" t="s">
        <v>164</v>
      </c>
      <c r="C12" s="3">
        <v>0.46289999999999998</v>
      </c>
      <c r="D12" s="3">
        <v>0.47089999999999999</v>
      </c>
      <c r="E12" s="3">
        <f>AVERAGE(C12:D12)</f>
        <v>0.46689999999999998</v>
      </c>
      <c r="F12" s="3">
        <f>13.774*E12-0.7039</f>
        <v>5.7271805999999996</v>
      </c>
      <c r="G12" s="3">
        <f>F12*180.16*0.001*1000*0.1</f>
        <v>103.1808856896</v>
      </c>
    </row>
    <row r="13" spans="1:22" x14ac:dyDescent="0.2">
      <c r="F13" s="3" t="s">
        <v>163</v>
      </c>
      <c r="G13" s="3">
        <v>100</v>
      </c>
    </row>
    <row r="19" spans="1:73" x14ac:dyDescent="0.2">
      <c r="E19" s="50" t="s">
        <v>145</v>
      </c>
      <c r="F19" s="50"/>
      <c r="G19" s="50"/>
      <c r="H19" s="50"/>
      <c r="I19" s="50"/>
      <c r="J19" s="50"/>
      <c r="K19" s="50"/>
      <c r="L19" s="50"/>
      <c r="M19" s="50"/>
      <c r="N19" s="50"/>
      <c r="T19" s="50" t="s">
        <v>148</v>
      </c>
      <c r="U19" s="50"/>
      <c r="V19" s="50"/>
      <c r="W19" s="50"/>
      <c r="X19" s="50"/>
      <c r="Y19" s="50"/>
      <c r="Z19" s="6" t="s">
        <v>159</v>
      </c>
      <c r="AA19" s="2" t="s">
        <v>339</v>
      </c>
      <c r="AB19" s="2" t="s">
        <v>338</v>
      </c>
      <c r="AC19" s="2" t="s">
        <v>337</v>
      </c>
      <c r="AI19" s="50" t="s">
        <v>145</v>
      </c>
      <c r="AJ19" s="50"/>
      <c r="AK19" s="50"/>
      <c r="AL19" s="50"/>
      <c r="AM19" s="50"/>
      <c r="AN19" s="50"/>
      <c r="AO19" s="1"/>
      <c r="AP19" s="1"/>
      <c r="AQ19" s="2"/>
      <c r="AR19" s="6"/>
      <c r="AX19" s="50" t="s">
        <v>148</v>
      </c>
      <c r="AY19" s="50"/>
      <c r="AZ19" s="50"/>
      <c r="BA19" s="50"/>
      <c r="BB19" s="50"/>
      <c r="BC19" s="50"/>
      <c r="BD19" s="6" t="s">
        <v>159</v>
      </c>
      <c r="BE19" s="2" t="s">
        <v>339</v>
      </c>
      <c r="BF19" s="2" t="s">
        <v>338</v>
      </c>
      <c r="BG19" s="2" t="s">
        <v>337</v>
      </c>
      <c r="BH19" s="2"/>
    </row>
    <row r="20" spans="1:73" x14ac:dyDescent="0.2">
      <c r="A20" t="s">
        <v>146</v>
      </c>
      <c r="B20" t="s">
        <v>4</v>
      </c>
      <c r="C20" t="s">
        <v>5</v>
      </c>
      <c r="D20" t="s">
        <v>144</v>
      </c>
      <c r="E20" t="s">
        <v>149</v>
      </c>
      <c r="F20" t="s">
        <v>150</v>
      </c>
      <c r="G20" t="s">
        <v>147</v>
      </c>
      <c r="H20" t="s">
        <v>143</v>
      </c>
      <c r="I20" t="s">
        <v>19</v>
      </c>
      <c r="J20" t="s">
        <v>157</v>
      </c>
      <c r="K20" t="s">
        <v>235</v>
      </c>
      <c r="L20" t="s">
        <v>338</v>
      </c>
      <c r="M20" t="s">
        <v>342</v>
      </c>
      <c r="N20" t="s">
        <v>142</v>
      </c>
      <c r="P20" t="s">
        <v>146</v>
      </c>
      <c r="Q20" t="s">
        <v>4</v>
      </c>
      <c r="R20" t="s">
        <v>5</v>
      </c>
      <c r="S20" t="s">
        <v>144</v>
      </c>
      <c r="T20" t="s">
        <v>149</v>
      </c>
      <c r="U20" t="s">
        <v>150</v>
      </c>
      <c r="V20" t="s">
        <v>147</v>
      </c>
      <c r="W20" t="s">
        <v>141</v>
      </c>
      <c r="X20" t="s">
        <v>19</v>
      </c>
      <c r="Y20" t="s">
        <v>160</v>
      </c>
      <c r="Z20" t="s">
        <v>158</v>
      </c>
      <c r="AE20" t="s">
        <v>146</v>
      </c>
      <c r="AF20" t="s">
        <v>4</v>
      </c>
      <c r="AG20" t="s">
        <v>5</v>
      </c>
      <c r="AH20" t="s">
        <v>144</v>
      </c>
      <c r="AI20" t="s">
        <v>149</v>
      </c>
      <c r="AJ20" t="s">
        <v>150</v>
      </c>
      <c r="AK20" t="s">
        <v>147</v>
      </c>
      <c r="AL20" t="s">
        <v>143</v>
      </c>
      <c r="AM20" t="s">
        <v>19</v>
      </c>
      <c r="AN20" t="s">
        <v>157</v>
      </c>
      <c r="AO20" s="5" t="s">
        <v>339</v>
      </c>
      <c r="AP20" s="5" t="s">
        <v>338</v>
      </c>
      <c r="AQ20" s="3" t="s">
        <v>342</v>
      </c>
      <c r="AT20" t="s">
        <v>146</v>
      </c>
      <c r="AU20" t="s">
        <v>4</v>
      </c>
      <c r="AV20" t="s">
        <v>5</v>
      </c>
      <c r="AW20" t="s">
        <v>144</v>
      </c>
      <c r="AX20" t="s">
        <v>149</v>
      </c>
      <c r="AY20" t="s">
        <v>150</v>
      </c>
      <c r="AZ20" t="s">
        <v>147</v>
      </c>
      <c r="BA20" t="s">
        <v>141</v>
      </c>
      <c r="BB20" t="s">
        <v>19</v>
      </c>
      <c r="BC20" t="s">
        <v>160</v>
      </c>
      <c r="BD20" t="s">
        <v>158</v>
      </c>
    </row>
    <row r="21" spans="1:73" x14ac:dyDescent="0.2">
      <c r="A21">
        <v>11</v>
      </c>
      <c r="B21" s="8" t="s">
        <v>9</v>
      </c>
      <c r="C21" t="s">
        <v>10</v>
      </c>
      <c r="D21">
        <v>1</v>
      </c>
      <c r="E21">
        <v>0.20469999999999999</v>
      </c>
      <c r="F21">
        <v>0.22589999999999999</v>
      </c>
      <c r="G21">
        <f>AVERAGE(E21:F21)</f>
        <v>0.21529999999999999</v>
      </c>
      <c r="H21">
        <f>13.774*G21-0.7039</f>
        <v>2.2616421999999998</v>
      </c>
      <c r="I21">
        <v>5.25</v>
      </c>
      <c r="J21">
        <f t="shared" ref="J21:J52" si="2">H21*I21</f>
        <v>11.873621549999999</v>
      </c>
      <c r="K21" s="4">
        <v>18.815650000000002</v>
      </c>
      <c r="L21" s="4">
        <f>K21*5</f>
        <v>94.078250000000011</v>
      </c>
      <c r="M21" s="4">
        <f>J21/L21*1000</f>
        <v>126.2100597109321</v>
      </c>
      <c r="N21">
        <f>AVERAGE(J21:J32)</f>
        <v>15.228666643750001</v>
      </c>
      <c r="P21">
        <v>11</v>
      </c>
      <c r="Q21" s="8" t="s">
        <v>9</v>
      </c>
      <c r="R21" t="s">
        <v>10</v>
      </c>
      <c r="S21">
        <v>1</v>
      </c>
      <c r="T21">
        <v>0.31019999999999998</v>
      </c>
      <c r="U21">
        <v>0.3044</v>
      </c>
      <c r="V21">
        <f>AVERAGE(T21:U21)</f>
        <v>0.30730000000000002</v>
      </c>
      <c r="W21">
        <f>13.456*V21-0.6818</f>
        <v>3.4532287999999998</v>
      </c>
      <c r="X21">
        <f>(100+100+10+30+50)/100*5</f>
        <v>14.5</v>
      </c>
      <c r="Y21">
        <f>W21*X21</f>
        <v>50.071817599999996</v>
      </c>
      <c r="Z21">
        <f>Y21-J21</f>
        <v>38.198196049999993</v>
      </c>
      <c r="AA21" s="4">
        <v>18.815650000000002</v>
      </c>
      <c r="AB21">
        <f>AA21*5</f>
        <v>94.078250000000011</v>
      </c>
      <c r="AC21">
        <f>Z21/AB21*1000</f>
        <v>406.0257928904926</v>
      </c>
      <c r="AE21">
        <v>15</v>
      </c>
      <c r="AF21" s="8" t="s">
        <v>18</v>
      </c>
      <c r="AG21" t="s">
        <v>10</v>
      </c>
      <c r="AH21">
        <v>5</v>
      </c>
      <c r="AI21">
        <v>0.14860000000000001</v>
      </c>
      <c r="AJ21">
        <v>0.14810000000000001</v>
      </c>
      <c r="AK21">
        <f>AVERAGE(AI21:AJ21)</f>
        <v>0.14835000000000001</v>
      </c>
      <c r="AL21">
        <f>13.774*AK21-0.7039</f>
        <v>1.3394729000000001</v>
      </c>
      <c r="AM21">
        <v>5.25</v>
      </c>
      <c r="AN21">
        <f>AL21*AM21</f>
        <v>7.0322327250000001</v>
      </c>
      <c r="AO21" s="12">
        <v>17.822800000000001</v>
      </c>
      <c r="AP21" s="12">
        <f>AO21*5</f>
        <v>89.114000000000004</v>
      </c>
      <c r="AQ21" s="12">
        <f>AN21/AP21*1000</f>
        <v>78.91277156226856</v>
      </c>
      <c r="AT21">
        <v>15</v>
      </c>
      <c r="AU21" s="8" t="s">
        <v>18</v>
      </c>
      <c r="AV21" t="s">
        <v>10</v>
      </c>
      <c r="AW21">
        <v>5</v>
      </c>
      <c r="AX21">
        <v>0.27929999999999999</v>
      </c>
      <c r="AY21">
        <v>0.28560000000000002</v>
      </c>
      <c r="AZ21">
        <f>AVERAGE(AX21:AY21)</f>
        <v>0.28244999999999998</v>
      </c>
      <c r="BA21">
        <f>13.456*AZ21-0.6818</f>
        <v>3.1188471999999998</v>
      </c>
      <c r="BB21">
        <f>14.5*5</f>
        <v>72.5</v>
      </c>
      <c r="BC21">
        <f>BA21*BB21</f>
        <v>226.116422</v>
      </c>
      <c r="BD21">
        <f>BC21-AN21</f>
        <v>219.084189275</v>
      </c>
      <c r="BE21" s="12">
        <v>17.822800000000001</v>
      </c>
      <c r="BF21" s="12">
        <f>BE21*5</f>
        <v>89.114000000000004</v>
      </c>
      <c r="BG21">
        <f>BC21/BF21*1000</f>
        <v>2537.3838229683329</v>
      </c>
    </row>
    <row r="22" spans="1:73" x14ac:dyDescent="0.2">
      <c r="D22">
        <v>2</v>
      </c>
      <c r="E22">
        <v>0.1925</v>
      </c>
      <c r="F22">
        <v>0.1903</v>
      </c>
      <c r="G22">
        <f t="shared" ref="G22:G70" si="3">AVERAGE(E22:F22)</f>
        <v>0.19140000000000001</v>
      </c>
      <c r="H22">
        <f t="shared" ref="H22:H70" si="4">13.774*G22-0.7039</f>
        <v>1.9324436</v>
      </c>
      <c r="I22">
        <v>5.25</v>
      </c>
      <c r="J22">
        <f t="shared" si="2"/>
        <v>10.145328900000001</v>
      </c>
      <c r="K22" s="4">
        <v>21.588250000000002</v>
      </c>
      <c r="L22" s="4">
        <f t="shared" ref="L22:L70" si="5">K22*5</f>
        <v>107.94125000000001</v>
      </c>
      <c r="M22" s="4">
        <f t="shared" ref="M22:M70" si="6">J22/L22*1000</f>
        <v>93.989359026322191</v>
      </c>
      <c r="S22">
        <v>2</v>
      </c>
      <c r="T22">
        <v>0.74339999999999995</v>
      </c>
      <c r="U22">
        <v>0.74639999999999995</v>
      </c>
      <c r="V22">
        <f t="shared" ref="V22:V70" si="7">AVERAGE(T22:U22)</f>
        <v>0.7448999999999999</v>
      </c>
      <c r="W22">
        <f t="shared" ref="W22:W70" si="8">13.456*V22-0.6818</f>
        <v>9.3415743999999989</v>
      </c>
      <c r="X22">
        <f>(100+100+10+30+50)/100*5</f>
        <v>14.5</v>
      </c>
      <c r="Y22">
        <f t="shared" ref="Y22:Y70" si="9">W22*X22</f>
        <v>135.45282879999999</v>
      </c>
      <c r="Z22">
        <f t="shared" ref="Z22:Z70" si="10">Y22-J22</f>
        <v>125.3074999</v>
      </c>
      <c r="AA22" s="4">
        <v>21.588250000000002</v>
      </c>
      <c r="AB22">
        <f t="shared" ref="AB22:AB70" si="11">AA22*5</f>
        <v>107.94125000000001</v>
      </c>
      <c r="AC22">
        <f t="shared" ref="AC22:AC70" si="12">Z22/AB22*1000</f>
        <v>1160.8861292601298</v>
      </c>
      <c r="AH22">
        <v>6</v>
      </c>
      <c r="AI22">
        <v>0.24260000000000001</v>
      </c>
      <c r="AJ22">
        <v>0.2429</v>
      </c>
      <c r="AK22">
        <f t="shared" ref="AK22:AK70" si="13">AVERAGE(AI22:AJ22)</f>
        <v>0.24275000000000002</v>
      </c>
      <c r="AL22">
        <f t="shared" ref="AL22:AL70" si="14">13.774*AK22-0.7039</f>
        <v>2.6397385</v>
      </c>
      <c r="AM22">
        <v>5.25</v>
      </c>
      <c r="AN22">
        <f t="shared" ref="AN22:AN70" si="15">AL22*AM22</f>
        <v>13.858627125</v>
      </c>
      <c r="AO22" s="12">
        <v>19.3279</v>
      </c>
      <c r="AP22" s="12">
        <f t="shared" ref="AP22:AP70" si="16">AO22*5</f>
        <v>96.639499999999998</v>
      </c>
      <c r="AQ22" s="12">
        <f t="shared" ref="AQ22:AQ70" si="17">AN22/AP22*1000</f>
        <v>143.40541005489473</v>
      </c>
      <c r="AW22">
        <v>6</v>
      </c>
      <c r="AX22">
        <v>0.33150000000000002</v>
      </c>
      <c r="AY22">
        <v>0.33739999999999998</v>
      </c>
      <c r="AZ22">
        <f t="shared" ref="AZ22:AZ70" si="18">AVERAGE(AX22:AY22)</f>
        <v>0.33445000000000003</v>
      </c>
      <c r="BA22">
        <f t="shared" ref="BA22:BA70" si="19">13.456*AZ22-0.6818</f>
        <v>3.8185592000000002</v>
      </c>
      <c r="BB22">
        <f>14.5*5</f>
        <v>72.5</v>
      </c>
      <c r="BC22">
        <f t="shared" ref="BC22:BC70" si="20">BA22*BB22</f>
        <v>276.84554200000002</v>
      </c>
      <c r="BD22">
        <f t="shared" ref="BD22:BD70" si="21">BC22-AN22</f>
        <v>262.98691487500002</v>
      </c>
      <c r="BE22" s="12">
        <v>19.3279</v>
      </c>
      <c r="BF22" s="12">
        <f t="shared" ref="BF22:BF54" si="22">BE22*5</f>
        <v>96.639499999999998</v>
      </c>
      <c r="BG22">
        <f t="shared" ref="BG22:BG70" si="23">BC22/BF22*1000</f>
        <v>2864.7244863642718</v>
      </c>
      <c r="BI22" t="s">
        <v>4</v>
      </c>
      <c r="BJ22" t="s">
        <v>5</v>
      </c>
      <c r="BK22" t="s">
        <v>337</v>
      </c>
      <c r="BL22" t="s">
        <v>65</v>
      </c>
      <c r="BM22" t="s">
        <v>66</v>
      </c>
      <c r="BQ22" t="s">
        <v>4</v>
      </c>
      <c r="BR22" t="s">
        <v>5</v>
      </c>
      <c r="BS22" t="s">
        <v>343</v>
      </c>
      <c r="BT22" t="s">
        <v>65</v>
      </c>
      <c r="BU22" t="s">
        <v>66</v>
      </c>
    </row>
    <row r="23" spans="1:73" x14ac:dyDescent="0.2">
      <c r="D23">
        <v>3</v>
      </c>
      <c r="E23">
        <v>0.27550000000000002</v>
      </c>
      <c r="F23">
        <v>0.27810000000000001</v>
      </c>
      <c r="G23">
        <f t="shared" si="3"/>
        <v>0.27680000000000005</v>
      </c>
      <c r="H23">
        <f t="shared" si="4"/>
        <v>3.1087432000000006</v>
      </c>
      <c r="I23">
        <v>5.25</v>
      </c>
      <c r="J23">
        <f t="shared" si="2"/>
        <v>16.320901800000001</v>
      </c>
      <c r="K23" s="4">
        <v>21.028450000000003</v>
      </c>
      <c r="L23" s="4">
        <f t="shared" si="5"/>
        <v>105.14225000000002</v>
      </c>
      <c r="M23" s="4">
        <f t="shared" si="6"/>
        <v>155.22686455730212</v>
      </c>
      <c r="S23">
        <v>3</v>
      </c>
      <c r="T23">
        <v>0.27160000000000001</v>
      </c>
      <c r="U23">
        <v>0.26700000000000002</v>
      </c>
      <c r="V23">
        <f t="shared" si="7"/>
        <v>0.26929999999999998</v>
      </c>
      <c r="W23">
        <f t="shared" si="8"/>
        <v>2.9419007999999995</v>
      </c>
      <c r="X23">
        <f>(100+100+10+30+50)/100*5</f>
        <v>14.5</v>
      </c>
      <c r="Y23">
        <f t="shared" si="9"/>
        <v>42.657561599999994</v>
      </c>
      <c r="Z23">
        <f t="shared" si="10"/>
        <v>26.336659799999993</v>
      </c>
      <c r="AA23" s="4">
        <v>21.028450000000003</v>
      </c>
      <c r="AB23">
        <f t="shared" si="11"/>
        <v>105.14225000000002</v>
      </c>
      <c r="AC23">
        <f t="shared" si="12"/>
        <v>250.48598256171982</v>
      </c>
      <c r="AH23">
        <v>7</v>
      </c>
      <c r="AI23">
        <v>0.28220000000000001</v>
      </c>
      <c r="AJ23">
        <v>0.28260000000000002</v>
      </c>
      <c r="AK23">
        <f t="shared" si="13"/>
        <v>0.28239999999999998</v>
      </c>
      <c r="AL23">
        <f t="shared" si="14"/>
        <v>3.1858775999999995</v>
      </c>
      <c r="AM23">
        <v>5.25</v>
      </c>
      <c r="AN23">
        <f t="shared" si="15"/>
        <v>16.725857399999999</v>
      </c>
      <c r="AO23" s="12">
        <v>18.651949999999999</v>
      </c>
      <c r="AP23" s="12">
        <f t="shared" si="16"/>
        <v>93.259749999999997</v>
      </c>
      <c r="AQ23" s="12">
        <f t="shared" si="17"/>
        <v>179.34701090234535</v>
      </c>
      <c r="AW23">
        <v>7</v>
      </c>
      <c r="AX23">
        <v>0.69910000000000005</v>
      </c>
      <c r="AY23">
        <v>0.70809999999999995</v>
      </c>
      <c r="AZ23">
        <f t="shared" si="18"/>
        <v>0.7036</v>
      </c>
      <c r="BA23">
        <f t="shared" si="19"/>
        <v>8.7858416000000013</v>
      </c>
      <c r="BB23">
        <v>14.5</v>
      </c>
      <c r="BC23">
        <f t="shared" si="20"/>
        <v>127.39470320000002</v>
      </c>
      <c r="BD23">
        <f t="shared" si="21"/>
        <v>110.66884580000003</v>
      </c>
      <c r="BE23" s="12">
        <v>18.651949999999999</v>
      </c>
      <c r="BF23" s="12">
        <f t="shared" si="22"/>
        <v>93.259749999999997</v>
      </c>
      <c r="BG23">
        <f t="shared" si="23"/>
        <v>1366.0202091470333</v>
      </c>
      <c r="BI23" t="s">
        <v>9</v>
      </c>
      <c r="BJ23" t="s">
        <v>10</v>
      </c>
      <c r="BK23">
        <f>AVERAGE(AC21:AC23,AC25:AC26,AC27:AC32)</f>
        <v>1634.4799401128032</v>
      </c>
      <c r="BL23">
        <f>COUNT(AC21:AC23,AC25:AC26,AC27:AC32)</f>
        <v>11</v>
      </c>
      <c r="BM23">
        <f>STDEV(AC21:AC23,AC25:AC26,AC27:AC32)/SQRT(BL23)</f>
        <v>405.60165957289445</v>
      </c>
      <c r="BQ23" t="s">
        <v>9</v>
      </c>
      <c r="BR23" t="s">
        <v>10</v>
      </c>
      <c r="BS23">
        <f>AVERAGE(M21:M23,M25:M26,M27:M32)</f>
        <v>161.76298840332726</v>
      </c>
      <c r="BT23">
        <f>COUNT(M21:M23,M25:M26,M27:M32)</f>
        <v>11</v>
      </c>
      <c r="BU23">
        <f>STDEV(M21:M23,M25:M26,M27:M32)/SQRT(BT23)</f>
        <v>12.314040456168408</v>
      </c>
    </row>
    <row r="24" spans="1:73" x14ac:dyDescent="0.2">
      <c r="D24" s="8">
        <v>4</v>
      </c>
      <c r="E24" s="8">
        <v>0.25130000000000002</v>
      </c>
      <c r="F24" s="8">
        <v>0.26069999999999999</v>
      </c>
      <c r="G24" s="8">
        <f t="shared" si="3"/>
        <v>0.25600000000000001</v>
      </c>
      <c r="H24" s="8">
        <f t="shared" si="4"/>
        <v>2.822244</v>
      </c>
      <c r="I24" s="8">
        <v>5.25</v>
      </c>
      <c r="J24" s="8">
        <f t="shared" si="2"/>
        <v>14.816781000000001</v>
      </c>
      <c r="K24" s="8">
        <v>20.046150000000001</v>
      </c>
      <c r="L24" s="8">
        <f t="shared" si="5"/>
        <v>100.23075</v>
      </c>
      <c r="M24" s="8">
        <f t="shared" si="6"/>
        <v>147.82669989000382</v>
      </c>
      <c r="Q24" t="s">
        <v>340</v>
      </c>
      <c r="S24" s="8">
        <v>4</v>
      </c>
      <c r="T24" s="8">
        <v>0.11799999999999999</v>
      </c>
      <c r="U24" s="8">
        <v>0.1235</v>
      </c>
      <c r="V24" s="8">
        <f t="shared" si="7"/>
        <v>0.12075</v>
      </c>
      <c r="W24" s="8">
        <f t="shared" si="8"/>
        <v>0.94301199999999996</v>
      </c>
      <c r="X24" s="8">
        <f>(100+100+10+30+50)/100*5</f>
        <v>14.5</v>
      </c>
      <c r="Y24" s="8">
        <f t="shared" si="9"/>
        <v>13.673674</v>
      </c>
      <c r="Z24" s="8">
        <f t="shared" si="10"/>
        <v>-1.1431070000000005</v>
      </c>
      <c r="AA24" s="8">
        <v>20.046150000000001</v>
      </c>
      <c r="AB24" s="8">
        <f t="shared" si="11"/>
        <v>100.23075</v>
      </c>
      <c r="AC24" s="8"/>
      <c r="AH24">
        <v>8</v>
      </c>
      <c r="AI24">
        <v>0.251</v>
      </c>
      <c r="AJ24">
        <v>0.25650000000000001</v>
      </c>
      <c r="AK24">
        <f t="shared" si="13"/>
        <v>0.25375000000000003</v>
      </c>
      <c r="AL24">
        <f t="shared" si="14"/>
        <v>2.7912525000000001</v>
      </c>
      <c r="AM24">
        <v>5.25</v>
      </c>
      <c r="AN24">
        <f t="shared" si="15"/>
        <v>14.654075625000001</v>
      </c>
      <c r="AO24" s="12">
        <v>18.878999999999998</v>
      </c>
      <c r="AP24" s="12">
        <f t="shared" si="16"/>
        <v>94.394999999999982</v>
      </c>
      <c r="AQ24" s="12">
        <f t="shared" si="17"/>
        <v>155.24207452725256</v>
      </c>
      <c r="AW24">
        <v>8</v>
      </c>
      <c r="AX24">
        <v>0.69620000000000004</v>
      </c>
      <c r="AY24">
        <v>0.67669999999999997</v>
      </c>
      <c r="AZ24">
        <f t="shared" si="18"/>
        <v>0.68645</v>
      </c>
      <c r="BA24">
        <f t="shared" si="19"/>
        <v>8.5550712000000004</v>
      </c>
      <c r="BB24">
        <v>14.5</v>
      </c>
      <c r="BC24">
        <f t="shared" si="20"/>
        <v>124.0485324</v>
      </c>
      <c r="BD24">
        <f t="shared" si="21"/>
        <v>109.39445677499999</v>
      </c>
      <c r="BE24" s="12">
        <v>18.878999999999998</v>
      </c>
      <c r="BF24" s="12">
        <f t="shared" si="22"/>
        <v>94.394999999999982</v>
      </c>
      <c r="BG24">
        <f t="shared" si="23"/>
        <v>1314.1430414746546</v>
      </c>
      <c r="BJ24" t="s">
        <v>11</v>
      </c>
      <c r="BK24">
        <f>AVERAGE(AC33:AC45)</f>
        <v>1432.2038837345556</v>
      </c>
      <c r="BL24">
        <f>COUNT(AC33:AC45)</f>
        <v>12</v>
      </c>
      <c r="BM24">
        <f>STDEV(AC33:AC45)/SQRT(BL24)</f>
        <v>368.53787292534213</v>
      </c>
      <c r="BR24" t="s">
        <v>11</v>
      </c>
      <c r="BS24">
        <f>AVERAGE(M33:M45)</f>
        <v>170.36417537160469</v>
      </c>
      <c r="BT24">
        <f>COUNT(M33:M45)</f>
        <v>13</v>
      </c>
      <c r="BU24">
        <f>STDEV(M33:M45)/SQRT(BT24)</f>
        <v>24.652207725599538</v>
      </c>
    </row>
    <row r="25" spans="1:73" x14ac:dyDescent="0.2">
      <c r="A25">
        <v>12</v>
      </c>
      <c r="D25">
        <v>9</v>
      </c>
      <c r="E25">
        <v>0.19020000000000001</v>
      </c>
      <c r="F25">
        <v>0.18920000000000001</v>
      </c>
      <c r="G25">
        <f t="shared" si="3"/>
        <v>0.18970000000000001</v>
      </c>
      <c r="H25">
        <f t="shared" si="4"/>
        <v>1.9090278000000001</v>
      </c>
      <c r="I25">
        <v>5.25</v>
      </c>
      <c r="J25">
        <f t="shared" si="2"/>
        <v>10.02239595</v>
      </c>
      <c r="K25" s="4">
        <v>18.255850000000002</v>
      </c>
      <c r="L25" s="4">
        <f t="shared" si="5"/>
        <v>91.279250000000019</v>
      </c>
      <c r="M25" s="4">
        <f t="shared" si="6"/>
        <v>109.79928023072054</v>
      </c>
      <c r="P25">
        <v>12</v>
      </c>
      <c r="S25">
        <v>9</v>
      </c>
      <c r="T25">
        <v>0.31459999999999999</v>
      </c>
      <c r="U25">
        <v>0.31040000000000001</v>
      </c>
      <c r="V25">
        <f t="shared" si="7"/>
        <v>0.3125</v>
      </c>
      <c r="W25">
        <f t="shared" si="8"/>
        <v>3.5232000000000001</v>
      </c>
      <c r="X25">
        <f>(100+100+10+30+50)/100*5</f>
        <v>14.5</v>
      </c>
      <c r="Y25">
        <f t="shared" si="9"/>
        <v>51.086400000000005</v>
      </c>
      <c r="Z25">
        <f t="shared" si="10"/>
        <v>41.064004050000008</v>
      </c>
      <c r="AA25" s="4">
        <v>18.255850000000002</v>
      </c>
      <c r="AB25">
        <f t="shared" si="11"/>
        <v>91.279250000000019</v>
      </c>
      <c r="AC25">
        <f t="shared" si="12"/>
        <v>449.87227710569488</v>
      </c>
      <c r="AE25">
        <v>14</v>
      </c>
      <c r="AH25">
        <v>13</v>
      </c>
      <c r="AI25">
        <v>0.28179999999999999</v>
      </c>
      <c r="AJ25">
        <v>0.2858</v>
      </c>
      <c r="AK25">
        <f t="shared" si="13"/>
        <v>0.2838</v>
      </c>
      <c r="AL25">
        <f t="shared" si="14"/>
        <v>3.2051611999999996</v>
      </c>
      <c r="AM25">
        <v>5.25</v>
      </c>
      <c r="AN25">
        <f t="shared" si="15"/>
        <v>16.827096299999997</v>
      </c>
      <c r="AO25" s="12">
        <v>20.563700000000001</v>
      </c>
      <c r="AP25" s="12">
        <f t="shared" si="16"/>
        <v>102.8185</v>
      </c>
      <c r="AQ25" s="12">
        <f t="shared" si="17"/>
        <v>163.65825508055454</v>
      </c>
      <c r="AT25">
        <v>14</v>
      </c>
      <c r="AW25">
        <v>13</v>
      </c>
      <c r="AX25">
        <v>0.65939999999999999</v>
      </c>
      <c r="AY25">
        <v>0.6421</v>
      </c>
      <c r="AZ25">
        <f t="shared" si="18"/>
        <v>0.65074999999999994</v>
      </c>
      <c r="BA25">
        <f t="shared" si="19"/>
        <v>8.0746919999999989</v>
      </c>
      <c r="BB25">
        <v>14.5</v>
      </c>
      <c r="BC25">
        <f t="shared" si="20"/>
        <v>117.08303399999998</v>
      </c>
      <c r="BD25">
        <f t="shared" si="21"/>
        <v>100.25593769999999</v>
      </c>
      <c r="BE25" s="12">
        <v>20.563700000000001</v>
      </c>
      <c r="BF25" s="12">
        <f t="shared" si="22"/>
        <v>102.8185</v>
      </c>
      <c r="BG25">
        <f t="shared" si="23"/>
        <v>1138.7350914475508</v>
      </c>
      <c r="BJ25" t="s">
        <v>12</v>
      </c>
      <c r="BK25">
        <f>AVERAGE(AC46:AC50,AC52:AC57)</f>
        <v>1209.677395029486</v>
      </c>
      <c r="BL25">
        <f>COUNT(AC46:AC50,AC52:AC57)</f>
        <v>11</v>
      </c>
      <c r="BM25">
        <f>STDEV(AC46:AC50,AC52:AC57)/SQRT(BL25)</f>
        <v>419.69687685720407</v>
      </c>
      <c r="BR25" t="s">
        <v>12</v>
      </c>
      <c r="BS25">
        <f>AVERAGE(M46:M50,M52:M57)</f>
        <v>175.33094208040137</v>
      </c>
      <c r="BT25">
        <f>COUNT(M46:M50,M52:M57)</f>
        <v>11</v>
      </c>
      <c r="BU25">
        <f>STDEV(M46:M50,M52:M57)/SQRT(BT25)</f>
        <v>15.914527792129851</v>
      </c>
    </row>
    <row r="26" spans="1:73" x14ac:dyDescent="0.2">
      <c r="D26">
        <v>10</v>
      </c>
      <c r="E26">
        <v>0.2104</v>
      </c>
      <c r="F26">
        <v>0.21049999999999999</v>
      </c>
      <c r="G26">
        <f t="shared" si="3"/>
        <v>0.21045</v>
      </c>
      <c r="H26">
        <f t="shared" si="4"/>
        <v>2.1948382999999998</v>
      </c>
      <c r="I26">
        <v>5.25</v>
      </c>
      <c r="J26">
        <f t="shared" si="2"/>
        <v>11.522901074999998</v>
      </c>
      <c r="K26" s="4">
        <v>16.666249999999998</v>
      </c>
      <c r="L26" s="4">
        <f t="shared" si="5"/>
        <v>83.331249999999983</v>
      </c>
      <c r="M26" s="4">
        <f t="shared" si="6"/>
        <v>138.27826985674642</v>
      </c>
      <c r="S26">
        <v>10</v>
      </c>
      <c r="T26">
        <v>0.27489999999999998</v>
      </c>
      <c r="U26">
        <v>0.2631</v>
      </c>
      <c r="V26">
        <f t="shared" si="7"/>
        <v>0.26900000000000002</v>
      </c>
      <c r="W26">
        <f t="shared" si="8"/>
        <v>2.9378640000000003</v>
      </c>
      <c r="X26">
        <f>14.5*5</f>
        <v>72.5</v>
      </c>
      <c r="Y26">
        <f t="shared" si="9"/>
        <v>212.99514000000002</v>
      </c>
      <c r="Z26">
        <f t="shared" si="10"/>
        <v>201.47223892500003</v>
      </c>
      <c r="AA26" s="4">
        <v>16.666249999999998</v>
      </c>
      <c r="AB26">
        <f t="shared" si="11"/>
        <v>83.331249999999983</v>
      </c>
      <c r="AC26">
        <f t="shared" si="12"/>
        <v>2417.727310282758</v>
      </c>
      <c r="AH26">
        <v>14</v>
      </c>
      <c r="AI26">
        <v>0.1792</v>
      </c>
      <c r="AJ26">
        <v>0.1762</v>
      </c>
      <c r="AK26">
        <f t="shared" si="13"/>
        <v>0.1777</v>
      </c>
      <c r="AL26">
        <f t="shared" si="14"/>
        <v>1.7437397999999997</v>
      </c>
      <c r="AM26">
        <v>5.25</v>
      </c>
      <c r="AN26">
        <f t="shared" si="15"/>
        <v>9.1546339499999991</v>
      </c>
      <c r="AO26" s="12">
        <v>18.22945</v>
      </c>
      <c r="AP26" s="12">
        <f t="shared" si="16"/>
        <v>91.14725</v>
      </c>
      <c r="AQ26" s="12">
        <f t="shared" si="17"/>
        <v>100.43785138882411</v>
      </c>
      <c r="AW26">
        <v>14</v>
      </c>
      <c r="AX26">
        <v>0.73350000000000004</v>
      </c>
      <c r="AY26">
        <v>0.73780000000000001</v>
      </c>
      <c r="AZ26">
        <f t="shared" si="18"/>
        <v>0.73565000000000003</v>
      </c>
      <c r="BA26">
        <f t="shared" si="19"/>
        <v>9.2171063999999987</v>
      </c>
      <c r="BB26">
        <v>14.5</v>
      </c>
      <c r="BC26">
        <f t="shared" si="20"/>
        <v>133.64804279999998</v>
      </c>
      <c r="BD26">
        <f t="shared" si="21"/>
        <v>124.49340884999998</v>
      </c>
      <c r="BE26" s="12">
        <v>18.22945</v>
      </c>
      <c r="BF26" s="12">
        <f t="shared" si="22"/>
        <v>91.14725</v>
      </c>
      <c r="BG26">
        <f t="shared" si="23"/>
        <v>1466.2871649994925</v>
      </c>
      <c r="BJ26" t="s">
        <v>13</v>
      </c>
      <c r="BK26">
        <f>AVERAGE(AC58:AC70)</f>
        <v>1449.0534082952536</v>
      </c>
      <c r="BL26">
        <f>COUNT(AC58:AC70)</f>
        <v>13</v>
      </c>
      <c r="BM26">
        <f>STDEV(AC58:AC70)/SQRT(BL26)</f>
        <v>345.52289253767691</v>
      </c>
      <c r="BR26" t="s">
        <v>13</v>
      </c>
      <c r="BS26">
        <f>AVERAGE(M58:M70)</f>
        <v>187.76966747874479</v>
      </c>
      <c r="BT26">
        <f>COUNT(M58:M70)</f>
        <v>13</v>
      </c>
      <c r="BU26">
        <f>STDEV(M58:M70)/SQRT(BT26)</f>
        <v>21.652559002005962</v>
      </c>
    </row>
    <row r="27" spans="1:73" x14ac:dyDescent="0.2">
      <c r="D27">
        <v>11</v>
      </c>
      <c r="E27">
        <v>0.33279999999999998</v>
      </c>
      <c r="F27">
        <v>0.32940000000000003</v>
      </c>
      <c r="G27">
        <f t="shared" si="3"/>
        <v>0.33110000000000001</v>
      </c>
      <c r="H27">
        <f t="shared" si="4"/>
        <v>3.8566713999999997</v>
      </c>
      <c r="I27">
        <v>5.25</v>
      </c>
      <c r="J27">
        <f t="shared" si="2"/>
        <v>20.247524849999998</v>
      </c>
      <c r="K27" s="4">
        <v>21.820599999999999</v>
      </c>
      <c r="L27" s="4">
        <f t="shared" si="5"/>
        <v>109.10299999999999</v>
      </c>
      <c r="M27" s="4">
        <f t="shared" si="6"/>
        <v>185.58174248187493</v>
      </c>
      <c r="S27">
        <v>11</v>
      </c>
      <c r="T27">
        <v>0.36849999999999999</v>
      </c>
      <c r="U27">
        <v>0.35649999999999998</v>
      </c>
      <c r="V27">
        <f t="shared" si="7"/>
        <v>0.36249999999999999</v>
      </c>
      <c r="W27">
        <f t="shared" si="8"/>
        <v>4.1959999999999997</v>
      </c>
      <c r="X27">
        <f>(100+100+10+30+50)/100*5</f>
        <v>14.5</v>
      </c>
      <c r="Y27">
        <f t="shared" si="9"/>
        <v>60.841999999999999</v>
      </c>
      <c r="Z27">
        <f t="shared" si="10"/>
        <v>40.594475150000001</v>
      </c>
      <c r="AA27" s="4">
        <v>21.820599999999999</v>
      </c>
      <c r="AB27">
        <f t="shared" si="11"/>
        <v>109.10299999999999</v>
      </c>
      <c r="AC27">
        <f t="shared" si="12"/>
        <v>372.07478391978225</v>
      </c>
      <c r="AH27">
        <v>15</v>
      </c>
      <c r="AI27">
        <v>0.30359999999999998</v>
      </c>
      <c r="AJ27">
        <v>0.3044</v>
      </c>
      <c r="AK27">
        <f t="shared" si="13"/>
        <v>0.30399999999999999</v>
      </c>
      <c r="AL27">
        <f t="shared" si="14"/>
        <v>3.4833959999999999</v>
      </c>
      <c r="AM27">
        <v>5.25</v>
      </c>
      <c r="AN27">
        <f t="shared" si="15"/>
        <v>18.287828999999999</v>
      </c>
      <c r="AO27" s="12">
        <v>17.236600000000003</v>
      </c>
      <c r="AP27" s="12">
        <f t="shared" si="16"/>
        <v>86.183000000000021</v>
      </c>
      <c r="AQ27" s="12">
        <f t="shared" si="17"/>
        <v>212.19763758513855</v>
      </c>
      <c r="AW27">
        <v>15</v>
      </c>
      <c r="AX27">
        <v>0.61709999999999998</v>
      </c>
      <c r="AY27">
        <v>0.60460000000000003</v>
      </c>
      <c r="AZ27">
        <f t="shared" si="18"/>
        <v>0.61085</v>
      </c>
      <c r="BA27">
        <f t="shared" si="19"/>
        <v>7.5377976000000002</v>
      </c>
      <c r="BB27">
        <v>14.5</v>
      </c>
      <c r="BC27">
        <f t="shared" si="20"/>
        <v>109.2980652</v>
      </c>
      <c r="BD27" s="7">
        <f t="shared" si="21"/>
        <v>91.010236199999994</v>
      </c>
      <c r="BE27" s="12">
        <v>17.236600000000003</v>
      </c>
      <c r="BF27" s="12">
        <f t="shared" si="22"/>
        <v>86.183000000000021</v>
      </c>
      <c r="BG27">
        <f t="shared" si="23"/>
        <v>1268.2091038835961</v>
      </c>
    </row>
    <row r="28" spans="1:73" x14ac:dyDescent="0.2">
      <c r="D28">
        <v>12</v>
      </c>
      <c r="E28">
        <v>0.28179999999999999</v>
      </c>
      <c r="F28">
        <v>0.2727</v>
      </c>
      <c r="G28">
        <f t="shared" si="3"/>
        <v>0.27725</v>
      </c>
      <c r="H28">
        <f t="shared" si="4"/>
        <v>3.1149414999999996</v>
      </c>
      <c r="I28">
        <v>5.25</v>
      </c>
      <c r="J28">
        <f t="shared" si="2"/>
        <v>16.353442874999999</v>
      </c>
      <c r="K28" s="4">
        <v>18.741700000000002</v>
      </c>
      <c r="L28" s="4">
        <f t="shared" si="5"/>
        <v>93.708500000000015</v>
      </c>
      <c r="M28" s="4">
        <f t="shared" si="6"/>
        <v>174.5139755198301</v>
      </c>
      <c r="S28">
        <v>12</v>
      </c>
      <c r="T28">
        <v>0.65380000000000005</v>
      </c>
      <c r="U28">
        <v>0.65339999999999998</v>
      </c>
      <c r="V28">
        <f t="shared" si="7"/>
        <v>0.65359999999999996</v>
      </c>
      <c r="W28">
        <f t="shared" si="8"/>
        <v>8.113041599999999</v>
      </c>
      <c r="X28">
        <f>(100+100+10+30+50)/100*5</f>
        <v>14.5</v>
      </c>
      <c r="Y28">
        <f t="shared" si="9"/>
        <v>117.63910319999998</v>
      </c>
      <c r="Z28">
        <f t="shared" si="10"/>
        <v>101.28566032499998</v>
      </c>
      <c r="AA28" s="4">
        <v>18.741700000000002</v>
      </c>
      <c r="AB28">
        <f t="shared" si="11"/>
        <v>93.708500000000015</v>
      </c>
      <c r="AC28">
        <f t="shared" si="12"/>
        <v>1080.8588369785023</v>
      </c>
      <c r="AH28">
        <v>16</v>
      </c>
      <c r="AI28">
        <v>0.43640000000000001</v>
      </c>
      <c r="AJ28">
        <v>0.43530000000000002</v>
      </c>
      <c r="AK28">
        <f t="shared" si="13"/>
        <v>0.43585000000000002</v>
      </c>
      <c r="AL28">
        <f t="shared" si="14"/>
        <v>5.2994978999999995</v>
      </c>
      <c r="AM28">
        <v>5.25</v>
      </c>
      <c r="AN28">
        <f t="shared" si="15"/>
        <v>27.822363974999998</v>
      </c>
      <c r="AO28" s="12">
        <v>17.27355</v>
      </c>
      <c r="AP28" s="12">
        <f t="shared" si="16"/>
        <v>86.367750000000001</v>
      </c>
      <c r="AQ28" s="12">
        <f t="shared" si="17"/>
        <v>322.13834417360641</v>
      </c>
      <c r="AW28">
        <v>16</v>
      </c>
      <c r="AX28">
        <v>0.27729999999999999</v>
      </c>
      <c r="AY28">
        <v>0.28670000000000001</v>
      </c>
      <c r="AZ28">
        <f t="shared" si="18"/>
        <v>0.28200000000000003</v>
      </c>
      <c r="BA28">
        <f t="shared" si="19"/>
        <v>3.1127920000000002</v>
      </c>
      <c r="BB28">
        <f>14.5*5</f>
        <v>72.5</v>
      </c>
      <c r="BC28">
        <f t="shared" si="20"/>
        <v>225.67742000000001</v>
      </c>
      <c r="BD28">
        <f t="shared" si="21"/>
        <v>197.85505602500001</v>
      </c>
      <c r="BE28" s="12">
        <v>17.27355</v>
      </c>
      <c r="BF28" s="12">
        <f t="shared" si="22"/>
        <v>86.367750000000001</v>
      </c>
      <c r="BG28">
        <f t="shared" si="23"/>
        <v>2612.9825079384377</v>
      </c>
      <c r="BI28" t="s">
        <v>18</v>
      </c>
      <c r="BJ28" t="s">
        <v>10</v>
      </c>
      <c r="BK28">
        <f>AVERAGE(BG21:BG32)</f>
        <v>1907.268920715248</v>
      </c>
      <c r="BL28">
        <f>COUNT(BG21:BG32)</f>
        <v>12</v>
      </c>
      <c r="BM28">
        <f>STDEV(BG21:BG32)/SQRT(BL28)</f>
        <v>195.82022622354222</v>
      </c>
      <c r="BQ28" t="s">
        <v>18</v>
      </c>
      <c r="BR28" t="s">
        <v>10</v>
      </c>
      <c r="BS28" s="9">
        <f>AVERAGE(AQ21:AQ32)</f>
        <v>181.41319194166854</v>
      </c>
      <c r="BT28">
        <f>COUNT(AQ21:AQ32)</f>
        <v>12</v>
      </c>
      <c r="BU28">
        <f>STDEV(AQ21:AQ32)/SQRT(BT28)</f>
        <v>18.367954628513445</v>
      </c>
    </row>
    <row r="29" spans="1:73" x14ac:dyDescent="0.2">
      <c r="A29">
        <v>12</v>
      </c>
      <c r="D29">
        <v>65</v>
      </c>
      <c r="E29">
        <v>0.25879999999999997</v>
      </c>
      <c r="F29">
        <v>0.26300000000000001</v>
      </c>
      <c r="G29">
        <f t="shared" si="3"/>
        <v>0.26090000000000002</v>
      </c>
      <c r="H29">
        <f t="shared" si="4"/>
        <v>2.8897366</v>
      </c>
      <c r="I29">
        <v>5.25</v>
      </c>
      <c r="J29">
        <f t="shared" si="2"/>
        <v>15.171117150000001</v>
      </c>
      <c r="K29" s="4">
        <v>17.997049999999998</v>
      </c>
      <c r="L29" s="4">
        <f t="shared" si="5"/>
        <v>89.985249999999994</v>
      </c>
      <c r="M29" s="4">
        <f t="shared" si="6"/>
        <v>168.59559927877072</v>
      </c>
      <c r="P29">
        <v>12</v>
      </c>
      <c r="S29">
        <v>65</v>
      </c>
      <c r="T29">
        <v>0.34649999999999997</v>
      </c>
      <c r="U29">
        <v>0.3614</v>
      </c>
      <c r="V29">
        <f t="shared" si="7"/>
        <v>0.35394999999999999</v>
      </c>
      <c r="W29">
        <f t="shared" si="8"/>
        <v>4.0809511999999994</v>
      </c>
      <c r="X29">
        <f>14.5*5</f>
        <v>72.5</v>
      </c>
      <c r="Y29">
        <f t="shared" si="9"/>
        <v>295.86896199999995</v>
      </c>
      <c r="Z29">
        <f t="shared" si="10"/>
        <v>280.69784484999997</v>
      </c>
      <c r="AA29" s="4">
        <v>17.997049999999998</v>
      </c>
      <c r="AB29">
        <f t="shared" si="11"/>
        <v>89.985249999999994</v>
      </c>
      <c r="AC29">
        <f t="shared" si="12"/>
        <v>3119.3761738729399</v>
      </c>
      <c r="AE29">
        <v>15</v>
      </c>
      <c r="AH29">
        <v>69</v>
      </c>
      <c r="AI29">
        <v>0.3075</v>
      </c>
      <c r="AJ29">
        <v>0.30159999999999998</v>
      </c>
      <c r="AK29">
        <f t="shared" si="13"/>
        <v>0.30454999999999999</v>
      </c>
      <c r="AL29">
        <f t="shared" si="14"/>
        <v>3.4909716999999993</v>
      </c>
      <c r="AM29">
        <v>5.25</v>
      </c>
      <c r="AN29">
        <f t="shared" si="15"/>
        <v>18.327601424999997</v>
      </c>
      <c r="AO29" s="12">
        <v>19.354299999999999</v>
      </c>
      <c r="AP29" s="12">
        <f t="shared" si="16"/>
        <v>96.771499999999989</v>
      </c>
      <c r="AQ29" s="12">
        <f t="shared" si="17"/>
        <v>189.3904860935296</v>
      </c>
      <c r="AT29">
        <v>15</v>
      </c>
      <c r="AW29">
        <v>69</v>
      </c>
      <c r="AX29">
        <v>0.30709999999999998</v>
      </c>
      <c r="AY29">
        <v>0.31509999999999999</v>
      </c>
      <c r="AZ29">
        <f t="shared" si="18"/>
        <v>0.31109999999999999</v>
      </c>
      <c r="BA29">
        <f t="shared" si="19"/>
        <v>3.5043615999999993</v>
      </c>
      <c r="BB29">
        <f>14.5*5</f>
        <v>72.5</v>
      </c>
      <c r="BC29">
        <f t="shared" si="20"/>
        <v>254.06621599999994</v>
      </c>
      <c r="BD29">
        <f t="shared" si="21"/>
        <v>235.73861457499993</v>
      </c>
      <c r="BE29" s="12">
        <v>19.354299999999999</v>
      </c>
      <c r="BF29" s="12">
        <f t="shared" si="22"/>
        <v>96.771499999999989</v>
      </c>
      <c r="BG29">
        <f t="shared" si="23"/>
        <v>2625.4239729672472</v>
      </c>
      <c r="BJ29" t="s">
        <v>11</v>
      </c>
      <c r="BK29">
        <f>AVERAGE(BG33:BG45)</f>
        <v>1856.5119486979509</v>
      </c>
      <c r="BL29">
        <f>COUNT(BG33:BG45)</f>
        <v>13</v>
      </c>
      <c r="BM29">
        <f>STDEV(BG33:BG45)/SQRT(BL29)</f>
        <v>331.37324498273853</v>
      </c>
      <c r="BR29" t="s">
        <v>11</v>
      </c>
      <c r="BS29" s="9">
        <f>AVERAGE(AQ33:AQ45)</f>
        <v>193.42709957089849</v>
      </c>
      <c r="BT29">
        <f>COUNT(AQ33:AQ45)</f>
        <v>13</v>
      </c>
      <c r="BU29">
        <f>STDEV(AQ33:AQ45)/SQRT(BT29)</f>
        <v>20.666045973260605</v>
      </c>
    </row>
    <row r="30" spans="1:73" x14ac:dyDescent="0.2">
      <c r="D30">
        <v>66</v>
      </c>
      <c r="E30">
        <v>0.31469999999999998</v>
      </c>
      <c r="F30">
        <v>0.31319999999999998</v>
      </c>
      <c r="G30">
        <f t="shared" si="3"/>
        <v>0.31394999999999995</v>
      </c>
      <c r="H30">
        <f t="shared" si="4"/>
        <v>3.6204472999999995</v>
      </c>
      <c r="I30">
        <v>5.25</v>
      </c>
      <c r="J30">
        <f t="shared" si="2"/>
        <v>19.007348324999999</v>
      </c>
      <c r="K30" s="4">
        <v>17.965400000000002</v>
      </c>
      <c r="L30" s="4">
        <f t="shared" si="5"/>
        <v>89.827000000000012</v>
      </c>
      <c r="M30" s="4">
        <f t="shared" si="6"/>
        <v>211.5995004286016</v>
      </c>
      <c r="S30">
        <v>66</v>
      </c>
      <c r="T30">
        <v>0.40920000000000001</v>
      </c>
      <c r="U30">
        <v>0.40360000000000001</v>
      </c>
      <c r="V30">
        <f t="shared" si="7"/>
        <v>0.40639999999999998</v>
      </c>
      <c r="W30">
        <f t="shared" si="8"/>
        <v>4.7867183999999998</v>
      </c>
      <c r="X30">
        <f>14.5*5</f>
        <v>72.5</v>
      </c>
      <c r="Y30">
        <f t="shared" si="9"/>
        <v>347.03708399999999</v>
      </c>
      <c r="Z30">
        <f t="shared" si="10"/>
        <v>328.02973567499998</v>
      </c>
      <c r="AA30" s="4">
        <v>17.965400000000002</v>
      </c>
      <c r="AB30">
        <f t="shared" si="11"/>
        <v>89.827000000000012</v>
      </c>
      <c r="AC30">
        <f t="shared" si="12"/>
        <v>3651.7944011822719</v>
      </c>
      <c r="AH30">
        <v>70</v>
      </c>
      <c r="AI30">
        <v>0.29670000000000002</v>
      </c>
      <c r="AJ30">
        <v>0.29509999999999997</v>
      </c>
      <c r="AK30">
        <f t="shared" si="13"/>
        <v>0.2959</v>
      </c>
      <c r="AL30">
        <f t="shared" si="14"/>
        <v>3.3718265999999995</v>
      </c>
      <c r="AM30">
        <v>5.25</v>
      </c>
      <c r="AN30">
        <f t="shared" si="15"/>
        <v>17.702089649999998</v>
      </c>
      <c r="AO30" s="12">
        <v>19.169499999999999</v>
      </c>
      <c r="AP30" s="12">
        <f t="shared" si="16"/>
        <v>95.847499999999997</v>
      </c>
      <c r="AQ30" s="12">
        <f t="shared" si="17"/>
        <v>184.69015519444952</v>
      </c>
      <c r="AW30">
        <v>70</v>
      </c>
      <c r="AX30">
        <v>0.6603</v>
      </c>
      <c r="AY30">
        <v>0.64049999999999996</v>
      </c>
      <c r="AZ30">
        <f t="shared" si="18"/>
        <v>0.65039999999999998</v>
      </c>
      <c r="BA30">
        <f t="shared" si="19"/>
        <v>8.0699824000000007</v>
      </c>
      <c r="BB30">
        <v>14.5</v>
      </c>
      <c r="BC30">
        <f t="shared" si="20"/>
        <v>117.01474480000002</v>
      </c>
      <c r="BD30">
        <f t="shared" si="21"/>
        <v>99.312655150000012</v>
      </c>
      <c r="BE30" s="12">
        <v>19.169499999999999</v>
      </c>
      <c r="BF30" s="12">
        <f t="shared" si="22"/>
        <v>95.847499999999997</v>
      </c>
      <c r="BG30">
        <f t="shared" si="23"/>
        <v>1220.8429515636822</v>
      </c>
      <c r="BJ30" t="s">
        <v>12</v>
      </c>
      <c r="BK30">
        <f>AVERAGE(BG46:BG47,BG48:BG54,BG56:BG57)</f>
        <v>1842.7619392135382</v>
      </c>
      <c r="BL30">
        <f>COUNT(BG46:BG47,BG48:BG54,BG56:BG57)</f>
        <v>11</v>
      </c>
      <c r="BM30">
        <f>STDEV(BG46:BG47,BG48:BG54,BG56:BG57)/SQRT(BL30)</f>
        <v>304.82187368085795</v>
      </c>
      <c r="BR30" t="s">
        <v>12</v>
      </c>
      <c r="BS30" s="9">
        <f>AVERAGE(AQ46:AQ47,AQ48:AQ57)</f>
        <v>191.29534894903375</v>
      </c>
      <c r="BT30">
        <f>COUNT(AQ46:AQ47,AQ48:AQ57)</f>
        <v>11</v>
      </c>
      <c r="BU30">
        <f>STDEV(AQ46:AQ47,AQ48:AQ57)/SQRT(BT30)</f>
        <v>21.317854533238702</v>
      </c>
    </row>
    <row r="31" spans="1:73" x14ac:dyDescent="0.2">
      <c r="D31">
        <v>67</v>
      </c>
      <c r="E31">
        <v>0.307</v>
      </c>
      <c r="F31">
        <v>0.30359999999999998</v>
      </c>
      <c r="G31">
        <f t="shared" si="3"/>
        <v>0.30530000000000002</v>
      </c>
      <c r="H31">
        <f t="shared" si="4"/>
        <v>3.5013021999999996</v>
      </c>
      <c r="I31">
        <v>5.25</v>
      </c>
      <c r="J31">
        <f t="shared" si="2"/>
        <v>18.381836549999999</v>
      </c>
      <c r="K31" s="4">
        <v>18.023500000000002</v>
      </c>
      <c r="L31" s="4">
        <f t="shared" si="5"/>
        <v>90.117500000000007</v>
      </c>
      <c r="M31" s="4">
        <f t="shared" si="6"/>
        <v>203.97632590784252</v>
      </c>
      <c r="S31">
        <v>67</v>
      </c>
      <c r="T31">
        <v>0.41489999999999999</v>
      </c>
      <c r="U31">
        <v>0.40450000000000003</v>
      </c>
      <c r="V31">
        <f t="shared" si="7"/>
        <v>0.40970000000000001</v>
      </c>
      <c r="W31">
        <f t="shared" si="8"/>
        <v>4.8311232000000004</v>
      </c>
      <c r="X31">
        <f>14.5*5</f>
        <v>72.5</v>
      </c>
      <c r="Y31">
        <f t="shared" si="9"/>
        <v>350.25643200000002</v>
      </c>
      <c r="Z31">
        <f t="shared" si="10"/>
        <v>331.87459545000002</v>
      </c>
      <c r="AA31" s="4">
        <v>18.023500000000002</v>
      </c>
      <c r="AB31">
        <f t="shared" si="11"/>
        <v>90.117500000000007</v>
      </c>
      <c r="AC31">
        <f t="shared" si="12"/>
        <v>3682.6875518073625</v>
      </c>
      <c r="AH31">
        <v>71</v>
      </c>
      <c r="AI31">
        <v>0.32679999999999998</v>
      </c>
      <c r="AJ31">
        <v>0.3201</v>
      </c>
      <c r="AK31">
        <f t="shared" si="13"/>
        <v>0.32345000000000002</v>
      </c>
      <c r="AL31">
        <f t="shared" si="14"/>
        <v>3.7513002999999996</v>
      </c>
      <c r="AM31">
        <v>5.25</v>
      </c>
      <c r="AN31">
        <f t="shared" si="15"/>
        <v>19.694326574999998</v>
      </c>
      <c r="AO31" s="12">
        <v>19.090250000000001</v>
      </c>
      <c r="AP31" s="12">
        <f t="shared" si="16"/>
        <v>95.451250000000002</v>
      </c>
      <c r="AQ31" s="12">
        <f t="shared" si="17"/>
        <v>206.32863975065806</v>
      </c>
      <c r="AW31">
        <v>71</v>
      </c>
      <c r="AX31">
        <v>0.24260000000000001</v>
      </c>
      <c r="AY31">
        <v>0.23319999999999999</v>
      </c>
      <c r="AZ31">
        <f t="shared" si="18"/>
        <v>0.2379</v>
      </c>
      <c r="BA31">
        <f t="shared" si="19"/>
        <v>2.5193824</v>
      </c>
      <c r="BB31">
        <f>14.5*5</f>
        <v>72.5</v>
      </c>
      <c r="BC31">
        <f t="shared" si="20"/>
        <v>182.655224</v>
      </c>
      <c r="BD31">
        <f t="shared" si="21"/>
        <v>162.96089742500001</v>
      </c>
      <c r="BE31" s="12">
        <v>19.090250000000001</v>
      </c>
      <c r="BF31" s="12">
        <f t="shared" si="22"/>
        <v>95.451250000000002</v>
      </c>
      <c r="BG31">
        <f t="shared" si="23"/>
        <v>1913.5969827529759</v>
      </c>
      <c r="BJ31" t="s">
        <v>13</v>
      </c>
      <c r="BK31">
        <f>AVERAGE(BG58:BG63,BG65:BG70)</f>
        <v>1267.8665590480316</v>
      </c>
      <c r="BL31">
        <f>COUNT(BG58:BG63,BG65:BG70)</f>
        <v>12</v>
      </c>
      <c r="BM31">
        <f>STDEV(BG58:BG63,BG65:BG70)/SQRT(BL31)</f>
        <v>160.50371047391843</v>
      </c>
      <c r="BR31" t="s">
        <v>13</v>
      </c>
      <c r="BS31" s="9">
        <f>AVERAGE(AQ58:AQ70)</f>
        <v>167.4793019072039</v>
      </c>
      <c r="BT31">
        <f>COUNT(AQ58:AQ70)</f>
        <v>12</v>
      </c>
      <c r="BU31">
        <f>STDEV(AQ58:AQ70)/SQRT(BT31)</f>
        <v>26.161190888383071</v>
      </c>
    </row>
    <row r="32" spans="1:73" x14ac:dyDescent="0.2">
      <c r="D32">
        <v>68</v>
      </c>
      <c r="E32">
        <v>0.31330000000000002</v>
      </c>
      <c r="F32">
        <v>0.31109999999999999</v>
      </c>
      <c r="G32">
        <f t="shared" si="3"/>
        <v>0.31220000000000003</v>
      </c>
      <c r="H32">
        <f t="shared" si="4"/>
        <v>3.5963428000000004</v>
      </c>
      <c r="I32">
        <v>5.25</v>
      </c>
      <c r="J32">
        <f t="shared" si="2"/>
        <v>18.880799700000001</v>
      </c>
      <c r="K32" s="4">
        <v>17.843899999999998</v>
      </c>
      <c r="L32" s="4">
        <f t="shared" si="5"/>
        <v>89.219499999999982</v>
      </c>
      <c r="M32" s="4">
        <f t="shared" si="6"/>
        <v>211.6218954376566</v>
      </c>
      <c r="S32">
        <v>68</v>
      </c>
      <c r="T32">
        <v>0.77790000000000004</v>
      </c>
      <c r="U32">
        <v>0.78590000000000004</v>
      </c>
      <c r="V32">
        <f t="shared" si="7"/>
        <v>0.78190000000000004</v>
      </c>
      <c r="W32">
        <f t="shared" si="8"/>
        <v>9.8394463999999999</v>
      </c>
      <c r="X32">
        <f t="shared" ref="X32:X40" si="24">(100+100+10+30+50)/100*5</f>
        <v>14.5</v>
      </c>
      <c r="Y32">
        <f t="shared" si="9"/>
        <v>142.67197279999999</v>
      </c>
      <c r="Z32">
        <f t="shared" si="10"/>
        <v>123.79117309999999</v>
      </c>
      <c r="AA32" s="4">
        <v>17.843899999999998</v>
      </c>
      <c r="AB32">
        <f t="shared" si="11"/>
        <v>89.219499999999982</v>
      </c>
      <c r="AC32">
        <f t="shared" si="12"/>
        <v>1387.490101379183</v>
      </c>
      <c r="AH32">
        <v>72</v>
      </c>
      <c r="AI32">
        <v>0.35539999999999999</v>
      </c>
      <c r="AJ32">
        <v>0.35170000000000001</v>
      </c>
      <c r="AK32">
        <f t="shared" si="13"/>
        <v>0.35355000000000003</v>
      </c>
      <c r="AL32">
        <f t="shared" si="14"/>
        <v>4.1658977000000004</v>
      </c>
      <c r="AM32">
        <v>5.25</v>
      </c>
      <c r="AN32">
        <f t="shared" si="15"/>
        <v>21.870962925000001</v>
      </c>
      <c r="AO32" s="12">
        <v>18.134399999999999</v>
      </c>
      <c r="AP32" s="12">
        <f t="shared" si="16"/>
        <v>90.671999999999997</v>
      </c>
      <c r="AQ32" s="12">
        <f t="shared" si="17"/>
        <v>241.20966698650082</v>
      </c>
      <c r="AW32">
        <v>72</v>
      </c>
      <c r="AX32">
        <v>0.28649999999999998</v>
      </c>
      <c r="AY32">
        <v>0.29049999999999998</v>
      </c>
      <c r="AZ32">
        <f t="shared" si="18"/>
        <v>0.28849999999999998</v>
      </c>
      <c r="BA32">
        <f t="shared" si="19"/>
        <v>3.2002559999999995</v>
      </c>
      <c r="BB32">
        <f>14.5*5</f>
        <v>72.5</v>
      </c>
      <c r="BC32">
        <f t="shared" si="20"/>
        <v>232.01855999999998</v>
      </c>
      <c r="BD32">
        <f t="shared" si="21"/>
        <v>210.14759707499996</v>
      </c>
      <c r="BE32" s="12">
        <v>18.134399999999999</v>
      </c>
      <c r="BF32" s="12">
        <f t="shared" si="22"/>
        <v>90.671999999999997</v>
      </c>
      <c r="BG32">
        <f t="shared" si="23"/>
        <v>2558.8777130757016</v>
      </c>
    </row>
    <row r="33" spans="1:59" x14ac:dyDescent="0.2">
      <c r="A33">
        <v>11</v>
      </c>
      <c r="C33" t="s">
        <v>11</v>
      </c>
      <c r="D33">
        <v>17</v>
      </c>
      <c r="E33">
        <v>0.1096</v>
      </c>
      <c r="F33">
        <v>0.108</v>
      </c>
      <c r="G33">
        <f t="shared" si="3"/>
        <v>0.10880000000000001</v>
      </c>
      <c r="H33">
        <f t="shared" si="4"/>
        <v>0.79471120000000006</v>
      </c>
      <c r="I33">
        <v>5.25</v>
      </c>
      <c r="J33">
        <f t="shared" si="2"/>
        <v>4.1722338000000008</v>
      </c>
      <c r="K33" s="4">
        <v>19.982800000000001</v>
      </c>
      <c r="L33" s="4">
        <f t="shared" si="5"/>
        <v>99.914000000000001</v>
      </c>
      <c r="M33" s="4">
        <f t="shared" si="6"/>
        <v>41.758250095081777</v>
      </c>
      <c r="N33">
        <f>AVERAGE(J33:J45)</f>
        <v>15.28681875</v>
      </c>
      <c r="P33">
        <v>11</v>
      </c>
      <c r="R33" t="s">
        <v>11</v>
      </c>
      <c r="S33">
        <v>17</v>
      </c>
      <c r="T33">
        <v>0.25609999999999999</v>
      </c>
      <c r="U33">
        <v>0.18909999999999999</v>
      </c>
      <c r="V33">
        <f t="shared" si="7"/>
        <v>0.22259999999999999</v>
      </c>
      <c r="W33">
        <f t="shared" si="8"/>
        <v>2.3135055999999996</v>
      </c>
      <c r="X33">
        <f t="shared" si="24"/>
        <v>14.5</v>
      </c>
      <c r="Y33">
        <f t="shared" si="9"/>
        <v>33.545831199999995</v>
      </c>
      <c r="Z33">
        <f t="shared" si="10"/>
        <v>29.373597399999994</v>
      </c>
      <c r="AA33" s="4">
        <v>19.982800000000001</v>
      </c>
      <c r="AB33">
        <f t="shared" si="11"/>
        <v>99.914000000000001</v>
      </c>
      <c r="AC33">
        <f t="shared" si="12"/>
        <v>293.98880437175967</v>
      </c>
      <c r="AE33">
        <v>15</v>
      </c>
      <c r="AG33" t="s">
        <v>11</v>
      </c>
      <c r="AH33">
        <v>21</v>
      </c>
      <c r="AI33">
        <v>0.1794</v>
      </c>
      <c r="AJ33">
        <v>0.18590000000000001</v>
      </c>
      <c r="AK33">
        <f t="shared" si="13"/>
        <v>0.18265000000000001</v>
      </c>
      <c r="AL33">
        <f t="shared" si="14"/>
        <v>1.8119211000000002</v>
      </c>
      <c r="AM33">
        <v>5.25</v>
      </c>
      <c r="AN33">
        <f t="shared" si="15"/>
        <v>9.5125857750000016</v>
      </c>
      <c r="AO33" s="12">
        <v>18.361449999999998</v>
      </c>
      <c r="AP33" s="12">
        <f t="shared" si="16"/>
        <v>91.807249999999982</v>
      </c>
      <c r="AQ33" s="12">
        <f t="shared" si="17"/>
        <v>103.61475564293673</v>
      </c>
      <c r="AT33">
        <v>15</v>
      </c>
      <c r="AV33" t="s">
        <v>11</v>
      </c>
      <c r="AW33">
        <v>21</v>
      </c>
      <c r="AX33">
        <v>0.2102</v>
      </c>
      <c r="AY33">
        <v>0.21240000000000001</v>
      </c>
      <c r="AZ33">
        <f t="shared" si="18"/>
        <v>0.21129999999999999</v>
      </c>
      <c r="BA33">
        <f t="shared" si="19"/>
        <v>2.1614527999999997</v>
      </c>
      <c r="BB33">
        <f>14.5*5</f>
        <v>72.5</v>
      </c>
      <c r="BC33">
        <f t="shared" si="20"/>
        <v>156.70532799999998</v>
      </c>
      <c r="BD33">
        <f t="shared" si="21"/>
        <v>147.19274222499999</v>
      </c>
      <c r="BE33" s="12">
        <v>18.361449999999998</v>
      </c>
      <c r="BF33" s="12">
        <f t="shared" si="22"/>
        <v>91.807249999999982</v>
      </c>
      <c r="BG33">
        <f t="shared" si="23"/>
        <v>1706.8949129834518</v>
      </c>
    </row>
    <row r="34" spans="1:59" x14ac:dyDescent="0.2">
      <c r="D34">
        <v>18</v>
      </c>
      <c r="E34">
        <v>0.1283</v>
      </c>
      <c r="F34">
        <v>0.1283</v>
      </c>
      <c r="G34">
        <f t="shared" si="3"/>
        <v>0.1283</v>
      </c>
      <c r="H34">
        <f t="shared" si="4"/>
        <v>1.0633041999999999</v>
      </c>
      <c r="I34">
        <v>5.25</v>
      </c>
      <c r="J34">
        <f t="shared" si="2"/>
        <v>5.5823470499999992</v>
      </c>
      <c r="K34" s="4">
        <v>19.62895</v>
      </c>
      <c r="L34" s="4">
        <f t="shared" si="5"/>
        <v>98.144750000000002</v>
      </c>
      <c r="M34" s="4">
        <f t="shared" si="6"/>
        <v>56.878712819585346</v>
      </c>
      <c r="S34">
        <v>18</v>
      </c>
      <c r="T34">
        <v>0.31769999999999998</v>
      </c>
      <c r="U34">
        <v>0.31369999999999998</v>
      </c>
      <c r="V34">
        <f t="shared" si="7"/>
        <v>0.31569999999999998</v>
      </c>
      <c r="W34">
        <f t="shared" si="8"/>
        <v>3.5662591999999993</v>
      </c>
      <c r="X34">
        <f t="shared" si="24"/>
        <v>14.5</v>
      </c>
      <c r="Y34">
        <f t="shared" si="9"/>
        <v>51.710758399999989</v>
      </c>
      <c r="Z34">
        <f t="shared" si="10"/>
        <v>46.128411349999993</v>
      </c>
      <c r="AA34" s="4">
        <v>19.62895</v>
      </c>
      <c r="AB34">
        <f t="shared" si="11"/>
        <v>98.144750000000002</v>
      </c>
      <c r="AC34">
        <f t="shared" si="12"/>
        <v>470.00386011477934</v>
      </c>
      <c r="AH34">
        <v>22</v>
      </c>
      <c r="AI34">
        <v>0.2666</v>
      </c>
      <c r="AJ34">
        <v>0.26790000000000003</v>
      </c>
      <c r="AK34">
        <f t="shared" si="13"/>
        <v>0.26724999999999999</v>
      </c>
      <c r="AL34">
        <f t="shared" si="14"/>
        <v>2.9772014999999996</v>
      </c>
      <c r="AM34">
        <v>5.25</v>
      </c>
      <c r="AN34">
        <f t="shared" si="15"/>
        <v>15.630307874999998</v>
      </c>
      <c r="AO34" s="12">
        <v>18.937100000000001</v>
      </c>
      <c r="AP34" s="12">
        <f t="shared" si="16"/>
        <v>94.685500000000005</v>
      </c>
      <c r="AQ34" s="12">
        <f t="shared" si="17"/>
        <v>165.07604517059104</v>
      </c>
      <c r="AW34">
        <v>22</v>
      </c>
      <c r="AX34">
        <v>0.38400000000000001</v>
      </c>
      <c r="AY34">
        <v>0.37890000000000001</v>
      </c>
      <c r="AZ34">
        <f t="shared" si="18"/>
        <v>0.38145000000000001</v>
      </c>
      <c r="BA34">
        <f t="shared" si="19"/>
        <v>4.4509911999999998</v>
      </c>
      <c r="BB34">
        <f>14.5*5</f>
        <v>72.5</v>
      </c>
      <c r="BC34">
        <f t="shared" si="20"/>
        <v>322.69686200000001</v>
      </c>
      <c r="BD34">
        <f t="shared" si="21"/>
        <v>307.06655412500004</v>
      </c>
      <c r="BE34" s="12">
        <v>18.937100000000001</v>
      </c>
      <c r="BF34" s="12">
        <f t="shared" si="22"/>
        <v>94.685500000000005</v>
      </c>
      <c r="BG34">
        <f t="shared" si="23"/>
        <v>3408.0916507807424</v>
      </c>
    </row>
    <row r="35" spans="1:59" x14ac:dyDescent="0.2">
      <c r="D35">
        <v>19</v>
      </c>
      <c r="E35">
        <v>0.21079999999999999</v>
      </c>
      <c r="F35">
        <v>0.21609999999999999</v>
      </c>
      <c r="G35">
        <f t="shared" si="3"/>
        <v>0.21344999999999997</v>
      </c>
      <c r="H35">
        <f t="shared" si="4"/>
        <v>2.2361602999999994</v>
      </c>
      <c r="I35">
        <v>5.25</v>
      </c>
      <c r="J35">
        <f t="shared" si="2"/>
        <v>11.739841574999996</v>
      </c>
      <c r="K35" s="4">
        <v>18.783950000000001</v>
      </c>
      <c r="L35" s="4">
        <f t="shared" si="5"/>
        <v>93.919750000000008</v>
      </c>
      <c r="M35" s="4">
        <f t="shared" si="6"/>
        <v>124.99864591845693</v>
      </c>
      <c r="S35">
        <v>19</v>
      </c>
      <c r="T35">
        <v>0.6905</v>
      </c>
      <c r="U35">
        <v>0.6865</v>
      </c>
      <c r="V35">
        <f t="shared" si="7"/>
        <v>0.6885</v>
      </c>
      <c r="W35">
        <f t="shared" si="8"/>
        <v>8.5826560000000001</v>
      </c>
      <c r="X35">
        <f t="shared" si="24"/>
        <v>14.5</v>
      </c>
      <c r="Y35">
        <f t="shared" si="9"/>
        <v>124.44851199999999</v>
      </c>
      <c r="Z35">
        <f t="shared" si="10"/>
        <v>112.70867042499999</v>
      </c>
      <c r="AA35" s="4">
        <v>18.783950000000001</v>
      </c>
      <c r="AB35">
        <f t="shared" si="11"/>
        <v>93.919750000000008</v>
      </c>
      <c r="AC35">
        <f t="shared" si="12"/>
        <v>1200.0529220424883</v>
      </c>
      <c r="AH35">
        <v>23</v>
      </c>
      <c r="AI35">
        <v>0.2364</v>
      </c>
      <c r="AJ35">
        <v>0.2412</v>
      </c>
      <c r="AK35">
        <f t="shared" si="13"/>
        <v>0.23880000000000001</v>
      </c>
      <c r="AL35">
        <f t="shared" si="14"/>
        <v>2.5853312000000002</v>
      </c>
      <c r="AM35">
        <v>5.25</v>
      </c>
      <c r="AN35">
        <f t="shared" si="15"/>
        <v>13.572988800000001</v>
      </c>
      <c r="AO35" s="12">
        <v>16.613399999999999</v>
      </c>
      <c r="AP35" s="12">
        <f t="shared" si="16"/>
        <v>83.066999999999993</v>
      </c>
      <c r="AQ35" s="12">
        <f t="shared" si="17"/>
        <v>163.39808588248042</v>
      </c>
      <c r="AW35">
        <v>23</v>
      </c>
      <c r="AX35">
        <v>0.72419999999999995</v>
      </c>
      <c r="AY35">
        <v>0.72509999999999997</v>
      </c>
      <c r="AZ35">
        <f t="shared" si="18"/>
        <v>0.72465000000000002</v>
      </c>
      <c r="BA35">
        <f t="shared" si="19"/>
        <v>9.0690904000000003</v>
      </c>
      <c r="BB35">
        <v>14.5</v>
      </c>
      <c r="BC35">
        <f t="shared" si="20"/>
        <v>131.50181080000002</v>
      </c>
      <c r="BD35">
        <f t="shared" si="21"/>
        <v>117.92882200000001</v>
      </c>
      <c r="BE35" s="12">
        <v>16.613399999999999</v>
      </c>
      <c r="BF35" s="12">
        <f t="shared" si="22"/>
        <v>83.066999999999993</v>
      </c>
      <c r="BG35">
        <f t="shared" si="23"/>
        <v>1583.0812572983257</v>
      </c>
    </row>
    <row r="36" spans="1:59" x14ac:dyDescent="0.2">
      <c r="D36">
        <v>20</v>
      </c>
      <c r="E36">
        <v>0.33069999999999999</v>
      </c>
      <c r="F36">
        <v>0.33800000000000002</v>
      </c>
      <c r="G36">
        <f t="shared" si="3"/>
        <v>0.33435000000000004</v>
      </c>
      <c r="H36">
        <f t="shared" si="4"/>
        <v>3.9014369000000002</v>
      </c>
      <c r="I36">
        <v>5.25</v>
      </c>
      <c r="J36">
        <f t="shared" si="2"/>
        <v>20.482543724999999</v>
      </c>
      <c r="K36" s="4">
        <v>12.710649999999998</v>
      </c>
      <c r="L36" s="4">
        <f t="shared" si="5"/>
        <v>63.553249999999991</v>
      </c>
      <c r="M36" s="4">
        <f t="shared" si="6"/>
        <v>322.28947732806745</v>
      </c>
      <c r="S36">
        <v>20</v>
      </c>
      <c r="T36">
        <v>0.77249999999999996</v>
      </c>
      <c r="U36">
        <v>0.78149999999999997</v>
      </c>
      <c r="V36">
        <f t="shared" si="7"/>
        <v>0.77699999999999991</v>
      </c>
      <c r="W36">
        <f t="shared" si="8"/>
        <v>9.7735120000000002</v>
      </c>
      <c r="X36">
        <f t="shared" si="24"/>
        <v>14.5</v>
      </c>
      <c r="Y36">
        <f t="shared" si="9"/>
        <v>141.715924</v>
      </c>
      <c r="Z36">
        <f t="shared" si="10"/>
        <v>121.233380275</v>
      </c>
      <c r="AA36" s="4">
        <v>12.710649999999998</v>
      </c>
      <c r="AB36">
        <f t="shared" si="11"/>
        <v>63.553249999999991</v>
      </c>
      <c r="AC36">
        <f t="shared" si="12"/>
        <v>1907.5874211783034</v>
      </c>
      <c r="AH36">
        <v>24</v>
      </c>
      <c r="AI36">
        <v>0.31509999999999999</v>
      </c>
      <c r="AJ36">
        <v>0.31080000000000002</v>
      </c>
      <c r="AK36">
        <f t="shared" si="13"/>
        <v>0.31295000000000001</v>
      </c>
      <c r="AL36">
        <f t="shared" si="14"/>
        <v>3.6066732999999997</v>
      </c>
      <c r="AM36">
        <v>5.25</v>
      </c>
      <c r="AN36">
        <f t="shared" si="15"/>
        <v>18.935034824999999</v>
      </c>
      <c r="AO36" s="12">
        <v>18.535749999999997</v>
      </c>
      <c r="AP36" s="12">
        <f t="shared" si="16"/>
        <v>92.67874999999998</v>
      </c>
      <c r="AQ36" s="12">
        <f t="shared" si="17"/>
        <v>204.3082672673078</v>
      </c>
      <c r="AW36">
        <v>24</v>
      </c>
      <c r="AX36">
        <v>0.2487</v>
      </c>
      <c r="AY36">
        <v>0.24640000000000001</v>
      </c>
      <c r="AZ36">
        <f t="shared" si="18"/>
        <v>0.24754999999999999</v>
      </c>
      <c r="BA36">
        <f t="shared" si="19"/>
        <v>2.6492327999999996</v>
      </c>
      <c r="BB36">
        <v>14.5</v>
      </c>
      <c r="BC36">
        <f t="shared" si="20"/>
        <v>38.413875599999997</v>
      </c>
      <c r="BD36">
        <f t="shared" si="21"/>
        <v>19.478840774999998</v>
      </c>
      <c r="BE36" s="12">
        <v>18.535749999999997</v>
      </c>
      <c r="BF36" s="12">
        <f t="shared" si="22"/>
        <v>92.67874999999998</v>
      </c>
      <c r="BG36">
        <f t="shared" si="23"/>
        <v>414.48417895148572</v>
      </c>
    </row>
    <row r="37" spans="1:59" x14ac:dyDescent="0.2">
      <c r="A37">
        <v>12</v>
      </c>
      <c r="D37">
        <v>25</v>
      </c>
      <c r="E37">
        <v>0.1474</v>
      </c>
      <c r="F37">
        <v>0.1585</v>
      </c>
      <c r="G37">
        <f t="shared" si="3"/>
        <v>0.15295</v>
      </c>
      <c r="H37">
        <f t="shared" si="4"/>
        <v>1.4028332999999997</v>
      </c>
      <c r="I37">
        <v>5.25</v>
      </c>
      <c r="J37">
        <f t="shared" si="2"/>
        <v>7.3648748249999985</v>
      </c>
      <c r="K37" s="4">
        <v>18.504049999999999</v>
      </c>
      <c r="L37" s="4">
        <f t="shared" si="5"/>
        <v>92.520250000000004</v>
      </c>
      <c r="M37" s="4">
        <f t="shared" si="6"/>
        <v>79.602841810306373</v>
      </c>
      <c r="P37">
        <v>12</v>
      </c>
      <c r="S37">
        <v>25</v>
      </c>
      <c r="T37">
        <v>0.73199999999999998</v>
      </c>
      <c r="U37">
        <v>0.72540000000000004</v>
      </c>
      <c r="V37">
        <f t="shared" si="7"/>
        <v>0.72870000000000001</v>
      </c>
      <c r="W37">
        <f t="shared" si="8"/>
        <v>9.1235871999999993</v>
      </c>
      <c r="X37">
        <f t="shared" si="24"/>
        <v>14.5</v>
      </c>
      <c r="Y37">
        <f t="shared" si="9"/>
        <v>132.2920144</v>
      </c>
      <c r="Z37">
        <f t="shared" si="10"/>
        <v>124.927139575</v>
      </c>
      <c r="AA37" s="4">
        <v>18.504049999999999</v>
      </c>
      <c r="AB37">
        <f t="shared" si="11"/>
        <v>92.520250000000004</v>
      </c>
      <c r="AC37">
        <f t="shared" si="12"/>
        <v>1350.2680718545398</v>
      </c>
      <c r="AE37">
        <v>14</v>
      </c>
      <c r="AH37">
        <v>29</v>
      </c>
      <c r="AI37">
        <v>9.9900000000000003E-2</v>
      </c>
      <c r="AJ37">
        <v>0.10009999999999999</v>
      </c>
      <c r="AK37">
        <f t="shared" si="13"/>
        <v>0.1</v>
      </c>
      <c r="AL37">
        <f t="shared" si="14"/>
        <v>0.67349999999999999</v>
      </c>
      <c r="AM37">
        <v>5.25</v>
      </c>
      <c r="AN37">
        <f t="shared" si="15"/>
        <v>3.5358749999999999</v>
      </c>
      <c r="AO37" s="12">
        <v>19.296250000000001</v>
      </c>
      <c r="AP37" s="12">
        <f t="shared" si="16"/>
        <v>96.481250000000003</v>
      </c>
      <c r="AQ37" s="12">
        <f t="shared" si="17"/>
        <v>36.648312495951281</v>
      </c>
      <c r="AT37">
        <v>14</v>
      </c>
      <c r="AW37">
        <v>29</v>
      </c>
      <c r="AX37">
        <v>0.25640000000000002</v>
      </c>
      <c r="AY37">
        <v>0.25030000000000002</v>
      </c>
      <c r="AZ37">
        <f t="shared" si="18"/>
        <v>0.25335000000000002</v>
      </c>
      <c r="BA37">
        <f t="shared" si="19"/>
        <v>2.7272776000000003</v>
      </c>
      <c r="BB37">
        <v>14.5</v>
      </c>
      <c r="BC37">
        <f t="shared" si="20"/>
        <v>39.545525200000007</v>
      </c>
      <c r="BD37">
        <f t="shared" si="21"/>
        <v>36.00965020000001</v>
      </c>
      <c r="BE37" s="12">
        <v>19.296250000000001</v>
      </c>
      <c r="BF37" s="12">
        <f t="shared" si="22"/>
        <v>96.481250000000003</v>
      </c>
      <c r="BG37">
        <f t="shared" si="23"/>
        <v>409.87782807540327</v>
      </c>
    </row>
    <row r="38" spans="1:59" x14ac:dyDescent="0.2">
      <c r="D38" s="8">
        <v>26</v>
      </c>
      <c r="E38" s="8">
        <v>0.1893</v>
      </c>
      <c r="F38" s="8">
        <v>0.19550000000000001</v>
      </c>
      <c r="G38" s="8">
        <f t="shared" si="3"/>
        <v>0.19240000000000002</v>
      </c>
      <c r="H38" s="8">
        <f t="shared" si="4"/>
        <v>1.9462176000000002</v>
      </c>
      <c r="I38" s="8">
        <v>5.25</v>
      </c>
      <c r="J38" s="8">
        <f t="shared" si="2"/>
        <v>10.217642400000001</v>
      </c>
      <c r="K38" s="8">
        <v>17.63795</v>
      </c>
      <c r="L38" s="8">
        <f t="shared" si="5"/>
        <v>88.189750000000004</v>
      </c>
      <c r="M38" s="8">
        <f t="shared" si="6"/>
        <v>115.85975014103113</v>
      </c>
      <c r="Q38" t="s">
        <v>341</v>
      </c>
      <c r="S38" s="8">
        <v>26</v>
      </c>
      <c r="T38" s="8">
        <v>9.4200000000000006E-2</v>
      </c>
      <c r="U38" s="8">
        <v>9.7299999999999998E-2</v>
      </c>
      <c r="V38" s="8">
        <f t="shared" si="7"/>
        <v>9.5750000000000002E-2</v>
      </c>
      <c r="W38" s="8">
        <f t="shared" si="8"/>
        <v>0.60661199999999993</v>
      </c>
      <c r="X38" s="8">
        <f t="shared" si="24"/>
        <v>14.5</v>
      </c>
      <c r="Y38" s="8">
        <f t="shared" si="9"/>
        <v>8.7958739999999995</v>
      </c>
      <c r="Z38" s="8">
        <f t="shared" si="10"/>
        <v>-1.4217684000000013</v>
      </c>
      <c r="AA38" s="8">
        <v>17.63795</v>
      </c>
      <c r="AB38" s="8">
        <f t="shared" si="11"/>
        <v>88.189750000000004</v>
      </c>
      <c r="AC38" s="8"/>
      <c r="AH38">
        <v>30</v>
      </c>
      <c r="AI38">
        <v>0.29530000000000001</v>
      </c>
      <c r="AJ38">
        <v>0.29580000000000001</v>
      </c>
      <c r="AK38">
        <f t="shared" si="13"/>
        <v>0.29554999999999998</v>
      </c>
      <c r="AL38">
        <f t="shared" si="14"/>
        <v>3.3670056999999991</v>
      </c>
      <c r="AM38">
        <v>5.25</v>
      </c>
      <c r="AN38">
        <f t="shared" si="15"/>
        <v>17.676779924999995</v>
      </c>
      <c r="AO38" s="12">
        <v>20.458099999999998</v>
      </c>
      <c r="AP38" s="12">
        <f t="shared" si="16"/>
        <v>102.29049999999999</v>
      </c>
      <c r="AQ38" s="12">
        <f t="shared" si="17"/>
        <v>172.80959546585456</v>
      </c>
      <c r="AW38">
        <v>30</v>
      </c>
      <c r="AX38">
        <v>0.73270000000000002</v>
      </c>
      <c r="AY38">
        <v>0.7198</v>
      </c>
      <c r="AZ38">
        <f t="shared" si="18"/>
        <v>0.72625000000000006</v>
      </c>
      <c r="BA38">
        <f t="shared" si="19"/>
        <v>9.0906200000000013</v>
      </c>
      <c r="BB38">
        <v>14.5</v>
      </c>
      <c r="BC38">
        <f t="shared" si="20"/>
        <v>131.81399000000002</v>
      </c>
      <c r="BD38">
        <f t="shared" si="21"/>
        <v>114.13721007500003</v>
      </c>
      <c r="BE38" s="12">
        <v>20.458099999999998</v>
      </c>
      <c r="BF38" s="12">
        <f t="shared" si="22"/>
        <v>102.29049999999999</v>
      </c>
      <c r="BG38">
        <f t="shared" si="23"/>
        <v>1288.62396801267</v>
      </c>
    </row>
    <row r="39" spans="1:59" x14ac:dyDescent="0.2">
      <c r="D39">
        <v>27</v>
      </c>
      <c r="E39">
        <v>0.32829999999999998</v>
      </c>
      <c r="F39">
        <v>0.32850000000000001</v>
      </c>
      <c r="G39">
        <f t="shared" si="3"/>
        <v>0.32840000000000003</v>
      </c>
      <c r="H39">
        <f t="shared" si="4"/>
        <v>3.8194816000000005</v>
      </c>
      <c r="I39">
        <v>5.25</v>
      </c>
      <c r="J39">
        <f t="shared" si="2"/>
        <v>20.052278400000002</v>
      </c>
      <c r="K39" s="4">
        <v>18.989900000000002</v>
      </c>
      <c r="L39" s="4">
        <f t="shared" si="5"/>
        <v>94.949500000000015</v>
      </c>
      <c r="M39" s="4">
        <f t="shared" si="6"/>
        <v>211.18887829846392</v>
      </c>
      <c r="S39">
        <v>27</v>
      </c>
      <c r="T39">
        <v>0.28289999999999998</v>
      </c>
      <c r="U39">
        <v>0.28389999999999999</v>
      </c>
      <c r="V39">
        <f t="shared" si="7"/>
        <v>0.28339999999999999</v>
      </c>
      <c r="W39">
        <f t="shared" si="8"/>
        <v>3.1316303999999997</v>
      </c>
      <c r="X39">
        <f t="shared" si="24"/>
        <v>14.5</v>
      </c>
      <c r="Y39">
        <f t="shared" si="9"/>
        <v>45.408640799999993</v>
      </c>
      <c r="Z39">
        <f t="shared" si="10"/>
        <v>25.356362399999991</v>
      </c>
      <c r="AA39" s="4">
        <v>18.989900000000002</v>
      </c>
      <c r="AB39">
        <f t="shared" si="11"/>
        <v>94.949500000000015</v>
      </c>
      <c r="AC39">
        <f t="shared" si="12"/>
        <v>267.05103660366814</v>
      </c>
      <c r="AH39">
        <v>31</v>
      </c>
      <c r="AI39">
        <v>0.24529999999999999</v>
      </c>
      <c r="AJ39">
        <v>0.2475</v>
      </c>
      <c r="AK39">
        <f t="shared" si="13"/>
        <v>0.24640000000000001</v>
      </c>
      <c r="AL39">
        <f t="shared" si="14"/>
        <v>2.6900135999999999</v>
      </c>
      <c r="AM39">
        <v>5.25</v>
      </c>
      <c r="AN39">
        <f t="shared" si="15"/>
        <v>14.1225714</v>
      </c>
      <c r="AO39" s="12">
        <v>19.7029</v>
      </c>
      <c r="AP39" s="12">
        <f t="shared" si="16"/>
        <v>98.514499999999998</v>
      </c>
      <c r="AQ39" s="12">
        <f t="shared" si="17"/>
        <v>143.35525633282413</v>
      </c>
      <c r="AW39">
        <v>31</v>
      </c>
      <c r="AX39">
        <v>0.32079999999999997</v>
      </c>
      <c r="AY39">
        <v>0.31590000000000001</v>
      </c>
      <c r="AZ39">
        <f t="shared" si="18"/>
        <v>0.31835000000000002</v>
      </c>
      <c r="BA39">
        <f t="shared" si="19"/>
        <v>3.6019176000000002</v>
      </c>
      <c r="BB39">
        <v>14.5</v>
      </c>
      <c r="BC39">
        <f t="shared" si="20"/>
        <v>52.227805200000006</v>
      </c>
      <c r="BD39">
        <f t="shared" si="21"/>
        <v>38.105233800000008</v>
      </c>
      <c r="BE39" s="12">
        <v>19.7029</v>
      </c>
      <c r="BF39" s="12">
        <f t="shared" si="22"/>
        <v>98.514499999999998</v>
      </c>
      <c r="BG39">
        <f t="shared" si="23"/>
        <v>530.15348197473475</v>
      </c>
    </row>
    <row r="40" spans="1:59" x14ac:dyDescent="0.2">
      <c r="D40">
        <v>28</v>
      </c>
      <c r="E40">
        <v>0.32240000000000002</v>
      </c>
      <c r="F40">
        <v>0.31480000000000002</v>
      </c>
      <c r="G40">
        <f t="shared" si="3"/>
        <v>0.31859999999999999</v>
      </c>
      <c r="H40">
        <f t="shared" si="4"/>
        <v>3.6844963999999996</v>
      </c>
      <c r="I40">
        <v>5.25</v>
      </c>
      <c r="J40">
        <f t="shared" si="2"/>
        <v>19.343606099999999</v>
      </c>
      <c r="K40" s="4">
        <v>20.621799999999997</v>
      </c>
      <c r="L40" s="4">
        <f t="shared" si="5"/>
        <v>103.10899999999998</v>
      </c>
      <c r="M40" s="4">
        <f t="shared" si="6"/>
        <v>187.60346914430363</v>
      </c>
      <c r="S40">
        <v>28</v>
      </c>
      <c r="T40">
        <v>0.34179999999999999</v>
      </c>
      <c r="U40">
        <v>0.3417</v>
      </c>
      <c r="V40">
        <f t="shared" si="7"/>
        <v>0.34175</v>
      </c>
      <c r="W40">
        <f t="shared" si="8"/>
        <v>3.9167879999999995</v>
      </c>
      <c r="X40">
        <f t="shared" si="24"/>
        <v>14.5</v>
      </c>
      <c r="Y40">
        <f t="shared" si="9"/>
        <v>56.79342599999999</v>
      </c>
      <c r="Z40">
        <f t="shared" si="10"/>
        <v>37.449819899999994</v>
      </c>
      <c r="AA40" s="4">
        <v>20.621799999999997</v>
      </c>
      <c r="AB40">
        <f t="shared" si="11"/>
        <v>103.10899999999998</v>
      </c>
      <c r="AC40">
        <f t="shared" si="12"/>
        <v>363.20612070721273</v>
      </c>
      <c r="AH40">
        <v>32</v>
      </c>
      <c r="AI40">
        <v>0.40699999999999997</v>
      </c>
      <c r="AJ40">
        <v>0.40610000000000002</v>
      </c>
      <c r="AK40">
        <f t="shared" si="13"/>
        <v>0.40654999999999997</v>
      </c>
      <c r="AL40">
        <f t="shared" si="14"/>
        <v>4.8959196999999994</v>
      </c>
      <c r="AM40">
        <v>5.25</v>
      </c>
      <c r="AN40">
        <f t="shared" si="15"/>
        <v>25.703578424999996</v>
      </c>
      <c r="AO40" s="12">
        <v>18.271700000000003</v>
      </c>
      <c r="AP40" s="12">
        <f t="shared" si="16"/>
        <v>91.358500000000021</v>
      </c>
      <c r="AQ40" s="12">
        <f t="shared" si="17"/>
        <v>281.34851628474627</v>
      </c>
      <c r="AW40">
        <v>32</v>
      </c>
      <c r="AX40">
        <v>0.33729999999999999</v>
      </c>
      <c r="AY40">
        <v>0.36409999999999998</v>
      </c>
      <c r="AZ40">
        <f t="shared" si="18"/>
        <v>0.35070000000000001</v>
      </c>
      <c r="BA40">
        <f t="shared" si="19"/>
        <v>4.0372192</v>
      </c>
      <c r="BB40">
        <f>14.5*5</f>
        <v>72.5</v>
      </c>
      <c r="BC40">
        <f t="shared" si="20"/>
        <v>292.69839200000001</v>
      </c>
      <c r="BD40">
        <f t="shared" si="21"/>
        <v>266.99481357500002</v>
      </c>
      <c r="BE40" s="12">
        <v>18.271700000000003</v>
      </c>
      <c r="BF40" s="12">
        <f t="shared" si="22"/>
        <v>91.358500000000021</v>
      </c>
      <c r="BG40">
        <f t="shared" si="23"/>
        <v>3203.8441086488938</v>
      </c>
    </row>
    <row r="41" spans="1:59" x14ac:dyDescent="0.2">
      <c r="A41">
        <v>12</v>
      </c>
      <c r="D41">
        <v>73</v>
      </c>
      <c r="E41">
        <v>0.2087</v>
      </c>
      <c r="F41">
        <v>0.2172</v>
      </c>
      <c r="G41">
        <f t="shared" si="3"/>
        <v>0.21295</v>
      </c>
      <c r="H41">
        <f t="shared" si="4"/>
        <v>2.2292733</v>
      </c>
      <c r="I41">
        <v>5.25</v>
      </c>
      <c r="J41">
        <f t="shared" si="2"/>
        <v>11.703684825</v>
      </c>
      <c r="K41" s="4">
        <v>18.604400000000002</v>
      </c>
      <c r="L41" s="4">
        <f t="shared" si="5"/>
        <v>93.022000000000006</v>
      </c>
      <c r="M41" s="4">
        <f t="shared" si="6"/>
        <v>125.81631038894022</v>
      </c>
      <c r="P41">
        <v>12</v>
      </c>
      <c r="S41">
        <v>73</v>
      </c>
      <c r="T41">
        <v>0.35360000000000003</v>
      </c>
      <c r="U41">
        <v>0.36049999999999999</v>
      </c>
      <c r="V41">
        <f t="shared" si="7"/>
        <v>0.35704999999999998</v>
      </c>
      <c r="W41">
        <f t="shared" si="8"/>
        <v>4.1226647999999999</v>
      </c>
      <c r="X41">
        <f>14.5*5</f>
        <v>72.5</v>
      </c>
      <c r="Y41">
        <f t="shared" si="9"/>
        <v>298.89319799999998</v>
      </c>
      <c r="Z41">
        <f t="shared" si="10"/>
        <v>287.189513175</v>
      </c>
      <c r="AA41" s="4">
        <v>18.604400000000002</v>
      </c>
      <c r="AB41">
        <f t="shared" si="11"/>
        <v>93.022000000000006</v>
      </c>
      <c r="AC41">
        <f t="shared" si="12"/>
        <v>3087.3289455720151</v>
      </c>
      <c r="AE41">
        <v>15</v>
      </c>
      <c r="AH41">
        <v>78</v>
      </c>
      <c r="AI41">
        <v>0.3841</v>
      </c>
      <c r="AJ41">
        <v>0.40670000000000001</v>
      </c>
      <c r="AK41">
        <f t="shared" si="13"/>
        <v>0.39539999999999997</v>
      </c>
      <c r="AL41">
        <f t="shared" si="14"/>
        <v>4.7423395999999993</v>
      </c>
      <c r="AM41">
        <v>5.25</v>
      </c>
      <c r="AN41">
        <f t="shared" si="15"/>
        <v>24.897282899999997</v>
      </c>
      <c r="AO41" s="12">
        <v>20.3736</v>
      </c>
      <c r="AP41" s="12">
        <f t="shared" si="16"/>
        <v>101.86799999999999</v>
      </c>
      <c r="AQ41" s="12">
        <f t="shared" si="17"/>
        <v>244.40730062433735</v>
      </c>
      <c r="AT41">
        <v>15</v>
      </c>
      <c r="AW41">
        <v>78</v>
      </c>
      <c r="AX41">
        <v>0.24299999999999999</v>
      </c>
      <c r="AY41">
        <v>0.24160000000000001</v>
      </c>
      <c r="AZ41">
        <f t="shared" si="18"/>
        <v>0.24230000000000002</v>
      </c>
      <c r="BA41">
        <f t="shared" si="19"/>
        <v>2.5785888000000003</v>
      </c>
      <c r="BB41">
        <f>14.5*5</f>
        <v>72.5</v>
      </c>
      <c r="BC41">
        <f t="shared" si="20"/>
        <v>186.94768800000003</v>
      </c>
      <c r="BD41">
        <f t="shared" si="21"/>
        <v>162.05040510000003</v>
      </c>
      <c r="BE41" s="12">
        <v>20.3736</v>
      </c>
      <c r="BF41" s="12">
        <f t="shared" si="22"/>
        <v>101.86799999999999</v>
      </c>
      <c r="BG41">
        <f t="shared" si="23"/>
        <v>1835.1954293791971</v>
      </c>
    </row>
    <row r="42" spans="1:59" x14ac:dyDescent="0.2">
      <c r="D42">
        <v>74</v>
      </c>
      <c r="E42">
        <v>0.41110000000000002</v>
      </c>
      <c r="F42">
        <v>0.40550000000000003</v>
      </c>
      <c r="G42">
        <f t="shared" si="3"/>
        <v>0.4083</v>
      </c>
      <c r="H42">
        <f t="shared" si="4"/>
        <v>4.9200241999999994</v>
      </c>
      <c r="I42">
        <v>5.25</v>
      </c>
      <c r="J42">
        <f t="shared" si="2"/>
        <v>25.830127049999998</v>
      </c>
      <c r="K42" s="4">
        <v>17.875599999999999</v>
      </c>
      <c r="L42" s="4">
        <f t="shared" si="5"/>
        <v>89.377999999999986</v>
      </c>
      <c r="M42" s="4">
        <f t="shared" si="6"/>
        <v>288.99871388932399</v>
      </c>
      <c r="S42">
        <v>74</v>
      </c>
      <c r="T42">
        <v>0.52839999999999998</v>
      </c>
      <c r="U42">
        <v>0.51559999999999995</v>
      </c>
      <c r="V42">
        <f t="shared" si="7"/>
        <v>0.52200000000000002</v>
      </c>
      <c r="W42">
        <f t="shared" si="8"/>
        <v>6.3422320000000001</v>
      </c>
      <c r="X42">
        <f>(100+100+10+30+50)/100*5</f>
        <v>14.5</v>
      </c>
      <c r="Y42">
        <f t="shared" si="9"/>
        <v>91.962364000000008</v>
      </c>
      <c r="Z42">
        <f t="shared" si="10"/>
        <v>66.132236950000006</v>
      </c>
      <c r="AA42" s="4">
        <v>17.875599999999999</v>
      </c>
      <c r="AB42">
        <f t="shared" si="11"/>
        <v>89.377999999999986</v>
      </c>
      <c r="AC42">
        <f t="shared" si="12"/>
        <v>739.91627637673719</v>
      </c>
      <c r="AH42">
        <v>79</v>
      </c>
      <c r="AI42">
        <v>0.31580000000000003</v>
      </c>
      <c r="AJ42">
        <v>0.32050000000000001</v>
      </c>
      <c r="AK42">
        <f t="shared" si="13"/>
        <v>0.31815000000000004</v>
      </c>
      <c r="AL42">
        <f t="shared" si="14"/>
        <v>3.6782981000000001</v>
      </c>
      <c r="AM42">
        <v>5.25</v>
      </c>
      <c r="AN42">
        <f t="shared" si="15"/>
        <v>19.311065025000001</v>
      </c>
      <c r="AO42" s="12">
        <v>20.389399999999998</v>
      </c>
      <c r="AP42" s="12">
        <f t="shared" si="16"/>
        <v>101.94699999999999</v>
      </c>
      <c r="AQ42" s="12">
        <f t="shared" si="17"/>
        <v>189.42259237643091</v>
      </c>
      <c r="AW42">
        <v>79</v>
      </c>
      <c r="AX42">
        <v>0.2326</v>
      </c>
      <c r="AY42">
        <v>0.23469999999999999</v>
      </c>
      <c r="AZ42">
        <f t="shared" si="18"/>
        <v>0.23365</v>
      </c>
      <c r="BA42">
        <f t="shared" si="19"/>
        <v>2.4621944</v>
      </c>
      <c r="BB42">
        <f>14.5*5</f>
        <v>72.5</v>
      </c>
      <c r="BC42">
        <f t="shared" si="20"/>
        <v>178.509094</v>
      </c>
      <c r="BD42">
        <f t="shared" si="21"/>
        <v>159.198028975</v>
      </c>
      <c r="BE42" s="12">
        <v>20.389399999999998</v>
      </c>
      <c r="BF42" s="12">
        <f t="shared" si="22"/>
        <v>101.94699999999999</v>
      </c>
      <c r="BG42">
        <f t="shared" si="23"/>
        <v>1750.9989896711038</v>
      </c>
    </row>
    <row r="43" spans="1:59" x14ac:dyDescent="0.2">
      <c r="D43">
        <v>75</v>
      </c>
      <c r="E43">
        <v>0.28149999999999997</v>
      </c>
      <c r="F43">
        <v>0.27450000000000002</v>
      </c>
      <c r="G43">
        <f t="shared" si="3"/>
        <v>0.27800000000000002</v>
      </c>
      <c r="H43">
        <f t="shared" si="4"/>
        <v>3.1252720000000003</v>
      </c>
      <c r="I43">
        <v>5.25</v>
      </c>
      <c r="J43">
        <f t="shared" si="2"/>
        <v>16.407678000000001</v>
      </c>
      <c r="K43" s="4">
        <v>18.97935</v>
      </c>
      <c r="L43" s="4">
        <f t="shared" si="5"/>
        <v>94.896749999999997</v>
      </c>
      <c r="M43" s="4">
        <f t="shared" si="6"/>
        <v>172.90031534272777</v>
      </c>
      <c r="S43">
        <v>75</v>
      </c>
      <c r="T43">
        <v>0.30370000000000003</v>
      </c>
      <c r="U43">
        <v>0.26939999999999997</v>
      </c>
      <c r="V43">
        <f t="shared" si="7"/>
        <v>0.28654999999999997</v>
      </c>
      <c r="W43">
        <f t="shared" si="8"/>
        <v>3.1740167999999995</v>
      </c>
      <c r="X43">
        <f>14.5*5</f>
        <v>72.5</v>
      </c>
      <c r="Y43">
        <f t="shared" si="9"/>
        <v>230.11621799999998</v>
      </c>
      <c r="Z43">
        <f t="shared" si="10"/>
        <v>213.70853999999997</v>
      </c>
      <c r="AA43" s="4">
        <v>18.97935</v>
      </c>
      <c r="AB43">
        <f t="shared" si="11"/>
        <v>94.896749999999997</v>
      </c>
      <c r="AC43">
        <f t="shared" si="12"/>
        <v>2252.0111594970322</v>
      </c>
      <c r="AH43">
        <v>80</v>
      </c>
      <c r="AI43">
        <v>0.44600000000000001</v>
      </c>
      <c r="AJ43">
        <v>0.44600000000000001</v>
      </c>
      <c r="AK43">
        <f t="shared" si="13"/>
        <v>0.44600000000000001</v>
      </c>
      <c r="AL43">
        <f t="shared" si="14"/>
        <v>5.4393039999999999</v>
      </c>
      <c r="AM43">
        <v>5.25</v>
      </c>
      <c r="AN43">
        <f t="shared" si="15"/>
        <v>28.556345999999998</v>
      </c>
      <c r="AO43" s="12">
        <v>21.2925</v>
      </c>
      <c r="AP43" s="12">
        <f t="shared" si="16"/>
        <v>106.46250000000001</v>
      </c>
      <c r="AQ43" s="12">
        <f t="shared" si="17"/>
        <v>268.22915110954557</v>
      </c>
      <c r="AW43">
        <v>80</v>
      </c>
      <c r="AX43">
        <v>0.58979999999999999</v>
      </c>
      <c r="AY43">
        <v>0.57550000000000001</v>
      </c>
      <c r="AZ43">
        <f t="shared" si="18"/>
        <v>0.58265</v>
      </c>
      <c r="BA43">
        <f t="shared" si="19"/>
        <v>7.1583383999999999</v>
      </c>
      <c r="BB43">
        <v>14.5</v>
      </c>
      <c r="BC43">
        <f t="shared" si="20"/>
        <v>103.7959068</v>
      </c>
      <c r="BD43">
        <f t="shared" si="21"/>
        <v>75.239560799999992</v>
      </c>
      <c r="BE43" s="12">
        <v>21.2925</v>
      </c>
      <c r="BF43" s="12">
        <f t="shared" si="22"/>
        <v>106.46250000000001</v>
      </c>
      <c r="BG43">
        <f t="shared" si="23"/>
        <v>974.95274674181042</v>
      </c>
    </row>
    <row r="44" spans="1:59" x14ac:dyDescent="0.2">
      <c r="D44">
        <v>76</v>
      </c>
      <c r="E44">
        <v>0.36899999999999999</v>
      </c>
      <c r="F44">
        <v>0.36720000000000003</v>
      </c>
      <c r="G44">
        <f t="shared" si="3"/>
        <v>0.36809999999999998</v>
      </c>
      <c r="H44">
        <f t="shared" si="4"/>
        <v>4.3663093999999996</v>
      </c>
      <c r="I44">
        <v>5.25</v>
      </c>
      <c r="J44">
        <f t="shared" si="2"/>
        <v>22.923124349999998</v>
      </c>
      <c r="K44" s="4">
        <v>17.8809</v>
      </c>
      <c r="L44" s="4">
        <f t="shared" si="5"/>
        <v>89.404499999999999</v>
      </c>
      <c r="M44" s="4">
        <f t="shared" si="6"/>
        <v>256.39788097914533</v>
      </c>
      <c r="S44">
        <v>76</v>
      </c>
      <c r="T44">
        <v>0.4657</v>
      </c>
      <c r="U44">
        <v>0.48620000000000002</v>
      </c>
      <c r="V44">
        <f t="shared" si="7"/>
        <v>0.47594999999999998</v>
      </c>
      <c r="W44">
        <f t="shared" si="8"/>
        <v>5.7225831999999999</v>
      </c>
      <c r="X44">
        <f>14.5*5</f>
        <v>72.5</v>
      </c>
      <c r="Y44">
        <f t="shared" si="9"/>
        <v>414.88728199999997</v>
      </c>
      <c r="Z44">
        <f t="shared" si="10"/>
        <v>391.96415764999995</v>
      </c>
      <c r="AA44" s="4">
        <v>17.8809</v>
      </c>
      <c r="AB44">
        <f t="shared" si="11"/>
        <v>89.404499999999999</v>
      </c>
      <c r="AC44">
        <f t="shared" si="12"/>
        <v>4384.1658714046825</v>
      </c>
      <c r="AH44">
        <v>81</v>
      </c>
      <c r="AI44">
        <v>0.34739999999999999</v>
      </c>
      <c r="AJ44">
        <v>0.34360000000000002</v>
      </c>
      <c r="AK44">
        <f t="shared" si="13"/>
        <v>0.34550000000000003</v>
      </c>
      <c r="AL44">
        <f t="shared" si="14"/>
        <v>4.0550170000000003</v>
      </c>
      <c r="AM44">
        <v>5.25</v>
      </c>
      <c r="AN44">
        <f t="shared" si="15"/>
        <v>21.288839250000002</v>
      </c>
      <c r="AO44" s="12">
        <v>17.315799999999999</v>
      </c>
      <c r="AP44" s="12">
        <f t="shared" si="16"/>
        <v>86.578999999999994</v>
      </c>
      <c r="AQ44" s="12">
        <f t="shared" si="17"/>
        <v>245.8891792466996</v>
      </c>
      <c r="AW44">
        <v>81</v>
      </c>
      <c r="AX44">
        <v>0.38719999999999999</v>
      </c>
      <c r="AY44">
        <v>0.40329999999999999</v>
      </c>
      <c r="AZ44">
        <f t="shared" si="18"/>
        <v>0.39524999999999999</v>
      </c>
      <c r="BA44">
        <f t="shared" si="19"/>
        <v>4.6366839999999998</v>
      </c>
      <c r="BB44">
        <f>14.5*5</f>
        <v>72.5</v>
      </c>
      <c r="BC44">
        <f t="shared" si="20"/>
        <v>336.15958999999998</v>
      </c>
      <c r="BD44">
        <f t="shared" si="21"/>
        <v>314.87075074999996</v>
      </c>
      <c r="BE44" s="12">
        <v>17.315799999999999</v>
      </c>
      <c r="BF44" s="12">
        <f t="shared" si="22"/>
        <v>86.578999999999994</v>
      </c>
      <c r="BG44">
        <f t="shared" si="23"/>
        <v>3882.6919922845032</v>
      </c>
    </row>
    <row r="45" spans="1:59" x14ac:dyDescent="0.2">
      <c r="D45">
        <v>77</v>
      </c>
      <c r="E45">
        <v>0.36259999999999998</v>
      </c>
      <c r="F45">
        <v>0.37319999999999998</v>
      </c>
      <c r="G45">
        <f t="shared" si="3"/>
        <v>0.3679</v>
      </c>
      <c r="H45">
        <f t="shared" si="4"/>
        <v>4.3635545999999996</v>
      </c>
      <c r="I45">
        <v>5.25</v>
      </c>
      <c r="J45">
        <f t="shared" si="2"/>
        <v>22.908661649999999</v>
      </c>
      <c r="K45" s="4">
        <v>19.882449999999999</v>
      </c>
      <c r="L45" s="4">
        <f t="shared" si="5"/>
        <v>99.41225</v>
      </c>
      <c r="M45" s="4">
        <f t="shared" si="6"/>
        <v>230.44103367542732</v>
      </c>
      <c r="S45">
        <v>77</v>
      </c>
      <c r="T45">
        <v>0.62560000000000004</v>
      </c>
      <c r="U45">
        <v>0.59799999999999998</v>
      </c>
      <c r="V45">
        <f t="shared" si="7"/>
        <v>0.61180000000000001</v>
      </c>
      <c r="W45">
        <f t="shared" si="8"/>
        <v>7.5505807999999996</v>
      </c>
      <c r="X45">
        <f t="shared" ref="X45:X53" si="25">(100+100+10+30+50)/100*5</f>
        <v>14.5</v>
      </c>
      <c r="Y45">
        <f t="shared" si="9"/>
        <v>109.4834216</v>
      </c>
      <c r="Z45">
        <f t="shared" si="10"/>
        <v>86.574759950000001</v>
      </c>
      <c r="AA45" s="4">
        <v>19.882449999999999</v>
      </c>
      <c r="AB45">
        <f t="shared" si="11"/>
        <v>99.41225</v>
      </c>
      <c r="AC45">
        <f t="shared" si="12"/>
        <v>870.86611509144996</v>
      </c>
      <c r="AH45">
        <v>82</v>
      </c>
      <c r="AI45">
        <v>0.40550000000000003</v>
      </c>
      <c r="AJ45">
        <v>0.42159999999999997</v>
      </c>
      <c r="AK45">
        <f t="shared" si="13"/>
        <v>0.41354999999999997</v>
      </c>
      <c r="AL45">
        <f t="shared" si="14"/>
        <v>4.9923376999999993</v>
      </c>
      <c r="AM45">
        <v>5.25</v>
      </c>
      <c r="AN45">
        <f t="shared" si="15"/>
        <v>26.209772924999996</v>
      </c>
      <c r="AO45" s="12">
        <v>17.706600000000002</v>
      </c>
      <c r="AP45" s="12">
        <f t="shared" si="16"/>
        <v>88.533000000000015</v>
      </c>
      <c r="AQ45" s="12">
        <f t="shared" si="17"/>
        <v>296.04523652197474</v>
      </c>
      <c r="AW45">
        <v>82</v>
      </c>
      <c r="AX45">
        <v>0.31619999999999998</v>
      </c>
      <c r="AY45">
        <v>0.35610000000000003</v>
      </c>
      <c r="AZ45">
        <f t="shared" si="18"/>
        <v>0.33615</v>
      </c>
      <c r="BA45">
        <f t="shared" si="19"/>
        <v>3.8414343999999998</v>
      </c>
      <c r="BB45">
        <f>14.5*5</f>
        <v>72.5</v>
      </c>
      <c r="BC45">
        <f t="shared" si="20"/>
        <v>278.50399399999998</v>
      </c>
      <c r="BD45">
        <f t="shared" si="21"/>
        <v>252.294221075</v>
      </c>
      <c r="BE45" s="12">
        <v>17.706600000000002</v>
      </c>
      <c r="BF45" s="12">
        <f t="shared" si="22"/>
        <v>88.533000000000015</v>
      </c>
      <c r="BG45">
        <f t="shared" si="23"/>
        <v>3145.7647882710394</v>
      </c>
    </row>
    <row r="46" spans="1:59" x14ac:dyDescent="0.2">
      <c r="A46">
        <v>11</v>
      </c>
      <c r="C46" t="s">
        <v>12</v>
      </c>
      <c r="D46">
        <v>33</v>
      </c>
      <c r="E46">
        <v>0.2031</v>
      </c>
      <c r="F46">
        <v>0.2046</v>
      </c>
      <c r="G46">
        <f t="shared" si="3"/>
        <v>0.20385</v>
      </c>
      <c r="H46">
        <f t="shared" si="4"/>
        <v>2.1039298999999998</v>
      </c>
      <c r="I46">
        <v>5.25</v>
      </c>
      <c r="J46">
        <f t="shared" si="2"/>
        <v>11.045631974999999</v>
      </c>
      <c r="K46" s="4">
        <v>21.41395</v>
      </c>
      <c r="L46" s="4">
        <f t="shared" si="5"/>
        <v>107.06975</v>
      </c>
      <c r="M46" s="4">
        <f t="shared" si="6"/>
        <v>103.16295662406981</v>
      </c>
      <c r="N46">
        <f>AVERAGE(J46:J57)</f>
        <v>16.667705293749997</v>
      </c>
      <c r="P46">
        <v>11</v>
      </c>
      <c r="R46" t="s">
        <v>12</v>
      </c>
      <c r="S46">
        <v>33</v>
      </c>
      <c r="T46">
        <v>0.6673</v>
      </c>
      <c r="U46">
        <v>0.64370000000000005</v>
      </c>
      <c r="V46">
        <f t="shared" si="7"/>
        <v>0.65549999999999997</v>
      </c>
      <c r="W46">
        <f t="shared" si="8"/>
        <v>8.1386079999999978</v>
      </c>
      <c r="X46">
        <f t="shared" si="25"/>
        <v>14.5</v>
      </c>
      <c r="Y46">
        <f t="shared" si="9"/>
        <v>118.00981599999997</v>
      </c>
      <c r="Z46">
        <f t="shared" si="10"/>
        <v>106.96418402499998</v>
      </c>
      <c r="AA46" s="4">
        <v>21.41395</v>
      </c>
      <c r="AB46">
        <f t="shared" si="11"/>
        <v>107.06975</v>
      </c>
      <c r="AC46">
        <f t="shared" si="12"/>
        <v>999.0140448165796</v>
      </c>
      <c r="AE46">
        <v>15</v>
      </c>
      <c r="AG46" t="s">
        <v>12</v>
      </c>
      <c r="AH46">
        <v>37</v>
      </c>
      <c r="AI46">
        <v>0.19500000000000001</v>
      </c>
      <c r="AJ46">
        <v>0.19850000000000001</v>
      </c>
      <c r="AK46">
        <f t="shared" si="13"/>
        <v>0.19675000000000001</v>
      </c>
      <c r="AL46">
        <f t="shared" si="14"/>
        <v>2.0061344999999999</v>
      </c>
      <c r="AM46">
        <v>5.25</v>
      </c>
      <c r="AN46">
        <f t="shared" si="15"/>
        <v>10.532206125</v>
      </c>
      <c r="AO46" s="12">
        <v>18.065750000000001</v>
      </c>
      <c r="AP46" s="12">
        <f t="shared" si="16"/>
        <v>90.328750000000014</v>
      </c>
      <c r="AQ46" s="12">
        <f t="shared" si="17"/>
        <v>116.59860371144292</v>
      </c>
      <c r="AT46">
        <v>15</v>
      </c>
      <c r="AV46" t="s">
        <v>12</v>
      </c>
      <c r="AW46">
        <v>37</v>
      </c>
      <c r="AX46">
        <v>0.63049999999999995</v>
      </c>
      <c r="AY46">
        <v>0.63649999999999995</v>
      </c>
      <c r="AZ46">
        <f t="shared" si="18"/>
        <v>0.63349999999999995</v>
      </c>
      <c r="BA46">
        <f t="shared" si="19"/>
        <v>7.8425759999999984</v>
      </c>
      <c r="BB46">
        <v>14.5</v>
      </c>
      <c r="BC46">
        <f t="shared" si="20"/>
        <v>113.71735199999998</v>
      </c>
      <c r="BD46">
        <f t="shared" si="21"/>
        <v>103.18514587499998</v>
      </c>
      <c r="BE46" s="12">
        <v>18.065750000000001</v>
      </c>
      <c r="BF46" s="12">
        <f t="shared" si="22"/>
        <v>90.328750000000014</v>
      </c>
      <c r="BG46">
        <f t="shared" si="23"/>
        <v>1258.9275507521133</v>
      </c>
    </row>
    <row r="47" spans="1:59" x14ac:dyDescent="0.2">
      <c r="D47">
        <v>34</v>
      </c>
      <c r="E47">
        <v>0.33789999999999998</v>
      </c>
      <c r="F47">
        <v>0.33739999999999998</v>
      </c>
      <c r="G47">
        <f t="shared" si="3"/>
        <v>0.33765000000000001</v>
      </c>
      <c r="H47">
        <f t="shared" si="4"/>
        <v>3.9468911000000002</v>
      </c>
      <c r="I47">
        <v>5.25</v>
      </c>
      <c r="J47">
        <f t="shared" si="2"/>
        <v>20.721178275</v>
      </c>
      <c r="K47" s="4">
        <v>19.977499999999999</v>
      </c>
      <c r="L47" s="4">
        <f t="shared" si="5"/>
        <v>99.887499999999989</v>
      </c>
      <c r="M47" s="4">
        <f t="shared" si="6"/>
        <v>207.44515855337255</v>
      </c>
      <c r="S47">
        <v>34</v>
      </c>
      <c r="T47">
        <v>0.35830000000000001</v>
      </c>
      <c r="U47">
        <v>0.33839999999999998</v>
      </c>
      <c r="V47">
        <f t="shared" si="7"/>
        <v>0.34834999999999999</v>
      </c>
      <c r="W47">
        <f t="shared" si="8"/>
        <v>4.0055975999999998</v>
      </c>
      <c r="X47">
        <f t="shared" si="25"/>
        <v>14.5</v>
      </c>
      <c r="Y47">
        <f t="shared" si="9"/>
        <v>58.081165199999994</v>
      </c>
      <c r="Z47">
        <f t="shared" si="10"/>
        <v>37.359986924999994</v>
      </c>
      <c r="AA47" s="4">
        <v>19.977499999999999</v>
      </c>
      <c r="AB47">
        <f t="shared" si="11"/>
        <v>99.887499999999989</v>
      </c>
      <c r="AC47">
        <f t="shared" si="12"/>
        <v>374.0206424727819</v>
      </c>
      <c r="AH47" s="4">
        <v>38</v>
      </c>
      <c r="AI47" s="4">
        <v>0.20280000000000001</v>
      </c>
      <c r="AJ47" s="4">
        <v>0.193</v>
      </c>
      <c r="AK47" s="4">
        <f t="shared" si="13"/>
        <v>0.19790000000000002</v>
      </c>
      <c r="AL47" s="4">
        <f t="shared" si="14"/>
        <v>2.0219746000000001</v>
      </c>
      <c r="AM47" s="4">
        <v>5.25</v>
      </c>
      <c r="AN47" s="4">
        <f t="shared" si="15"/>
        <v>10.61536665</v>
      </c>
      <c r="AO47" s="12">
        <v>16.777149999999999</v>
      </c>
      <c r="AP47" s="12">
        <f t="shared" si="16"/>
        <v>83.885750000000002</v>
      </c>
      <c r="AQ47" s="12">
        <f t="shared" si="17"/>
        <v>126.54552948504363</v>
      </c>
      <c r="AR47" s="4"/>
      <c r="AS47" s="4"/>
      <c r="AT47" s="4"/>
      <c r="AU47" s="4"/>
      <c r="AV47" s="4"/>
      <c r="AW47" s="4">
        <v>38</v>
      </c>
      <c r="AX47" s="4">
        <v>0.97340000000000004</v>
      </c>
      <c r="AY47" s="4">
        <v>0.9536</v>
      </c>
      <c r="AZ47" s="4">
        <f t="shared" si="18"/>
        <v>0.96350000000000002</v>
      </c>
      <c r="BA47" s="4">
        <f t="shared" si="19"/>
        <v>12.283055999999998</v>
      </c>
      <c r="BB47" s="4">
        <v>14.5</v>
      </c>
      <c r="BC47" s="4">
        <f t="shared" si="20"/>
        <v>178.10431199999996</v>
      </c>
      <c r="BD47" s="4">
        <f t="shared" si="21"/>
        <v>167.48894534999997</v>
      </c>
      <c r="BE47" s="12">
        <v>16.777149999999999</v>
      </c>
      <c r="BF47" s="12">
        <f t="shared" si="22"/>
        <v>83.885750000000002</v>
      </c>
      <c r="BG47">
        <f t="shared" si="23"/>
        <v>2123.1772023257822</v>
      </c>
    </row>
    <row r="48" spans="1:59" x14ac:dyDescent="0.2">
      <c r="D48">
        <v>35</v>
      </c>
      <c r="E48">
        <v>0.37790000000000001</v>
      </c>
      <c r="F48">
        <v>0.38619999999999999</v>
      </c>
      <c r="G48">
        <f t="shared" si="3"/>
        <v>0.38205</v>
      </c>
      <c r="H48">
        <f t="shared" si="4"/>
        <v>4.5584566999999998</v>
      </c>
      <c r="I48">
        <v>5.25</v>
      </c>
      <c r="J48">
        <f t="shared" si="2"/>
        <v>23.931897674999998</v>
      </c>
      <c r="K48" s="4">
        <v>19.966950000000001</v>
      </c>
      <c r="L48" s="4">
        <f t="shared" si="5"/>
        <v>99.83475</v>
      </c>
      <c r="M48" s="4">
        <f t="shared" si="6"/>
        <v>239.71510596260319</v>
      </c>
      <c r="S48">
        <v>35</v>
      </c>
      <c r="T48">
        <v>0.39610000000000001</v>
      </c>
      <c r="U48">
        <v>0.4052</v>
      </c>
      <c r="V48">
        <f t="shared" si="7"/>
        <v>0.40065000000000001</v>
      </c>
      <c r="W48">
        <f t="shared" si="8"/>
        <v>4.7093464000000003</v>
      </c>
      <c r="X48">
        <f t="shared" si="25"/>
        <v>14.5</v>
      </c>
      <c r="Y48">
        <f t="shared" si="9"/>
        <v>68.28552280000001</v>
      </c>
      <c r="Z48">
        <f t="shared" si="10"/>
        <v>44.353625125000008</v>
      </c>
      <c r="AA48" s="4">
        <v>19.966950000000001</v>
      </c>
      <c r="AB48">
        <f t="shared" si="11"/>
        <v>99.83475</v>
      </c>
      <c r="AC48">
        <f t="shared" si="12"/>
        <v>444.27040809938427</v>
      </c>
      <c r="AH48">
        <v>39</v>
      </c>
      <c r="AI48">
        <v>0.3528</v>
      </c>
      <c r="AJ48">
        <v>0.34970000000000001</v>
      </c>
      <c r="AK48">
        <f t="shared" si="13"/>
        <v>0.35125000000000001</v>
      </c>
      <c r="AL48">
        <f t="shared" si="14"/>
        <v>4.1342175000000001</v>
      </c>
      <c r="AM48">
        <v>5.25</v>
      </c>
      <c r="AN48">
        <f t="shared" si="15"/>
        <v>21.704641875</v>
      </c>
      <c r="AO48" s="12">
        <v>16.956699999999998</v>
      </c>
      <c r="AP48" s="12">
        <f t="shared" si="16"/>
        <v>84.783499999999989</v>
      </c>
      <c r="AQ48" s="12">
        <f t="shared" si="17"/>
        <v>256.00077697901128</v>
      </c>
      <c r="AW48">
        <v>39</v>
      </c>
      <c r="AX48">
        <v>0.3543</v>
      </c>
      <c r="AY48">
        <v>0.34439999999999998</v>
      </c>
      <c r="AZ48">
        <f t="shared" si="18"/>
        <v>0.34934999999999999</v>
      </c>
      <c r="BA48">
        <f t="shared" si="19"/>
        <v>4.0190535999999994</v>
      </c>
      <c r="BB48">
        <f>14.5*5</f>
        <v>72.5</v>
      </c>
      <c r="BC48">
        <f t="shared" si="20"/>
        <v>291.38138599999996</v>
      </c>
      <c r="BD48">
        <f t="shared" si="21"/>
        <v>269.67674412499997</v>
      </c>
      <c r="BE48" s="12">
        <v>16.956699999999998</v>
      </c>
      <c r="BF48" s="12">
        <f t="shared" si="22"/>
        <v>84.783499999999989</v>
      </c>
      <c r="BG48">
        <f t="shared" si="23"/>
        <v>3436.7699611363059</v>
      </c>
    </row>
    <row r="49" spans="1:59" x14ac:dyDescent="0.2">
      <c r="D49">
        <v>36</v>
      </c>
      <c r="E49">
        <v>0.3695</v>
      </c>
      <c r="F49">
        <v>0.3674</v>
      </c>
      <c r="G49">
        <f t="shared" si="3"/>
        <v>0.36845</v>
      </c>
      <c r="H49">
        <f t="shared" si="4"/>
        <v>4.3711302999999999</v>
      </c>
      <c r="I49">
        <v>5.25</v>
      </c>
      <c r="J49">
        <f t="shared" si="2"/>
        <v>22.948434074999998</v>
      </c>
      <c r="K49" s="4">
        <v>20.537299999999998</v>
      </c>
      <c r="L49" s="4">
        <f t="shared" si="5"/>
        <v>102.6865</v>
      </c>
      <c r="M49" s="4">
        <f t="shared" si="6"/>
        <v>223.48053614642623</v>
      </c>
      <c r="S49">
        <v>36</v>
      </c>
      <c r="T49">
        <v>0.62739999999999996</v>
      </c>
      <c r="U49">
        <v>0.6169</v>
      </c>
      <c r="V49">
        <f t="shared" si="7"/>
        <v>0.62214999999999998</v>
      </c>
      <c r="W49">
        <f t="shared" si="8"/>
        <v>7.6898504000000001</v>
      </c>
      <c r="X49">
        <f t="shared" si="25"/>
        <v>14.5</v>
      </c>
      <c r="Y49">
        <f t="shared" si="9"/>
        <v>111.5028308</v>
      </c>
      <c r="Z49">
        <f t="shared" si="10"/>
        <v>88.554396725000004</v>
      </c>
      <c r="AA49" s="4">
        <v>20.537299999999998</v>
      </c>
      <c r="AB49">
        <f t="shared" si="11"/>
        <v>102.6865</v>
      </c>
      <c r="AC49">
        <f t="shared" si="12"/>
        <v>862.3762298354701</v>
      </c>
      <c r="AH49">
        <v>40</v>
      </c>
      <c r="AI49">
        <v>0.28000000000000003</v>
      </c>
      <c r="AJ49">
        <v>0.27329999999999999</v>
      </c>
      <c r="AK49">
        <f t="shared" si="13"/>
        <v>0.27665000000000001</v>
      </c>
      <c r="AL49">
        <f t="shared" si="14"/>
        <v>3.1066770999999997</v>
      </c>
      <c r="AM49">
        <v>5.25</v>
      </c>
      <c r="AN49">
        <f t="shared" si="15"/>
        <v>16.310054774999998</v>
      </c>
      <c r="AO49" s="12">
        <v>17.19435</v>
      </c>
      <c r="AP49" s="12">
        <f t="shared" si="16"/>
        <v>85.97175</v>
      </c>
      <c r="AQ49" s="12">
        <f t="shared" si="17"/>
        <v>189.71411859128139</v>
      </c>
      <c r="AW49">
        <v>40</v>
      </c>
      <c r="AX49">
        <v>0.48470000000000002</v>
      </c>
      <c r="AY49">
        <v>0.4829</v>
      </c>
      <c r="AZ49">
        <f t="shared" si="18"/>
        <v>0.48380000000000001</v>
      </c>
      <c r="BA49">
        <f t="shared" si="19"/>
        <v>5.8282128000000002</v>
      </c>
      <c r="BB49">
        <v>14.5</v>
      </c>
      <c r="BC49">
        <f t="shared" si="20"/>
        <v>84.509085600000006</v>
      </c>
      <c r="BD49">
        <f t="shared" si="21"/>
        <v>68.199030825000008</v>
      </c>
      <c r="BE49" s="12">
        <v>17.19435</v>
      </c>
      <c r="BF49" s="12">
        <f t="shared" si="22"/>
        <v>85.97175</v>
      </c>
      <c r="BG49">
        <f t="shared" si="23"/>
        <v>982.98668574270039</v>
      </c>
    </row>
    <row r="50" spans="1:59" x14ac:dyDescent="0.2">
      <c r="A50">
        <v>12</v>
      </c>
      <c r="D50">
        <v>41</v>
      </c>
      <c r="E50">
        <v>0.25230000000000002</v>
      </c>
      <c r="F50">
        <v>0.26200000000000001</v>
      </c>
      <c r="G50">
        <f t="shared" si="3"/>
        <v>0.25714999999999999</v>
      </c>
      <c r="H50">
        <f t="shared" si="4"/>
        <v>2.8380840999999997</v>
      </c>
      <c r="I50">
        <v>5.25</v>
      </c>
      <c r="J50">
        <f t="shared" si="2"/>
        <v>14.899941524999999</v>
      </c>
      <c r="K50" s="4">
        <v>21.683299999999999</v>
      </c>
      <c r="L50" s="4">
        <f t="shared" si="5"/>
        <v>108.4165</v>
      </c>
      <c r="M50" s="4">
        <f t="shared" si="6"/>
        <v>137.4324159606702</v>
      </c>
      <c r="P50">
        <v>12</v>
      </c>
      <c r="S50">
        <v>41</v>
      </c>
      <c r="T50">
        <v>0.14599999999999999</v>
      </c>
      <c r="U50">
        <v>0.1434</v>
      </c>
      <c r="V50">
        <f t="shared" si="7"/>
        <v>0.1447</v>
      </c>
      <c r="W50">
        <f t="shared" si="8"/>
        <v>1.2652831999999998</v>
      </c>
      <c r="X50">
        <f t="shared" si="25"/>
        <v>14.5</v>
      </c>
      <c r="Y50">
        <f t="shared" si="9"/>
        <v>18.346606399999999</v>
      </c>
      <c r="Z50">
        <f t="shared" si="10"/>
        <v>3.4466648749999997</v>
      </c>
      <c r="AA50" s="4">
        <v>21.683299999999999</v>
      </c>
      <c r="AB50">
        <f t="shared" si="11"/>
        <v>108.4165</v>
      </c>
      <c r="AC50">
        <f t="shared" si="12"/>
        <v>31.79096239963474</v>
      </c>
      <c r="AE50">
        <v>14</v>
      </c>
      <c r="AH50">
        <v>45</v>
      </c>
      <c r="AI50">
        <v>0.30709999999999998</v>
      </c>
      <c r="AJ50">
        <v>0.29289999999999999</v>
      </c>
      <c r="AK50">
        <f t="shared" si="13"/>
        <v>0.3</v>
      </c>
      <c r="AL50">
        <f t="shared" si="14"/>
        <v>3.4282999999999992</v>
      </c>
      <c r="AM50">
        <v>5.25</v>
      </c>
      <c r="AN50">
        <f t="shared" si="15"/>
        <v>17.998574999999995</v>
      </c>
      <c r="AO50" s="12">
        <v>21.762500000000003</v>
      </c>
      <c r="AP50" s="12">
        <f t="shared" si="16"/>
        <v>108.81250000000001</v>
      </c>
      <c r="AQ50" s="12">
        <f t="shared" si="17"/>
        <v>165.40907524411253</v>
      </c>
      <c r="AT50">
        <v>14</v>
      </c>
      <c r="AW50">
        <v>45</v>
      </c>
      <c r="AX50">
        <v>0.56369999999999998</v>
      </c>
      <c r="AY50">
        <v>0.56040000000000001</v>
      </c>
      <c r="AZ50">
        <f t="shared" si="18"/>
        <v>0.56204999999999994</v>
      </c>
      <c r="BA50">
        <f t="shared" si="19"/>
        <v>6.8811447999999986</v>
      </c>
      <c r="BB50">
        <v>14.5</v>
      </c>
      <c r="BC50">
        <f t="shared" si="20"/>
        <v>99.776599599999983</v>
      </c>
      <c r="BD50">
        <f t="shared" si="21"/>
        <v>81.778024599999981</v>
      </c>
      <c r="BE50" s="12">
        <v>21.762500000000003</v>
      </c>
      <c r="BF50" s="12">
        <f t="shared" si="22"/>
        <v>108.81250000000001</v>
      </c>
      <c r="BG50">
        <f t="shared" si="23"/>
        <v>916.95898541068323</v>
      </c>
    </row>
    <row r="51" spans="1:59" x14ac:dyDescent="0.2">
      <c r="D51">
        <v>42</v>
      </c>
      <c r="E51">
        <v>0.1789</v>
      </c>
      <c r="F51">
        <v>0.17660000000000001</v>
      </c>
      <c r="G51">
        <f t="shared" si="3"/>
        <v>0.17775000000000002</v>
      </c>
      <c r="H51">
        <f t="shared" si="4"/>
        <v>1.7444285000000002</v>
      </c>
      <c r="I51">
        <v>5.25</v>
      </c>
      <c r="J51">
        <f t="shared" si="2"/>
        <v>9.1582496250000016</v>
      </c>
      <c r="K51" s="4">
        <v>19.9194</v>
      </c>
      <c r="L51" s="4">
        <f t="shared" si="5"/>
        <v>99.596999999999994</v>
      </c>
      <c r="M51" s="4">
        <f t="shared" si="6"/>
        <v>91.953067110455152</v>
      </c>
      <c r="S51">
        <v>42</v>
      </c>
      <c r="T51">
        <v>0.65129999999999999</v>
      </c>
      <c r="U51">
        <v>0.61850000000000005</v>
      </c>
      <c r="V51">
        <f t="shared" si="7"/>
        <v>0.63490000000000002</v>
      </c>
      <c r="W51">
        <f t="shared" si="8"/>
        <v>7.8614144000000001</v>
      </c>
      <c r="X51">
        <f t="shared" si="25"/>
        <v>14.5</v>
      </c>
      <c r="Y51">
        <f t="shared" si="9"/>
        <v>113.9905088</v>
      </c>
      <c r="Z51">
        <f t="shared" si="10"/>
        <v>104.832259175</v>
      </c>
      <c r="AA51" s="4">
        <v>19.9194</v>
      </c>
      <c r="AB51">
        <f t="shared" si="11"/>
        <v>99.596999999999994</v>
      </c>
      <c r="AC51">
        <f t="shared" si="12"/>
        <v>1052.5644263883451</v>
      </c>
      <c r="AH51">
        <v>46</v>
      </c>
      <c r="AI51">
        <v>0.22320000000000001</v>
      </c>
      <c r="AJ51">
        <v>0.2185</v>
      </c>
      <c r="AK51">
        <f t="shared" si="13"/>
        <v>0.22084999999999999</v>
      </c>
      <c r="AL51">
        <f t="shared" si="14"/>
        <v>2.3380878999999997</v>
      </c>
      <c r="AM51">
        <v>5.25</v>
      </c>
      <c r="AN51">
        <f t="shared" si="15"/>
        <v>12.274961474999998</v>
      </c>
      <c r="AO51" s="12">
        <v>19.62895</v>
      </c>
      <c r="AP51" s="12">
        <f t="shared" si="16"/>
        <v>98.144750000000002</v>
      </c>
      <c r="AQ51" s="12">
        <f t="shared" si="17"/>
        <v>125.06997546990539</v>
      </c>
      <c r="AW51">
        <v>46</v>
      </c>
      <c r="AX51">
        <v>0.66469999999999996</v>
      </c>
      <c r="AY51">
        <v>0.64790000000000003</v>
      </c>
      <c r="AZ51">
        <f t="shared" si="18"/>
        <v>0.65629999999999999</v>
      </c>
      <c r="BA51">
        <f t="shared" si="19"/>
        <v>8.1493727999999983</v>
      </c>
      <c r="BB51">
        <v>14.5</v>
      </c>
      <c r="BC51">
        <f t="shared" si="20"/>
        <v>118.16590559999997</v>
      </c>
      <c r="BD51">
        <f t="shared" si="21"/>
        <v>105.89094412499998</v>
      </c>
      <c r="BE51" s="12">
        <v>19.62895</v>
      </c>
      <c r="BF51" s="12">
        <f t="shared" si="22"/>
        <v>98.144750000000002</v>
      </c>
      <c r="BG51">
        <f t="shared" si="23"/>
        <v>1203.9961954154448</v>
      </c>
    </row>
    <row r="52" spans="1:59" x14ac:dyDescent="0.2">
      <c r="D52">
        <v>43</v>
      </c>
      <c r="E52">
        <v>0.37990000000000002</v>
      </c>
      <c r="F52">
        <v>0.37080000000000002</v>
      </c>
      <c r="G52">
        <f t="shared" si="3"/>
        <v>0.37535000000000002</v>
      </c>
      <c r="H52">
        <f t="shared" si="4"/>
        <v>4.4661708999999998</v>
      </c>
      <c r="I52">
        <v>5.25</v>
      </c>
      <c r="J52">
        <f t="shared" si="2"/>
        <v>23.447397225</v>
      </c>
      <c r="K52" s="4">
        <v>22.126899999999999</v>
      </c>
      <c r="L52" s="4">
        <f t="shared" si="5"/>
        <v>110.6345</v>
      </c>
      <c r="M52" s="4">
        <f t="shared" si="6"/>
        <v>211.93567309473988</v>
      </c>
      <c r="S52">
        <v>43</v>
      </c>
      <c r="T52">
        <v>0.33529999999999999</v>
      </c>
      <c r="U52">
        <v>0.33610000000000001</v>
      </c>
      <c r="V52">
        <f t="shared" si="7"/>
        <v>0.3357</v>
      </c>
      <c r="W52">
        <f t="shared" si="8"/>
        <v>3.8353792000000002</v>
      </c>
      <c r="X52">
        <f t="shared" si="25"/>
        <v>14.5</v>
      </c>
      <c r="Y52">
        <f t="shared" si="9"/>
        <v>55.612998400000002</v>
      </c>
      <c r="Z52">
        <f t="shared" si="10"/>
        <v>32.165601175000006</v>
      </c>
      <c r="AA52" s="4">
        <v>22.126899999999999</v>
      </c>
      <c r="AB52">
        <f t="shared" si="11"/>
        <v>110.6345</v>
      </c>
      <c r="AC52">
        <f t="shared" si="12"/>
        <v>290.73752920653146</v>
      </c>
      <c r="AH52">
        <v>47</v>
      </c>
      <c r="AI52">
        <v>0.45129999999999998</v>
      </c>
      <c r="AJ52">
        <v>0.44669999999999999</v>
      </c>
      <c r="AK52">
        <f t="shared" si="13"/>
        <v>0.44899999999999995</v>
      </c>
      <c r="AL52">
        <f t="shared" si="14"/>
        <v>5.4806259999999991</v>
      </c>
      <c r="AM52">
        <v>5.25</v>
      </c>
      <c r="AN52">
        <f t="shared" si="15"/>
        <v>28.773286499999994</v>
      </c>
      <c r="AO52" s="12">
        <v>19.507450000000002</v>
      </c>
      <c r="AP52" s="12">
        <f t="shared" si="16"/>
        <v>97.537250000000014</v>
      </c>
      <c r="AQ52" s="12">
        <f t="shared" si="17"/>
        <v>294.99792643323434</v>
      </c>
      <c r="AW52">
        <v>47</v>
      </c>
      <c r="AX52">
        <v>0.63049999999999995</v>
      </c>
      <c r="AY52">
        <v>0.61929999999999996</v>
      </c>
      <c r="AZ52">
        <f t="shared" si="18"/>
        <v>0.62490000000000001</v>
      </c>
      <c r="BA52">
        <f t="shared" si="19"/>
        <v>7.7268543999999997</v>
      </c>
      <c r="BB52">
        <v>14.5</v>
      </c>
      <c r="BC52">
        <f t="shared" si="20"/>
        <v>112.0393888</v>
      </c>
      <c r="BD52">
        <f t="shared" si="21"/>
        <v>83.2661023</v>
      </c>
      <c r="BE52" s="12">
        <v>19.507450000000002</v>
      </c>
      <c r="BF52" s="12">
        <f t="shared" si="22"/>
        <v>97.537250000000014</v>
      </c>
      <c r="BG52">
        <f t="shared" si="23"/>
        <v>1148.683080566655</v>
      </c>
    </row>
    <row r="53" spans="1:59" x14ac:dyDescent="0.2">
      <c r="D53">
        <v>44</v>
      </c>
      <c r="E53">
        <v>0.37080000000000002</v>
      </c>
      <c r="F53">
        <v>0.41489999999999999</v>
      </c>
      <c r="G53">
        <f t="shared" si="3"/>
        <v>0.39285000000000003</v>
      </c>
      <c r="H53">
        <f t="shared" si="4"/>
        <v>4.7072159000000005</v>
      </c>
      <c r="I53">
        <v>5.25</v>
      </c>
      <c r="J53">
        <f t="shared" ref="J53:J70" si="26">H53*I53</f>
        <v>24.712883475000002</v>
      </c>
      <c r="K53" s="4">
        <v>20.579549999999998</v>
      </c>
      <c r="L53" s="4">
        <f t="shared" si="5"/>
        <v>102.89774999999999</v>
      </c>
      <c r="M53" s="4">
        <f t="shared" si="6"/>
        <v>240.16932804653169</v>
      </c>
      <c r="S53">
        <v>44</v>
      </c>
      <c r="T53">
        <v>0.37369999999999998</v>
      </c>
      <c r="U53">
        <v>0.36299999999999999</v>
      </c>
      <c r="V53">
        <f t="shared" si="7"/>
        <v>0.36834999999999996</v>
      </c>
      <c r="W53">
        <f t="shared" si="8"/>
        <v>4.2747175999999989</v>
      </c>
      <c r="X53">
        <f t="shared" si="25"/>
        <v>14.5</v>
      </c>
      <c r="Y53">
        <f t="shared" si="9"/>
        <v>61.983405199999986</v>
      </c>
      <c r="Z53">
        <f t="shared" si="10"/>
        <v>37.270521724999981</v>
      </c>
      <c r="AA53" s="4">
        <v>20.579549999999998</v>
      </c>
      <c r="AB53">
        <f t="shared" si="11"/>
        <v>102.89774999999999</v>
      </c>
      <c r="AC53">
        <f t="shared" si="12"/>
        <v>362.20929733643339</v>
      </c>
      <c r="AH53">
        <v>48</v>
      </c>
      <c r="AI53">
        <v>0.38340000000000002</v>
      </c>
      <c r="AJ53">
        <v>0.37719999999999998</v>
      </c>
      <c r="AK53">
        <f t="shared" si="13"/>
        <v>0.38029999999999997</v>
      </c>
      <c r="AL53">
        <f t="shared" si="14"/>
        <v>4.5343521999999989</v>
      </c>
      <c r="AM53">
        <v>5.25</v>
      </c>
      <c r="AN53">
        <f t="shared" si="15"/>
        <v>23.805349049999993</v>
      </c>
      <c r="AO53" s="12">
        <v>17.595700000000001</v>
      </c>
      <c r="AP53" s="12">
        <f t="shared" si="16"/>
        <v>87.978499999999997</v>
      </c>
      <c r="AQ53" s="12">
        <f t="shared" si="17"/>
        <v>270.58143807862137</v>
      </c>
      <c r="AW53">
        <v>48</v>
      </c>
      <c r="AX53">
        <v>0.3291</v>
      </c>
      <c r="AY53">
        <v>0.34210000000000002</v>
      </c>
      <c r="AZ53">
        <f t="shared" si="18"/>
        <v>0.33560000000000001</v>
      </c>
      <c r="BA53">
        <f t="shared" si="19"/>
        <v>3.8340335999999997</v>
      </c>
      <c r="BB53">
        <f>14.5*5</f>
        <v>72.5</v>
      </c>
      <c r="BC53">
        <f t="shared" si="20"/>
        <v>277.96743599999996</v>
      </c>
      <c r="BD53">
        <f t="shared" si="21"/>
        <v>254.16208694999997</v>
      </c>
      <c r="BE53" s="12">
        <v>17.595700000000001</v>
      </c>
      <c r="BF53" s="12">
        <f t="shared" si="22"/>
        <v>87.978499999999997</v>
      </c>
      <c r="BG53">
        <f t="shared" si="23"/>
        <v>3159.4927851691036</v>
      </c>
    </row>
    <row r="54" spans="1:59" x14ac:dyDescent="0.2">
      <c r="A54">
        <v>12</v>
      </c>
      <c r="D54">
        <v>83</v>
      </c>
      <c r="E54">
        <v>0.19309999999999999</v>
      </c>
      <c r="F54">
        <v>0.19239999999999999</v>
      </c>
      <c r="G54">
        <f t="shared" si="3"/>
        <v>0.19274999999999998</v>
      </c>
      <c r="H54">
        <f t="shared" si="4"/>
        <v>1.9510384999999997</v>
      </c>
      <c r="I54">
        <v>5.25</v>
      </c>
      <c r="J54">
        <f t="shared" si="26"/>
        <v>10.242952124999999</v>
      </c>
      <c r="K54" s="4">
        <v>15.594149999999999</v>
      </c>
      <c r="L54" s="4">
        <f t="shared" si="5"/>
        <v>77.970749999999995</v>
      </c>
      <c r="M54" s="4">
        <f t="shared" si="6"/>
        <v>131.36916247438944</v>
      </c>
      <c r="P54">
        <v>12</v>
      </c>
      <c r="S54">
        <v>83</v>
      </c>
      <c r="T54">
        <v>0.27100000000000002</v>
      </c>
      <c r="U54">
        <v>0.26869999999999999</v>
      </c>
      <c r="V54">
        <f t="shared" si="7"/>
        <v>0.26985000000000003</v>
      </c>
      <c r="W54">
        <f t="shared" si="8"/>
        <v>2.9493016000000005</v>
      </c>
      <c r="X54">
        <f>14.5*5</f>
        <v>72.5</v>
      </c>
      <c r="Y54">
        <f t="shared" si="9"/>
        <v>213.82436600000003</v>
      </c>
      <c r="Z54">
        <f t="shared" si="10"/>
        <v>203.58141387500004</v>
      </c>
      <c r="AA54" s="4">
        <v>15.594149999999999</v>
      </c>
      <c r="AB54">
        <f t="shared" si="11"/>
        <v>77.970749999999995</v>
      </c>
      <c r="AC54">
        <f t="shared" si="12"/>
        <v>2610.9972505715291</v>
      </c>
      <c r="AE54">
        <v>15</v>
      </c>
      <c r="AH54">
        <v>87</v>
      </c>
      <c r="AI54">
        <v>0.16769999999999999</v>
      </c>
      <c r="AJ54">
        <v>0.1696</v>
      </c>
      <c r="AK54">
        <f t="shared" si="13"/>
        <v>0.16864999999999999</v>
      </c>
      <c r="AL54">
        <f t="shared" si="14"/>
        <v>1.6190850999999999</v>
      </c>
      <c r="AM54">
        <v>5.25</v>
      </c>
      <c r="AN54">
        <f t="shared" si="15"/>
        <v>8.5001967749999991</v>
      </c>
      <c r="AO54" s="12">
        <v>18.725850000000001</v>
      </c>
      <c r="AP54" s="12">
        <f t="shared" si="16"/>
        <v>93.629250000000013</v>
      </c>
      <c r="AQ54" s="12">
        <f t="shared" si="17"/>
        <v>90.785697578481063</v>
      </c>
      <c r="AT54">
        <v>15</v>
      </c>
      <c r="AW54">
        <v>87</v>
      </c>
      <c r="AX54">
        <v>0.67010000000000003</v>
      </c>
      <c r="AY54">
        <v>0.64529999999999998</v>
      </c>
      <c r="AZ54">
        <f t="shared" si="18"/>
        <v>0.65769999999999995</v>
      </c>
      <c r="BA54">
        <f t="shared" si="19"/>
        <v>8.1682111999999982</v>
      </c>
      <c r="BB54">
        <v>14.5</v>
      </c>
      <c r="BC54">
        <f t="shared" si="20"/>
        <v>118.43906239999997</v>
      </c>
      <c r="BD54">
        <f t="shared" si="21"/>
        <v>109.93886562499998</v>
      </c>
      <c r="BE54" s="12">
        <v>18.725850000000001</v>
      </c>
      <c r="BF54" s="12">
        <f t="shared" si="22"/>
        <v>93.629250000000013</v>
      </c>
      <c r="BG54">
        <f t="shared" si="23"/>
        <v>1264.979292261766</v>
      </c>
    </row>
    <row r="55" spans="1:59" x14ac:dyDescent="0.2">
      <c r="D55">
        <v>84</v>
      </c>
      <c r="E55">
        <v>0.17480000000000001</v>
      </c>
      <c r="F55">
        <v>0.17199999999999999</v>
      </c>
      <c r="G55">
        <f t="shared" si="3"/>
        <v>0.1734</v>
      </c>
      <c r="H55">
        <f t="shared" si="4"/>
        <v>1.6845116</v>
      </c>
      <c r="I55">
        <v>5.25</v>
      </c>
      <c r="J55">
        <f t="shared" si="26"/>
        <v>8.8436859000000005</v>
      </c>
      <c r="K55" s="4">
        <v>16.861650000000001</v>
      </c>
      <c r="L55" s="4">
        <f t="shared" si="5"/>
        <v>84.308250000000001</v>
      </c>
      <c r="M55" s="4">
        <f t="shared" si="6"/>
        <v>104.89704032523508</v>
      </c>
      <c r="S55">
        <v>84</v>
      </c>
      <c r="T55">
        <v>0.4753</v>
      </c>
      <c r="U55">
        <v>0.43419999999999997</v>
      </c>
      <c r="V55">
        <f t="shared" si="7"/>
        <v>0.45474999999999999</v>
      </c>
      <c r="W55">
        <f t="shared" si="8"/>
        <v>5.437316</v>
      </c>
      <c r="X55">
        <f>14.5*5</f>
        <v>72.5</v>
      </c>
      <c r="Y55">
        <f t="shared" si="9"/>
        <v>394.20541000000003</v>
      </c>
      <c r="Z55" s="4">
        <f t="shared" si="10"/>
        <v>385.3617241</v>
      </c>
      <c r="AA55" s="4">
        <v>16.861650000000001</v>
      </c>
      <c r="AB55">
        <f t="shared" si="11"/>
        <v>84.308250000000001</v>
      </c>
      <c r="AC55">
        <f t="shared" si="12"/>
        <v>4570.8661263873937</v>
      </c>
      <c r="AH55">
        <v>88</v>
      </c>
      <c r="AI55" s="8">
        <v>0.215</v>
      </c>
      <c r="AJ55" s="8">
        <v>0.21590000000000001</v>
      </c>
      <c r="AK55" s="8">
        <f t="shared" si="13"/>
        <v>0.21545</v>
      </c>
      <c r="AL55" s="8">
        <f t="shared" si="14"/>
        <v>2.2637082999999998</v>
      </c>
      <c r="AM55" s="8">
        <v>5.25</v>
      </c>
      <c r="AN55" s="8">
        <f t="shared" si="15"/>
        <v>11.884468575</v>
      </c>
      <c r="AO55" s="8"/>
      <c r="AP55" s="13"/>
      <c r="AQ55" s="12"/>
      <c r="AW55" s="8">
        <v>88</v>
      </c>
      <c r="AX55" s="8">
        <v>0.28510000000000002</v>
      </c>
      <c r="AY55" s="8">
        <v>0.28199999999999997</v>
      </c>
      <c r="AZ55" s="8">
        <f t="shared" si="18"/>
        <v>0.28354999999999997</v>
      </c>
      <c r="BA55" s="8">
        <f t="shared" si="19"/>
        <v>3.1336487999999996</v>
      </c>
      <c r="BB55" s="8">
        <f>14.5*5</f>
        <v>72.5</v>
      </c>
      <c r="BC55" s="8">
        <f t="shared" si="20"/>
        <v>227.18953799999997</v>
      </c>
      <c r="BD55" s="8">
        <f t="shared" si="21"/>
        <v>215.30506942499997</v>
      </c>
    </row>
    <row r="56" spans="1:59" x14ac:dyDescent="0.2">
      <c r="D56">
        <v>85</v>
      </c>
      <c r="E56">
        <v>0.21729999999999999</v>
      </c>
      <c r="F56">
        <v>0.22070000000000001</v>
      </c>
      <c r="G56">
        <f t="shared" si="3"/>
        <v>0.219</v>
      </c>
      <c r="H56">
        <f t="shared" si="4"/>
        <v>2.3126059999999997</v>
      </c>
      <c r="I56">
        <v>5.25</v>
      </c>
      <c r="J56">
        <f t="shared" si="26"/>
        <v>12.141181499999998</v>
      </c>
      <c r="K56" s="4">
        <v>17.146799999999999</v>
      </c>
      <c r="L56" s="4">
        <f t="shared" si="5"/>
        <v>85.733999999999995</v>
      </c>
      <c r="M56" s="4">
        <f t="shared" si="6"/>
        <v>141.6145461543845</v>
      </c>
      <c r="S56">
        <v>85</v>
      </c>
      <c r="T56">
        <v>0.26579999999999998</v>
      </c>
      <c r="U56">
        <v>0.26300000000000001</v>
      </c>
      <c r="V56">
        <f t="shared" si="7"/>
        <v>0.26439999999999997</v>
      </c>
      <c r="W56">
        <f t="shared" si="8"/>
        <v>2.8759663999999994</v>
      </c>
      <c r="X56">
        <f>14.5*5</f>
        <v>72.5</v>
      </c>
      <c r="Y56">
        <f t="shared" si="9"/>
        <v>208.50756399999995</v>
      </c>
      <c r="Z56">
        <f t="shared" si="10"/>
        <v>196.36638249999996</v>
      </c>
      <c r="AA56" s="4">
        <v>17.146799999999999</v>
      </c>
      <c r="AB56">
        <f t="shared" si="11"/>
        <v>85.733999999999995</v>
      </c>
      <c r="AC56">
        <f t="shared" si="12"/>
        <v>2290.4143338698764</v>
      </c>
      <c r="AH56">
        <v>89</v>
      </c>
      <c r="AI56">
        <v>0.32119999999999999</v>
      </c>
      <c r="AJ56">
        <v>0.31319999999999998</v>
      </c>
      <c r="AK56">
        <f t="shared" si="13"/>
        <v>0.31719999999999998</v>
      </c>
      <c r="AL56">
        <f t="shared" si="14"/>
        <v>3.6652127999999999</v>
      </c>
      <c r="AM56">
        <v>5.25</v>
      </c>
      <c r="AN56">
        <f t="shared" si="15"/>
        <v>19.2423672</v>
      </c>
      <c r="AO56" s="12">
        <v>17.02535</v>
      </c>
      <c r="AP56" s="12">
        <f t="shared" si="16"/>
        <v>85.126750000000001</v>
      </c>
      <c r="AQ56" s="12">
        <f t="shared" si="17"/>
        <v>226.0437195123742</v>
      </c>
      <c r="AW56">
        <v>89</v>
      </c>
      <c r="AX56">
        <v>0.63829999999999998</v>
      </c>
      <c r="AY56">
        <v>0.64900000000000002</v>
      </c>
      <c r="AZ56">
        <f t="shared" si="18"/>
        <v>0.64365000000000006</v>
      </c>
      <c r="BA56">
        <f t="shared" si="19"/>
        <v>7.9791543999999996</v>
      </c>
      <c r="BB56">
        <v>14.5</v>
      </c>
      <c r="BC56">
        <f t="shared" si="20"/>
        <v>115.6977388</v>
      </c>
      <c r="BD56">
        <f t="shared" si="21"/>
        <v>96.455371599999992</v>
      </c>
      <c r="BE56" s="12">
        <v>17.02535</v>
      </c>
      <c r="BF56" s="12">
        <f t="shared" ref="BF56:BF63" si="27">BE56*5</f>
        <v>85.126750000000001</v>
      </c>
      <c r="BG56">
        <f t="shared" si="23"/>
        <v>1359.123175735007</v>
      </c>
    </row>
    <row r="57" spans="1:59" x14ac:dyDescent="0.2">
      <c r="D57">
        <v>86</v>
      </c>
      <c r="E57">
        <v>0.30549999999999999</v>
      </c>
      <c r="F57">
        <v>0.2923</v>
      </c>
      <c r="G57">
        <f t="shared" si="3"/>
        <v>0.2989</v>
      </c>
      <c r="H57">
        <f t="shared" si="4"/>
        <v>3.4131485999999995</v>
      </c>
      <c r="I57">
        <v>5.25</v>
      </c>
      <c r="J57">
        <f t="shared" si="26"/>
        <v>17.919030149999998</v>
      </c>
      <c r="K57" s="4">
        <v>19.121950000000002</v>
      </c>
      <c r="L57" s="4">
        <f t="shared" si="5"/>
        <v>95.609750000000005</v>
      </c>
      <c r="M57" s="4">
        <f t="shared" si="6"/>
        <v>187.41843954199229</v>
      </c>
      <c r="S57">
        <v>86</v>
      </c>
      <c r="T57">
        <v>0.37119999999999997</v>
      </c>
      <c r="U57">
        <v>0.37419999999999998</v>
      </c>
      <c r="V57">
        <f t="shared" si="7"/>
        <v>0.37269999999999998</v>
      </c>
      <c r="W57">
        <f t="shared" si="8"/>
        <v>4.3332511999999994</v>
      </c>
      <c r="X57">
        <f t="shared" ref="X57:X63" si="28">(100+100+10+30+50)/100*5</f>
        <v>14.5</v>
      </c>
      <c r="Y57">
        <f t="shared" si="9"/>
        <v>62.832142399999995</v>
      </c>
      <c r="Z57">
        <f t="shared" si="10"/>
        <v>44.913112249999998</v>
      </c>
      <c r="AA57" s="4">
        <v>19.121950000000002</v>
      </c>
      <c r="AB57">
        <f t="shared" si="11"/>
        <v>95.609750000000005</v>
      </c>
      <c r="AC57">
        <f t="shared" si="12"/>
        <v>469.7545203287321</v>
      </c>
      <c r="AH57">
        <v>90</v>
      </c>
      <c r="AI57">
        <v>0.3553</v>
      </c>
      <c r="AJ57">
        <v>0.3538</v>
      </c>
      <c r="AK57">
        <f t="shared" si="13"/>
        <v>0.35455000000000003</v>
      </c>
      <c r="AL57">
        <f t="shared" si="14"/>
        <v>4.1796717000000001</v>
      </c>
      <c r="AM57">
        <v>5.25</v>
      </c>
      <c r="AN57">
        <f t="shared" si="15"/>
        <v>21.943276425000001</v>
      </c>
      <c r="AO57" s="12">
        <v>18.0974</v>
      </c>
      <c r="AP57" s="12">
        <f t="shared" si="16"/>
        <v>90.486999999999995</v>
      </c>
      <c r="AQ57" s="12">
        <f t="shared" si="17"/>
        <v>242.50197735586329</v>
      </c>
      <c r="AW57">
        <v>90</v>
      </c>
      <c r="AX57">
        <v>0.37159999999999999</v>
      </c>
      <c r="AY57">
        <v>0.36330000000000001</v>
      </c>
      <c r="AZ57">
        <f t="shared" si="18"/>
        <v>0.36745</v>
      </c>
      <c r="BA57">
        <f t="shared" si="19"/>
        <v>4.2626071999999997</v>
      </c>
      <c r="BB57">
        <f>14.5*5</f>
        <v>72.5</v>
      </c>
      <c r="BC57">
        <f t="shared" si="20"/>
        <v>309.03902199999999</v>
      </c>
      <c r="BD57">
        <f t="shared" si="21"/>
        <v>287.09574557499997</v>
      </c>
      <c r="BE57" s="12">
        <v>18.0974</v>
      </c>
      <c r="BF57" s="12">
        <f t="shared" si="27"/>
        <v>90.486999999999995</v>
      </c>
      <c r="BG57">
        <f t="shared" si="23"/>
        <v>3415.2864168333572</v>
      </c>
    </row>
    <row r="58" spans="1:59" x14ac:dyDescent="0.2">
      <c r="A58">
        <v>11</v>
      </c>
      <c r="C58" t="s">
        <v>13</v>
      </c>
      <c r="D58">
        <v>49</v>
      </c>
      <c r="E58">
        <v>0.18820000000000001</v>
      </c>
      <c r="F58">
        <v>0.18770000000000001</v>
      </c>
      <c r="G58">
        <f t="shared" si="3"/>
        <v>0.18795000000000001</v>
      </c>
      <c r="H58">
        <f t="shared" si="4"/>
        <v>1.8849233000000001</v>
      </c>
      <c r="I58">
        <v>5.25</v>
      </c>
      <c r="J58">
        <f t="shared" si="26"/>
        <v>9.8958473250000001</v>
      </c>
      <c r="K58" s="4">
        <v>17.616849999999999</v>
      </c>
      <c r="L58" s="4">
        <f t="shared" si="5"/>
        <v>88.084249999999997</v>
      </c>
      <c r="M58" s="4">
        <f t="shared" si="6"/>
        <v>112.3452526984109</v>
      </c>
      <c r="N58">
        <f>AVERAGE(J58:J70)</f>
        <v>18.12373298076923</v>
      </c>
      <c r="P58">
        <v>11</v>
      </c>
      <c r="R58" t="s">
        <v>13</v>
      </c>
      <c r="S58">
        <v>49</v>
      </c>
      <c r="T58">
        <v>0.64490000000000003</v>
      </c>
      <c r="U58">
        <v>0.63880000000000003</v>
      </c>
      <c r="V58">
        <f t="shared" si="7"/>
        <v>0.64185000000000003</v>
      </c>
      <c r="W58">
        <f t="shared" si="8"/>
        <v>7.9549335999999995</v>
      </c>
      <c r="X58">
        <f t="shared" si="28"/>
        <v>14.5</v>
      </c>
      <c r="Y58">
        <f t="shared" si="9"/>
        <v>115.34653719999999</v>
      </c>
      <c r="Z58">
        <f t="shared" si="10"/>
        <v>105.45068987499998</v>
      </c>
      <c r="AA58" s="4">
        <v>17.616849999999999</v>
      </c>
      <c r="AB58">
        <f t="shared" si="11"/>
        <v>88.084249999999997</v>
      </c>
      <c r="AC58">
        <f t="shared" si="12"/>
        <v>1197.1571521015389</v>
      </c>
      <c r="AE58">
        <v>15</v>
      </c>
      <c r="AG58" t="s">
        <v>13</v>
      </c>
      <c r="AH58">
        <v>53</v>
      </c>
      <c r="AI58">
        <v>9.8400000000000001E-2</v>
      </c>
      <c r="AJ58">
        <v>0.1045</v>
      </c>
      <c r="AK58">
        <f t="shared" si="13"/>
        <v>0.10145</v>
      </c>
      <c r="AL58">
        <f t="shared" si="14"/>
        <v>0.69347229999999982</v>
      </c>
      <c r="AM58">
        <v>5.25</v>
      </c>
      <c r="AN58">
        <f t="shared" si="15"/>
        <v>3.6407295749999991</v>
      </c>
      <c r="AO58" s="12">
        <v>18.863199999999999</v>
      </c>
      <c r="AP58" s="12">
        <f t="shared" si="16"/>
        <v>94.316000000000003</v>
      </c>
      <c r="AQ58" s="12">
        <f t="shared" si="17"/>
        <v>38.601399285381049</v>
      </c>
      <c r="AT58">
        <v>15</v>
      </c>
      <c r="AV58" t="s">
        <v>13</v>
      </c>
      <c r="AW58">
        <v>53</v>
      </c>
      <c r="AX58">
        <v>0.69640000000000002</v>
      </c>
      <c r="AY58">
        <v>0.69350000000000001</v>
      </c>
      <c r="AZ58">
        <f t="shared" si="18"/>
        <v>0.69494999999999996</v>
      </c>
      <c r="BA58">
        <f t="shared" si="19"/>
        <v>8.6694472000000005</v>
      </c>
      <c r="BB58">
        <v>14.5</v>
      </c>
      <c r="BC58">
        <f t="shared" si="20"/>
        <v>125.70698440000001</v>
      </c>
      <c r="BD58">
        <f t="shared" si="21"/>
        <v>122.06625482500002</v>
      </c>
      <c r="BE58" s="12">
        <v>18.863199999999999</v>
      </c>
      <c r="BF58" s="12">
        <f t="shared" si="27"/>
        <v>94.316000000000003</v>
      </c>
      <c r="BG58">
        <f t="shared" si="23"/>
        <v>1332.8277747147888</v>
      </c>
    </row>
    <row r="59" spans="1:59" x14ac:dyDescent="0.2">
      <c r="D59">
        <v>50</v>
      </c>
      <c r="E59">
        <v>0.37990000000000002</v>
      </c>
      <c r="F59">
        <v>0.36459999999999998</v>
      </c>
      <c r="G59">
        <f t="shared" si="3"/>
        <v>0.37224999999999997</v>
      </c>
      <c r="H59">
        <f t="shared" si="4"/>
        <v>4.4234714999999989</v>
      </c>
      <c r="I59">
        <v>5.25</v>
      </c>
      <c r="J59">
        <f t="shared" si="26"/>
        <v>23.223225374999995</v>
      </c>
      <c r="K59" s="4">
        <v>21.4298</v>
      </c>
      <c r="L59" s="4">
        <f t="shared" si="5"/>
        <v>107.149</v>
      </c>
      <c r="M59" s="4">
        <f t="shared" si="6"/>
        <v>216.73767720650676</v>
      </c>
      <c r="S59">
        <v>50</v>
      </c>
      <c r="T59">
        <v>0.22850000000000001</v>
      </c>
      <c r="U59">
        <v>0.23230000000000001</v>
      </c>
      <c r="V59">
        <f t="shared" si="7"/>
        <v>0.23039999999999999</v>
      </c>
      <c r="W59">
        <f t="shared" si="8"/>
        <v>2.4184623999999997</v>
      </c>
      <c r="X59">
        <f t="shared" si="28"/>
        <v>14.5</v>
      </c>
      <c r="Y59">
        <f t="shared" si="9"/>
        <v>35.067704799999994</v>
      </c>
      <c r="Z59">
        <f t="shared" si="10"/>
        <v>11.844479424999999</v>
      </c>
      <c r="AA59" s="4">
        <v>21.4298</v>
      </c>
      <c r="AB59">
        <f t="shared" si="11"/>
        <v>107.149</v>
      </c>
      <c r="AC59">
        <f t="shared" si="12"/>
        <v>110.54213688415197</v>
      </c>
      <c r="AH59">
        <v>54</v>
      </c>
      <c r="AI59">
        <v>0.1716</v>
      </c>
      <c r="AJ59">
        <v>0.1696</v>
      </c>
      <c r="AK59">
        <f t="shared" si="13"/>
        <v>0.1706</v>
      </c>
      <c r="AL59">
        <f t="shared" si="14"/>
        <v>1.6459443999999999</v>
      </c>
      <c r="AM59">
        <v>5.25</v>
      </c>
      <c r="AN59">
        <f t="shared" si="15"/>
        <v>8.6412081000000001</v>
      </c>
      <c r="AO59" s="12">
        <v>27.59815</v>
      </c>
      <c r="AP59" s="12">
        <f t="shared" si="16"/>
        <v>137.99074999999999</v>
      </c>
      <c r="AQ59" s="12">
        <f t="shared" si="17"/>
        <v>62.621647465500402</v>
      </c>
      <c r="AW59">
        <v>54</v>
      </c>
      <c r="AX59">
        <v>0.3291</v>
      </c>
      <c r="AY59">
        <v>0.317</v>
      </c>
      <c r="AZ59">
        <f t="shared" si="18"/>
        <v>0.32305</v>
      </c>
      <c r="BA59">
        <f t="shared" si="19"/>
        <v>3.6651607999999998</v>
      </c>
      <c r="BB59">
        <f>14.5*5</f>
        <v>72.5</v>
      </c>
      <c r="BC59">
        <f t="shared" si="20"/>
        <v>265.72415799999999</v>
      </c>
      <c r="BD59">
        <f t="shared" si="21"/>
        <v>257.08294990000002</v>
      </c>
      <c r="BE59" s="12">
        <v>27.59815</v>
      </c>
      <c r="BF59" s="12">
        <f t="shared" si="27"/>
        <v>137.99074999999999</v>
      </c>
      <c r="BG59">
        <f t="shared" si="23"/>
        <v>1925.666452280316</v>
      </c>
    </row>
    <row r="60" spans="1:59" x14ac:dyDescent="0.2">
      <c r="D60" s="4">
        <v>51</v>
      </c>
      <c r="E60" s="4">
        <v>0.26960000000000001</v>
      </c>
      <c r="F60" s="4">
        <v>0.27610000000000001</v>
      </c>
      <c r="G60" s="4">
        <f t="shared" si="3"/>
        <v>0.27285000000000004</v>
      </c>
      <c r="H60" s="4">
        <f t="shared" si="4"/>
        <v>3.0543359000000003</v>
      </c>
      <c r="I60" s="4">
        <v>5.25</v>
      </c>
      <c r="J60" s="4">
        <f t="shared" si="26"/>
        <v>16.035263475000001</v>
      </c>
      <c r="K60" s="4">
        <v>20.648199999999999</v>
      </c>
      <c r="L60" s="4">
        <f t="shared" si="5"/>
        <v>103.241</v>
      </c>
      <c r="M60" s="4">
        <f t="shared" si="6"/>
        <v>155.31875393496773</v>
      </c>
      <c r="S60" s="4">
        <v>51</v>
      </c>
      <c r="T60" s="4">
        <v>0.16550000000000001</v>
      </c>
      <c r="U60" s="4">
        <v>0.1651</v>
      </c>
      <c r="V60" s="4">
        <f t="shared" si="7"/>
        <v>0.1653</v>
      </c>
      <c r="W60" s="4">
        <f t="shared" si="8"/>
        <v>1.5424768000000002</v>
      </c>
      <c r="X60" s="4">
        <f t="shared" si="28"/>
        <v>14.5</v>
      </c>
      <c r="Y60" s="4">
        <f t="shared" si="9"/>
        <v>22.365913600000003</v>
      </c>
      <c r="Z60" s="4">
        <f t="shared" si="10"/>
        <v>6.3306501250000018</v>
      </c>
      <c r="AA60" s="4">
        <v>20.648199999999999</v>
      </c>
      <c r="AB60">
        <f t="shared" si="11"/>
        <v>103.241</v>
      </c>
      <c r="AC60">
        <f t="shared" si="12"/>
        <v>61.319147673889269</v>
      </c>
      <c r="AH60">
        <v>55</v>
      </c>
      <c r="AI60">
        <v>0.22389999999999999</v>
      </c>
      <c r="AJ60">
        <v>0.2208</v>
      </c>
      <c r="AK60">
        <f t="shared" si="13"/>
        <v>0.22234999999999999</v>
      </c>
      <c r="AL60">
        <f t="shared" si="14"/>
        <v>2.3587488999999997</v>
      </c>
      <c r="AM60">
        <v>5.25</v>
      </c>
      <c r="AN60">
        <f t="shared" si="15"/>
        <v>12.383431724999998</v>
      </c>
      <c r="AO60" s="12">
        <v>19.565549999999998</v>
      </c>
      <c r="AP60" s="12">
        <f t="shared" si="16"/>
        <v>97.827749999999995</v>
      </c>
      <c r="AQ60" s="12">
        <f t="shared" si="17"/>
        <v>126.584039038003</v>
      </c>
      <c r="AW60">
        <v>55</v>
      </c>
      <c r="AX60">
        <v>0.63239999999999996</v>
      </c>
      <c r="AY60">
        <v>0.62749999999999995</v>
      </c>
      <c r="AZ60">
        <f t="shared" si="18"/>
        <v>0.62995000000000001</v>
      </c>
      <c r="BA60">
        <f t="shared" si="19"/>
        <v>7.7948072000000002</v>
      </c>
      <c r="BB60">
        <v>14.5</v>
      </c>
      <c r="BC60">
        <f t="shared" si="20"/>
        <v>113.0247044</v>
      </c>
      <c r="BD60">
        <f t="shared" si="21"/>
        <v>100.64127267500001</v>
      </c>
      <c r="BE60" s="12">
        <v>19.565549999999998</v>
      </c>
      <c r="BF60" s="12">
        <f t="shared" si="27"/>
        <v>97.827749999999995</v>
      </c>
      <c r="BG60">
        <f t="shared" si="23"/>
        <v>1155.3440041297076</v>
      </c>
    </row>
    <row r="61" spans="1:59" x14ac:dyDescent="0.2">
      <c r="D61">
        <v>52</v>
      </c>
      <c r="E61">
        <v>0.34810000000000002</v>
      </c>
      <c r="F61">
        <v>0.35709999999999997</v>
      </c>
      <c r="G61">
        <f t="shared" si="3"/>
        <v>0.35260000000000002</v>
      </c>
      <c r="H61">
        <f t="shared" si="4"/>
        <v>4.1528124000000002</v>
      </c>
      <c r="I61">
        <v>5.25</v>
      </c>
      <c r="J61">
        <f t="shared" si="26"/>
        <v>21.8022651</v>
      </c>
      <c r="K61" s="4">
        <v>18.319199999999999</v>
      </c>
      <c r="L61" s="4">
        <f t="shared" si="5"/>
        <v>91.595999999999989</v>
      </c>
      <c r="M61" s="4">
        <f t="shared" si="6"/>
        <v>238.02638870693048</v>
      </c>
      <c r="S61">
        <v>52</v>
      </c>
      <c r="T61">
        <v>0.6694</v>
      </c>
      <c r="U61">
        <v>0.64990000000000003</v>
      </c>
      <c r="V61">
        <f t="shared" si="7"/>
        <v>0.65965000000000007</v>
      </c>
      <c r="W61">
        <f t="shared" si="8"/>
        <v>8.1944504000000009</v>
      </c>
      <c r="X61">
        <f t="shared" si="28"/>
        <v>14.5</v>
      </c>
      <c r="Y61">
        <f t="shared" si="9"/>
        <v>118.81953080000001</v>
      </c>
      <c r="Z61">
        <f t="shared" si="10"/>
        <v>97.01726570000001</v>
      </c>
      <c r="AA61" s="4">
        <v>18.319199999999999</v>
      </c>
      <c r="AB61">
        <f t="shared" si="11"/>
        <v>91.595999999999989</v>
      </c>
      <c r="AC61">
        <f t="shared" si="12"/>
        <v>1059.1867079348444</v>
      </c>
      <c r="AH61">
        <v>56</v>
      </c>
      <c r="AI61">
        <v>0.35310000000000002</v>
      </c>
      <c r="AJ61">
        <v>0.35089999999999999</v>
      </c>
      <c r="AK61">
        <f t="shared" si="13"/>
        <v>0.35199999999999998</v>
      </c>
      <c r="AL61">
        <f t="shared" si="14"/>
        <v>4.1445479999999995</v>
      </c>
      <c r="AM61">
        <v>5.25</v>
      </c>
      <c r="AN61">
        <f t="shared" si="15"/>
        <v>21.758876999999998</v>
      </c>
      <c r="AO61" s="12">
        <v>19.544449999999998</v>
      </c>
      <c r="AP61" s="12">
        <f t="shared" si="16"/>
        <v>97.722249999999988</v>
      </c>
      <c r="AQ61" s="12">
        <f t="shared" si="17"/>
        <v>222.66041766332643</v>
      </c>
      <c r="AW61">
        <v>56</v>
      </c>
      <c r="AX61">
        <v>0.69610000000000005</v>
      </c>
      <c r="AY61">
        <v>0.69059999999999999</v>
      </c>
      <c r="AZ61">
        <f t="shared" si="18"/>
        <v>0.69335000000000002</v>
      </c>
      <c r="BA61">
        <f t="shared" si="19"/>
        <v>8.6479175999999995</v>
      </c>
      <c r="BB61">
        <v>14.5</v>
      </c>
      <c r="BC61">
        <f t="shared" si="20"/>
        <v>125.39480519999999</v>
      </c>
      <c r="BD61">
        <f t="shared" si="21"/>
        <v>103.6359282</v>
      </c>
      <c r="BE61" s="12">
        <v>19.544449999999998</v>
      </c>
      <c r="BF61" s="12">
        <f t="shared" si="27"/>
        <v>97.722249999999988</v>
      </c>
      <c r="BG61">
        <f t="shared" si="23"/>
        <v>1283.1755838614031</v>
      </c>
    </row>
    <row r="62" spans="1:59" x14ac:dyDescent="0.2">
      <c r="A62">
        <v>12</v>
      </c>
      <c r="D62">
        <v>57</v>
      </c>
      <c r="E62">
        <v>0.14019999999999999</v>
      </c>
      <c r="F62">
        <v>0.14249999999999999</v>
      </c>
      <c r="G62">
        <f t="shared" si="3"/>
        <v>0.14134999999999998</v>
      </c>
      <c r="H62">
        <f t="shared" si="4"/>
        <v>1.2430548999999995</v>
      </c>
      <c r="I62">
        <v>5.25</v>
      </c>
      <c r="J62">
        <f t="shared" si="26"/>
        <v>6.5260382249999971</v>
      </c>
      <c r="K62" s="4">
        <v>18.73115</v>
      </c>
      <c r="L62" s="4">
        <f t="shared" si="5"/>
        <v>93.655749999999998</v>
      </c>
      <c r="M62" s="4">
        <f t="shared" si="6"/>
        <v>69.681127159837999</v>
      </c>
      <c r="P62">
        <v>12</v>
      </c>
      <c r="S62">
        <v>57</v>
      </c>
      <c r="T62">
        <v>0.24440000000000001</v>
      </c>
      <c r="U62">
        <v>0.24360000000000001</v>
      </c>
      <c r="V62">
        <f t="shared" si="7"/>
        <v>0.24399999999999999</v>
      </c>
      <c r="W62">
        <f t="shared" si="8"/>
        <v>2.601464</v>
      </c>
      <c r="X62">
        <f t="shared" si="28"/>
        <v>14.5</v>
      </c>
      <c r="Y62">
        <f t="shared" si="9"/>
        <v>37.721227999999996</v>
      </c>
      <c r="Z62">
        <f t="shared" si="10"/>
        <v>31.195189774999999</v>
      </c>
      <c r="AA62" s="4">
        <v>18.73115</v>
      </c>
      <c r="AB62">
        <f t="shared" si="11"/>
        <v>93.655749999999998</v>
      </c>
      <c r="AC62">
        <f t="shared" si="12"/>
        <v>333.08355092986818</v>
      </c>
      <c r="AE62">
        <v>14</v>
      </c>
      <c r="AH62">
        <v>61</v>
      </c>
      <c r="AI62">
        <v>0.20369999999999999</v>
      </c>
      <c r="AJ62">
        <v>0.21110000000000001</v>
      </c>
      <c r="AK62">
        <f t="shared" si="13"/>
        <v>0.2074</v>
      </c>
      <c r="AL62">
        <f t="shared" si="14"/>
        <v>2.1528275999999997</v>
      </c>
      <c r="AM62">
        <v>5.25</v>
      </c>
      <c r="AN62">
        <f t="shared" si="15"/>
        <v>11.302344899999998</v>
      </c>
      <c r="AO62" s="10">
        <v>18.187200000000001</v>
      </c>
      <c r="AP62" s="12">
        <f t="shared" si="16"/>
        <v>90.936000000000007</v>
      </c>
      <c r="AQ62" s="12">
        <f t="shared" si="17"/>
        <v>124.28900435471098</v>
      </c>
      <c r="AT62">
        <v>14</v>
      </c>
      <c r="AW62">
        <v>61</v>
      </c>
      <c r="AX62">
        <v>0.3231</v>
      </c>
      <c r="AY62">
        <v>0.2782</v>
      </c>
      <c r="AZ62">
        <f t="shared" si="18"/>
        <v>0.30064999999999997</v>
      </c>
      <c r="BA62">
        <f t="shared" si="19"/>
        <v>3.3637463999999992</v>
      </c>
      <c r="BB62">
        <f>14.5*5</f>
        <v>72.5</v>
      </c>
      <c r="BC62">
        <f t="shared" si="20"/>
        <v>243.87161399999994</v>
      </c>
      <c r="BD62">
        <f t="shared" si="21"/>
        <v>232.56926909999993</v>
      </c>
      <c r="BE62" s="10">
        <v>18.187200000000001</v>
      </c>
      <c r="BF62" s="12">
        <f t="shared" si="27"/>
        <v>90.936000000000007</v>
      </c>
      <c r="BG62">
        <f t="shared" si="23"/>
        <v>2681.7939429928729</v>
      </c>
    </row>
    <row r="63" spans="1:59" x14ac:dyDescent="0.2">
      <c r="D63">
        <v>58</v>
      </c>
      <c r="E63">
        <v>0.2029</v>
      </c>
      <c r="F63">
        <v>0.20430000000000001</v>
      </c>
      <c r="G63">
        <f t="shared" si="3"/>
        <v>0.2036</v>
      </c>
      <c r="H63">
        <f t="shared" si="4"/>
        <v>2.1004863999999999</v>
      </c>
      <c r="I63">
        <v>5.25</v>
      </c>
      <c r="J63">
        <f t="shared" si="26"/>
        <v>11.027553599999999</v>
      </c>
      <c r="K63" s="4">
        <v>20.3947</v>
      </c>
      <c r="L63" s="4">
        <f t="shared" si="5"/>
        <v>101.9735</v>
      </c>
      <c r="M63" s="4">
        <f t="shared" si="6"/>
        <v>108.14136613924205</v>
      </c>
      <c r="S63">
        <v>58</v>
      </c>
      <c r="T63">
        <v>0.3322</v>
      </c>
      <c r="U63">
        <v>0.32479999999999998</v>
      </c>
      <c r="V63">
        <f t="shared" si="7"/>
        <v>0.32850000000000001</v>
      </c>
      <c r="W63">
        <f t="shared" si="8"/>
        <v>3.7384960000000005</v>
      </c>
      <c r="X63">
        <f t="shared" si="28"/>
        <v>14.5</v>
      </c>
      <c r="Y63">
        <f t="shared" si="9"/>
        <v>54.208192000000004</v>
      </c>
      <c r="Z63">
        <f t="shared" si="10"/>
        <v>43.180638400000007</v>
      </c>
      <c r="AA63" s="4">
        <v>20.3947</v>
      </c>
      <c r="AB63">
        <f t="shared" si="11"/>
        <v>101.9735</v>
      </c>
      <c r="AC63">
        <f t="shared" si="12"/>
        <v>423.44960602509479</v>
      </c>
      <c r="AH63">
        <v>62</v>
      </c>
      <c r="AI63">
        <v>0.192</v>
      </c>
      <c r="AJ63">
        <v>0.18959999999999999</v>
      </c>
      <c r="AK63">
        <f t="shared" si="13"/>
        <v>0.1908</v>
      </c>
      <c r="AL63">
        <f t="shared" si="14"/>
        <v>1.9241791999999998</v>
      </c>
      <c r="AM63">
        <v>5.25</v>
      </c>
      <c r="AN63">
        <f t="shared" si="15"/>
        <v>10.101940799999999</v>
      </c>
      <c r="AO63" s="10">
        <v>18.699449999999999</v>
      </c>
      <c r="AP63" s="12">
        <f t="shared" si="16"/>
        <v>93.497249999999994</v>
      </c>
      <c r="AQ63" s="12">
        <f t="shared" si="17"/>
        <v>108.04532539727104</v>
      </c>
      <c r="AW63">
        <v>62</v>
      </c>
      <c r="AX63">
        <v>0.44600000000000001</v>
      </c>
      <c r="AY63">
        <v>0.4607</v>
      </c>
      <c r="AZ63">
        <f t="shared" si="18"/>
        <v>0.45335000000000003</v>
      </c>
      <c r="BA63">
        <f t="shared" si="19"/>
        <v>5.4184776000000001</v>
      </c>
      <c r="BB63">
        <v>14.5</v>
      </c>
      <c r="BC63">
        <f t="shared" si="20"/>
        <v>78.567925200000005</v>
      </c>
      <c r="BD63">
        <f t="shared" si="21"/>
        <v>68.465984400000011</v>
      </c>
      <c r="BE63" s="10">
        <v>18.699449999999999</v>
      </c>
      <c r="BF63" s="12">
        <f t="shared" si="27"/>
        <v>93.497249999999994</v>
      </c>
      <c r="BG63">
        <f t="shared" si="23"/>
        <v>840.3233806341899</v>
      </c>
    </row>
    <row r="64" spans="1:59" x14ac:dyDescent="0.2">
      <c r="D64">
        <v>59</v>
      </c>
      <c r="E64">
        <v>0.27889999999999998</v>
      </c>
      <c r="F64">
        <v>0.29139999999999999</v>
      </c>
      <c r="G64">
        <f t="shared" si="3"/>
        <v>0.28515000000000001</v>
      </c>
      <c r="H64">
        <f t="shared" si="4"/>
        <v>3.2237561000000001</v>
      </c>
      <c r="I64">
        <v>5.25</v>
      </c>
      <c r="J64">
        <f t="shared" si="26"/>
        <v>16.924719525</v>
      </c>
      <c r="K64" s="4">
        <v>19.908850000000001</v>
      </c>
      <c r="L64" s="4">
        <f t="shared" si="5"/>
        <v>99.544250000000005</v>
      </c>
      <c r="M64" s="4">
        <f t="shared" si="6"/>
        <v>170.02207083784347</v>
      </c>
      <c r="S64">
        <v>59</v>
      </c>
      <c r="T64">
        <v>0.35980000000000001</v>
      </c>
      <c r="U64">
        <v>0.37059999999999998</v>
      </c>
      <c r="V64">
        <f t="shared" si="7"/>
        <v>0.36519999999999997</v>
      </c>
      <c r="W64">
        <f t="shared" si="8"/>
        <v>4.2323311999999991</v>
      </c>
      <c r="X64">
        <f>14.5*5</f>
        <v>72.5</v>
      </c>
      <c r="Y64">
        <f t="shared" si="9"/>
        <v>306.84401199999991</v>
      </c>
      <c r="Z64">
        <f t="shared" si="10"/>
        <v>289.91929247499991</v>
      </c>
      <c r="AA64" s="4">
        <v>19.908850000000001</v>
      </c>
      <c r="AB64">
        <f t="shared" si="11"/>
        <v>99.544250000000005</v>
      </c>
      <c r="AC64">
        <f t="shared" si="12"/>
        <v>2912.4664907817369</v>
      </c>
      <c r="AH64">
        <v>63</v>
      </c>
      <c r="AM64">
        <v>5.25</v>
      </c>
      <c r="AP64" s="12"/>
      <c r="AQ64" s="12"/>
      <c r="AW64">
        <v>63</v>
      </c>
    </row>
    <row r="65" spans="1:59" x14ac:dyDescent="0.2">
      <c r="D65">
        <v>60</v>
      </c>
      <c r="E65">
        <v>0.30880000000000002</v>
      </c>
      <c r="F65">
        <v>0.30380000000000001</v>
      </c>
      <c r="G65">
        <f t="shared" si="3"/>
        <v>0.30630000000000002</v>
      </c>
      <c r="H65">
        <f t="shared" si="4"/>
        <v>3.5150762000000002</v>
      </c>
      <c r="I65">
        <v>5.25</v>
      </c>
      <c r="J65">
        <f t="shared" si="26"/>
        <v>18.454150050000003</v>
      </c>
      <c r="K65" s="4">
        <v>19.063849999999999</v>
      </c>
      <c r="L65" s="4">
        <f t="shared" si="5"/>
        <v>95.319249999999997</v>
      </c>
      <c r="M65" s="4">
        <f t="shared" si="6"/>
        <v>193.6036010564498</v>
      </c>
      <c r="S65">
        <v>60</v>
      </c>
      <c r="T65">
        <v>0.43509999999999999</v>
      </c>
      <c r="U65">
        <v>0.43840000000000001</v>
      </c>
      <c r="V65">
        <f t="shared" si="7"/>
        <v>0.43674999999999997</v>
      </c>
      <c r="W65">
        <f t="shared" si="8"/>
        <v>5.1951079999999994</v>
      </c>
      <c r="X65">
        <f>(100+100+10+30+50)/100*5</f>
        <v>14.5</v>
      </c>
      <c r="Y65">
        <f t="shared" si="9"/>
        <v>75.329065999999997</v>
      </c>
      <c r="Z65">
        <f t="shared" si="10"/>
        <v>56.874915949999995</v>
      </c>
      <c r="AA65" s="4">
        <v>19.063849999999999</v>
      </c>
      <c r="AB65">
        <f t="shared" si="11"/>
        <v>95.319249999999997</v>
      </c>
      <c r="AC65">
        <f t="shared" si="12"/>
        <v>596.67817308675842</v>
      </c>
      <c r="AH65">
        <v>64</v>
      </c>
      <c r="AI65">
        <v>0.18149999999999999</v>
      </c>
      <c r="AJ65">
        <v>0.18410000000000001</v>
      </c>
      <c r="AK65">
        <f t="shared" si="13"/>
        <v>0.18280000000000002</v>
      </c>
      <c r="AL65">
        <f t="shared" si="14"/>
        <v>1.8139872000000001</v>
      </c>
      <c r="AM65">
        <v>5.25</v>
      </c>
      <c r="AN65">
        <f t="shared" si="15"/>
        <v>9.5234328000000001</v>
      </c>
      <c r="AO65" s="10">
        <v>17.358049999999999</v>
      </c>
      <c r="AP65" s="12">
        <f t="shared" si="16"/>
        <v>86.790249999999986</v>
      </c>
      <c r="AQ65" s="12">
        <f t="shared" si="17"/>
        <v>109.72929332499909</v>
      </c>
      <c r="AW65">
        <v>64</v>
      </c>
      <c r="AX65">
        <v>0.35399999999999998</v>
      </c>
      <c r="AY65">
        <v>0.36509999999999998</v>
      </c>
      <c r="AZ65">
        <f t="shared" si="18"/>
        <v>0.35954999999999998</v>
      </c>
      <c r="BA65">
        <f t="shared" si="19"/>
        <v>4.1563048</v>
      </c>
      <c r="BB65">
        <v>14.5</v>
      </c>
      <c r="BC65">
        <f t="shared" si="20"/>
        <v>60.266419599999999</v>
      </c>
      <c r="BD65">
        <f t="shared" si="21"/>
        <v>50.742986799999997</v>
      </c>
      <c r="BE65" s="10">
        <v>17.358049999999999</v>
      </c>
      <c r="BF65" s="12">
        <f t="shared" ref="BF65:BF70" si="29">BE65*5</f>
        <v>86.790249999999986</v>
      </c>
      <c r="BG65">
        <f t="shared" si="23"/>
        <v>694.39158891695797</v>
      </c>
    </row>
    <row r="66" spans="1:59" x14ac:dyDescent="0.2">
      <c r="A66">
        <v>12</v>
      </c>
      <c r="D66">
        <v>91</v>
      </c>
      <c r="E66">
        <v>0.21249999999999999</v>
      </c>
      <c r="F66">
        <v>0.21759999999999999</v>
      </c>
      <c r="G66">
        <f t="shared" si="3"/>
        <v>0.21504999999999999</v>
      </c>
      <c r="H66">
        <f t="shared" si="4"/>
        <v>2.2581986999999999</v>
      </c>
      <c r="I66">
        <v>5.25</v>
      </c>
      <c r="J66">
        <f t="shared" si="26"/>
        <v>11.855543174999999</v>
      </c>
      <c r="K66" s="4">
        <v>17.812249999999999</v>
      </c>
      <c r="L66" s="4">
        <f t="shared" si="5"/>
        <v>89.061250000000001</v>
      </c>
      <c r="M66" s="4">
        <f t="shared" si="6"/>
        <v>133.11673904195146</v>
      </c>
      <c r="P66">
        <v>12</v>
      </c>
      <c r="S66">
        <v>91</v>
      </c>
      <c r="T66">
        <v>0.44169999999999998</v>
      </c>
      <c r="U66">
        <v>0.39979999999999999</v>
      </c>
      <c r="V66">
        <f t="shared" si="7"/>
        <v>0.42074999999999996</v>
      </c>
      <c r="W66">
        <f t="shared" si="8"/>
        <v>4.979811999999999</v>
      </c>
      <c r="X66">
        <f>14.5*5</f>
        <v>72.5</v>
      </c>
      <c r="Y66">
        <f t="shared" si="9"/>
        <v>361.03636999999992</v>
      </c>
      <c r="Z66">
        <f t="shared" si="10"/>
        <v>349.18082682499994</v>
      </c>
      <c r="AA66" s="4">
        <v>17.812249999999999</v>
      </c>
      <c r="AB66">
        <f t="shared" si="11"/>
        <v>89.061250000000001</v>
      </c>
      <c r="AC66">
        <f t="shared" si="12"/>
        <v>3920.6818546225204</v>
      </c>
      <c r="AE66">
        <v>15</v>
      </c>
      <c r="AH66">
        <v>96</v>
      </c>
      <c r="AI66">
        <v>0.2462</v>
      </c>
      <c r="AJ66">
        <v>0.24510000000000001</v>
      </c>
      <c r="AK66">
        <f t="shared" si="13"/>
        <v>0.24565000000000001</v>
      </c>
      <c r="AL66">
        <f t="shared" si="14"/>
        <v>2.6796831000000001</v>
      </c>
      <c r="AM66">
        <v>5.25</v>
      </c>
      <c r="AN66">
        <f t="shared" si="15"/>
        <v>14.068336275</v>
      </c>
      <c r="AO66" s="10">
        <v>20.294350000000001</v>
      </c>
      <c r="AP66" s="12">
        <f t="shared" si="16"/>
        <v>101.47175000000001</v>
      </c>
      <c r="AQ66" s="12">
        <f t="shared" si="17"/>
        <v>138.64288607420289</v>
      </c>
      <c r="AT66">
        <v>15</v>
      </c>
      <c r="AW66">
        <v>96</v>
      </c>
      <c r="AX66">
        <v>0.78490000000000004</v>
      </c>
      <c r="AY66">
        <v>0.7752</v>
      </c>
      <c r="AZ66">
        <f t="shared" si="18"/>
        <v>0.78005000000000002</v>
      </c>
      <c r="BA66">
        <f t="shared" si="19"/>
        <v>9.8145528000000013</v>
      </c>
      <c r="BB66">
        <v>14.5</v>
      </c>
      <c r="BC66">
        <f t="shared" si="20"/>
        <v>142.31101560000002</v>
      </c>
      <c r="BD66">
        <f t="shared" si="21"/>
        <v>128.24267932500001</v>
      </c>
      <c r="BE66" s="10">
        <v>20.294350000000001</v>
      </c>
      <c r="BF66" s="12">
        <f t="shared" si="29"/>
        <v>101.47175000000001</v>
      </c>
      <c r="BG66">
        <f t="shared" si="23"/>
        <v>1402.4693138730731</v>
      </c>
    </row>
    <row r="67" spans="1:59" x14ac:dyDescent="0.2">
      <c r="D67">
        <v>92</v>
      </c>
      <c r="E67">
        <v>0.28470000000000001</v>
      </c>
      <c r="F67">
        <v>0.28070000000000001</v>
      </c>
      <c r="G67">
        <f t="shared" si="3"/>
        <v>0.28270000000000001</v>
      </c>
      <c r="H67">
        <f t="shared" si="4"/>
        <v>3.1900097999999999</v>
      </c>
      <c r="I67">
        <v>5.25</v>
      </c>
      <c r="J67">
        <f t="shared" si="26"/>
        <v>16.74755145</v>
      </c>
      <c r="K67" s="4">
        <v>20.077850000000002</v>
      </c>
      <c r="L67" s="4">
        <f t="shared" si="5"/>
        <v>100.38925</v>
      </c>
      <c r="M67" s="4">
        <f t="shared" si="6"/>
        <v>166.82614373550953</v>
      </c>
      <c r="S67">
        <v>92</v>
      </c>
      <c r="T67">
        <v>0.26079999999999998</v>
      </c>
      <c r="U67">
        <v>0.2913</v>
      </c>
      <c r="V67">
        <f t="shared" si="7"/>
        <v>0.27605000000000002</v>
      </c>
      <c r="W67">
        <f t="shared" si="8"/>
        <v>3.0327288000000001</v>
      </c>
      <c r="X67">
        <f>14.5*5</f>
        <v>72.5</v>
      </c>
      <c r="Y67">
        <f t="shared" si="9"/>
        <v>219.872838</v>
      </c>
      <c r="Z67">
        <f t="shared" si="10"/>
        <v>203.12528655</v>
      </c>
      <c r="AA67" s="4">
        <v>20.077850000000002</v>
      </c>
      <c r="AB67">
        <f t="shared" si="11"/>
        <v>100.38925</v>
      </c>
      <c r="AC67">
        <f t="shared" si="12"/>
        <v>2023.3768710295176</v>
      </c>
      <c r="AH67">
        <v>97</v>
      </c>
      <c r="AI67">
        <v>0.33810000000000001</v>
      </c>
      <c r="AJ67">
        <v>0.33800000000000002</v>
      </c>
      <c r="AK67">
        <f t="shared" si="13"/>
        <v>0.33805000000000002</v>
      </c>
      <c r="AL67">
        <f t="shared" si="14"/>
        <v>3.9524007000000001</v>
      </c>
      <c r="AM67">
        <v>5.25</v>
      </c>
      <c r="AN67">
        <f t="shared" si="15"/>
        <v>20.750103675000002</v>
      </c>
      <c r="AO67" s="12">
        <v>19.174750000000003</v>
      </c>
      <c r="AP67" s="12">
        <f t="shared" si="16"/>
        <v>95.873750000000015</v>
      </c>
      <c r="AQ67" s="12">
        <f t="shared" si="17"/>
        <v>216.43154330564934</v>
      </c>
      <c r="AW67">
        <v>97</v>
      </c>
      <c r="AX67">
        <v>0.52410000000000001</v>
      </c>
      <c r="AY67">
        <v>0.53939999999999999</v>
      </c>
      <c r="AZ67">
        <f t="shared" si="18"/>
        <v>0.53174999999999994</v>
      </c>
      <c r="BA67">
        <f t="shared" si="19"/>
        <v>6.4734279999999993</v>
      </c>
      <c r="BB67">
        <v>14.5</v>
      </c>
      <c r="BC67">
        <f t="shared" si="20"/>
        <v>93.864705999999984</v>
      </c>
      <c r="BD67">
        <f t="shared" si="21"/>
        <v>73.114602324999979</v>
      </c>
      <c r="BE67" s="12">
        <v>19.174750000000003</v>
      </c>
      <c r="BF67" s="12">
        <f t="shared" si="29"/>
        <v>95.873750000000015</v>
      </c>
      <c r="BG67">
        <f t="shared" si="23"/>
        <v>979.04490019426555</v>
      </c>
    </row>
    <row r="68" spans="1:59" x14ac:dyDescent="0.2">
      <c r="D68">
        <v>93</v>
      </c>
      <c r="E68">
        <v>0.37419999999999998</v>
      </c>
      <c r="F68">
        <v>0.37740000000000001</v>
      </c>
      <c r="G68">
        <f t="shared" si="3"/>
        <v>0.37580000000000002</v>
      </c>
      <c r="H68">
        <f t="shared" si="4"/>
        <v>4.4723692000000002</v>
      </c>
      <c r="I68">
        <v>5.25</v>
      </c>
      <c r="J68">
        <f t="shared" si="26"/>
        <v>23.479938300000001</v>
      </c>
      <c r="K68" s="4">
        <v>19.486349999999998</v>
      </c>
      <c r="L68" s="4">
        <f t="shared" si="5"/>
        <v>97.431749999999994</v>
      </c>
      <c r="M68" s="4">
        <f t="shared" si="6"/>
        <v>240.9885720004003</v>
      </c>
      <c r="S68">
        <v>93</v>
      </c>
      <c r="T68">
        <v>0.34229999999999999</v>
      </c>
      <c r="U68">
        <v>0.33579999999999999</v>
      </c>
      <c r="V68">
        <f t="shared" si="7"/>
        <v>0.33904999999999996</v>
      </c>
      <c r="W68">
        <f t="shared" si="8"/>
        <v>3.8804567999999993</v>
      </c>
      <c r="X68">
        <f>14.5*5</f>
        <v>72.5</v>
      </c>
      <c r="Y68">
        <f t="shared" si="9"/>
        <v>281.33311799999996</v>
      </c>
      <c r="Z68">
        <f t="shared" si="10"/>
        <v>257.85317969999994</v>
      </c>
      <c r="AA68" s="4">
        <v>19.486349999999998</v>
      </c>
      <c r="AB68">
        <f t="shared" si="11"/>
        <v>97.431749999999994</v>
      </c>
      <c r="AC68">
        <f t="shared" si="12"/>
        <v>2646.5005473061906</v>
      </c>
      <c r="AH68">
        <v>98</v>
      </c>
      <c r="AI68">
        <v>0.37919999999999998</v>
      </c>
      <c r="AJ68">
        <v>0.38279999999999997</v>
      </c>
      <c r="AK68">
        <f t="shared" si="13"/>
        <v>0.38100000000000001</v>
      </c>
      <c r="AL68">
        <f t="shared" si="14"/>
        <v>4.5439939999999996</v>
      </c>
      <c r="AM68">
        <v>5.25</v>
      </c>
      <c r="AN68">
        <f t="shared" si="15"/>
        <v>23.855968499999999</v>
      </c>
      <c r="AO68" s="12">
        <v>19.407149999999998</v>
      </c>
      <c r="AP68" s="12">
        <f t="shared" si="16"/>
        <v>97.035749999999993</v>
      </c>
      <c r="AQ68" s="12">
        <f t="shared" si="17"/>
        <v>245.84721095060328</v>
      </c>
      <c r="AW68">
        <v>98</v>
      </c>
      <c r="AX68">
        <v>0.49790000000000001</v>
      </c>
      <c r="AY68">
        <v>0.50549999999999995</v>
      </c>
      <c r="AZ68">
        <f t="shared" si="18"/>
        <v>0.50170000000000003</v>
      </c>
      <c r="BA68">
        <f t="shared" si="19"/>
        <v>6.0690752000000003</v>
      </c>
      <c r="BB68">
        <v>14.5</v>
      </c>
      <c r="BC68">
        <f t="shared" si="20"/>
        <v>88.001590399999998</v>
      </c>
      <c r="BD68">
        <f t="shared" si="21"/>
        <v>64.145621899999995</v>
      </c>
      <c r="BE68" s="12">
        <v>19.407149999999998</v>
      </c>
      <c r="BF68" s="12">
        <f t="shared" si="29"/>
        <v>97.035749999999993</v>
      </c>
      <c r="BG68">
        <f t="shared" si="23"/>
        <v>906.89864714808721</v>
      </c>
    </row>
    <row r="69" spans="1:59" x14ac:dyDescent="0.2">
      <c r="D69">
        <v>94</v>
      </c>
      <c r="E69">
        <v>0.40889999999999999</v>
      </c>
      <c r="F69">
        <v>0.40679999999999999</v>
      </c>
      <c r="G69">
        <f t="shared" si="3"/>
        <v>0.40784999999999999</v>
      </c>
      <c r="H69">
        <f t="shared" si="4"/>
        <v>4.9138259</v>
      </c>
      <c r="I69">
        <v>5.25</v>
      </c>
      <c r="J69">
        <f t="shared" si="26"/>
        <v>25.797585975000001</v>
      </c>
      <c r="K69" s="4">
        <v>18.09215</v>
      </c>
      <c r="L69" s="4">
        <f t="shared" si="5"/>
        <v>90.460750000000004</v>
      </c>
      <c r="M69" s="4">
        <f t="shared" si="6"/>
        <v>285.17988160611088</v>
      </c>
      <c r="S69">
        <v>94</v>
      </c>
      <c r="T69">
        <v>0.32229999999999998</v>
      </c>
      <c r="U69">
        <v>0.31869999999999998</v>
      </c>
      <c r="V69">
        <f t="shared" si="7"/>
        <v>0.32050000000000001</v>
      </c>
      <c r="W69">
        <f t="shared" si="8"/>
        <v>3.6308480000000003</v>
      </c>
      <c r="X69">
        <f>14.5*5</f>
        <v>72.5</v>
      </c>
      <c r="Y69">
        <f t="shared" si="9"/>
        <v>263.23648000000003</v>
      </c>
      <c r="Z69">
        <f t="shared" si="10"/>
        <v>237.43889402500002</v>
      </c>
      <c r="AA69" s="4">
        <v>18.09215</v>
      </c>
      <c r="AB69">
        <f t="shared" si="11"/>
        <v>90.460750000000004</v>
      </c>
      <c r="AC69">
        <f t="shared" si="12"/>
        <v>2624.772556329679</v>
      </c>
      <c r="AH69">
        <v>99</v>
      </c>
      <c r="AI69">
        <v>0.46279999999999999</v>
      </c>
      <c r="AJ69">
        <v>0.46</v>
      </c>
      <c r="AK69">
        <f t="shared" si="13"/>
        <v>0.46140000000000003</v>
      </c>
      <c r="AL69">
        <f t="shared" si="14"/>
        <v>5.6514236000000002</v>
      </c>
      <c r="AM69">
        <v>5.25</v>
      </c>
      <c r="AN69">
        <f t="shared" si="15"/>
        <v>29.669973900000002</v>
      </c>
      <c r="AO69" s="12">
        <v>20.109500000000001</v>
      </c>
      <c r="AP69" s="12">
        <f t="shared" si="16"/>
        <v>100.5475</v>
      </c>
      <c r="AQ69" s="12">
        <f t="shared" si="17"/>
        <v>295.08415326089658</v>
      </c>
      <c r="AW69">
        <v>99</v>
      </c>
      <c r="AX69">
        <v>0.49</v>
      </c>
      <c r="AY69">
        <v>0.4541</v>
      </c>
      <c r="AZ69">
        <f t="shared" si="18"/>
        <v>0.47204999999999997</v>
      </c>
      <c r="BA69">
        <f t="shared" si="19"/>
        <v>5.6701047999999998</v>
      </c>
      <c r="BB69">
        <v>14.5</v>
      </c>
      <c r="BC69">
        <f t="shared" si="20"/>
        <v>82.216519599999998</v>
      </c>
      <c r="BD69">
        <f t="shared" si="21"/>
        <v>52.546545699999996</v>
      </c>
      <c r="BE69" s="12">
        <v>20.109500000000001</v>
      </c>
      <c r="BF69" s="12">
        <f t="shared" si="29"/>
        <v>100.5475</v>
      </c>
      <c r="BG69">
        <f t="shared" si="23"/>
        <v>817.68835227131456</v>
      </c>
    </row>
    <row r="70" spans="1:59" x14ac:dyDescent="0.2">
      <c r="D70">
        <v>95</v>
      </c>
      <c r="E70">
        <v>0.51229999999999998</v>
      </c>
      <c r="F70">
        <v>0.52580000000000005</v>
      </c>
      <c r="G70">
        <f t="shared" si="3"/>
        <v>0.51905000000000001</v>
      </c>
      <c r="H70">
        <f t="shared" si="4"/>
        <v>6.4454946999999994</v>
      </c>
      <c r="I70">
        <v>5.25</v>
      </c>
      <c r="J70">
        <f t="shared" si="26"/>
        <v>33.838847174999998</v>
      </c>
      <c r="K70" s="4">
        <v>19.2804</v>
      </c>
      <c r="L70" s="4">
        <f t="shared" si="5"/>
        <v>96.402000000000001</v>
      </c>
      <c r="M70" s="4">
        <f t="shared" si="6"/>
        <v>351.01810309952077</v>
      </c>
      <c r="S70">
        <v>95</v>
      </c>
      <c r="T70">
        <v>0.69099999999999995</v>
      </c>
      <c r="U70">
        <v>0.67469999999999997</v>
      </c>
      <c r="V70">
        <f t="shared" si="7"/>
        <v>0.68284999999999996</v>
      </c>
      <c r="W70">
        <f t="shared" si="8"/>
        <v>8.5066296000000001</v>
      </c>
      <c r="X70">
        <f>(100+100+10+30+50)/100*5</f>
        <v>14.5</v>
      </c>
      <c r="Y70">
        <f t="shared" si="9"/>
        <v>123.34612920000001</v>
      </c>
      <c r="Z70">
        <f t="shared" si="10"/>
        <v>89.507282025000009</v>
      </c>
      <c r="AA70" s="4">
        <v>19.2804</v>
      </c>
      <c r="AB70">
        <f t="shared" si="11"/>
        <v>96.402000000000001</v>
      </c>
      <c r="AC70">
        <f t="shared" si="12"/>
        <v>928.4795131325078</v>
      </c>
      <c r="AH70">
        <v>100</v>
      </c>
      <c r="AI70">
        <v>0.50829999999999997</v>
      </c>
      <c r="AJ70">
        <v>0.50570000000000004</v>
      </c>
      <c r="AK70">
        <f t="shared" si="13"/>
        <v>0.50700000000000001</v>
      </c>
      <c r="AL70">
        <f t="shared" si="14"/>
        <v>6.2795179999999995</v>
      </c>
      <c r="AM70">
        <v>5.25</v>
      </c>
      <c r="AN70">
        <f t="shared" si="15"/>
        <v>32.9674695</v>
      </c>
      <c r="AO70" s="12">
        <v>20.526750000000003</v>
      </c>
      <c r="AP70" s="12">
        <f t="shared" si="16"/>
        <v>102.63375000000002</v>
      </c>
      <c r="AQ70" s="12">
        <f t="shared" si="17"/>
        <v>321.21470276590298</v>
      </c>
      <c r="AW70">
        <v>100</v>
      </c>
      <c r="AX70">
        <v>0.68520000000000003</v>
      </c>
      <c r="AY70">
        <v>0.67310000000000003</v>
      </c>
      <c r="AZ70">
        <f t="shared" si="18"/>
        <v>0.67915000000000003</v>
      </c>
      <c r="BA70">
        <f t="shared" si="19"/>
        <v>8.4568423999999993</v>
      </c>
      <c r="BB70">
        <v>14.5</v>
      </c>
      <c r="BC70">
        <f t="shared" si="20"/>
        <v>122.62421479999999</v>
      </c>
      <c r="BD70">
        <f t="shared" si="21"/>
        <v>89.656745299999983</v>
      </c>
      <c r="BE70" s="12">
        <v>20.526750000000003</v>
      </c>
      <c r="BF70" s="12">
        <f t="shared" si="29"/>
        <v>102.63375000000002</v>
      </c>
      <c r="BG70">
        <f t="shared" si="23"/>
        <v>1194.7747675594039</v>
      </c>
    </row>
    <row r="71" spans="1:59" x14ac:dyDescent="0.2">
      <c r="BF71" s="12"/>
    </row>
    <row r="72" spans="1:59" x14ac:dyDescent="0.2">
      <c r="D72" t="s">
        <v>18</v>
      </c>
      <c r="J72" t="s">
        <v>9</v>
      </c>
      <c r="Q72" t="s">
        <v>18</v>
      </c>
      <c r="W72" t="s">
        <v>9</v>
      </c>
    </row>
    <row r="73" spans="1:59" x14ac:dyDescent="0.2">
      <c r="C73" t="s">
        <v>145</v>
      </c>
      <c r="D73" t="s">
        <v>5</v>
      </c>
      <c r="E73" t="s">
        <v>478</v>
      </c>
      <c r="F73" t="s">
        <v>65</v>
      </c>
      <c r="G73" t="s">
        <v>66</v>
      </c>
      <c r="I73" t="s">
        <v>145</v>
      </c>
      <c r="J73" t="s">
        <v>5</v>
      </c>
      <c r="K73" t="s">
        <v>478</v>
      </c>
      <c r="L73" t="s">
        <v>65</v>
      </c>
      <c r="M73" t="s">
        <v>66</v>
      </c>
      <c r="P73" t="s">
        <v>479</v>
      </c>
      <c r="Q73" t="s">
        <v>5</v>
      </c>
      <c r="R73" t="s">
        <v>480</v>
      </c>
      <c r="S73" t="s">
        <v>65</v>
      </c>
      <c r="T73" t="s">
        <v>66</v>
      </c>
      <c r="V73" t="s">
        <v>479</v>
      </c>
      <c r="W73" t="s">
        <v>5</v>
      </c>
      <c r="X73" t="s">
        <v>480</v>
      </c>
      <c r="Y73" t="s">
        <v>65</v>
      </c>
      <c r="Z73" t="s">
        <v>66</v>
      </c>
    </row>
    <row r="74" spans="1:59" x14ac:dyDescent="0.2">
      <c r="D74" t="s">
        <v>10</v>
      </c>
      <c r="E74">
        <f>AVERAGE(AN21:AN32)</f>
        <v>16.829808056250002</v>
      </c>
      <c r="F74">
        <f>COUNT(AN21:AN32)</f>
        <v>12</v>
      </c>
      <c r="G74">
        <f>STDEV(AN21:AN32)/SQRT(F74)</f>
        <v>1.5764805459987454</v>
      </c>
      <c r="J74" t="s">
        <v>10</v>
      </c>
      <c r="K74">
        <f>AVERAGE(J21:J32)</f>
        <v>15.228666643750001</v>
      </c>
      <c r="L74">
        <f>COUNT(J21:J32)</f>
        <v>12</v>
      </c>
      <c r="M74">
        <f>STDEV(J21:J32)/SQRT(L74)</f>
        <v>1.0419736276720155</v>
      </c>
      <c r="Q74" t="s">
        <v>10</v>
      </c>
      <c r="R74">
        <f>AVERAGE(BD21:BD32)</f>
        <v>160.32573414375</v>
      </c>
      <c r="S74">
        <f>COUNT(BD21:BD32)</f>
        <v>12</v>
      </c>
      <c r="T74">
        <f>STDEV(BD21:BD32)/SQRT(S74)</f>
        <v>17.849531091465078</v>
      </c>
      <c r="W74" t="s">
        <v>10</v>
      </c>
      <c r="X74">
        <f>AVERAGE(Z21:Z23,Z25:Z32)</f>
        <v>148.96837120681815</v>
      </c>
      <c r="Y74">
        <f>COUNT(Z21:Z23,Z25:Z32)</f>
        <v>11</v>
      </c>
      <c r="Z74">
        <f>STDEV(Z21:Z23,Z25:Z32)/SQRT(Y74)</f>
        <v>35.648684874533068</v>
      </c>
    </row>
    <row r="75" spans="1:59" x14ac:dyDescent="0.2">
      <c r="D75" t="s">
        <v>11</v>
      </c>
      <c r="E75">
        <f>AVERAGE(AN33:AN45)</f>
        <v>18.381002163461535</v>
      </c>
      <c r="F75">
        <f>COUNT(AN33:AN45)</f>
        <v>13</v>
      </c>
      <c r="G75">
        <f>STDEV(AN33:AN45)/SQRT(F75)</f>
        <v>1.9917729507884903</v>
      </c>
      <c r="J75" t="s">
        <v>11</v>
      </c>
      <c r="K75">
        <f>AVERAGE(J33:J45)</f>
        <v>15.28681875</v>
      </c>
      <c r="L75">
        <f>COUNT(J33:J45)</f>
        <v>13</v>
      </c>
      <c r="M75">
        <f>STDEV(J33:J45)/SQRT(L75)</f>
        <v>2.0041150372586531</v>
      </c>
      <c r="Q75" t="s">
        <v>11</v>
      </c>
      <c r="R75">
        <f>AVERAGE(BD33:BD45)</f>
        <v>154.65898719038461</v>
      </c>
      <c r="S75">
        <f>COUNT(BD33:BD45)</f>
        <v>13</v>
      </c>
      <c r="T75">
        <f>STDEV(BD33:BD45)/SQRT(S75)</f>
        <v>28.466524709100614</v>
      </c>
      <c r="W75" t="s">
        <v>11</v>
      </c>
      <c r="X75">
        <f>AVERAGE(Z33:Z37,Z39:Z45)</f>
        <v>128.56221575416666</v>
      </c>
      <c r="Y75">
        <f>COUNT(Z33:Z37,Z39:Z45)</f>
        <v>12</v>
      </c>
      <c r="Z75">
        <f>STDEV(Z33:Z37,Z39:Z45)/SQRT(Y75)</f>
        <v>32.955254235135584</v>
      </c>
    </row>
    <row r="76" spans="1:59" x14ac:dyDescent="0.2">
      <c r="D76" t="s">
        <v>12</v>
      </c>
      <c r="E76">
        <f>AVERAGE(AN46:AN57)</f>
        <v>16.965395868749997</v>
      </c>
      <c r="F76">
        <f>COUNT(AN46:AN57)</f>
        <v>12</v>
      </c>
      <c r="G76">
        <f>STDEV(AN46:AN57)/SQRT(F76)</f>
        <v>1.8284720226238276</v>
      </c>
      <c r="J76" t="s">
        <v>12</v>
      </c>
      <c r="K76">
        <f>AVERAGE(J46:J57)</f>
        <v>16.667705293749997</v>
      </c>
      <c r="L76">
        <f>COUNT(J46:J57)</f>
        <v>12</v>
      </c>
      <c r="M76">
        <f>STDEV(J46:J57)/SQRT(L76)</f>
        <v>1.8153561899525967</v>
      </c>
      <c r="Q76" t="s">
        <v>12</v>
      </c>
      <c r="R76">
        <f>AVERAGE(BD46:BD57)</f>
        <v>153.53683969791666</v>
      </c>
      <c r="S76">
        <f>COUNT(BD46:BD57)</f>
        <v>12</v>
      </c>
      <c r="T76">
        <f>STDEV(BD46:BD57)/SQRT(S76)</f>
        <v>23.483750355604656</v>
      </c>
      <c r="W76" t="s">
        <v>12</v>
      </c>
      <c r="X76">
        <f>AVERAGE(Z46:Z57)</f>
        <v>107.09748937291666</v>
      </c>
      <c r="Y76">
        <f>COUNT(Z46:Z57)</f>
        <v>12</v>
      </c>
      <c r="Z76">
        <f>STDEV(Z46:Z57)/SQRT(Y76)</f>
        <v>31.256412411711096</v>
      </c>
    </row>
    <row r="77" spans="1:59" x14ac:dyDescent="0.2">
      <c r="D77" t="s">
        <v>13</v>
      </c>
      <c r="E77">
        <f>AVERAGE(AN58:AN70)</f>
        <v>16.5553180625</v>
      </c>
      <c r="F77">
        <f>COUNT(AN58:AN70)</f>
        <v>12</v>
      </c>
      <c r="G77">
        <f>STDEV(AN58:AN70)/SQRT(F77)</f>
        <v>2.6271056823057188</v>
      </c>
      <c r="J77" t="s">
        <v>13</v>
      </c>
      <c r="K77">
        <f>AVERAGE(J58:J70)</f>
        <v>18.12373298076923</v>
      </c>
      <c r="L77">
        <f>COUNT(J58:J70)</f>
        <v>13</v>
      </c>
      <c r="M77">
        <f>STDEV(J58:J70)/SQRT(L77)</f>
        <v>2.0781697615408201</v>
      </c>
      <c r="Q77" t="s">
        <v>13</v>
      </c>
      <c r="R77">
        <f>AVERAGE(BD58:BD70)</f>
        <v>111.90923670416667</v>
      </c>
      <c r="S77">
        <f>COUNT(BD58:BD70)</f>
        <v>12</v>
      </c>
      <c r="T77">
        <f>STDEV(BD58:BD70)/SQRT(S77)</f>
        <v>19.391056737339994</v>
      </c>
      <c r="W77" t="s">
        <v>13</v>
      </c>
      <c r="X77">
        <f>AVERAGE(Z58:Z70)</f>
        <v>136.83989160384613</v>
      </c>
      <c r="Y77">
        <f>COUNT(Z58:Z70)</f>
        <v>13</v>
      </c>
      <c r="Z77">
        <f>STDEV(Z58:Z70)/SQRT(Y77)</f>
        <v>32.17294762655802</v>
      </c>
    </row>
  </sheetData>
  <mergeCells count="4">
    <mergeCell ref="E19:N19"/>
    <mergeCell ref="T19:Y19"/>
    <mergeCell ref="AI19:AN19"/>
    <mergeCell ref="AX19:BC19"/>
  </mergeCells>
  <pageMargins left="0.7" right="0.7" top="0.75" bottom="0.75" header="0.3" footer="0.3"/>
  <pageSetup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D1" workbookViewId="0">
      <selection activeCell="D14" sqref="D14"/>
    </sheetView>
  </sheetViews>
  <sheetFormatPr baseColWidth="10" defaultColWidth="8.796875" defaultRowHeight="15" x14ac:dyDescent="0.2"/>
  <cols>
    <col min="1" max="1" width="10.3984375" bestFit="1" customWidth="1"/>
    <col min="4" max="4" width="26.3984375" bestFit="1" customWidth="1"/>
  </cols>
  <sheetData>
    <row r="1" spans="1:4" s="3" customFormat="1" x14ac:dyDescent="0.2">
      <c r="A1" s="3" t="s">
        <v>4</v>
      </c>
      <c r="B1" s="3" t="s">
        <v>146</v>
      </c>
      <c r="C1" s="3" t="s">
        <v>5</v>
      </c>
      <c r="D1" s="3" t="s">
        <v>346</v>
      </c>
    </row>
    <row r="2" spans="1:4" x14ac:dyDescent="0.2">
      <c r="A2" t="s">
        <v>9</v>
      </c>
      <c r="B2">
        <v>1</v>
      </c>
      <c r="C2" t="s">
        <v>10</v>
      </c>
      <c r="D2">
        <v>406.0257928904926</v>
      </c>
    </row>
    <row r="3" spans="1:4" x14ac:dyDescent="0.2">
      <c r="A3" t="s">
        <v>9</v>
      </c>
      <c r="B3">
        <v>1</v>
      </c>
      <c r="C3" t="s">
        <v>10</v>
      </c>
      <c r="D3">
        <v>1160.8861292601298</v>
      </c>
    </row>
    <row r="4" spans="1:4" x14ac:dyDescent="0.2">
      <c r="A4" t="s">
        <v>9</v>
      </c>
      <c r="B4">
        <v>1</v>
      </c>
      <c r="C4" t="s">
        <v>10</v>
      </c>
      <c r="D4">
        <v>250.48598256171982</v>
      </c>
    </row>
    <row r="5" spans="1:4" x14ac:dyDescent="0.2">
      <c r="A5" t="s">
        <v>9</v>
      </c>
      <c r="B5">
        <v>2</v>
      </c>
      <c r="C5" t="s">
        <v>10</v>
      </c>
      <c r="D5">
        <v>449.87227710569488</v>
      </c>
    </row>
    <row r="6" spans="1:4" x14ac:dyDescent="0.2">
      <c r="A6" t="s">
        <v>9</v>
      </c>
      <c r="B6">
        <v>2</v>
      </c>
      <c r="C6" t="s">
        <v>10</v>
      </c>
      <c r="D6">
        <v>2417.727310282758</v>
      </c>
    </row>
    <row r="7" spans="1:4" x14ac:dyDescent="0.2">
      <c r="A7" t="s">
        <v>9</v>
      </c>
      <c r="B7">
        <v>2</v>
      </c>
      <c r="C7" t="s">
        <v>10</v>
      </c>
      <c r="D7">
        <v>372.07478391978225</v>
      </c>
    </row>
    <row r="8" spans="1:4" x14ac:dyDescent="0.2">
      <c r="A8" t="s">
        <v>9</v>
      </c>
      <c r="B8">
        <v>2</v>
      </c>
      <c r="C8" t="s">
        <v>10</v>
      </c>
      <c r="D8">
        <v>1080.8588369785023</v>
      </c>
    </row>
    <row r="9" spans="1:4" x14ac:dyDescent="0.2">
      <c r="A9" t="s">
        <v>9</v>
      </c>
      <c r="B9">
        <v>3</v>
      </c>
      <c r="C9" t="s">
        <v>10</v>
      </c>
      <c r="D9">
        <v>3119.3761738729399</v>
      </c>
    </row>
    <row r="10" spans="1:4" x14ac:dyDescent="0.2">
      <c r="A10" t="s">
        <v>9</v>
      </c>
      <c r="B10">
        <v>3</v>
      </c>
      <c r="C10" t="s">
        <v>10</v>
      </c>
      <c r="D10">
        <v>3651.7944011822719</v>
      </c>
    </row>
    <row r="11" spans="1:4" x14ac:dyDescent="0.2">
      <c r="A11" t="s">
        <v>9</v>
      </c>
      <c r="B11">
        <v>3</v>
      </c>
      <c r="C11" t="s">
        <v>10</v>
      </c>
      <c r="D11">
        <v>3682.6875518073625</v>
      </c>
    </row>
    <row r="12" spans="1:4" x14ac:dyDescent="0.2">
      <c r="A12" t="s">
        <v>9</v>
      </c>
      <c r="B12">
        <v>3</v>
      </c>
      <c r="C12" t="s">
        <v>10</v>
      </c>
      <c r="D12">
        <v>1387.490101379183</v>
      </c>
    </row>
    <row r="13" spans="1:4" x14ac:dyDescent="0.2">
      <c r="A13" t="s">
        <v>9</v>
      </c>
      <c r="B13">
        <v>1</v>
      </c>
      <c r="C13" t="s">
        <v>11</v>
      </c>
      <c r="D13">
        <v>293.98880437175967</v>
      </c>
    </row>
    <row r="14" spans="1:4" x14ac:dyDescent="0.2">
      <c r="A14" t="s">
        <v>9</v>
      </c>
      <c r="B14">
        <v>1</v>
      </c>
      <c r="C14" t="s">
        <v>11</v>
      </c>
      <c r="D14">
        <v>470.00386011477934</v>
      </c>
    </row>
    <row r="15" spans="1:4" x14ac:dyDescent="0.2">
      <c r="A15" t="s">
        <v>9</v>
      </c>
      <c r="B15">
        <v>1</v>
      </c>
      <c r="C15" t="s">
        <v>11</v>
      </c>
      <c r="D15">
        <v>1200.0529220424883</v>
      </c>
    </row>
    <row r="16" spans="1:4" x14ac:dyDescent="0.2">
      <c r="A16" t="s">
        <v>9</v>
      </c>
      <c r="B16">
        <v>1</v>
      </c>
      <c r="C16" t="s">
        <v>11</v>
      </c>
      <c r="D16">
        <v>1907.5874211783034</v>
      </c>
    </row>
    <row r="17" spans="1:4" x14ac:dyDescent="0.2">
      <c r="A17" t="s">
        <v>9</v>
      </c>
      <c r="B17">
        <v>2</v>
      </c>
      <c r="C17" t="s">
        <v>11</v>
      </c>
      <c r="D17">
        <v>1350.2680718545398</v>
      </c>
    </row>
    <row r="18" spans="1:4" x14ac:dyDescent="0.2">
      <c r="A18" t="s">
        <v>9</v>
      </c>
      <c r="B18">
        <v>2</v>
      </c>
      <c r="C18" t="s">
        <v>11</v>
      </c>
      <c r="D18">
        <v>267.05103660366814</v>
      </c>
    </row>
    <row r="19" spans="1:4" x14ac:dyDescent="0.2">
      <c r="A19" t="s">
        <v>9</v>
      </c>
      <c r="B19">
        <v>2</v>
      </c>
      <c r="C19" t="s">
        <v>11</v>
      </c>
      <c r="D19">
        <v>363.20612070721273</v>
      </c>
    </row>
    <row r="20" spans="1:4" x14ac:dyDescent="0.2">
      <c r="A20" t="s">
        <v>9</v>
      </c>
      <c r="B20">
        <v>3</v>
      </c>
      <c r="C20" t="s">
        <v>11</v>
      </c>
      <c r="D20">
        <v>3087.3289455720151</v>
      </c>
    </row>
    <row r="21" spans="1:4" x14ac:dyDescent="0.2">
      <c r="A21" t="s">
        <v>9</v>
      </c>
      <c r="B21">
        <v>3</v>
      </c>
      <c r="C21" t="s">
        <v>11</v>
      </c>
      <c r="D21">
        <v>739.91627637673719</v>
      </c>
    </row>
    <row r="22" spans="1:4" x14ac:dyDescent="0.2">
      <c r="A22" t="s">
        <v>9</v>
      </c>
      <c r="B22">
        <v>3</v>
      </c>
      <c r="C22" t="s">
        <v>11</v>
      </c>
      <c r="D22">
        <v>2252.0111594970322</v>
      </c>
    </row>
    <row r="23" spans="1:4" x14ac:dyDescent="0.2">
      <c r="A23" t="s">
        <v>9</v>
      </c>
      <c r="B23">
        <v>3</v>
      </c>
      <c r="C23" t="s">
        <v>11</v>
      </c>
      <c r="D23">
        <v>4384.1658714046825</v>
      </c>
    </row>
    <row r="24" spans="1:4" x14ac:dyDescent="0.2">
      <c r="A24" t="s">
        <v>9</v>
      </c>
      <c r="B24">
        <v>3</v>
      </c>
      <c r="C24" t="s">
        <v>11</v>
      </c>
      <c r="D24">
        <v>870.86611509144996</v>
      </c>
    </row>
    <row r="25" spans="1:4" x14ac:dyDescent="0.2">
      <c r="A25" t="s">
        <v>9</v>
      </c>
      <c r="B25">
        <v>1</v>
      </c>
      <c r="C25" t="s">
        <v>12</v>
      </c>
      <c r="D25">
        <v>999.0140448165796</v>
      </c>
    </row>
    <row r="26" spans="1:4" x14ac:dyDescent="0.2">
      <c r="A26" t="s">
        <v>9</v>
      </c>
      <c r="B26">
        <v>1</v>
      </c>
      <c r="C26" t="s">
        <v>12</v>
      </c>
      <c r="D26">
        <v>374.0206424727819</v>
      </c>
    </row>
    <row r="27" spans="1:4" x14ac:dyDescent="0.2">
      <c r="A27" t="s">
        <v>9</v>
      </c>
      <c r="B27">
        <v>1</v>
      </c>
      <c r="C27" t="s">
        <v>12</v>
      </c>
      <c r="D27">
        <v>444.27040809938427</v>
      </c>
    </row>
    <row r="28" spans="1:4" x14ac:dyDescent="0.2">
      <c r="A28" t="s">
        <v>9</v>
      </c>
      <c r="B28">
        <v>1</v>
      </c>
      <c r="C28" t="s">
        <v>12</v>
      </c>
      <c r="D28">
        <v>862.3762298354701</v>
      </c>
    </row>
    <row r="29" spans="1:4" x14ac:dyDescent="0.2">
      <c r="A29" t="s">
        <v>9</v>
      </c>
      <c r="B29">
        <v>2</v>
      </c>
      <c r="C29" t="s">
        <v>12</v>
      </c>
      <c r="D29">
        <v>31.79096239963474</v>
      </c>
    </row>
    <row r="30" spans="1:4" x14ac:dyDescent="0.2">
      <c r="A30" t="s">
        <v>9</v>
      </c>
      <c r="B30">
        <v>2</v>
      </c>
      <c r="C30" t="s">
        <v>12</v>
      </c>
      <c r="D30">
        <v>1052.5644263883451</v>
      </c>
    </row>
    <row r="31" spans="1:4" x14ac:dyDescent="0.2">
      <c r="A31" t="s">
        <v>9</v>
      </c>
      <c r="B31">
        <v>2</v>
      </c>
      <c r="C31" t="s">
        <v>12</v>
      </c>
      <c r="D31">
        <v>290.73752920653146</v>
      </c>
    </row>
    <row r="32" spans="1:4" x14ac:dyDescent="0.2">
      <c r="A32" t="s">
        <v>9</v>
      </c>
      <c r="B32">
        <v>2</v>
      </c>
      <c r="C32" t="s">
        <v>12</v>
      </c>
      <c r="D32">
        <v>362.20929733643339</v>
      </c>
    </row>
    <row r="33" spans="1:4" x14ac:dyDescent="0.2">
      <c r="A33" t="s">
        <v>9</v>
      </c>
      <c r="B33">
        <v>3</v>
      </c>
      <c r="C33" t="s">
        <v>12</v>
      </c>
      <c r="D33">
        <v>2610.9972505715291</v>
      </c>
    </row>
    <row r="34" spans="1:4" x14ac:dyDescent="0.2">
      <c r="A34" t="s">
        <v>9</v>
      </c>
      <c r="B34">
        <v>3</v>
      </c>
      <c r="C34" t="s">
        <v>12</v>
      </c>
      <c r="D34">
        <v>4570.8661263873937</v>
      </c>
    </row>
    <row r="35" spans="1:4" x14ac:dyDescent="0.2">
      <c r="A35" t="s">
        <v>9</v>
      </c>
      <c r="B35">
        <v>3</v>
      </c>
      <c r="C35" t="s">
        <v>12</v>
      </c>
      <c r="D35">
        <v>2290.4143338698764</v>
      </c>
    </row>
    <row r="36" spans="1:4" x14ac:dyDescent="0.2">
      <c r="A36" t="s">
        <v>9</v>
      </c>
      <c r="B36">
        <v>3</v>
      </c>
      <c r="C36" t="s">
        <v>12</v>
      </c>
      <c r="D36">
        <v>469.7545203287321</v>
      </c>
    </row>
    <row r="37" spans="1:4" x14ac:dyDescent="0.2">
      <c r="A37" t="s">
        <v>9</v>
      </c>
      <c r="B37">
        <v>1</v>
      </c>
      <c r="C37" t="s">
        <v>13</v>
      </c>
      <c r="D37">
        <v>1197.1571521015389</v>
      </c>
    </row>
    <row r="38" spans="1:4" x14ac:dyDescent="0.2">
      <c r="A38" t="s">
        <v>9</v>
      </c>
      <c r="B38">
        <v>1</v>
      </c>
      <c r="C38" t="s">
        <v>13</v>
      </c>
      <c r="D38">
        <v>110.54213688415197</v>
      </c>
    </row>
    <row r="39" spans="1:4" x14ac:dyDescent="0.2">
      <c r="A39" t="s">
        <v>9</v>
      </c>
      <c r="B39">
        <v>1</v>
      </c>
      <c r="C39" t="s">
        <v>13</v>
      </c>
      <c r="D39">
        <v>61.319147673889269</v>
      </c>
    </row>
    <row r="40" spans="1:4" x14ac:dyDescent="0.2">
      <c r="A40" t="s">
        <v>9</v>
      </c>
      <c r="B40">
        <v>1</v>
      </c>
      <c r="C40" t="s">
        <v>13</v>
      </c>
      <c r="D40">
        <v>1059.1867079348444</v>
      </c>
    </row>
    <row r="41" spans="1:4" x14ac:dyDescent="0.2">
      <c r="A41" t="s">
        <v>9</v>
      </c>
      <c r="B41">
        <v>2</v>
      </c>
      <c r="C41" t="s">
        <v>13</v>
      </c>
      <c r="D41">
        <v>333.08355092986818</v>
      </c>
    </row>
    <row r="42" spans="1:4" x14ac:dyDescent="0.2">
      <c r="A42" t="s">
        <v>9</v>
      </c>
      <c r="B42">
        <v>2</v>
      </c>
      <c r="C42" t="s">
        <v>13</v>
      </c>
      <c r="D42">
        <v>423.44960602509479</v>
      </c>
    </row>
    <row r="43" spans="1:4" x14ac:dyDescent="0.2">
      <c r="A43" t="s">
        <v>9</v>
      </c>
      <c r="B43">
        <v>2</v>
      </c>
      <c r="C43" t="s">
        <v>13</v>
      </c>
      <c r="D43">
        <v>2912.4664907817369</v>
      </c>
    </row>
    <row r="44" spans="1:4" x14ac:dyDescent="0.2">
      <c r="A44" t="s">
        <v>9</v>
      </c>
      <c r="B44">
        <v>2</v>
      </c>
      <c r="C44" t="s">
        <v>13</v>
      </c>
      <c r="D44">
        <v>596.67817308675842</v>
      </c>
    </row>
    <row r="45" spans="1:4" x14ac:dyDescent="0.2">
      <c r="A45" t="s">
        <v>9</v>
      </c>
      <c r="B45">
        <v>3</v>
      </c>
      <c r="C45" t="s">
        <v>13</v>
      </c>
      <c r="D45">
        <v>3920.6818546225204</v>
      </c>
    </row>
    <row r="46" spans="1:4" x14ac:dyDescent="0.2">
      <c r="A46" t="s">
        <v>9</v>
      </c>
      <c r="B46">
        <v>3</v>
      </c>
      <c r="C46" t="s">
        <v>13</v>
      </c>
      <c r="D46">
        <v>2023.3768710295176</v>
      </c>
    </row>
    <row r="47" spans="1:4" x14ac:dyDescent="0.2">
      <c r="A47" t="s">
        <v>9</v>
      </c>
      <c r="B47">
        <v>3</v>
      </c>
      <c r="C47" t="s">
        <v>13</v>
      </c>
      <c r="D47">
        <v>2646.5005473061906</v>
      </c>
    </row>
    <row r="48" spans="1:4" x14ac:dyDescent="0.2">
      <c r="A48" t="s">
        <v>9</v>
      </c>
      <c r="B48">
        <v>3</v>
      </c>
      <c r="C48" t="s">
        <v>13</v>
      </c>
      <c r="D48">
        <v>2624.772556329679</v>
      </c>
    </row>
    <row r="49" spans="1:4" x14ac:dyDescent="0.2">
      <c r="A49" t="s">
        <v>9</v>
      </c>
      <c r="B49">
        <v>3</v>
      </c>
      <c r="C49" t="s">
        <v>13</v>
      </c>
      <c r="D49">
        <v>928.4795131325078</v>
      </c>
    </row>
    <row r="50" spans="1:4" x14ac:dyDescent="0.2">
      <c r="A50" t="s">
        <v>18</v>
      </c>
      <c r="B50">
        <v>4</v>
      </c>
      <c r="C50" t="s">
        <v>10</v>
      </c>
      <c r="D50">
        <v>2537.3838229683329</v>
      </c>
    </row>
    <row r="51" spans="1:4" x14ac:dyDescent="0.2">
      <c r="A51" t="s">
        <v>18</v>
      </c>
      <c r="B51">
        <v>4</v>
      </c>
      <c r="C51" t="s">
        <v>10</v>
      </c>
      <c r="D51">
        <v>2864.7244863642718</v>
      </c>
    </row>
    <row r="52" spans="1:4" x14ac:dyDescent="0.2">
      <c r="A52" t="s">
        <v>18</v>
      </c>
      <c r="B52">
        <v>4</v>
      </c>
      <c r="C52" t="s">
        <v>10</v>
      </c>
      <c r="D52">
        <v>1366.0202091470333</v>
      </c>
    </row>
    <row r="53" spans="1:4" x14ac:dyDescent="0.2">
      <c r="A53" t="s">
        <v>18</v>
      </c>
      <c r="B53">
        <v>4</v>
      </c>
      <c r="C53" t="s">
        <v>10</v>
      </c>
      <c r="D53">
        <v>1314.1430414746546</v>
      </c>
    </row>
    <row r="54" spans="1:4" x14ac:dyDescent="0.2">
      <c r="A54" t="s">
        <v>18</v>
      </c>
      <c r="B54">
        <v>5</v>
      </c>
      <c r="C54" t="s">
        <v>10</v>
      </c>
      <c r="D54">
        <v>1138.7350914475508</v>
      </c>
    </row>
    <row r="55" spans="1:4" x14ac:dyDescent="0.2">
      <c r="A55" t="s">
        <v>18</v>
      </c>
      <c r="B55">
        <v>5</v>
      </c>
      <c r="C55" t="s">
        <v>10</v>
      </c>
      <c r="D55">
        <v>1466.2871649994925</v>
      </c>
    </row>
    <row r="56" spans="1:4" x14ac:dyDescent="0.2">
      <c r="A56" t="s">
        <v>18</v>
      </c>
      <c r="B56">
        <v>5</v>
      </c>
      <c r="C56" t="s">
        <v>10</v>
      </c>
      <c r="D56">
        <v>1268.2091038835961</v>
      </c>
    </row>
    <row r="57" spans="1:4" x14ac:dyDescent="0.2">
      <c r="A57" t="s">
        <v>18</v>
      </c>
      <c r="B57">
        <v>5</v>
      </c>
      <c r="C57" t="s">
        <v>10</v>
      </c>
      <c r="D57">
        <v>2612.9825079384377</v>
      </c>
    </row>
    <row r="58" spans="1:4" x14ac:dyDescent="0.2">
      <c r="A58" t="s">
        <v>18</v>
      </c>
      <c r="B58">
        <v>6</v>
      </c>
      <c r="C58" t="s">
        <v>10</v>
      </c>
      <c r="D58">
        <v>2625.4239729672472</v>
      </c>
    </row>
    <row r="59" spans="1:4" x14ac:dyDescent="0.2">
      <c r="A59" t="s">
        <v>18</v>
      </c>
      <c r="B59">
        <v>6</v>
      </c>
      <c r="C59" t="s">
        <v>10</v>
      </c>
      <c r="D59">
        <v>1220.8429515636822</v>
      </c>
    </row>
    <row r="60" spans="1:4" x14ac:dyDescent="0.2">
      <c r="A60" t="s">
        <v>18</v>
      </c>
      <c r="B60">
        <v>6</v>
      </c>
      <c r="C60" t="s">
        <v>10</v>
      </c>
      <c r="D60">
        <v>1913.5969827529759</v>
      </c>
    </row>
    <row r="61" spans="1:4" x14ac:dyDescent="0.2">
      <c r="A61" t="s">
        <v>18</v>
      </c>
      <c r="B61">
        <v>6</v>
      </c>
      <c r="C61" t="s">
        <v>10</v>
      </c>
      <c r="D61">
        <v>2558.8777130757016</v>
      </c>
    </row>
    <row r="62" spans="1:4" x14ac:dyDescent="0.2">
      <c r="A62" t="s">
        <v>18</v>
      </c>
      <c r="B62">
        <v>4</v>
      </c>
      <c r="C62" t="s">
        <v>11</v>
      </c>
      <c r="D62">
        <v>1706.8949129834518</v>
      </c>
    </row>
    <row r="63" spans="1:4" x14ac:dyDescent="0.2">
      <c r="A63" t="s">
        <v>18</v>
      </c>
      <c r="B63">
        <v>4</v>
      </c>
      <c r="C63" t="s">
        <v>11</v>
      </c>
      <c r="D63">
        <v>3408.0916507807424</v>
      </c>
    </row>
    <row r="64" spans="1:4" x14ac:dyDescent="0.2">
      <c r="A64" t="s">
        <v>18</v>
      </c>
      <c r="B64">
        <v>4</v>
      </c>
      <c r="C64" t="s">
        <v>11</v>
      </c>
      <c r="D64">
        <v>1583.0812572983257</v>
      </c>
    </row>
    <row r="65" spans="1:4" x14ac:dyDescent="0.2">
      <c r="A65" t="s">
        <v>18</v>
      </c>
      <c r="B65">
        <v>4</v>
      </c>
      <c r="C65" t="s">
        <v>11</v>
      </c>
      <c r="D65">
        <v>414.48417895148572</v>
      </c>
    </row>
    <row r="66" spans="1:4" x14ac:dyDescent="0.2">
      <c r="A66" t="s">
        <v>18</v>
      </c>
      <c r="B66">
        <v>5</v>
      </c>
      <c r="C66" t="s">
        <v>11</v>
      </c>
      <c r="D66">
        <v>409.87782807540327</v>
      </c>
    </row>
    <row r="67" spans="1:4" x14ac:dyDescent="0.2">
      <c r="A67" t="s">
        <v>18</v>
      </c>
      <c r="B67">
        <v>5</v>
      </c>
      <c r="C67" t="s">
        <v>11</v>
      </c>
      <c r="D67">
        <v>1288.62396801267</v>
      </c>
    </row>
    <row r="68" spans="1:4" x14ac:dyDescent="0.2">
      <c r="A68" t="s">
        <v>18</v>
      </c>
      <c r="B68">
        <v>5</v>
      </c>
      <c r="C68" t="s">
        <v>11</v>
      </c>
      <c r="D68">
        <v>530.15348197473475</v>
      </c>
    </row>
    <row r="69" spans="1:4" x14ac:dyDescent="0.2">
      <c r="A69" t="s">
        <v>18</v>
      </c>
      <c r="B69">
        <v>5</v>
      </c>
      <c r="C69" t="s">
        <v>11</v>
      </c>
      <c r="D69">
        <v>3203.8441086488938</v>
      </c>
    </row>
    <row r="70" spans="1:4" x14ac:dyDescent="0.2">
      <c r="A70" t="s">
        <v>18</v>
      </c>
      <c r="B70">
        <v>6</v>
      </c>
      <c r="C70" t="s">
        <v>11</v>
      </c>
      <c r="D70">
        <v>1835.1954293791971</v>
      </c>
    </row>
    <row r="71" spans="1:4" x14ac:dyDescent="0.2">
      <c r="A71" t="s">
        <v>18</v>
      </c>
      <c r="B71">
        <v>6</v>
      </c>
      <c r="C71" t="s">
        <v>11</v>
      </c>
      <c r="D71">
        <v>1750.9989896711038</v>
      </c>
    </row>
    <row r="72" spans="1:4" x14ac:dyDescent="0.2">
      <c r="A72" t="s">
        <v>18</v>
      </c>
      <c r="B72">
        <v>6</v>
      </c>
      <c r="C72" t="s">
        <v>11</v>
      </c>
      <c r="D72">
        <v>974.95274674181042</v>
      </c>
    </row>
    <row r="73" spans="1:4" x14ac:dyDescent="0.2">
      <c r="A73" t="s">
        <v>18</v>
      </c>
      <c r="B73">
        <v>6</v>
      </c>
      <c r="C73" t="s">
        <v>11</v>
      </c>
      <c r="D73">
        <v>3882.6919922845032</v>
      </c>
    </row>
    <row r="74" spans="1:4" x14ac:dyDescent="0.2">
      <c r="A74" t="s">
        <v>18</v>
      </c>
      <c r="B74">
        <v>6</v>
      </c>
      <c r="C74" t="s">
        <v>11</v>
      </c>
      <c r="D74">
        <v>3145.7647882710394</v>
      </c>
    </row>
    <row r="75" spans="1:4" x14ac:dyDescent="0.2">
      <c r="A75" t="s">
        <v>18</v>
      </c>
      <c r="B75">
        <v>4</v>
      </c>
      <c r="C75" t="s">
        <v>12</v>
      </c>
      <c r="D75">
        <v>1258.9275507521133</v>
      </c>
    </row>
    <row r="76" spans="1:4" x14ac:dyDescent="0.2">
      <c r="A76" t="s">
        <v>18</v>
      </c>
      <c r="B76">
        <v>4</v>
      </c>
      <c r="C76" t="s">
        <v>12</v>
      </c>
      <c r="D76">
        <v>2123.1772023257822</v>
      </c>
    </row>
    <row r="77" spans="1:4" x14ac:dyDescent="0.2">
      <c r="A77" t="s">
        <v>18</v>
      </c>
      <c r="B77">
        <v>4</v>
      </c>
      <c r="C77" t="s">
        <v>12</v>
      </c>
      <c r="D77">
        <v>3436.7699611363059</v>
      </c>
    </row>
    <row r="78" spans="1:4" x14ac:dyDescent="0.2">
      <c r="A78" t="s">
        <v>18</v>
      </c>
      <c r="B78">
        <v>4</v>
      </c>
      <c r="C78" t="s">
        <v>12</v>
      </c>
      <c r="D78">
        <v>982.98668574270039</v>
      </c>
    </row>
    <row r="79" spans="1:4" x14ac:dyDescent="0.2">
      <c r="A79" t="s">
        <v>18</v>
      </c>
      <c r="B79">
        <v>5</v>
      </c>
      <c r="C79" t="s">
        <v>12</v>
      </c>
      <c r="D79">
        <v>916.95898541068323</v>
      </c>
    </row>
    <row r="80" spans="1:4" x14ac:dyDescent="0.2">
      <c r="A80" t="s">
        <v>18</v>
      </c>
      <c r="B80">
        <v>5</v>
      </c>
      <c r="C80" t="s">
        <v>12</v>
      </c>
      <c r="D80">
        <v>1203.9961954154448</v>
      </c>
    </row>
    <row r="81" spans="1:4" x14ac:dyDescent="0.2">
      <c r="A81" t="s">
        <v>18</v>
      </c>
      <c r="B81">
        <v>5</v>
      </c>
      <c r="C81" t="s">
        <v>12</v>
      </c>
      <c r="D81">
        <v>1148.683080566655</v>
      </c>
    </row>
    <row r="82" spans="1:4" x14ac:dyDescent="0.2">
      <c r="A82" t="s">
        <v>18</v>
      </c>
      <c r="B82">
        <v>5</v>
      </c>
      <c r="C82" t="s">
        <v>12</v>
      </c>
      <c r="D82">
        <v>3159.4927851691036</v>
      </c>
    </row>
    <row r="83" spans="1:4" x14ac:dyDescent="0.2">
      <c r="A83" t="s">
        <v>18</v>
      </c>
      <c r="B83">
        <v>6</v>
      </c>
      <c r="C83" t="s">
        <v>12</v>
      </c>
      <c r="D83">
        <v>1264.979292261766</v>
      </c>
    </row>
    <row r="84" spans="1:4" x14ac:dyDescent="0.2">
      <c r="A84" t="s">
        <v>18</v>
      </c>
      <c r="B84">
        <v>6</v>
      </c>
      <c r="C84" t="s">
        <v>12</v>
      </c>
      <c r="D84">
        <v>1359.123175735007</v>
      </c>
    </row>
    <row r="85" spans="1:4" x14ac:dyDescent="0.2">
      <c r="A85" t="s">
        <v>18</v>
      </c>
      <c r="B85">
        <v>6</v>
      </c>
      <c r="C85" t="s">
        <v>12</v>
      </c>
      <c r="D85">
        <v>3415.2864168333572</v>
      </c>
    </row>
    <row r="86" spans="1:4" x14ac:dyDescent="0.2">
      <c r="A86" t="s">
        <v>18</v>
      </c>
      <c r="B86">
        <v>4</v>
      </c>
      <c r="C86" t="s">
        <v>13</v>
      </c>
      <c r="D86">
        <v>1332.8277747147888</v>
      </c>
    </row>
    <row r="87" spans="1:4" x14ac:dyDescent="0.2">
      <c r="A87" t="s">
        <v>18</v>
      </c>
      <c r="B87">
        <v>4</v>
      </c>
      <c r="C87" t="s">
        <v>13</v>
      </c>
      <c r="D87">
        <v>1925.666452280316</v>
      </c>
    </row>
    <row r="88" spans="1:4" x14ac:dyDescent="0.2">
      <c r="A88" t="s">
        <v>18</v>
      </c>
      <c r="B88">
        <v>4</v>
      </c>
      <c r="C88" t="s">
        <v>13</v>
      </c>
      <c r="D88">
        <v>1155.3440041297076</v>
      </c>
    </row>
    <row r="89" spans="1:4" x14ac:dyDescent="0.2">
      <c r="A89" t="s">
        <v>18</v>
      </c>
      <c r="B89">
        <v>4</v>
      </c>
      <c r="C89" t="s">
        <v>13</v>
      </c>
      <c r="D89">
        <v>1283.1755838614031</v>
      </c>
    </row>
    <row r="90" spans="1:4" x14ac:dyDescent="0.2">
      <c r="A90" t="s">
        <v>18</v>
      </c>
      <c r="B90">
        <v>5</v>
      </c>
      <c r="C90" t="s">
        <v>13</v>
      </c>
      <c r="D90">
        <v>2681.7939429928729</v>
      </c>
    </row>
    <row r="91" spans="1:4" x14ac:dyDescent="0.2">
      <c r="A91" t="s">
        <v>18</v>
      </c>
      <c r="B91">
        <v>5</v>
      </c>
      <c r="C91" t="s">
        <v>13</v>
      </c>
      <c r="D91">
        <v>840.3233806341899</v>
      </c>
    </row>
    <row r="92" spans="1:4" x14ac:dyDescent="0.2">
      <c r="A92" t="s">
        <v>18</v>
      </c>
      <c r="B92">
        <v>5</v>
      </c>
      <c r="C92" t="s">
        <v>13</v>
      </c>
      <c r="D92">
        <v>694.39158891695797</v>
      </c>
    </row>
    <row r="93" spans="1:4" x14ac:dyDescent="0.2">
      <c r="A93" t="s">
        <v>18</v>
      </c>
      <c r="B93">
        <v>6</v>
      </c>
      <c r="C93" t="s">
        <v>13</v>
      </c>
      <c r="D93">
        <v>1402.4693138730731</v>
      </c>
    </row>
    <row r="94" spans="1:4" x14ac:dyDescent="0.2">
      <c r="A94" t="s">
        <v>18</v>
      </c>
      <c r="B94">
        <v>6</v>
      </c>
      <c r="C94" t="s">
        <v>13</v>
      </c>
      <c r="D94">
        <v>979.04490019426555</v>
      </c>
    </row>
    <row r="95" spans="1:4" x14ac:dyDescent="0.2">
      <c r="A95" t="s">
        <v>18</v>
      </c>
      <c r="B95">
        <v>6</v>
      </c>
      <c r="C95" t="s">
        <v>13</v>
      </c>
      <c r="D95">
        <v>906.89864714808721</v>
      </c>
    </row>
    <row r="96" spans="1:4" x14ac:dyDescent="0.2">
      <c r="A96" t="s">
        <v>18</v>
      </c>
      <c r="B96">
        <v>6</v>
      </c>
      <c r="C96" t="s">
        <v>13</v>
      </c>
      <c r="D96">
        <v>817.68835227131456</v>
      </c>
    </row>
    <row r="97" spans="1:4" x14ac:dyDescent="0.2">
      <c r="A97" t="s">
        <v>18</v>
      </c>
      <c r="B97">
        <v>6</v>
      </c>
      <c r="C97" t="s">
        <v>13</v>
      </c>
      <c r="D97">
        <v>1194.7747675594039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6"/>
  <sheetViews>
    <sheetView topLeftCell="R28" workbookViewId="0">
      <selection activeCell="V31" sqref="V31"/>
    </sheetView>
  </sheetViews>
  <sheetFormatPr baseColWidth="10" defaultColWidth="8.796875" defaultRowHeight="15" x14ac:dyDescent="0.2"/>
  <cols>
    <col min="2" max="2" width="11" bestFit="1" customWidth="1"/>
    <col min="3" max="4" width="16.3984375" bestFit="1" customWidth="1"/>
    <col min="8" max="8" width="11.796875" bestFit="1" customWidth="1"/>
    <col min="9" max="9" width="16.3984375" bestFit="1" customWidth="1"/>
    <col min="10" max="10" width="11.796875" customWidth="1"/>
    <col min="11" max="11" width="16.19921875" bestFit="1" customWidth="1"/>
    <col min="12" max="12" width="24.19921875" bestFit="1" customWidth="1"/>
    <col min="13" max="13" width="16" bestFit="1" customWidth="1"/>
    <col min="14" max="14" width="16.3984375" bestFit="1" customWidth="1"/>
    <col min="15" max="15" width="18" bestFit="1" customWidth="1"/>
    <col min="16" max="16" width="16" bestFit="1" customWidth="1"/>
    <col min="17" max="17" width="16" customWidth="1"/>
    <col min="18" max="18" width="13.3984375" customWidth="1"/>
    <col min="19" max="19" width="11.796875" bestFit="1" customWidth="1"/>
    <col min="21" max="21" width="16.3984375" bestFit="1" customWidth="1"/>
    <col min="28" max="28" width="14.3984375" bestFit="1" customWidth="1"/>
  </cols>
  <sheetData>
    <row r="1" spans="3:18" x14ac:dyDescent="0.2">
      <c r="C1" s="2" t="s">
        <v>446</v>
      </c>
      <c r="D1" s="2"/>
      <c r="E1" s="2"/>
      <c r="F1" s="2"/>
      <c r="G1" s="2"/>
      <c r="L1" s="2" t="s">
        <v>448</v>
      </c>
      <c r="M1" s="2"/>
      <c r="N1" s="2"/>
      <c r="O1" s="2"/>
      <c r="P1" s="2"/>
      <c r="Q1" s="2"/>
      <c r="R1" s="2"/>
    </row>
    <row r="2" spans="3:18" x14ac:dyDescent="0.2">
      <c r="C2" t="s">
        <v>8</v>
      </c>
      <c r="D2" t="s">
        <v>447</v>
      </c>
      <c r="E2" t="s">
        <v>149</v>
      </c>
      <c r="F2" t="s">
        <v>150</v>
      </c>
      <c r="G2" t="s">
        <v>3</v>
      </c>
      <c r="L2" t="s">
        <v>8</v>
      </c>
      <c r="M2" t="s">
        <v>447</v>
      </c>
      <c r="N2" t="s">
        <v>149</v>
      </c>
      <c r="O2" t="s">
        <v>150</v>
      </c>
      <c r="P2" t="s">
        <v>3</v>
      </c>
    </row>
    <row r="3" spans="3:18" x14ac:dyDescent="0.2">
      <c r="C3">
        <v>0</v>
      </c>
      <c r="D3" t="e">
        <f>LOG(C3)</f>
        <v>#NUM!</v>
      </c>
      <c r="E3">
        <v>1.7835000000000001</v>
      </c>
      <c r="F3">
        <v>1.6843999999999999</v>
      </c>
      <c r="G3">
        <f>AVERAGE(E3:F3)</f>
        <v>1.7339500000000001</v>
      </c>
      <c r="L3">
        <v>0</v>
      </c>
      <c r="M3" t="e">
        <f>LOG(L3)</f>
        <v>#NUM!</v>
      </c>
      <c r="N3">
        <v>1.5455000000000001</v>
      </c>
      <c r="O3">
        <v>1.625</v>
      </c>
      <c r="P3">
        <f t="shared" ref="P3:P10" si="0">AVERAGE(N3:O3)</f>
        <v>1.58525</v>
      </c>
    </row>
    <row r="4" spans="3:18" x14ac:dyDescent="0.2">
      <c r="C4">
        <v>0.5</v>
      </c>
      <c r="D4">
        <f t="shared" ref="D4:D10" si="1">LOG(C4)</f>
        <v>-0.3010299956639812</v>
      </c>
      <c r="E4">
        <v>1.4797</v>
      </c>
      <c r="F4">
        <v>1.4409000000000001</v>
      </c>
      <c r="G4">
        <f t="shared" ref="G4:G10" si="2">AVERAGE(E4:F4)</f>
        <v>1.4603000000000002</v>
      </c>
      <c r="L4">
        <v>0.5</v>
      </c>
      <c r="M4">
        <f t="shared" ref="M4:M10" si="3">LOG(L4)</f>
        <v>-0.3010299956639812</v>
      </c>
      <c r="N4">
        <v>1.3953</v>
      </c>
      <c r="O4">
        <v>1.3068</v>
      </c>
      <c r="P4">
        <f t="shared" si="0"/>
        <v>1.3510499999999999</v>
      </c>
    </row>
    <row r="5" spans="3:18" x14ac:dyDescent="0.2">
      <c r="C5">
        <v>1</v>
      </c>
      <c r="D5">
        <f t="shared" si="1"/>
        <v>0</v>
      </c>
      <c r="E5">
        <v>1.2090000000000001</v>
      </c>
      <c r="F5">
        <v>1.1458999999999999</v>
      </c>
      <c r="G5">
        <f t="shared" si="2"/>
        <v>1.1774499999999999</v>
      </c>
      <c r="L5">
        <v>1</v>
      </c>
      <c r="M5">
        <f t="shared" si="3"/>
        <v>0</v>
      </c>
      <c r="N5">
        <v>1.1688000000000001</v>
      </c>
      <c r="O5">
        <v>1.0698000000000001</v>
      </c>
      <c r="P5">
        <f t="shared" si="0"/>
        <v>1.1193</v>
      </c>
    </row>
    <row r="6" spans="3:18" x14ac:dyDescent="0.2">
      <c r="C6">
        <v>2</v>
      </c>
      <c r="D6">
        <f t="shared" si="1"/>
        <v>0.3010299956639812</v>
      </c>
      <c r="E6">
        <v>0.81379999999999997</v>
      </c>
      <c r="F6">
        <v>0.77959999999999996</v>
      </c>
      <c r="G6">
        <f t="shared" si="2"/>
        <v>0.79669999999999996</v>
      </c>
      <c r="L6">
        <v>2</v>
      </c>
      <c r="M6">
        <f t="shared" si="3"/>
        <v>0.3010299956639812</v>
      </c>
      <c r="N6">
        <v>0.87470000000000003</v>
      </c>
      <c r="O6">
        <v>0.72870000000000001</v>
      </c>
      <c r="P6">
        <f t="shared" si="0"/>
        <v>0.80170000000000008</v>
      </c>
    </row>
    <row r="7" spans="3:18" x14ac:dyDescent="0.2">
      <c r="C7">
        <v>3</v>
      </c>
      <c r="D7">
        <f t="shared" si="1"/>
        <v>0.47712125471966244</v>
      </c>
      <c r="E7">
        <v>0.61899999999999999</v>
      </c>
      <c r="F7">
        <v>0.65039999999999998</v>
      </c>
      <c r="G7">
        <f t="shared" si="2"/>
        <v>0.63470000000000004</v>
      </c>
      <c r="L7">
        <v>3</v>
      </c>
      <c r="M7">
        <f t="shared" si="3"/>
        <v>0.47712125471966244</v>
      </c>
      <c r="N7">
        <v>0.63129999999999997</v>
      </c>
      <c r="O7">
        <v>0.67200000000000004</v>
      </c>
      <c r="P7">
        <f t="shared" si="0"/>
        <v>0.65165000000000006</v>
      </c>
    </row>
    <row r="8" spans="3:18" x14ac:dyDescent="0.2">
      <c r="C8">
        <v>5</v>
      </c>
      <c r="D8">
        <f t="shared" si="1"/>
        <v>0.69897000433601886</v>
      </c>
      <c r="E8">
        <v>0.43290000000000001</v>
      </c>
      <c r="F8">
        <v>0.42599999999999999</v>
      </c>
      <c r="G8">
        <f t="shared" si="2"/>
        <v>0.42945</v>
      </c>
      <c r="L8">
        <v>5</v>
      </c>
      <c r="M8">
        <f t="shared" si="3"/>
        <v>0.69897000433601886</v>
      </c>
      <c r="N8">
        <v>0.45219999999999999</v>
      </c>
      <c r="O8">
        <v>0.47449999999999998</v>
      </c>
      <c r="P8">
        <f t="shared" si="0"/>
        <v>0.46334999999999998</v>
      </c>
    </row>
    <row r="9" spans="3:18" x14ac:dyDescent="0.2">
      <c r="C9">
        <v>10</v>
      </c>
      <c r="D9">
        <f t="shared" si="1"/>
        <v>1</v>
      </c>
      <c r="E9">
        <v>0.29459999999999997</v>
      </c>
      <c r="F9">
        <v>0.23100000000000001</v>
      </c>
      <c r="G9">
        <f t="shared" si="2"/>
        <v>0.26279999999999998</v>
      </c>
      <c r="L9">
        <v>10</v>
      </c>
      <c r="M9">
        <f t="shared" si="3"/>
        <v>1</v>
      </c>
      <c r="N9">
        <v>0.3609</v>
      </c>
      <c r="O9">
        <v>0.28360000000000002</v>
      </c>
      <c r="P9">
        <f t="shared" si="0"/>
        <v>0.32225000000000004</v>
      </c>
    </row>
    <row r="10" spans="3:18" x14ac:dyDescent="0.2">
      <c r="C10">
        <v>25</v>
      </c>
      <c r="D10">
        <f t="shared" si="1"/>
        <v>1.3979400086720377</v>
      </c>
      <c r="E10">
        <v>0.17799999999999999</v>
      </c>
      <c r="F10">
        <v>0.19439999999999999</v>
      </c>
      <c r="G10">
        <f t="shared" si="2"/>
        <v>0.18619999999999998</v>
      </c>
      <c r="L10">
        <v>25</v>
      </c>
      <c r="M10">
        <f t="shared" si="3"/>
        <v>1.3979400086720377</v>
      </c>
      <c r="N10">
        <v>0.2215</v>
      </c>
      <c r="O10">
        <v>0.22650000000000001</v>
      </c>
      <c r="P10">
        <f t="shared" si="0"/>
        <v>0.224</v>
      </c>
    </row>
    <row r="27" spans="2:31" x14ac:dyDescent="0.2">
      <c r="B27" s="3"/>
      <c r="C27" s="3"/>
      <c r="D27" s="3"/>
      <c r="E27" s="3"/>
      <c r="F27" s="3"/>
      <c r="G27" s="3"/>
      <c r="H27" s="3"/>
      <c r="I27" s="3" t="s">
        <v>452</v>
      </c>
      <c r="J27" s="3"/>
      <c r="K27" s="3"/>
    </row>
    <row r="28" spans="2:31" x14ac:dyDescent="0.2">
      <c r="B28" s="3" t="s">
        <v>449</v>
      </c>
      <c r="C28" s="3" t="s">
        <v>6</v>
      </c>
      <c r="D28" s="3" t="s">
        <v>450</v>
      </c>
      <c r="E28" s="3" t="s">
        <v>149</v>
      </c>
      <c r="F28" s="3" t="s">
        <v>150</v>
      </c>
      <c r="G28" s="3" t="s">
        <v>3</v>
      </c>
      <c r="H28" s="3" t="s">
        <v>451</v>
      </c>
      <c r="I28" s="3" t="s">
        <v>0</v>
      </c>
      <c r="J28" s="3" t="s">
        <v>19</v>
      </c>
      <c r="K28" s="3" t="s">
        <v>0</v>
      </c>
      <c r="L28" s="3" t="s">
        <v>460</v>
      </c>
      <c r="M28" s="3" t="s">
        <v>461</v>
      </c>
      <c r="N28" s="3" t="s">
        <v>462</v>
      </c>
      <c r="O28" s="3" t="s">
        <v>463</v>
      </c>
      <c r="P28" s="3" t="s">
        <v>464</v>
      </c>
      <c r="Q28" s="3" t="s">
        <v>450</v>
      </c>
      <c r="R28" s="3"/>
    </row>
    <row r="29" spans="2:31" x14ac:dyDescent="0.2">
      <c r="B29" s="37" t="s">
        <v>18</v>
      </c>
      <c r="C29" s="33">
        <v>1</v>
      </c>
      <c r="D29" s="33" t="s">
        <v>453</v>
      </c>
      <c r="E29" s="33">
        <v>0.2172</v>
      </c>
      <c r="F29" s="33">
        <v>0.22509999999999999</v>
      </c>
      <c r="G29" s="33">
        <f>AVERAGE(E29:F29)</f>
        <v>0.22115000000000001</v>
      </c>
      <c r="H29" s="35">
        <f>(-1.1871)*G29+1.3496</f>
        <v>1.0870728349999998</v>
      </c>
      <c r="I29" s="35">
        <f>10^H29</f>
        <v>12.220045838849682</v>
      </c>
      <c r="J29" s="33">
        <v>1</v>
      </c>
      <c r="K29" s="35">
        <f>I29*J29</f>
        <v>12.220045838849682</v>
      </c>
      <c r="L29" s="33">
        <v>142.76900000000001</v>
      </c>
      <c r="M29" s="35">
        <f>K29/L29</f>
        <v>8.5593131834289529E-2</v>
      </c>
      <c r="N29" s="35">
        <f>M29*1000</f>
        <v>85.593131834289522</v>
      </c>
      <c r="O29" s="33">
        <f>23.6+34.7</f>
        <v>58.300000000000004</v>
      </c>
      <c r="P29" s="42">
        <f>K29/O29*1000</f>
        <v>209.60627510891391</v>
      </c>
      <c r="Q29" s="33" t="s">
        <v>453</v>
      </c>
    </row>
    <row r="30" spans="2:31" x14ac:dyDescent="0.2">
      <c r="B30" s="33"/>
      <c r="C30" s="33">
        <v>2</v>
      </c>
      <c r="D30" s="33" t="s">
        <v>454</v>
      </c>
      <c r="E30" s="33">
        <v>0.34670000000000001</v>
      </c>
      <c r="F30" s="33">
        <v>0.35060000000000002</v>
      </c>
      <c r="G30" s="33">
        <f t="shared" ref="G30:G76" si="4">AVERAGE(E30:F30)</f>
        <v>0.34865000000000002</v>
      </c>
      <c r="H30" s="35">
        <f t="shared" ref="H30:H36" si="5">(-1.1871)*G30+1.3496</f>
        <v>0.93571758499999991</v>
      </c>
      <c r="I30" s="35">
        <f t="shared" ref="I30:I76" si="6">10^H30</f>
        <v>8.6241754855828034</v>
      </c>
      <c r="J30" s="33">
        <v>1</v>
      </c>
      <c r="K30" s="35">
        <f t="shared" ref="K30:K76" si="7">I30*J30</f>
        <v>8.6241754855828034</v>
      </c>
      <c r="L30" s="33">
        <v>120.754</v>
      </c>
      <c r="M30" s="35">
        <f t="shared" ref="M30:M76" si="8">K30/L30</f>
        <v>7.1419377292535266E-2</v>
      </c>
      <c r="N30" s="35">
        <f t="shared" ref="N30:N76" si="9">M30*1000</f>
        <v>71.419377292535259</v>
      </c>
      <c r="O30" s="33">
        <f>42.1+23.4</f>
        <v>65.5</v>
      </c>
      <c r="P30" s="42">
        <f t="shared" ref="P30:P76" si="10">K30/O30*1000</f>
        <v>131.66680130660768</v>
      </c>
      <c r="Q30" s="33" t="s">
        <v>454</v>
      </c>
      <c r="S30" s="39" t="s">
        <v>458</v>
      </c>
      <c r="T30" s="39" t="s">
        <v>459</v>
      </c>
      <c r="U30" s="39" t="s">
        <v>462</v>
      </c>
      <c r="V30" s="39" t="s">
        <v>65</v>
      </c>
      <c r="W30" s="39" t="s">
        <v>66</v>
      </c>
      <c r="Z30" s="39" t="s">
        <v>458</v>
      </c>
      <c r="AA30" s="39" t="s">
        <v>459</v>
      </c>
      <c r="AB30" s="39" t="s">
        <v>464</v>
      </c>
      <c r="AC30" s="39" t="s">
        <v>65</v>
      </c>
      <c r="AD30" s="39" t="s">
        <v>66</v>
      </c>
    </row>
    <row r="31" spans="2:31" x14ac:dyDescent="0.2">
      <c r="B31" s="33"/>
      <c r="C31" s="33">
        <v>3</v>
      </c>
      <c r="D31" s="33" t="s">
        <v>454</v>
      </c>
      <c r="E31" s="33">
        <v>0.25140000000000001</v>
      </c>
      <c r="F31" s="33">
        <v>0.25569999999999998</v>
      </c>
      <c r="G31" s="33">
        <f t="shared" si="4"/>
        <v>0.25355</v>
      </c>
      <c r="H31" s="35">
        <f t="shared" si="5"/>
        <v>1.0486107949999999</v>
      </c>
      <c r="I31" s="35">
        <f t="shared" si="6"/>
        <v>11.184351176718119</v>
      </c>
      <c r="J31" s="33">
        <v>1</v>
      </c>
      <c r="K31" s="35">
        <f t="shared" si="7"/>
        <v>11.184351176718119</v>
      </c>
      <c r="L31" s="33">
        <v>124.797</v>
      </c>
      <c r="M31" s="35">
        <f t="shared" si="8"/>
        <v>8.9620352866800632E-2</v>
      </c>
      <c r="N31" s="35">
        <f t="shared" si="9"/>
        <v>89.62035286680063</v>
      </c>
      <c r="O31" s="33">
        <f>32.7+32.8</f>
        <v>65.5</v>
      </c>
      <c r="P31" s="42">
        <f t="shared" si="10"/>
        <v>170.75345307966595</v>
      </c>
      <c r="Q31" s="33" t="s">
        <v>454</v>
      </c>
      <c r="S31" s="39" t="s">
        <v>18</v>
      </c>
      <c r="T31" s="40" t="s">
        <v>453</v>
      </c>
      <c r="U31" s="41">
        <f>AVERAGE(N29:N36)</f>
        <v>84.231286076021149</v>
      </c>
      <c r="V31" s="40">
        <v>8</v>
      </c>
      <c r="W31" s="40">
        <f>STDEV(N29:N36)/SQRT(V31)</f>
        <v>4.0642080589482266</v>
      </c>
      <c r="Z31" s="39" t="s">
        <v>18</v>
      </c>
      <c r="AA31" s="40" t="s">
        <v>453</v>
      </c>
      <c r="AB31" s="41">
        <f>AVERAGE(P29:P36)</f>
        <v>173.91148206771965</v>
      </c>
      <c r="AC31" s="40">
        <v>8</v>
      </c>
      <c r="AD31" s="40">
        <f>STDEV(P29:P36)/SQRT(AC31)</f>
        <v>14.088765468254575</v>
      </c>
      <c r="AE31">
        <f>AB32/AB31</f>
        <v>10.69112859079104</v>
      </c>
    </row>
    <row r="32" spans="2:31" x14ac:dyDescent="0.2">
      <c r="B32" s="33"/>
      <c r="C32" s="33">
        <v>4</v>
      </c>
      <c r="D32" s="33" t="s">
        <v>454</v>
      </c>
      <c r="E32" s="33">
        <v>0.21579999999999999</v>
      </c>
      <c r="F32" s="33">
        <v>0.219</v>
      </c>
      <c r="G32" s="33">
        <f t="shared" si="4"/>
        <v>0.21739999999999998</v>
      </c>
      <c r="H32" s="35">
        <f t="shared" si="5"/>
        <v>1.09152446</v>
      </c>
      <c r="I32" s="35">
        <f t="shared" si="6"/>
        <v>12.34594847114648</v>
      </c>
      <c r="J32" s="33">
        <v>1</v>
      </c>
      <c r="K32" s="35">
        <f t="shared" si="7"/>
        <v>12.34594847114648</v>
      </c>
      <c r="L32" s="33">
        <v>135.35599999999999</v>
      </c>
      <c r="M32" s="35">
        <f t="shared" si="8"/>
        <v>9.1210943520394216E-2</v>
      </c>
      <c r="N32" s="35">
        <f t="shared" si="9"/>
        <v>91.21094352039421</v>
      </c>
      <c r="O32" s="33">
        <f>45.8+28.8</f>
        <v>74.599999999999994</v>
      </c>
      <c r="P32" s="42">
        <f t="shared" si="10"/>
        <v>165.49528781697694</v>
      </c>
      <c r="Q32" s="33" t="s">
        <v>454</v>
      </c>
      <c r="S32" s="40"/>
      <c r="T32" s="40" t="s">
        <v>455</v>
      </c>
      <c r="U32" s="41">
        <f>AVERAGE(N37:N44)</f>
        <v>751.53230258536905</v>
      </c>
      <c r="V32" s="40">
        <v>8</v>
      </c>
      <c r="W32" s="40">
        <f>STDEV(N37:N44)/SQRT(V32)</f>
        <v>76.346594524104972</v>
      </c>
      <c r="Z32" s="40"/>
      <c r="AA32" s="40" t="s">
        <v>455</v>
      </c>
      <c r="AB32" s="41">
        <f>AVERAGE(P37:P44)</f>
        <v>1859.3100182010407</v>
      </c>
      <c r="AC32" s="40">
        <v>8</v>
      </c>
      <c r="AD32" s="40">
        <f>STDEV(P37:P44)/SQRT(AC32)</f>
        <v>122.85964917155043</v>
      </c>
      <c r="AE32">
        <f>AB33/AB31</f>
        <v>9.0825769605272573</v>
      </c>
    </row>
    <row r="33" spans="2:31" x14ac:dyDescent="0.2">
      <c r="B33" s="33"/>
      <c r="C33" s="33">
        <v>5</v>
      </c>
      <c r="D33" s="33" t="s">
        <v>454</v>
      </c>
      <c r="E33" s="33">
        <v>0.23449999999999999</v>
      </c>
      <c r="F33" s="33">
        <v>0.25650000000000001</v>
      </c>
      <c r="G33" s="33">
        <f t="shared" si="4"/>
        <v>0.2455</v>
      </c>
      <c r="H33" s="35">
        <f t="shared" si="5"/>
        <v>1.0581669499999999</v>
      </c>
      <c r="I33" s="35">
        <f t="shared" si="6"/>
        <v>11.433177606279234</v>
      </c>
      <c r="J33" s="33">
        <v>1</v>
      </c>
      <c r="K33" s="35">
        <f t="shared" si="7"/>
        <v>11.433177606279234</v>
      </c>
      <c r="L33" s="33">
        <v>107.499</v>
      </c>
      <c r="M33" s="35">
        <f t="shared" si="8"/>
        <v>0.1063561298828755</v>
      </c>
      <c r="N33" s="35">
        <f t="shared" si="9"/>
        <v>106.35612988287551</v>
      </c>
      <c r="O33" s="33">
        <f>20.8+25.7</f>
        <v>46.5</v>
      </c>
      <c r="P33" s="42">
        <f t="shared" si="10"/>
        <v>245.87478723181147</v>
      </c>
      <c r="Q33" s="33" t="s">
        <v>454</v>
      </c>
      <c r="S33" s="40"/>
      <c r="T33" s="40" t="s">
        <v>456</v>
      </c>
      <c r="U33" s="41">
        <f>AVERAGE(N45:N52)</f>
        <v>453.09076593001765</v>
      </c>
      <c r="V33" s="40">
        <v>8</v>
      </c>
      <c r="W33" s="40">
        <f>STDEV(N45:N52)/SQRT(V33)</f>
        <v>55.82136548453326</v>
      </c>
      <c r="Z33" s="40"/>
      <c r="AA33" s="40" t="s">
        <v>456</v>
      </c>
      <c r="AB33" s="41">
        <f>AVERAGE(P45:P52)</f>
        <v>1579.5644201994196</v>
      </c>
      <c r="AC33" s="40">
        <v>8</v>
      </c>
      <c r="AD33" s="40">
        <f>STDEV(P45:P52)/SQRT(AC33)</f>
        <v>206.72422174227722</v>
      </c>
    </row>
    <row r="34" spans="2:31" x14ac:dyDescent="0.2">
      <c r="B34" s="33"/>
      <c r="C34" s="33">
        <v>6</v>
      </c>
      <c r="D34" s="33" t="s">
        <v>454</v>
      </c>
      <c r="E34" s="33">
        <v>0.33529999999999999</v>
      </c>
      <c r="F34" s="33">
        <v>0.25800000000000001</v>
      </c>
      <c r="G34" s="33">
        <f t="shared" si="4"/>
        <v>0.29664999999999997</v>
      </c>
      <c r="H34" s="35">
        <f t="shared" si="5"/>
        <v>0.99744678499999995</v>
      </c>
      <c r="I34" s="35">
        <f t="shared" si="6"/>
        <v>9.9413825267588773</v>
      </c>
      <c r="J34" s="33">
        <v>1</v>
      </c>
      <c r="K34" s="35">
        <f t="shared" si="7"/>
        <v>9.9413825267588773</v>
      </c>
      <c r="L34" s="33">
        <v>124.797</v>
      </c>
      <c r="M34" s="35">
        <f t="shared" si="8"/>
        <v>7.9660428750361612E-2</v>
      </c>
      <c r="N34" s="35">
        <f t="shared" si="9"/>
        <v>79.660428750361618</v>
      </c>
      <c r="O34" s="33">
        <f>43.3+35.4</f>
        <v>78.699999999999989</v>
      </c>
      <c r="P34" s="42">
        <f t="shared" si="10"/>
        <v>126.3199812802907</v>
      </c>
      <c r="Q34" s="33" t="s">
        <v>454</v>
      </c>
      <c r="S34" s="40"/>
      <c r="T34" s="40"/>
      <c r="U34" s="40"/>
      <c r="V34" s="40"/>
      <c r="W34" s="40"/>
      <c r="Z34" s="40"/>
      <c r="AA34" s="40"/>
      <c r="AB34" s="40"/>
      <c r="AC34" s="40"/>
      <c r="AD34" s="40"/>
    </row>
    <row r="35" spans="2:31" x14ac:dyDescent="0.2">
      <c r="B35" s="33"/>
      <c r="C35" s="33">
        <v>7</v>
      </c>
      <c r="D35" s="33" t="s">
        <v>454</v>
      </c>
      <c r="E35" s="33">
        <v>0.26929999999999998</v>
      </c>
      <c r="F35" s="33">
        <v>0.24249999999999999</v>
      </c>
      <c r="G35" s="33">
        <f t="shared" si="4"/>
        <v>0.25590000000000002</v>
      </c>
      <c r="H35" s="35">
        <f t="shared" si="5"/>
        <v>1.0458211099999999</v>
      </c>
      <c r="I35" s="35">
        <f t="shared" si="6"/>
        <v>11.112738887807522</v>
      </c>
      <c r="J35" s="33">
        <v>1</v>
      </c>
      <c r="K35" s="35">
        <f t="shared" si="7"/>
        <v>11.112738887807522</v>
      </c>
      <c r="L35" s="33">
        <v>148.83500000000001</v>
      </c>
      <c r="M35" s="35">
        <f t="shared" si="8"/>
        <v>7.4664822708418857E-2</v>
      </c>
      <c r="N35" s="35">
        <f t="shared" si="9"/>
        <v>74.664822708418853</v>
      </c>
      <c r="O35" s="33">
        <f>36.4+35.4</f>
        <v>71.8</v>
      </c>
      <c r="P35" s="42">
        <f t="shared" si="10"/>
        <v>154.77352211431088</v>
      </c>
      <c r="Q35" s="33" t="s">
        <v>454</v>
      </c>
      <c r="S35" s="39" t="s">
        <v>457</v>
      </c>
      <c r="T35" s="40" t="s">
        <v>453</v>
      </c>
      <c r="U35" s="41">
        <f>AVERAGE(N53:N60)</f>
        <v>68.375035171410019</v>
      </c>
      <c r="V35" s="40">
        <v>8</v>
      </c>
      <c r="W35" s="40">
        <f>STDEV(N53:N60)/SQRT(V35)</f>
        <v>9.2645784701634266</v>
      </c>
      <c r="Z35" s="39" t="s">
        <v>457</v>
      </c>
      <c r="AA35" s="40" t="s">
        <v>453</v>
      </c>
      <c r="AB35" s="41">
        <f>AVERAGE(P53:P60)</f>
        <v>213.61142573578707</v>
      </c>
      <c r="AC35" s="40">
        <v>8</v>
      </c>
      <c r="AD35" s="40">
        <f>STDEV(P53:P60)/SQRT(AC35)</f>
        <v>14.368538486310058</v>
      </c>
    </row>
    <row r="36" spans="2:31" x14ac:dyDescent="0.2">
      <c r="B36" s="33"/>
      <c r="C36" s="33">
        <v>8</v>
      </c>
      <c r="D36" s="33" t="s">
        <v>454</v>
      </c>
      <c r="E36" s="33">
        <v>0.2344</v>
      </c>
      <c r="F36" s="33">
        <v>0.1915</v>
      </c>
      <c r="G36" s="33">
        <f t="shared" si="4"/>
        <v>0.21295</v>
      </c>
      <c r="H36" s="35">
        <f t="shared" si="5"/>
        <v>1.096807055</v>
      </c>
      <c r="I36" s="35">
        <f t="shared" si="6"/>
        <v>12.4970369815527</v>
      </c>
      <c r="J36" s="33">
        <v>1</v>
      </c>
      <c r="K36" s="35">
        <f t="shared" si="7"/>
        <v>12.4970369815527</v>
      </c>
      <c r="L36" s="33">
        <v>165.90799999999999</v>
      </c>
      <c r="M36" s="35">
        <f t="shared" si="8"/>
        <v>7.5325101752493559E-2</v>
      </c>
      <c r="N36" s="35">
        <f t="shared" si="9"/>
        <v>75.325101752493552</v>
      </c>
      <c r="O36" s="33">
        <f>36+30.9</f>
        <v>66.900000000000006</v>
      </c>
      <c r="P36" s="42">
        <f t="shared" si="10"/>
        <v>186.80174860317936</v>
      </c>
      <c r="Q36" s="33" t="s">
        <v>454</v>
      </c>
      <c r="S36" s="40"/>
      <c r="T36" s="40" t="s">
        <v>455</v>
      </c>
      <c r="U36" s="41">
        <f>AVERAGE(N61:N68)</f>
        <v>947.14674413746343</v>
      </c>
      <c r="V36" s="40">
        <v>8</v>
      </c>
      <c r="W36" s="40">
        <f>STDEV(N61:N68)/SQRT(V36)</f>
        <v>89.202424383716121</v>
      </c>
      <c r="Z36" s="40"/>
      <c r="AA36" s="40" t="s">
        <v>455</v>
      </c>
      <c r="AB36" s="41">
        <f>AVERAGE(P61:P68)</f>
        <v>2369.5600383529236</v>
      </c>
      <c r="AC36" s="40">
        <v>8</v>
      </c>
      <c r="AD36" s="40">
        <f>STDEV(P61:P68)/SQRT(AC36)</f>
        <v>232.0923821162765</v>
      </c>
      <c r="AE36">
        <f>AB36/AB35</f>
        <v>11.092852501643796</v>
      </c>
    </row>
    <row r="37" spans="2:31" x14ac:dyDescent="0.2">
      <c r="B37" s="33"/>
      <c r="C37" s="33">
        <v>1</v>
      </c>
      <c r="D37" s="33" t="s">
        <v>455</v>
      </c>
      <c r="E37" s="33">
        <v>0.28039999999999998</v>
      </c>
      <c r="F37" s="33">
        <v>0.26279999999999998</v>
      </c>
      <c r="G37" s="33">
        <f t="shared" si="4"/>
        <v>0.27159999999999995</v>
      </c>
      <c r="H37" s="35">
        <f>(-1.3629)*G37+1.4711</f>
        <v>1.1009363600000002</v>
      </c>
      <c r="I37" s="35">
        <f t="shared" si="6"/>
        <v>12.616426443277383</v>
      </c>
      <c r="J37" s="33">
        <v>10</v>
      </c>
      <c r="K37" s="35">
        <f t="shared" si="7"/>
        <v>126.16426443277383</v>
      </c>
      <c r="L37" s="33">
        <v>207.46799999999999</v>
      </c>
      <c r="M37" s="35">
        <f t="shared" si="8"/>
        <v>0.60811433297074169</v>
      </c>
      <c r="N37" s="35">
        <f t="shared" si="9"/>
        <v>608.11433297074166</v>
      </c>
      <c r="O37" s="33">
        <f>50+12.9</f>
        <v>62.9</v>
      </c>
      <c r="P37" s="42">
        <f t="shared" si="10"/>
        <v>2005.791167452684</v>
      </c>
      <c r="Q37" s="33" t="s">
        <v>455</v>
      </c>
      <c r="S37" s="40"/>
      <c r="T37" s="40" t="s">
        <v>456</v>
      </c>
      <c r="U37" s="41">
        <f>AVERAGE(N69:N76)</f>
        <v>697.40469691026237</v>
      </c>
      <c r="V37" s="40">
        <v>8</v>
      </c>
      <c r="W37" s="40">
        <f>STDEV(N69:N76)/SQRT(V37)</f>
        <v>109.36312004661174</v>
      </c>
      <c r="Z37" s="40"/>
      <c r="AA37" s="40" t="s">
        <v>456</v>
      </c>
      <c r="AB37" s="41">
        <f>AVERAGE(P69:P76)</f>
        <v>1643.0829107149043</v>
      </c>
      <c r="AC37" s="40">
        <v>8</v>
      </c>
      <c r="AD37" s="40">
        <f>STDEV(P69:P76)/SQRT(AC37)</f>
        <v>184.25074976300596</v>
      </c>
      <c r="AE37">
        <f>AB37/AB35</f>
        <v>7.6919242735040312</v>
      </c>
    </row>
    <row r="38" spans="2:31" x14ac:dyDescent="0.2">
      <c r="B38" s="33"/>
      <c r="C38" s="33">
        <v>2</v>
      </c>
      <c r="D38" s="33" t="s">
        <v>455</v>
      </c>
      <c r="E38" s="33">
        <v>0.2676</v>
      </c>
      <c r="F38" s="33">
        <v>0.28520000000000001</v>
      </c>
      <c r="G38" s="33">
        <f t="shared" si="4"/>
        <v>0.27639999999999998</v>
      </c>
      <c r="H38" s="35">
        <f t="shared" ref="H38:H52" si="11">(-1.3629)*G38+1.4711</f>
        <v>1.0943944400000001</v>
      </c>
      <c r="I38" s="35">
        <f t="shared" si="6"/>
        <v>12.427805277990494</v>
      </c>
      <c r="J38" s="33">
        <v>10</v>
      </c>
      <c r="K38" s="35">
        <f t="shared" si="7"/>
        <v>124.27805277990494</v>
      </c>
      <c r="L38" s="33">
        <v>197.80799999999999</v>
      </c>
      <c r="M38" s="35">
        <f t="shared" si="8"/>
        <v>0.62827617073073361</v>
      </c>
      <c r="N38" s="35">
        <f t="shared" si="9"/>
        <v>628.27617073073361</v>
      </c>
      <c r="O38" s="33">
        <f>30+30.4</f>
        <v>60.4</v>
      </c>
      <c r="P38" s="42">
        <f t="shared" si="10"/>
        <v>2057.5836552964397</v>
      </c>
      <c r="Q38" s="33" t="s">
        <v>455</v>
      </c>
    </row>
    <row r="39" spans="2:31" x14ac:dyDescent="0.2">
      <c r="B39" s="33"/>
      <c r="C39" s="33">
        <v>3</v>
      </c>
      <c r="D39" s="33" t="s">
        <v>455</v>
      </c>
      <c r="E39" s="33">
        <v>0.34639999999999999</v>
      </c>
      <c r="F39" s="33">
        <v>0.39660000000000001</v>
      </c>
      <c r="G39" s="33">
        <f t="shared" si="4"/>
        <v>0.3715</v>
      </c>
      <c r="H39" s="35">
        <f t="shared" si="11"/>
        <v>0.96478265000000007</v>
      </c>
      <c r="I39" s="35">
        <f t="shared" si="6"/>
        <v>9.2210982623791651</v>
      </c>
      <c r="J39" s="33">
        <v>10</v>
      </c>
      <c r="K39" s="35">
        <f t="shared" si="7"/>
        <v>92.210982623791651</v>
      </c>
      <c r="L39" s="33">
        <v>139.17500000000001</v>
      </c>
      <c r="M39" s="35">
        <f t="shared" si="8"/>
        <v>0.66255421321208297</v>
      </c>
      <c r="N39" s="35">
        <f t="shared" si="9"/>
        <v>662.55421321208291</v>
      </c>
      <c r="O39" s="33">
        <f>34.8+29.6</f>
        <v>64.400000000000006</v>
      </c>
      <c r="P39" s="42">
        <f t="shared" si="10"/>
        <v>1431.8475562700567</v>
      </c>
      <c r="Q39" s="33" t="s">
        <v>455</v>
      </c>
    </row>
    <row r="40" spans="2:31" x14ac:dyDescent="0.2">
      <c r="B40" s="33"/>
      <c r="C40" s="33">
        <v>4</v>
      </c>
      <c r="D40" s="33" t="s">
        <v>455</v>
      </c>
      <c r="E40" s="33">
        <v>0.24929999999999999</v>
      </c>
      <c r="F40" s="33">
        <v>0.21790000000000001</v>
      </c>
      <c r="G40" s="33">
        <f t="shared" si="4"/>
        <v>0.2336</v>
      </c>
      <c r="H40" s="35">
        <f t="shared" si="11"/>
        <v>1.1527265600000001</v>
      </c>
      <c r="I40" s="35">
        <f t="shared" si="6"/>
        <v>14.214335439427654</v>
      </c>
      <c r="J40" s="33">
        <v>10</v>
      </c>
      <c r="K40" s="35">
        <f t="shared" si="7"/>
        <v>142.14335439427654</v>
      </c>
      <c r="L40" s="33">
        <v>144.566</v>
      </c>
      <c r="M40" s="35">
        <f t="shared" si="8"/>
        <v>0.98324194066569282</v>
      </c>
      <c r="N40" s="35">
        <f t="shared" si="9"/>
        <v>983.24194066569282</v>
      </c>
      <c r="O40" s="33">
        <f>42.2+31.6</f>
        <v>73.800000000000011</v>
      </c>
      <c r="P40" s="42">
        <f t="shared" si="10"/>
        <v>1926.0617126595735</v>
      </c>
      <c r="Q40" s="33" t="s">
        <v>455</v>
      </c>
    </row>
    <row r="41" spans="2:31" x14ac:dyDescent="0.2">
      <c r="B41" s="33"/>
      <c r="C41" s="33">
        <v>5</v>
      </c>
      <c r="D41" s="33" t="s">
        <v>455</v>
      </c>
      <c r="E41" s="33">
        <v>0.31659999999999999</v>
      </c>
      <c r="F41" s="33">
        <v>0.33289999999999997</v>
      </c>
      <c r="G41" s="33">
        <f t="shared" si="4"/>
        <v>0.32474999999999998</v>
      </c>
      <c r="H41" s="35">
        <f t="shared" si="11"/>
        <v>1.0284982250000001</v>
      </c>
      <c r="I41" s="35">
        <f t="shared" si="6"/>
        <v>10.678204282535454</v>
      </c>
      <c r="J41" s="33">
        <v>10</v>
      </c>
      <c r="K41" s="35">
        <f t="shared" si="7"/>
        <v>106.78204282535454</v>
      </c>
      <c r="L41" s="33">
        <v>116.036</v>
      </c>
      <c r="M41" s="35">
        <f t="shared" si="8"/>
        <v>0.92024925734560425</v>
      </c>
      <c r="N41" s="35">
        <f t="shared" si="9"/>
        <v>920.24925734560429</v>
      </c>
      <c r="O41" s="33">
        <f>22.2+21</f>
        <v>43.2</v>
      </c>
      <c r="P41" s="42">
        <f t="shared" si="10"/>
        <v>2471.8065468832065</v>
      </c>
      <c r="Q41" s="33" t="s">
        <v>455</v>
      </c>
    </row>
    <row r="42" spans="2:31" x14ac:dyDescent="0.2">
      <c r="B42" s="33"/>
      <c r="C42" s="33">
        <v>6</v>
      </c>
      <c r="D42" s="33" t="s">
        <v>455</v>
      </c>
      <c r="E42" s="33">
        <v>0.2964</v>
      </c>
      <c r="F42" s="33">
        <v>0.30409999999999998</v>
      </c>
      <c r="G42" s="33">
        <f t="shared" si="4"/>
        <v>0.30025000000000002</v>
      </c>
      <c r="H42" s="35">
        <f t="shared" si="11"/>
        <v>1.061889275</v>
      </c>
      <c r="I42" s="35">
        <f t="shared" si="6"/>
        <v>11.531592180903866</v>
      </c>
      <c r="J42" s="33">
        <v>10</v>
      </c>
      <c r="K42" s="35">
        <f t="shared" si="7"/>
        <v>115.31592180903866</v>
      </c>
      <c r="L42" s="33">
        <v>121.203</v>
      </c>
      <c r="M42" s="35">
        <f t="shared" si="8"/>
        <v>0.95142794987779722</v>
      </c>
      <c r="N42" s="35">
        <f t="shared" si="9"/>
        <v>951.42794987779723</v>
      </c>
      <c r="O42" s="33">
        <f>51.3+31</f>
        <v>82.3</v>
      </c>
      <c r="P42" s="42">
        <f t="shared" si="10"/>
        <v>1401.1655140830944</v>
      </c>
      <c r="Q42" s="33" t="s">
        <v>455</v>
      </c>
    </row>
    <row r="43" spans="2:31" x14ac:dyDescent="0.2">
      <c r="B43" s="33"/>
      <c r="C43" s="33">
        <v>7</v>
      </c>
      <c r="D43" s="33" t="s">
        <v>455</v>
      </c>
      <c r="E43" s="33">
        <v>0.377</v>
      </c>
      <c r="F43" s="33">
        <v>0.3125</v>
      </c>
      <c r="G43" s="33">
        <f t="shared" si="4"/>
        <v>0.34475</v>
      </c>
      <c r="H43" s="35">
        <f t="shared" si="11"/>
        <v>1.0012402250000001</v>
      </c>
      <c r="I43" s="35">
        <f t="shared" si="6"/>
        <v>10.028598050598418</v>
      </c>
      <c r="J43" s="33">
        <v>10</v>
      </c>
      <c r="K43" s="35">
        <f t="shared" si="7"/>
        <v>100.28598050598418</v>
      </c>
      <c r="L43" s="33">
        <v>113.34</v>
      </c>
      <c r="M43" s="35">
        <f t="shared" si="8"/>
        <v>0.88482425009691357</v>
      </c>
      <c r="N43" s="35">
        <f t="shared" si="9"/>
        <v>884.8242500969136</v>
      </c>
      <c r="O43" s="33">
        <f>31+26.2</f>
        <v>57.2</v>
      </c>
      <c r="P43" s="42">
        <f t="shared" si="10"/>
        <v>1753.2514074472758</v>
      </c>
      <c r="Q43" s="33" t="s">
        <v>455</v>
      </c>
    </row>
    <row r="44" spans="2:31" x14ac:dyDescent="0.2">
      <c r="B44" s="33"/>
      <c r="C44" s="33">
        <v>8</v>
      </c>
      <c r="D44" s="33" t="s">
        <v>455</v>
      </c>
      <c r="E44" s="33">
        <v>0.30730000000000002</v>
      </c>
      <c r="F44" s="33">
        <v>0.26090000000000002</v>
      </c>
      <c r="G44" s="33">
        <f t="shared" si="4"/>
        <v>0.28410000000000002</v>
      </c>
      <c r="H44" s="35">
        <f t="shared" si="11"/>
        <v>1.0839001100000001</v>
      </c>
      <c r="I44" s="35">
        <f t="shared" si="6"/>
        <v>12.131097967826204</v>
      </c>
      <c r="J44" s="33">
        <v>10</v>
      </c>
      <c r="K44" s="35">
        <f t="shared" si="7"/>
        <v>121.31097967826204</v>
      </c>
      <c r="L44" s="33">
        <v>324.73399999999998</v>
      </c>
      <c r="M44" s="35">
        <f t="shared" si="8"/>
        <v>0.37357030578338596</v>
      </c>
      <c r="N44" s="35">
        <f t="shared" si="9"/>
        <v>373.57030578338595</v>
      </c>
      <c r="O44" s="33">
        <f>35.3+31.1</f>
        <v>66.400000000000006</v>
      </c>
      <c r="P44" s="42">
        <f t="shared" si="10"/>
        <v>1826.9725855159943</v>
      </c>
      <c r="Q44" s="33" t="s">
        <v>455</v>
      </c>
    </row>
    <row r="45" spans="2:31" x14ac:dyDescent="0.2">
      <c r="B45" s="33"/>
      <c r="C45" s="33">
        <v>1</v>
      </c>
      <c r="D45" s="33" t="s">
        <v>456</v>
      </c>
      <c r="E45" s="33">
        <v>0.34760000000000002</v>
      </c>
      <c r="F45" s="33">
        <v>0.37840000000000001</v>
      </c>
      <c r="G45" s="33">
        <f t="shared" si="4"/>
        <v>0.36299999999999999</v>
      </c>
      <c r="H45" s="35">
        <f t="shared" si="11"/>
        <v>0.97636730000000016</v>
      </c>
      <c r="I45" s="35">
        <f t="shared" si="6"/>
        <v>9.470377700193966</v>
      </c>
      <c r="J45" s="33">
        <v>10</v>
      </c>
      <c r="K45" s="35">
        <f t="shared" si="7"/>
        <v>94.703777001939656</v>
      </c>
      <c r="L45" s="33">
        <v>313.05200000000002</v>
      </c>
      <c r="M45" s="35">
        <f t="shared" si="8"/>
        <v>0.30251771910717595</v>
      </c>
      <c r="N45" s="35">
        <f t="shared" si="9"/>
        <v>302.51771910717594</v>
      </c>
      <c r="O45" s="33">
        <f>29.9+28.5</f>
        <v>58.4</v>
      </c>
      <c r="P45" s="42">
        <f t="shared" si="10"/>
        <v>1621.640017156501</v>
      </c>
      <c r="Q45" s="33" t="s">
        <v>456</v>
      </c>
    </row>
    <row r="46" spans="2:31" x14ac:dyDescent="0.2">
      <c r="B46" s="33"/>
      <c r="C46" s="33">
        <v>2</v>
      </c>
      <c r="D46" s="33" t="s">
        <v>456</v>
      </c>
      <c r="E46" s="33">
        <v>0.36230000000000001</v>
      </c>
      <c r="F46" s="33">
        <v>0.33739999999999998</v>
      </c>
      <c r="G46" s="33">
        <f t="shared" si="4"/>
        <v>0.34984999999999999</v>
      </c>
      <c r="H46" s="35">
        <f t="shared" si="11"/>
        <v>0.994289435</v>
      </c>
      <c r="I46" s="35">
        <f t="shared" si="6"/>
        <v>9.8693700940701348</v>
      </c>
      <c r="J46" s="33">
        <v>10</v>
      </c>
      <c r="K46" s="35">
        <f t="shared" si="7"/>
        <v>98.693700940701348</v>
      </c>
      <c r="L46" s="33">
        <v>257.11500000000001</v>
      </c>
      <c r="M46" s="35">
        <f t="shared" si="8"/>
        <v>0.38385042078720161</v>
      </c>
      <c r="N46" s="35">
        <f t="shared" si="9"/>
        <v>383.85042078720159</v>
      </c>
      <c r="O46" s="33">
        <f>30.1+32.9</f>
        <v>63</v>
      </c>
      <c r="P46" s="42">
        <f t="shared" si="10"/>
        <v>1566.5666815984341</v>
      </c>
      <c r="Q46" s="33" t="s">
        <v>456</v>
      </c>
    </row>
    <row r="47" spans="2:31" x14ac:dyDescent="0.2">
      <c r="B47" s="33"/>
      <c r="C47" s="33">
        <v>3</v>
      </c>
      <c r="D47" s="33" t="s">
        <v>456</v>
      </c>
      <c r="E47" s="33">
        <v>0.25940000000000002</v>
      </c>
      <c r="F47" s="33">
        <v>0.31</v>
      </c>
      <c r="G47" s="33">
        <f t="shared" si="4"/>
        <v>0.28470000000000001</v>
      </c>
      <c r="H47" s="35">
        <f t="shared" si="11"/>
        <v>1.0830823700000001</v>
      </c>
      <c r="I47" s="35">
        <f t="shared" si="6"/>
        <v>12.108277621305598</v>
      </c>
      <c r="J47" s="33">
        <v>10</v>
      </c>
      <c r="K47" s="35">
        <f t="shared" si="7"/>
        <v>121.08277621305598</v>
      </c>
      <c r="L47" s="33">
        <v>216.45400000000001</v>
      </c>
      <c r="M47" s="35">
        <f t="shared" si="8"/>
        <v>0.55939264792083299</v>
      </c>
      <c r="N47" s="35">
        <f t="shared" si="9"/>
        <v>559.39264792083304</v>
      </c>
      <c r="O47" s="33">
        <f>35.6+33.9</f>
        <v>69.5</v>
      </c>
      <c r="P47" s="42">
        <f t="shared" si="10"/>
        <v>1742.1982188928916</v>
      </c>
      <c r="Q47" s="33" t="s">
        <v>456</v>
      </c>
    </row>
    <row r="48" spans="2:31" x14ac:dyDescent="0.2">
      <c r="B48" s="33"/>
      <c r="C48" s="33">
        <v>4</v>
      </c>
      <c r="D48" s="33" t="s">
        <v>456</v>
      </c>
      <c r="E48" s="33">
        <v>0.3075</v>
      </c>
      <c r="F48" s="33">
        <v>0.25490000000000002</v>
      </c>
      <c r="G48" s="33">
        <f t="shared" si="4"/>
        <v>0.28120000000000001</v>
      </c>
      <c r="H48" s="35">
        <f t="shared" si="11"/>
        <v>1.08785252</v>
      </c>
      <c r="I48" s="35">
        <f t="shared" si="6"/>
        <v>12.242004082697017</v>
      </c>
      <c r="J48" s="33">
        <v>10</v>
      </c>
      <c r="K48" s="35">
        <f t="shared" si="7"/>
        <v>122.42004082697017</v>
      </c>
      <c r="L48" s="33">
        <v>177.589</v>
      </c>
      <c r="M48" s="35">
        <f t="shared" si="8"/>
        <v>0.68934472758431076</v>
      </c>
      <c r="N48" s="35">
        <f t="shared" si="9"/>
        <v>689.3447275843107</v>
      </c>
      <c r="O48" s="33">
        <f>30.5+29</f>
        <v>59.5</v>
      </c>
      <c r="P48" s="42">
        <f t="shared" si="10"/>
        <v>2057.4796777642046</v>
      </c>
      <c r="Q48" s="33" t="s">
        <v>456</v>
      </c>
    </row>
    <row r="49" spans="2:17" x14ac:dyDescent="0.2">
      <c r="B49" s="33"/>
      <c r="C49" s="33">
        <v>5</v>
      </c>
      <c r="D49" s="33" t="s">
        <v>456</v>
      </c>
      <c r="E49" s="33">
        <v>0.33810000000000001</v>
      </c>
      <c r="F49" s="33">
        <v>0.3014</v>
      </c>
      <c r="G49" s="33">
        <f t="shared" si="4"/>
        <v>0.31974999999999998</v>
      </c>
      <c r="H49" s="35">
        <f t="shared" si="11"/>
        <v>1.035312725</v>
      </c>
      <c r="I49" s="35">
        <f t="shared" si="6"/>
        <v>10.847077047750805</v>
      </c>
      <c r="J49" s="33">
        <v>10</v>
      </c>
      <c r="K49" s="35">
        <f t="shared" si="7"/>
        <v>108.47077047750804</v>
      </c>
      <c r="L49" s="33">
        <v>182.98099999999999</v>
      </c>
      <c r="M49" s="35">
        <f t="shared" si="8"/>
        <v>0.59279799802989408</v>
      </c>
      <c r="N49" s="35">
        <f t="shared" si="9"/>
        <v>592.79799802989407</v>
      </c>
      <c r="O49" s="33">
        <f>20+24.2</f>
        <v>44.2</v>
      </c>
      <c r="P49" s="42">
        <f t="shared" si="10"/>
        <v>2454.0898298078741</v>
      </c>
      <c r="Q49" s="33" t="s">
        <v>456</v>
      </c>
    </row>
    <row r="50" spans="2:17" x14ac:dyDescent="0.2">
      <c r="B50" s="33"/>
      <c r="C50" s="33">
        <v>6</v>
      </c>
      <c r="D50" s="33" t="s">
        <v>456</v>
      </c>
      <c r="E50" s="33">
        <v>0.46279999999999999</v>
      </c>
      <c r="F50" s="33">
        <v>0.67989999999999995</v>
      </c>
      <c r="G50" s="33">
        <f t="shared" si="4"/>
        <v>0.57135000000000002</v>
      </c>
      <c r="H50" s="35">
        <f t="shared" si="11"/>
        <v>0.69240708500000003</v>
      </c>
      <c r="I50" s="35">
        <f t="shared" si="6"/>
        <v>4.9250096410929514</v>
      </c>
      <c r="J50" s="33">
        <v>10</v>
      </c>
      <c r="K50" s="35">
        <f t="shared" si="7"/>
        <v>49.250096410929515</v>
      </c>
      <c r="L50" s="33">
        <v>180.51</v>
      </c>
      <c r="M50" s="35">
        <f t="shared" si="8"/>
        <v>0.27283860401600751</v>
      </c>
      <c r="N50" s="35">
        <f t="shared" si="9"/>
        <v>272.83860401600754</v>
      </c>
      <c r="O50" s="33">
        <f>36.2+37</f>
        <v>73.2</v>
      </c>
      <c r="P50" s="42">
        <f t="shared" si="10"/>
        <v>672.81552473947431</v>
      </c>
      <c r="Q50" s="33" t="s">
        <v>456</v>
      </c>
    </row>
    <row r="51" spans="2:17" x14ac:dyDescent="0.2">
      <c r="B51" s="33"/>
      <c r="C51" s="33">
        <v>7</v>
      </c>
      <c r="D51" s="33" t="s">
        <v>456</v>
      </c>
      <c r="E51" s="33">
        <v>0.37</v>
      </c>
      <c r="F51" s="33">
        <v>0.3206</v>
      </c>
      <c r="G51" s="33">
        <f t="shared" si="4"/>
        <v>0.3453</v>
      </c>
      <c r="H51" s="35">
        <f t="shared" si="11"/>
        <v>1.00049063</v>
      </c>
      <c r="I51" s="35">
        <f t="shared" si="6"/>
        <v>10.011303556951626</v>
      </c>
      <c r="J51" s="33">
        <v>10</v>
      </c>
      <c r="K51" s="35">
        <f t="shared" si="7"/>
        <v>100.11303556951626</v>
      </c>
      <c r="L51" s="33">
        <v>191.518</v>
      </c>
      <c r="M51" s="35">
        <f t="shared" si="8"/>
        <v>0.52273434126043639</v>
      </c>
      <c r="N51" s="35">
        <f t="shared" si="9"/>
        <v>522.73434126043639</v>
      </c>
      <c r="O51" s="33">
        <f>29.4+30.3</f>
        <v>59.7</v>
      </c>
      <c r="P51" s="42">
        <f t="shared" si="10"/>
        <v>1676.9352691711265</v>
      </c>
      <c r="Q51" s="33" t="s">
        <v>456</v>
      </c>
    </row>
    <row r="52" spans="2:17" x14ac:dyDescent="0.2">
      <c r="B52" s="33"/>
      <c r="C52" s="33">
        <v>8</v>
      </c>
      <c r="D52" s="33" t="s">
        <v>456</v>
      </c>
      <c r="E52" s="33">
        <v>0.63839999999999997</v>
      </c>
      <c r="F52" s="33">
        <v>0.51419999999999999</v>
      </c>
      <c r="G52" s="33">
        <f t="shared" si="4"/>
        <v>0.57630000000000003</v>
      </c>
      <c r="H52" s="35">
        <f t="shared" si="11"/>
        <v>0.68566073000000005</v>
      </c>
      <c r="I52" s="35">
        <f t="shared" si="6"/>
        <v>4.8490954177482388</v>
      </c>
      <c r="J52" s="33">
        <v>10</v>
      </c>
      <c r="K52" s="35">
        <f t="shared" si="7"/>
        <v>48.490954177482386</v>
      </c>
      <c r="L52" s="33">
        <v>160.96600000000001</v>
      </c>
      <c r="M52" s="35">
        <f t="shared" si="8"/>
        <v>0.30124966873428166</v>
      </c>
      <c r="N52" s="35">
        <f t="shared" si="9"/>
        <v>301.24966873428167</v>
      </c>
      <c r="O52" s="33">
        <f>30.7+26.7</f>
        <v>57.4</v>
      </c>
      <c r="P52" s="42">
        <f t="shared" si="10"/>
        <v>844.79014246484996</v>
      </c>
      <c r="Q52" s="33" t="s">
        <v>456</v>
      </c>
    </row>
    <row r="53" spans="2:17" x14ac:dyDescent="0.2">
      <c r="B53" s="38" t="s">
        <v>457</v>
      </c>
      <c r="C53" s="34">
        <v>9</v>
      </c>
      <c r="D53" s="34" t="s">
        <v>453</v>
      </c>
      <c r="E53" s="34">
        <v>0.41</v>
      </c>
      <c r="F53" s="34">
        <v>0.4088</v>
      </c>
      <c r="G53" s="34">
        <f t="shared" si="4"/>
        <v>0.40939999999999999</v>
      </c>
      <c r="H53" s="36">
        <f t="shared" ref="H53:H58" si="12">(-1.1871)*G53+1.3496</f>
        <v>0.86360125999999993</v>
      </c>
      <c r="I53" s="36">
        <f t="shared" si="6"/>
        <v>7.3046810879320949</v>
      </c>
      <c r="J53" s="34">
        <v>1</v>
      </c>
      <c r="K53" s="36">
        <f t="shared" si="7"/>
        <v>7.3046810879320949</v>
      </c>
      <c r="L53" s="34">
        <v>135.80500000000001</v>
      </c>
      <c r="M53" s="36">
        <f t="shared" si="8"/>
        <v>5.3788012870896469E-2</v>
      </c>
      <c r="N53" s="36">
        <f t="shared" si="9"/>
        <v>53.788012870896466</v>
      </c>
      <c r="O53" s="34">
        <f>20.2+29.6</f>
        <v>49.8</v>
      </c>
      <c r="P53" s="43">
        <f t="shared" si="10"/>
        <v>146.68034313116658</v>
      </c>
      <c r="Q53" s="34" t="s">
        <v>453</v>
      </c>
    </row>
    <row r="54" spans="2:17" x14ac:dyDescent="0.2">
      <c r="B54" s="34"/>
      <c r="C54" s="34">
        <v>10</v>
      </c>
      <c r="D54" s="34" t="s">
        <v>454</v>
      </c>
      <c r="E54" s="34">
        <v>0.20399999999999999</v>
      </c>
      <c r="F54" s="34">
        <v>0.1991</v>
      </c>
      <c r="G54" s="34">
        <f t="shared" si="4"/>
        <v>0.20155000000000001</v>
      </c>
      <c r="H54" s="36">
        <f t="shared" si="12"/>
        <v>1.1103399949999999</v>
      </c>
      <c r="I54" s="36">
        <f t="shared" si="6"/>
        <v>12.892584751694294</v>
      </c>
      <c r="J54" s="34">
        <v>1</v>
      </c>
      <c r="K54" s="36">
        <f t="shared" si="7"/>
        <v>12.892584751694294</v>
      </c>
      <c r="L54" s="34">
        <v>186.8</v>
      </c>
      <c r="M54" s="36">
        <f t="shared" si="8"/>
        <v>6.901811965575104E-2</v>
      </c>
      <c r="N54" s="36">
        <f t="shared" si="9"/>
        <v>69.018119655751036</v>
      </c>
      <c r="O54" s="34">
        <f>26.9+37.7</f>
        <v>64.599999999999994</v>
      </c>
      <c r="P54" s="43">
        <f t="shared" si="10"/>
        <v>199.57561535130489</v>
      </c>
      <c r="Q54" s="34" t="s">
        <v>454</v>
      </c>
    </row>
    <row r="55" spans="2:17" x14ac:dyDescent="0.2">
      <c r="B55" s="34"/>
      <c r="C55" s="34">
        <v>11</v>
      </c>
      <c r="D55" s="34" t="s">
        <v>454</v>
      </c>
      <c r="E55" s="34">
        <v>0.16750000000000001</v>
      </c>
      <c r="F55" s="34">
        <v>0.1636</v>
      </c>
      <c r="G55" s="34">
        <f t="shared" si="4"/>
        <v>0.16555</v>
      </c>
      <c r="H55" s="36">
        <f t="shared" si="12"/>
        <v>1.1530755949999998</v>
      </c>
      <c r="I55" s="36">
        <f t="shared" si="6"/>
        <v>14.225763847954697</v>
      </c>
      <c r="J55" s="34">
        <v>1</v>
      </c>
      <c r="K55" s="36">
        <f t="shared" si="7"/>
        <v>14.225763847954697</v>
      </c>
      <c r="L55" s="34">
        <v>140.523</v>
      </c>
      <c r="M55" s="36">
        <f t="shared" si="8"/>
        <v>0.10123441605968203</v>
      </c>
      <c r="N55" s="36">
        <f t="shared" si="9"/>
        <v>101.23441605968203</v>
      </c>
      <c r="O55" s="34">
        <f>22.2+29.9</f>
        <v>52.099999999999994</v>
      </c>
      <c r="P55" s="43">
        <f t="shared" si="10"/>
        <v>273.04729074769097</v>
      </c>
      <c r="Q55" s="34" t="s">
        <v>454</v>
      </c>
    </row>
    <row r="56" spans="2:17" x14ac:dyDescent="0.2">
      <c r="B56" s="34"/>
      <c r="C56" s="34">
        <v>12</v>
      </c>
      <c r="D56" s="34" t="s">
        <v>454</v>
      </c>
      <c r="E56" s="34">
        <v>0.46550000000000002</v>
      </c>
      <c r="F56" s="34">
        <v>0.47120000000000001</v>
      </c>
      <c r="G56" s="34">
        <f t="shared" si="4"/>
        <v>0.46835000000000004</v>
      </c>
      <c r="H56" s="36">
        <f t="shared" si="12"/>
        <v>0.79362171499999978</v>
      </c>
      <c r="I56" s="36">
        <f t="shared" si="6"/>
        <v>6.2175847683559677</v>
      </c>
      <c r="J56" s="34">
        <v>1</v>
      </c>
      <c r="K56" s="36">
        <f t="shared" si="7"/>
        <v>6.2175847683559677</v>
      </c>
      <c r="L56" s="34">
        <v>224.76499999999999</v>
      </c>
      <c r="M56" s="36">
        <f t="shared" si="8"/>
        <v>2.7662602132698454E-2</v>
      </c>
      <c r="N56" s="36">
        <f t="shared" si="9"/>
        <v>27.662602132698453</v>
      </c>
      <c r="O56" s="34">
        <f>19.5+16.8</f>
        <v>36.299999999999997</v>
      </c>
      <c r="P56" s="43">
        <f t="shared" si="10"/>
        <v>171.28332695195505</v>
      </c>
      <c r="Q56" s="34" t="s">
        <v>454</v>
      </c>
    </row>
    <row r="57" spans="2:17" x14ac:dyDescent="0.2">
      <c r="B57" s="34"/>
      <c r="C57" s="34">
        <v>13</v>
      </c>
      <c r="D57" s="34" t="s">
        <v>454</v>
      </c>
      <c r="E57" s="34">
        <v>0.21890000000000001</v>
      </c>
      <c r="F57" s="34">
        <v>0.22639999999999999</v>
      </c>
      <c r="G57" s="34">
        <f t="shared" si="4"/>
        <v>0.22265000000000001</v>
      </c>
      <c r="H57" s="36">
        <f t="shared" si="12"/>
        <v>1.0852921849999999</v>
      </c>
      <c r="I57" s="36">
        <f t="shared" si="6"/>
        <v>12.170045025730458</v>
      </c>
      <c r="J57" s="34">
        <v>1</v>
      </c>
      <c r="K57" s="36">
        <f t="shared" si="7"/>
        <v>12.170045025730458</v>
      </c>
      <c r="L57" s="34">
        <v>199.60499999999999</v>
      </c>
      <c r="M57" s="36">
        <f t="shared" si="8"/>
        <v>6.0970642146892406E-2</v>
      </c>
      <c r="N57" s="36">
        <f t="shared" si="9"/>
        <v>60.970642146892409</v>
      </c>
      <c r="O57" s="34">
        <f>21+30.4</f>
        <v>51.4</v>
      </c>
      <c r="P57" s="43">
        <f t="shared" si="10"/>
        <v>236.7713040025381</v>
      </c>
      <c r="Q57" s="34" t="s">
        <v>454</v>
      </c>
    </row>
    <row r="58" spans="2:17" x14ac:dyDescent="0.2">
      <c r="B58" s="34"/>
      <c r="C58" s="34">
        <v>14</v>
      </c>
      <c r="D58" s="34" t="s">
        <v>454</v>
      </c>
      <c r="E58" s="34">
        <v>0.18290000000000001</v>
      </c>
      <c r="F58" s="34">
        <v>0.1769</v>
      </c>
      <c r="G58" s="34">
        <f t="shared" si="4"/>
        <v>0.1799</v>
      </c>
      <c r="H58" s="36">
        <f t="shared" si="12"/>
        <v>1.1360407099999998</v>
      </c>
      <c r="I58" s="36">
        <f t="shared" si="6"/>
        <v>13.678570400967827</v>
      </c>
      <c r="J58" s="34">
        <v>1</v>
      </c>
      <c r="K58" s="36">
        <f t="shared" si="7"/>
        <v>13.678570400967827</v>
      </c>
      <c r="L58" s="34">
        <v>188.148</v>
      </c>
      <c r="M58" s="36">
        <f t="shared" si="8"/>
        <v>7.2701120399726954E-2</v>
      </c>
      <c r="N58" s="36">
        <f t="shared" si="9"/>
        <v>72.70112039972696</v>
      </c>
      <c r="O58" s="34">
        <f>30.8+31.1</f>
        <v>61.900000000000006</v>
      </c>
      <c r="P58" s="43">
        <f t="shared" si="10"/>
        <v>220.97852020949637</v>
      </c>
      <c r="Q58" s="34" t="s">
        <v>454</v>
      </c>
    </row>
    <row r="59" spans="2:17" x14ac:dyDescent="0.2">
      <c r="B59" s="34"/>
      <c r="C59" s="34">
        <v>15</v>
      </c>
      <c r="D59" s="34" t="s">
        <v>454</v>
      </c>
      <c r="E59" s="34">
        <v>0.22059999999999999</v>
      </c>
      <c r="F59" s="34">
        <v>0.2031</v>
      </c>
      <c r="G59" s="34">
        <f t="shared" si="4"/>
        <v>0.21184999999999998</v>
      </c>
      <c r="H59" s="36">
        <f>(-1.3629)*G59+1.4711</f>
        <v>1.1823696350000001</v>
      </c>
      <c r="I59" s="36">
        <f t="shared" si="6"/>
        <v>15.218422430233931</v>
      </c>
      <c r="J59" s="34">
        <v>1</v>
      </c>
      <c r="K59" s="36">
        <f t="shared" si="7"/>
        <v>15.218422430233931</v>
      </c>
      <c r="L59" s="34">
        <v>140.97200000000001</v>
      </c>
      <c r="M59" s="36">
        <f t="shared" si="8"/>
        <v>0.10795351155005199</v>
      </c>
      <c r="N59" s="36">
        <f t="shared" si="9"/>
        <v>107.95351155005199</v>
      </c>
      <c r="O59" s="34">
        <f>20+42.2</f>
        <v>62.2</v>
      </c>
      <c r="P59" s="43">
        <f t="shared" si="10"/>
        <v>244.66917090408248</v>
      </c>
      <c r="Q59" s="34" t="s">
        <v>454</v>
      </c>
    </row>
    <row r="60" spans="2:17" x14ac:dyDescent="0.2">
      <c r="B60" s="34"/>
      <c r="C60" s="34">
        <v>16</v>
      </c>
      <c r="D60" s="34" t="s">
        <v>454</v>
      </c>
      <c r="E60" s="34">
        <v>0.40699999999999997</v>
      </c>
      <c r="F60" s="34">
        <v>0.36520000000000002</v>
      </c>
      <c r="G60" s="34">
        <f t="shared" si="4"/>
        <v>0.3861</v>
      </c>
      <c r="H60" s="36">
        <f>(-1.3629)*G60+1.4711</f>
        <v>0.94488431000000006</v>
      </c>
      <c r="I60" s="36">
        <f t="shared" si="6"/>
        <v>8.8081420511929309</v>
      </c>
      <c r="J60" s="34">
        <v>1</v>
      </c>
      <c r="K60" s="36">
        <f t="shared" si="7"/>
        <v>8.8081420511929309</v>
      </c>
      <c r="L60" s="34">
        <v>164.11099999999999</v>
      </c>
      <c r="M60" s="36">
        <f t="shared" si="8"/>
        <v>5.3671856555580863E-2</v>
      </c>
      <c r="N60" s="36">
        <f t="shared" si="9"/>
        <v>53.67185655558086</v>
      </c>
      <c r="O60" s="34">
        <f>18.8+22</f>
        <v>40.799999999999997</v>
      </c>
      <c r="P60" s="43">
        <f t="shared" si="10"/>
        <v>215.88583458806204</v>
      </c>
      <c r="Q60" s="34" t="s">
        <v>454</v>
      </c>
    </row>
    <row r="61" spans="2:17" x14ac:dyDescent="0.2">
      <c r="B61" s="34"/>
      <c r="C61" s="34">
        <v>9</v>
      </c>
      <c r="D61" s="34" t="s">
        <v>455</v>
      </c>
      <c r="E61" s="34">
        <v>0.27189999999999998</v>
      </c>
      <c r="F61" s="34">
        <v>0.2596</v>
      </c>
      <c r="G61" s="34">
        <f t="shared" si="4"/>
        <v>0.26574999999999999</v>
      </c>
      <c r="H61" s="36">
        <f t="shared" ref="H61:H76" si="13">(-1.3629)*G61+1.4711</f>
        <v>1.1089093250000002</v>
      </c>
      <c r="I61" s="36">
        <f t="shared" si="6"/>
        <v>12.850183369341645</v>
      </c>
      <c r="J61" s="34">
        <v>10</v>
      </c>
      <c r="K61" s="36">
        <f t="shared" si="7"/>
        <v>128.50183369341644</v>
      </c>
      <c r="L61" s="34">
        <v>133.334</v>
      </c>
      <c r="M61" s="36">
        <f t="shared" si="8"/>
        <v>0.9637589339059538</v>
      </c>
      <c r="N61" s="36">
        <f t="shared" si="9"/>
        <v>963.75893390595377</v>
      </c>
      <c r="O61" s="34">
        <f>21.5+21.1</f>
        <v>42.6</v>
      </c>
      <c r="P61" s="43">
        <f t="shared" si="10"/>
        <v>3016.4749693290241</v>
      </c>
      <c r="Q61" s="34" t="s">
        <v>455</v>
      </c>
    </row>
    <row r="62" spans="2:17" x14ac:dyDescent="0.2">
      <c r="B62" s="34"/>
      <c r="C62" s="34">
        <v>10</v>
      </c>
      <c r="D62" s="34" t="s">
        <v>455</v>
      </c>
      <c r="E62" s="34">
        <v>0.25569999999999998</v>
      </c>
      <c r="F62" s="34">
        <v>0.25600000000000001</v>
      </c>
      <c r="G62" s="34">
        <f t="shared" si="4"/>
        <v>0.25585000000000002</v>
      </c>
      <c r="H62" s="36">
        <f t="shared" si="13"/>
        <v>1.1224020349999999</v>
      </c>
      <c r="I62" s="36">
        <f t="shared" si="6"/>
        <v>13.255680720000361</v>
      </c>
      <c r="J62" s="34">
        <v>10</v>
      </c>
      <c r="K62" s="36">
        <f t="shared" si="7"/>
        <v>132.55680720000362</v>
      </c>
      <c r="L62" s="34">
        <v>107.27500000000001</v>
      </c>
      <c r="M62" s="36">
        <f t="shared" si="8"/>
        <v>1.2356728706595537</v>
      </c>
      <c r="N62" s="36">
        <f t="shared" si="9"/>
        <v>1235.6728706595536</v>
      </c>
      <c r="O62" s="34">
        <f>23.4+43.6</f>
        <v>67</v>
      </c>
      <c r="P62" s="43">
        <f t="shared" si="10"/>
        <v>1978.4598089552778</v>
      </c>
      <c r="Q62" s="34" t="s">
        <v>455</v>
      </c>
    </row>
    <row r="63" spans="2:17" x14ac:dyDescent="0.2">
      <c r="B63" s="34"/>
      <c r="C63" s="34">
        <v>11</v>
      </c>
      <c r="D63" s="34" t="s">
        <v>455</v>
      </c>
      <c r="E63" s="34">
        <v>0.3241</v>
      </c>
      <c r="F63" s="34">
        <v>0.33200000000000002</v>
      </c>
      <c r="G63" s="34">
        <f t="shared" si="4"/>
        <v>0.32805000000000001</v>
      </c>
      <c r="H63" s="36">
        <f t="shared" si="13"/>
        <v>1.024000655</v>
      </c>
      <c r="I63" s="36">
        <f t="shared" si="6"/>
        <v>10.568191030998797</v>
      </c>
      <c r="J63" s="34">
        <v>10</v>
      </c>
      <c r="K63" s="36">
        <f t="shared" si="7"/>
        <v>105.68191030998797</v>
      </c>
      <c r="L63" s="34">
        <v>121.428</v>
      </c>
      <c r="M63" s="36">
        <f t="shared" si="8"/>
        <v>0.87032570996794789</v>
      </c>
      <c r="N63" s="36">
        <f t="shared" si="9"/>
        <v>870.32570996794789</v>
      </c>
      <c r="O63" s="34">
        <f>25.7+42.5</f>
        <v>68.2</v>
      </c>
      <c r="P63" s="43">
        <f t="shared" si="10"/>
        <v>1549.5881277124336</v>
      </c>
      <c r="Q63" s="34" t="s">
        <v>455</v>
      </c>
    </row>
    <row r="64" spans="2:17" x14ac:dyDescent="0.2">
      <c r="B64" s="34"/>
      <c r="C64" s="34">
        <v>12</v>
      </c>
      <c r="D64" s="34" t="s">
        <v>455</v>
      </c>
      <c r="E64" s="34">
        <v>0.25950000000000001</v>
      </c>
      <c r="F64" s="34">
        <v>0.24579999999999999</v>
      </c>
      <c r="G64" s="34">
        <f t="shared" si="4"/>
        <v>0.25264999999999999</v>
      </c>
      <c r="H64" s="36">
        <f t="shared" si="13"/>
        <v>1.126763315</v>
      </c>
      <c r="I64" s="36">
        <f t="shared" si="6"/>
        <v>13.389467794878977</v>
      </c>
      <c r="J64" s="34">
        <v>10</v>
      </c>
      <c r="K64" s="36">
        <f t="shared" si="7"/>
        <v>133.89467794878976</v>
      </c>
      <c r="L64" s="34">
        <v>111.54300000000001</v>
      </c>
      <c r="M64" s="36">
        <f t="shared" si="8"/>
        <v>1.2003862003782375</v>
      </c>
      <c r="N64" s="36">
        <f t="shared" si="9"/>
        <v>1200.3862003782376</v>
      </c>
      <c r="O64" s="34">
        <f>23.1+21.1</f>
        <v>44.2</v>
      </c>
      <c r="P64" s="43">
        <f t="shared" si="10"/>
        <v>3029.2913563074608</v>
      </c>
      <c r="Q64" s="34" t="s">
        <v>455</v>
      </c>
    </row>
    <row r="65" spans="2:17" x14ac:dyDescent="0.2">
      <c r="B65" s="34"/>
      <c r="C65" s="34">
        <v>13</v>
      </c>
      <c r="D65" s="34" t="s">
        <v>455</v>
      </c>
      <c r="E65" s="34">
        <v>0.46539999999999998</v>
      </c>
      <c r="F65" s="34">
        <v>0.42</v>
      </c>
      <c r="G65" s="34">
        <f t="shared" si="4"/>
        <v>0.44269999999999998</v>
      </c>
      <c r="H65" s="36">
        <f t="shared" si="13"/>
        <v>0.86774417000000015</v>
      </c>
      <c r="I65" s="36">
        <f t="shared" si="6"/>
        <v>7.3746968063284521</v>
      </c>
      <c r="J65" s="34">
        <v>10</v>
      </c>
      <c r="K65" s="36">
        <f t="shared" si="7"/>
        <v>73.746968063284527</v>
      </c>
      <c r="L65" s="34">
        <v>175.34299999999999</v>
      </c>
      <c r="M65" s="36">
        <f t="shared" si="8"/>
        <v>0.42058689576022157</v>
      </c>
      <c r="N65" s="36">
        <f t="shared" si="9"/>
        <v>420.58689576022158</v>
      </c>
      <c r="O65" s="34">
        <f>19.8+27.1</f>
        <v>46.900000000000006</v>
      </c>
      <c r="P65" s="43">
        <f t="shared" si="10"/>
        <v>1572.4300226713117</v>
      </c>
      <c r="Q65" s="34" t="s">
        <v>455</v>
      </c>
    </row>
    <row r="66" spans="2:17" x14ac:dyDescent="0.2">
      <c r="B66" s="34"/>
      <c r="C66" s="34">
        <v>14</v>
      </c>
      <c r="D66" s="34" t="s">
        <v>455</v>
      </c>
      <c r="E66" s="34">
        <v>0.2354</v>
      </c>
      <c r="F66" s="34">
        <v>0.2455</v>
      </c>
      <c r="G66" s="34">
        <f t="shared" si="4"/>
        <v>0.24045</v>
      </c>
      <c r="H66" s="36">
        <f t="shared" si="13"/>
        <v>1.1433906950000001</v>
      </c>
      <c r="I66" s="36">
        <f t="shared" si="6"/>
        <v>13.912036070010805</v>
      </c>
      <c r="J66" s="34">
        <v>10</v>
      </c>
      <c r="K66" s="36">
        <f t="shared" si="7"/>
        <v>139.12036070010805</v>
      </c>
      <c r="L66" s="34">
        <v>135.35599999999999</v>
      </c>
      <c r="M66" s="36">
        <f t="shared" si="8"/>
        <v>1.027810815184462</v>
      </c>
      <c r="N66" s="36">
        <f t="shared" si="9"/>
        <v>1027.8108151844619</v>
      </c>
      <c r="O66" s="34">
        <f>22.4+37.5</f>
        <v>59.9</v>
      </c>
      <c r="P66" s="43">
        <f t="shared" si="10"/>
        <v>2322.5435843089826</v>
      </c>
      <c r="Q66" s="34" t="s">
        <v>455</v>
      </c>
    </row>
    <row r="67" spans="2:17" x14ac:dyDescent="0.2">
      <c r="B67" s="34"/>
      <c r="C67" s="34">
        <v>15</v>
      </c>
      <c r="D67" s="34" t="s">
        <v>455</v>
      </c>
      <c r="E67" s="34">
        <v>0.24440000000000001</v>
      </c>
      <c r="F67" s="34">
        <v>0.22270000000000001</v>
      </c>
      <c r="G67" s="34">
        <f t="shared" si="4"/>
        <v>0.23355000000000001</v>
      </c>
      <c r="H67" s="36">
        <f t="shared" si="13"/>
        <v>1.152794705</v>
      </c>
      <c r="I67" s="36">
        <f t="shared" si="6"/>
        <v>14.216565980977279</v>
      </c>
      <c r="J67" s="34">
        <v>10</v>
      </c>
      <c r="K67" s="36">
        <f t="shared" si="7"/>
        <v>142.16565980977279</v>
      </c>
      <c r="L67" s="34">
        <v>143.44300000000001</v>
      </c>
      <c r="M67" s="36">
        <f t="shared" si="8"/>
        <v>0.99109513750948308</v>
      </c>
      <c r="N67" s="36">
        <f t="shared" si="9"/>
        <v>991.09513750948304</v>
      </c>
      <c r="O67" s="34">
        <f>24.1+20.3</f>
        <v>44.400000000000006</v>
      </c>
      <c r="P67" s="43">
        <f t="shared" si="10"/>
        <v>3201.9292749948822</v>
      </c>
      <c r="Q67" s="34" t="s">
        <v>455</v>
      </c>
    </row>
    <row r="68" spans="2:17" x14ac:dyDescent="0.2">
      <c r="B68" s="34"/>
      <c r="C68" s="34">
        <v>16</v>
      </c>
      <c r="D68" s="34" t="s">
        <v>455</v>
      </c>
      <c r="E68" s="34">
        <v>0.26500000000000001</v>
      </c>
      <c r="F68" s="34">
        <v>0.25769999999999998</v>
      </c>
      <c r="G68" s="34">
        <f t="shared" si="4"/>
        <v>0.26134999999999997</v>
      </c>
      <c r="H68" s="36">
        <f t="shared" si="13"/>
        <v>1.1149060850000001</v>
      </c>
      <c r="I68" s="36">
        <f t="shared" si="6"/>
        <v>13.028850026500889</v>
      </c>
      <c r="J68" s="34">
        <v>10</v>
      </c>
      <c r="K68" s="36">
        <f t="shared" si="7"/>
        <v>130.28850026500888</v>
      </c>
      <c r="L68" s="34">
        <v>150.18199999999999</v>
      </c>
      <c r="M68" s="36">
        <f t="shared" si="8"/>
        <v>0.86753738973384886</v>
      </c>
      <c r="N68" s="36">
        <f t="shared" si="9"/>
        <v>867.53738973384884</v>
      </c>
      <c r="O68" s="34">
        <f>34.1+22.9</f>
        <v>57</v>
      </c>
      <c r="P68" s="43">
        <f t="shared" si="10"/>
        <v>2285.7631625440154</v>
      </c>
      <c r="Q68" s="34" t="s">
        <v>455</v>
      </c>
    </row>
    <row r="69" spans="2:17" x14ac:dyDescent="0.2">
      <c r="B69" s="34"/>
      <c r="C69" s="34">
        <v>9</v>
      </c>
      <c r="D69" s="34" t="s">
        <v>456</v>
      </c>
      <c r="E69" s="34">
        <v>0.33839999999999998</v>
      </c>
      <c r="F69" s="34">
        <v>0.32819999999999999</v>
      </c>
      <c r="G69" s="34">
        <f t="shared" si="4"/>
        <v>0.33329999999999999</v>
      </c>
      <c r="H69" s="36">
        <f t="shared" si="13"/>
        <v>1.0168454300000001</v>
      </c>
      <c r="I69" s="36">
        <f t="shared" si="6"/>
        <v>10.395501130986954</v>
      </c>
      <c r="J69" s="34">
        <v>10</v>
      </c>
      <c r="K69" s="36">
        <f t="shared" si="7"/>
        <v>103.95501130986955</v>
      </c>
      <c r="L69" s="34">
        <v>103.68</v>
      </c>
      <c r="M69" s="36">
        <f t="shared" si="8"/>
        <v>1.0026525010596985</v>
      </c>
      <c r="N69" s="36">
        <f t="shared" si="9"/>
        <v>1002.6525010596985</v>
      </c>
      <c r="O69" s="34">
        <f>31.7+23.6</f>
        <v>55.3</v>
      </c>
      <c r="P69" s="43">
        <f t="shared" si="10"/>
        <v>1879.8374558746755</v>
      </c>
      <c r="Q69" s="34" t="s">
        <v>456</v>
      </c>
    </row>
    <row r="70" spans="2:17" x14ac:dyDescent="0.2">
      <c r="B70" s="34"/>
      <c r="C70" s="34">
        <v>10</v>
      </c>
      <c r="D70" s="34" t="s">
        <v>456</v>
      </c>
      <c r="E70" s="34">
        <v>0.31119999999999998</v>
      </c>
      <c r="F70" s="34">
        <v>0.28689999999999999</v>
      </c>
      <c r="G70" s="34">
        <f t="shared" si="4"/>
        <v>0.29904999999999998</v>
      </c>
      <c r="H70" s="36">
        <f t="shared" si="13"/>
        <v>1.063524755</v>
      </c>
      <c r="I70" s="36">
        <f t="shared" si="6"/>
        <v>11.575100088541532</v>
      </c>
      <c r="J70" s="34">
        <v>10</v>
      </c>
      <c r="K70" s="36">
        <f t="shared" si="7"/>
        <v>115.75100088541532</v>
      </c>
      <c r="L70" s="34">
        <v>124.348</v>
      </c>
      <c r="M70" s="36">
        <f t="shared" si="8"/>
        <v>0.93086339052831835</v>
      </c>
      <c r="N70" s="36">
        <f t="shared" si="9"/>
        <v>930.86339052831829</v>
      </c>
      <c r="O70" s="34">
        <f>29+24.2</f>
        <v>53.2</v>
      </c>
      <c r="P70" s="43">
        <f t="shared" si="10"/>
        <v>2175.7706933348745</v>
      </c>
      <c r="Q70" s="34" t="s">
        <v>456</v>
      </c>
    </row>
    <row r="71" spans="2:17" x14ac:dyDescent="0.2">
      <c r="B71" s="34"/>
      <c r="C71" s="34">
        <v>11</v>
      </c>
      <c r="D71" s="34" t="s">
        <v>456</v>
      </c>
      <c r="E71" s="34">
        <v>0.52949999999999997</v>
      </c>
      <c r="F71" s="34">
        <v>0.3614</v>
      </c>
      <c r="G71" s="34">
        <f t="shared" si="4"/>
        <v>0.44545000000000001</v>
      </c>
      <c r="H71" s="36">
        <f t="shared" si="13"/>
        <v>0.86399619500000002</v>
      </c>
      <c r="I71" s="36">
        <f t="shared" si="6"/>
        <v>7.3113267775610202</v>
      </c>
      <c r="J71" s="34">
        <v>10</v>
      </c>
      <c r="K71" s="36">
        <f t="shared" si="7"/>
        <v>73.113267775610197</v>
      </c>
      <c r="L71" s="34">
        <v>161.41499999999999</v>
      </c>
      <c r="M71" s="36">
        <f t="shared" si="8"/>
        <v>0.45295212821367409</v>
      </c>
      <c r="N71" s="36">
        <f t="shared" si="9"/>
        <v>452.95212821367409</v>
      </c>
      <c r="O71" s="34">
        <f>25.1+23.2</f>
        <v>48.3</v>
      </c>
      <c r="P71" s="43">
        <f t="shared" si="10"/>
        <v>1513.7322520830269</v>
      </c>
      <c r="Q71" s="34" t="s">
        <v>456</v>
      </c>
    </row>
    <row r="72" spans="2:17" x14ac:dyDescent="0.2">
      <c r="B72" s="34"/>
      <c r="C72" s="34">
        <v>12</v>
      </c>
      <c r="D72" s="34" t="s">
        <v>456</v>
      </c>
      <c r="E72" s="34">
        <v>0.55320000000000003</v>
      </c>
      <c r="F72" s="34">
        <v>0.52210000000000001</v>
      </c>
      <c r="G72" s="34">
        <f t="shared" si="4"/>
        <v>0.53764999999999996</v>
      </c>
      <c r="H72" s="36">
        <f t="shared" si="13"/>
        <v>0.73833681500000015</v>
      </c>
      <c r="I72" s="36">
        <f t="shared" si="6"/>
        <v>5.4744036304675481</v>
      </c>
      <c r="J72" s="34">
        <v>10</v>
      </c>
      <c r="K72" s="36">
        <f t="shared" si="7"/>
        <v>54.744036304675483</v>
      </c>
      <c r="L72" s="34">
        <v>149.28399999999999</v>
      </c>
      <c r="M72" s="36">
        <f t="shared" si="8"/>
        <v>0.36671067431657434</v>
      </c>
      <c r="N72" s="36">
        <f t="shared" si="9"/>
        <v>366.71067431657434</v>
      </c>
      <c r="O72" s="34">
        <f>16.9+18.3</f>
        <v>35.200000000000003</v>
      </c>
      <c r="P72" s="43">
        <f t="shared" si="10"/>
        <v>1555.2283041100986</v>
      </c>
      <c r="Q72" s="34" t="s">
        <v>456</v>
      </c>
    </row>
    <row r="73" spans="2:17" x14ac:dyDescent="0.2">
      <c r="B73" s="34"/>
      <c r="C73" s="34">
        <v>13</v>
      </c>
      <c r="D73" s="34" t="s">
        <v>456</v>
      </c>
      <c r="E73" s="34">
        <v>0.61370000000000002</v>
      </c>
      <c r="F73" s="34">
        <v>0.59499999999999997</v>
      </c>
      <c r="G73" s="34">
        <f t="shared" si="4"/>
        <v>0.60434999999999994</v>
      </c>
      <c r="H73" s="36">
        <f t="shared" si="13"/>
        <v>0.64743138500000019</v>
      </c>
      <c r="I73" s="36">
        <f t="shared" si="6"/>
        <v>4.4404949960969207</v>
      </c>
      <c r="J73" s="34">
        <v>10</v>
      </c>
      <c r="K73" s="36">
        <f t="shared" si="7"/>
        <v>44.404949960969205</v>
      </c>
      <c r="L73" s="34">
        <v>98.063999999999993</v>
      </c>
      <c r="M73" s="36">
        <f t="shared" si="8"/>
        <v>0.45281601771260815</v>
      </c>
      <c r="N73" s="36">
        <f t="shared" si="9"/>
        <v>452.81601771260813</v>
      </c>
      <c r="O73" s="34">
        <f>26.7+26.4</f>
        <v>53.099999999999994</v>
      </c>
      <c r="P73" s="43">
        <f t="shared" si="10"/>
        <v>836.25141169433539</v>
      </c>
      <c r="Q73" s="34" t="s">
        <v>456</v>
      </c>
    </row>
    <row r="74" spans="2:17" x14ac:dyDescent="0.2">
      <c r="B74" s="34"/>
      <c r="C74" s="34">
        <v>14</v>
      </c>
      <c r="D74" s="34" t="s">
        <v>456</v>
      </c>
      <c r="E74" s="34">
        <v>0.36809999999999998</v>
      </c>
      <c r="F74" s="34">
        <v>0.3327</v>
      </c>
      <c r="G74" s="34">
        <f t="shared" si="4"/>
        <v>0.35039999999999999</v>
      </c>
      <c r="H74" s="36">
        <f t="shared" si="13"/>
        <v>0.99353984000000006</v>
      </c>
      <c r="I74" s="36">
        <f t="shared" si="6"/>
        <v>9.8523501918336951</v>
      </c>
      <c r="J74" s="34">
        <v>10</v>
      </c>
      <c r="K74" s="36">
        <f t="shared" si="7"/>
        <v>98.523501918336947</v>
      </c>
      <c r="L74" s="34">
        <v>83.238</v>
      </c>
      <c r="M74" s="36">
        <f t="shared" si="8"/>
        <v>1.1836361027215567</v>
      </c>
      <c r="N74" s="36">
        <f t="shared" si="9"/>
        <v>1183.6361027215567</v>
      </c>
      <c r="O74" s="34">
        <f>27.7+26.1</f>
        <v>53.8</v>
      </c>
      <c r="P74" s="43">
        <f t="shared" si="10"/>
        <v>1831.2918572181588</v>
      </c>
      <c r="Q74" s="34" t="s">
        <v>456</v>
      </c>
    </row>
    <row r="75" spans="2:17" x14ac:dyDescent="0.2">
      <c r="B75" s="34"/>
      <c r="C75" s="34">
        <v>15</v>
      </c>
      <c r="D75" s="34" t="s">
        <v>456</v>
      </c>
      <c r="E75" s="34">
        <v>0.34289999999999998</v>
      </c>
      <c r="F75" s="34">
        <v>0.3175</v>
      </c>
      <c r="G75" s="34">
        <f t="shared" si="4"/>
        <v>0.33019999999999999</v>
      </c>
      <c r="H75" s="36">
        <f t="shared" si="13"/>
        <v>1.02107042</v>
      </c>
      <c r="I75" s="36">
        <f t="shared" si="6"/>
        <v>10.497126237004094</v>
      </c>
      <c r="J75" s="34">
        <v>10</v>
      </c>
      <c r="K75" s="36">
        <f t="shared" si="7"/>
        <v>104.97126237004095</v>
      </c>
      <c r="L75" s="34">
        <v>144.11699999999999</v>
      </c>
      <c r="M75" s="36">
        <f t="shared" si="8"/>
        <v>0.7283752948648734</v>
      </c>
      <c r="N75" s="36">
        <f t="shared" si="9"/>
        <v>728.37529486487335</v>
      </c>
      <c r="O75" s="34">
        <f>16.6+28.5</f>
        <v>45.1</v>
      </c>
      <c r="P75" s="43">
        <f t="shared" si="10"/>
        <v>2327.5224472292894</v>
      </c>
      <c r="Q75" s="34" t="s">
        <v>456</v>
      </c>
    </row>
    <row r="76" spans="2:17" x14ac:dyDescent="0.2">
      <c r="B76" s="34"/>
      <c r="C76" s="34">
        <v>16</v>
      </c>
      <c r="D76" s="34" t="s">
        <v>456</v>
      </c>
      <c r="E76" s="34">
        <v>0.65249999999999997</v>
      </c>
      <c r="F76" s="34">
        <v>0.58050000000000002</v>
      </c>
      <c r="G76" s="34">
        <f t="shared" si="4"/>
        <v>0.61650000000000005</v>
      </c>
      <c r="H76" s="36">
        <f t="shared" si="13"/>
        <v>0.63087214999999996</v>
      </c>
      <c r="I76" s="36">
        <f t="shared" si="6"/>
        <v>4.2743703636088117</v>
      </c>
      <c r="J76" s="34">
        <v>10</v>
      </c>
      <c r="K76" s="36">
        <f t="shared" si="7"/>
        <v>42.743703636088114</v>
      </c>
      <c r="L76" s="34">
        <v>92.673000000000002</v>
      </c>
      <c r="M76" s="36">
        <f t="shared" si="8"/>
        <v>0.46123146586479463</v>
      </c>
      <c r="N76" s="36">
        <f t="shared" si="9"/>
        <v>461.23146586479464</v>
      </c>
      <c r="O76" s="34">
        <f>20.6+21.1</f>
        <v>41.7</v>
      </c>
      <c r="P76" s="43">
        <f t="shared" si="10"/>
        <v>1025.028864174775</v>
      </c>
      <c r="Q76" s="34" t="s">
        <v>456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F96" sqref="F96:F97"/>
    </sheetView>
  </sheetViews>
  <sheetFormatPr baseColWidth="10" defaultColWidth="8.796875" defaultRowHeight="15" x14ac:dyDescent="0.2"/>
  <sheetData>
    <row r="1" spans="1:8" ht="45" x14ac:dyDescent="0.2">
      <c r="A1" s="32" t="s">
        <v>144</v>
      </c>
      <c r="B1" s="32" t="s">
        <v>228</v>
      </c>
      <c r="C1" s="32" t="s">
        <v>229</v>
      </c>
      <c r="D1" s="32" t="s">
        <v>230</v>
      </c>
      <c r="E1" s="32" t="s">
        <v>231</v>
      </c>
      <c r="F1" s="32" t="s">
        <v>232</v>
      </c>
      <c r="G1" s="32" t="s">
        <v>233</v>
      </c>
      <c r="H1" s="32" t="s">
        <v>234</v>
      </c>
    </row>
    <row r="2" spans="1:8" x14ac:dyDescent="0.2">
      <c r="A2" s="48">
        <v>1</v>
      </c>
      <c r="B2" s="32" t="s">
        <v>265</v>
      </c>
      <c r="C2" s="32">
        <v>0.107</v>
      </c>
      <c r="D2" s="48"/>
      <c r="E2" s="32">
        <v>147.71100000000001</v>
      </c>
      <c r="F2" s="48">
        <v>142.76900000000001</v>
      </c>
      <c r="G2" s="48">
        <v>6.9889999999999999</v>
      </c>
      <c r="H2" s="48">
        <v>4.9000000000000004</v>
      </c>
    </row>
    <row r="3" spans="1:8" x14ac:dyDescent="0.2">
      <c r="A3" s="48"/>
      <c r="B3" s="32" t="s">
        <v>266</v>
      </c>
      <c r="C3" s="32">
        <v>0.105</v>
      </c>
      <c r="D3" s="48"/>
      <c r="E3" s="32">
        <v>137.827</v>
      </c>
      <c r="F3" s="48"/>
      <c r="G3" s="48"/>
      <c r="H3" s="48"/>
    </row>
    <row r="4" spans="1:8" x14ac:dyDescent="0.2">
      <c r="A4" s="48">
        <v>2</v>
      </c>
      <c r="B4" s="32" t="s">
        <v>267</v>
      </c>
      <c r="C4" s="32">
        <v>9.9000000000000005E-2</v>
      </c>
      <c r="D4" s="48"/>
      <c r="E4" s="32">
        <v>111.318</v>
      </c>
      <c r="F4" s="48">
        <v>120.754</v>
      </c>
      <c r="G4" s="48">
        <v>13.343</v>
      </c>
      <c r="H4" s="48">
        <v>11.1</v>
      </c>
    </row>
    <row r="5" spans="1:8" x14ac:dyDescent="0.2">
      <c r="A5" s="48"/>
      <c r="B5" s="32" t="s">
        <v>268</v>
      </c>
      <c r="C5" s="32">
        <v>0.10299999999999999</v>
      </c>
      <c r="D5" s="48"/>
      <c r="E5" s="32">
        <v>130.18899999999999</v>
      </c>
      <c r="F5" s="48"/>
      <c r="G5" s="48"/>
      <c r="H5" s="48"/>
    </row>
    <row r="6" spans="1:8" x14ac:dyDescent="0.2">
      <c r="A6" s="48">
        <v>3</v>
      </c>
      <c r="B6" s="32" t="s">
        <v>269</v>
      </c>
      <c r="C6" s="32">
        <v>0.10100000000000001</v>
      </c>
      <c r="D6" s="48"/>
      <c r="E6" s="32">
        <v>120.754</v>
      </c>
      <c r="F6" s="48">
        <v>124.797</v>
      </c>
      <c r="G6" s="48">
        <v>5.7190000000000003</v>
      </c>
      <c r="H6" s="48">
        <v>4.5999999999999996</v>
      </c>
    </row>
    <row r="7" spans="1:8" x14ac:dyDescent="0.2">
      <c r="A7" s="48"/>
      <c r="B7" s="32" t="s">
        <v>270</v>
      </c>
      <c r="C7" s="32">
        <v>0.10299999999999999</v>
      </c>
      <c r="D7" s="48"/>
      <c r="E7" s="32">
        <v>128.84100000000001</v>
      </c>
      <c r="F7" s="48"/>
      <c r="G7" s="48"/>
      <c r="H7" s="48"/>
    </row>
    <row r="8" spans="1:8" x14ac:dyDescent="0.2">
      <c r="A8" s="48">
        <v>4</v>
      </c>
      <c r="B8" s="32" t="s">
        <v>271</v>
      </c>
      <c r="C8" s="32">
        <v>0.10199999999999999</v>
      </c>
      <c r="D8" s="48"/>
      <c r="E8" s="32">
        <v>125.247</v>
      </c>
      <c r="F8" s="48">
        <v>135.35599999999999</v>
      </c>
      <c r="G8" s="48">
        <v>14.295999999999999</v>
      </c>
      <c r="H8" s="48">
        <v>10.6</v>
      </c>
    </row>
    <row r="9" spans="1:8" x14ac:dyDescent="0.2">
      <c r="A9" s="48"/>
      <c r="B9" s="32" t="s">
        <v>272</v>
      </c>
      <c r="C9" s="32">
        <v>0.106</v>
      </c>
      <c r="D9" s="48"/>
      <c r="E9" s="32">
        <v>145.465</v>
      </c>
      <c r="F9" s="48"/>
      <c r="G9" s="48"/>
      <c r="H9" s="48"/>
    </row>
    <row r="10" spans="1:8" x14ac:dyDescent="0.2">
      <c r="A10" s="48">
        <v>5</v>
      </c>
      <c r="B10" s="32" t="s">
        <v>273</v>
      </c>
      <c r="C10" s="32">
        <v>9.7000000000000003E-2</v>
      </c>
      <c r="D10" s="48"/>
      <c r="E10" s="32">
        <v>101.434</v>
      </c>
      <c r="F10" s="48">
        <v>107.499</v>
      </c>
      <c r="G10" s="48">
        <v>8.5779999999999994</v>
      </c>
      <c r="H10" s="48">
        <v>8</v>
      </c>
    </row>
    <row r="11" spans="1:8" x14ac:dyDescent="0.2">
      <c r="A11" s="48"/>
      <c r="B11" s="32" t="s">
        <v>274</v>
      </c>
      <c r="C11" s="32">
        <v>9.9000000000000005E-2</v>
      </c>
      <c r="D11" s="48"/>
      <c r="E11" s="32">
        <v>113.565</v>
      </c>
      <c r="F11" s="48"/>
      <c r="G11" s="48"/>
      <c r="H11" s="48"/>
    </row>
    <row r="12" spans="1:8" x14ac:dyDescent="0.2">
      <c r="A12" s="48">
        <v>6</v>
      </c>
      <c r="B12" s="32" t="s">
        <v>91</v>
      </c>
      <c r="C12" s="32">
        <v>9.9000000000000005E-2</v>
      </c>
      <c r="D12" s="48"/>
      <c r="E12" s="32">
        <v>112.217</v>
      </c>
      <c r="F12" s="48">
        <v>124.797</v>
      </c>
      <c r="G12" s="48">
        <v>17.791</v>
      </c>
      <c r="H12" s="48">
        <v>14.3</v>
      </c>
    </row>
    <row r="13" spans="1:8" x14ac:dyDescent="0.2">
      <c r="A13" s="48"/>
      <c r="B13" s="32" t="s">
        <v>21</v>
      </c>
      <c r="C13" s="32">
        <v>0.105</v>
      </c>
      <c r="D13" s="48"/>
      <c r="E13" s="32">
        <v>137.37799999999999</v>
      </c>
      <c r="F13" s="48"/>
      <c r="G13" s="48"/>
      <c r="H13" s="48"/>
    </row>
    <row r="14" spans="1:8" x14ac:dyDescent="0.2">
      <c r="A14" s="48">
        <v>7</v>
      </c>
      <c r="B14" s="32" t="s">
        <v>275</v>
      </c>
      <c r="C14" s="32">
        <v>0.106</v>
      </c>
      <c r="D14" s="48"/>
      <c r="E14" s="32">
        <v>145.465</v>
      </c>
      <c r="F14" s="48">
        <v>148.83500000000001</v>
      </c>
      <c r="G14" s="48">
        <v>4.7649999999999997</v>
      </c>
      <c r="H14" s="48">
        <v>3.2</v>
      </c>
    </row>
    <row r="15" spans="1:8" x14ac:dyDescent="0.2">
      <c r="A15" s="48"/>
      <c r="B15" s="32" t="s">
        <v>276</v>
      </c>
      <c r="C15" s="32">
        <v>0.108</v>
      </c>
      <c r="D15" s="48"/>
      <c r="E15" s="32">
        <v>152.20400000000001</v>
      </c>
      <c r="F15" s="48"/>
      <c r="G15" s="48"/>
      <c r="H15" s="48"/>
    </row>
    <row r="16" spans="1:8" x14ac:dyDescent="0.2">
      <c r="A16" s="48">
        <v>8</v>
      </c>
      <c r="B16" s="32" t="s">
        <v>277</v>
      </c>
      <c r="C16" s="32">
        <v>0.11</v>
      </c>
      <c r="D16" s="48"/>
      <c r="E16" s="32">
        <v>162.089</v>
      </c>
      <c r="F16" s="48">
        <v>165.90799999999999</v>
      </c>
      <c r="G16" s="48">
        <v>5.4009999999999998</v>
      </c>
      <c r="H16" s="48">
        <v>3.3</v>
      </c>
    </row>
    <row r="17" spans="1:8" x14ac:dyDescent="0.2">
      <c r="A17" s="48"/>
      <c r="B17" s="32" t="s">
        <v>278</v>
      </c>
      <c r="C17" s="32">
        <v>0.112</v>
      </c>
      <c r="D17" s="48"/>
      <c r="E17" s="32">
        <v>169.727</v>
      </c>
      <c r="F17" s="48"/>
      <c r="G17" s="48"/>
      <c r="H17" s="48"/>
    </row>
    <row r="18" spans="1:8" x14ac:dyDescent="0.2">
      <c r="A18" s="48">
        <v>9</v>
      </c>
      <c r="B18" s="32" t="s">
        <v>236</v>
      </c>
      <c r="C18" s="32">
        <v>0.12</v>
      </c>
      <c r="D18" s="48"/>
      <c r="E18" s="32">
        <v>204.32300000000001</v>
      </c>
      <c r="F18" s="48">
        <v>207.46799999999999</v>
      </c>
      <c r="G18" s="48">
        <v>4.4480000000000004</v>
      </c>
      <c r="H18" s="48">
        <v>2.1</v>
      </c>
    </row>
    <row r="19" spans="1:8" x14ac:dyDescent="0.2">
      <c r="A19" s="48"/>
      <c r="B19" s="32" t="s">
        <v>237</v>
      </c>
      <c r="C19" s="32">
        <v>0.121</v>
      </c>
      <c r="D19" s="48"/>
      <c r="E19" s="32">
        <v>210.613</v>
      </c>
      <c r="F19" s="48"/>
      <c r="G19" s="48"/>
      <c r="H19" s="48"/>
    </row>
    <row r="20" spans="1:8" x14ac:dyDescent="0.2">
      <c r="A20" s="48">
        <v>10</v>
      </c>
      <c r="B20" s="32" t="s">
        <v>238</v>
      </c>
      <c r="C20" s="32">
        <v>0.12</v>
      </c>
      <c r="D20" s="48"/>
      <c r="E20" s="32">
        <v>205.221</v>
      </c>
      <c r="F20" s="48">
        <v>197.80799999999999</v>
      </c>
      <c r="G20" s="48">
        <v>10.484</v>
      </c>
      <c r="H20" s="48">
        <v>5.3</v>
      </c>
    </row>
    <row r="21" spans="1:8" x14ac:dyDescent="0.2">
      <c r="A21" s="48"/>
      <c r="B21" s="32" t="s">
        <v>239</v>
      </c>
      <c r="C21" s="32">
        <v>0.11600000000000001</v>
      </c>
      <c r="D21" s="48"/>
      <c r="E21" s="32">
        <v>190.39400000000001</v>
      </c>
      <c r="F21" s="48"/>
      <c r="G21" s="48"/>
      <c r="H21" s="48"/>
    </row>
    <row r="22" spans="1:8" x14ac:dyDescent="0.2">
      <c r="A22" s="48">
        <v>11</v>
      </c>
      <c r="B22" s="32" t="s">
        <v>240</v>
      </c>
      <c r="C22" s="32">
        <v>0.105</v>
      </c>
      <c r="D22" s="48"/>
      <c r="E22" s="32">
        <v>137.827</v>
      </c>
      <c r="F22" s="48">
        <v>139.17500000000001</v>
      </c>
      <c r="G22" s="48">
        <v>1.9059999999999999</v>
      </c>
      <c r="H22" s="48">
        <v>1.4</v>
      </c>
    </row>
    <row r="23" spans="1:8" x14ac:dyDescent="0.2">
      <c r="A23" s="48"/>
      <c r="B23" s="32" t="s">
        <v>241</v>
      </c>
      <c r="C23" s="32">
        <v>0.105</v>
      </c>
      <c r="D23" s="48"/>
      <c r="E23" s="32">
        <v>140.523</v>
      </c>
      <c r="F23" s="48"/>
      <c r="G23" s="48"/>
      <c r="H23" s="48"/>
    </row>
    <row r="24" spans="1:8" x14ac:dyDescent="0.2">
      <c r="A24" s="48">
        <v>12</v>
      </c>
      <c r="B24" s="32" t="s">
        <v>242</v>
      </c>
      <c r="C24" s="32">
        <v>0.104</v>
      </c>
      <c r="D24" s="48"/>
      <c r="E24" s="32">
        <v>136.03</v>
      </c>
      <c r="F24" s="48">
        <v>144.566</v>
      </c>
      <c r="G24" s="48">
        <v>12.073</v>
      </c>
      <c r="H24" s="48">
        <v>8.4</v>
      </c>
    </row>
    <row r="25" spans="1:8" x14ac:dyDescent="0.2">
      <c r="A25" s="48"/>
      <c r="B25" s="32" t="s">
        <v>243</v>
      </c>
      <c r="C25" s="32">
        <v>0.108</v>
      </c>
      <c r="D25" s="48"/>
      <c r="E25" s="32">
        <v>153.10300000000001</v>
      </c>
      <c r="F25" s="48"/>
      <c r="G25" s="48"/>
      <c r="H25" s="48"/>
    </row>
    <row r="26" spans="1:8" x14ac:dyDescent="0.2">
      <c r="A26" s="48">
        <v>13</v>
      </c>
      <c r="B26" s="32" t="s">
        <v>244</v>
      </c>
      <c r="C26" s="32">
        <v>9.9000000000000005E-2</v>
      </c>
      <c r="D26" s="48"/>
      <c r="E26" s="32">
        <v>111.768</v>
      </c>
      <c r="F26" s="48">
        <v>116.036</v>
      </c>
      <c r="G26" s="48">
        <v>6.0359999999999996</v>
      </c>
      <c r="H26" s="48">
        <v>5.2</v>
      </c>
    </row>
    <row r="27" spans="1:8" x14ac:dyDescent="0.2">
      <c r="A27" s="48"/>
      <c r="B27" s="32" t="s">
        <v>245</v>
      </c>
      <c r="C27" s="32">
        <v>0.10100000000000001</v>
      </c>
      <c r="D27" s="48"/>
      <c r="E27" s="32">
        <v>120.304</v>
      </c>
      <c r="F27" s="48"/>
      <c r="G27" s="48"/>
      <c r="H27" s="48"/>
    </row>
    <row r="28" spans="1:8" x14ac:dyDescent="0.2">
      <c r="A28" s="48">
        <v>14</v>
      </c>
      <c r="B28" s="32" t="s">
        <v>68</v>
      </c>
      <c r="C28" s="32">
        <v>0.1</v>
      </c>
      <c r="D28" s="48"/>
      <c r="E28" s="32">
        <v>117.60899999999999</v>
      </c>
      <c r="F28" s="48">
        <v>121.203</v>
      </c>
      <c r="G28" s="48">
        <v>5.0830000000000002</v>
      </c>
      <c r="H28" s="48">
        <v>4.2</v>
      </c>
    </row>
    <row r="29" spans="1:8" x14ac:dyDescent="0.2">
      <c r="A29" s="48"/>
      <c r="B29" s="32" t="s">
        <v>69</v>
      </c>
      <c r="C29" s="32">
        <v>0.10199999999999999</v>
      </c>
      <c r="D29" s="48"/>
      <c r="E29" s="32">
        <v>124.797</v>
      </c>
      <c r="F29" s="48"/>
      <c r="G29" s="48"/>
      <c r="H29" s="48"/>
    </row>
    <row r="30" spans="1:8" x14ac:dyDescent="0.2">
      <c r="A30" s="48">
        <v>15</v>
      </c>
      <c r="B30" s="32" t="s">
        <v>246</v>
      </c>
      <c r="C30" s="32">
        <v>0.10299999999999999</v>
      </c>
      <c r="D30" s="48"/>
      <c r="E30" s="32">
        <v>131.53700000000001</v>
      </c>
      <c r="F30" s="48">
        <v>113.34</v>
      </c>
      <c r="G30" s="48">
        <v>25.734000000000002</v>
      </c>
      <c r="H30" s="48">
        <v>22.7</v>
      </c>
    </row>
    <row r="31" spans="1:8" x14ac:dyDescent="0.2">
      <c r="A31" s="48"/>
      <c r="B31" s="32" t="s">
        <v>247</v>
      </c>
      <c r="C31" s="32">
        <v>9.5000000000000001E-2</v>
      </c>
      <c r="D31" s="48"/>
      <c r="E31" s="32">
        <v>95.144000000000005</v>
      </c>
      <c r="F31" s="48"/>
      <c r="G31" s="48"/>
      <c r="H31" s="48"/>
    </row>
    <row r="32" spans="1:8" x14ac:dyDescent="0.2">
      <c r="A32" s="48">
        <v>16</v>
      </c>
      <c r="B32" s="32" t="s">
        <v>248</v>
      </c>
      <c r="C32" s="32">
        <v>0.14499999999999999</v>
      </c>
      <c r="D32" s="48"/>
      <c r="E32" s="32">
        <v>317.54500000000002</v>
      </c>
      <c r="F32" s="48">
        <v>324.73399999999998</v>
      </c>
      <c r="G32" s="48">
        <v>10.166</v>
      </c>
      <c r="H32" s="48">
        <v>3.1</v>
      </c>
    </row>
    <row r="33" spans="1:8" x14ac:dyDescent="0.2">
      <c r="A33" s="48"/>
      <c r="B33" s="32" t="s">
        <v>249</v>
      </c>
      <c r="C33" s="32">
        <v>0.14799999999999999</v>
      </c>
      <c r="D33" s="48"/>
      <c r="E33" s="32">
        <v>331.92200000000003</v>
      </c>
      <c r="F33" s="48"/>
      <c r="G33" s="48"/>
      <c r="H33" s="48"/>
    </row>
    <row r="34" spans="1:8" x14ac:dyDescent="0.2">
      <c r="A34" s="48">
        <v>17</v>
      </c>
      <c r="B34" s="32" t="s">
        <v>250</v>
      </c>
      <c r="C34" s="32">
        <v>0.14499999999999999</v>
      </c>
      <c r="D34" s="48"/>
      <c r="E34" s="32">
        <v>317.096</v>
      </c>
      <c r="F34" s="48">
        <v>313.05200000000002</v>
      </c>
      <c r="G34" s="48">
        <v>5.7190000000000003</v>
      </c>
      <c r="H34" s="48">
        <v>1.8</v>
      </c>
    </row>
    <row r="35" spans="1:8" x14ac:dyDescent="0.2">
      <c r="A35" s="48"/>
      <c r="B35" s="32" t="s">
        <v>251</v>
      </c>
      <c r="C35" s="32">
        <v>0.14299999999999999</v>
      </c>
      <c r="D35" s="48"/>
      <c r="E35" s="32">
        <v>309.00799999999998</v>
      </c>
      <c r="F35" s="48"/>
      <c r="G35" s="48"/>
      <c r="H35" s="48"/>
    </row>
    <row r="36" spans="1:8" x14ac:dyDescent="0.2">
      <c r="A36" s="48">
        <v>18</v>
      </c>
      <c r="B36" s="32" t="s">
        <v>252</v>
      </c>
      <c r="C36" s="32">
        <v>0.13200000000000001</v>
      </c>
      <c r="D36" s="48"/>
      <c r="E36" s="32">
        <v>258.238</v>
      </c>
      <c r="F36" s="48">
        <v>257.11500000000001</v>
      </c>
      <c r="G36" s="48">
        <v>1.5880000000000001</v>
      </c>
      <c r="H36" s="48">
        <v>0.6</v>
      </c>
    </row>
    <row r="37" spans="1:8" x14ac:dyDescent="0.2">
      <c r="A37" s="48"/>
      <c r="B37" s="32" t="s">
        <v>253</v>
      </c>
      <c r="C37" s="32">
        <v>0.13100000000000001</v>
      </c>
      <c r="D37" s="48"/>
      <c r="E37" s="32">
        <v>255.99100000000001</v>
      </c>
      <c r="F37" s="48"/>
      <c r="G37" s="48"/>
      <c r="H37" s="48"/>
    </row>
    <row r="38" spans="1:8" x14ac:dyDescent="0.2">
      <c r="A38" s="48">
        <v>19</v>
      </c>
      <c r="B38" s="32" t="s">
        <v>254</v>
      </c>
      <c r="C38" s="32">
        <v>0.12</v>
      </c>
      <c r="D38" s="48"/>
      <c r="E38" s="32">
        <v>204.77199999999999</v>
      </c>
      <c r="F38" s="48">
        <v>216.45400000000001</v>
      </c>
      <c r="G38" s="48">
        <v>16.52</v>
      </c>
      <c r="H38" s="48">
        <v>7.6</v>
      </c>
    </row>
    <row r="39" spans="1:8" x14ac:dyDescent="0.2">
      <c r="A39" s="48"/>
      <c r="B39" s="32" t="s">
        <v>255</v>
      </c>
      <c r="C39" s="32">
        <v>0.125</v>
      </c>
      <c r="D39" s="48"/>
      <c r="E39" s="32">
        <v>228.13499999999999</v>
      </c>
      <c r="F39" s="48"/>
      <c r="G39" s="48"/>
      <c r="H39" s="48"/>
    </row>
    <row r="40" spans="1:8" x14ac:dyDescent="0.2">
      <c r="A40" s="48">
        <v>20</v>
      </c>
      <c r="B40" s="32" t="s">
        <v>256</v>
      </c>
      <c r="C40" s="32">
        <v>0.114</v>
      </c>
      <c r="D40" s="48"/>
      <c r="E40" s="32">
        <v>179.16200000000001</v>
      </c>
      <c r="F40" s="48">
        <v>177.589</v>
      </c>
      <c r="G40" s="48">
        <v>2.2240000000000002</v>
      </c>
      <c r="H40" s="48">
        <v>1.3</v>
      </c>
    </row>
    <row r="41" spans="1:8" x14ac:dyDescent="0.2">
      <c r="A41" s="48"/>
      <c r="B41" s="32" t="s">
        <v>257</v>
      </c>
      <c r="C41" s="32">
        <v>0.113</v>
      </c>
      <c r="D41" s="48"/>
      <c r="E41" s="32">
        <v>176.017</v>
      </c>
      <c r="F41" s="48"/>
      <c r="G41" s="48"/>
      <c r="H41" s="48"/>
    </row>
    <row r="42" spans="1:8" x14ac:dyDescent="0.2">
      <c r="A42" s="48">
        <v>21</v>
      </c>
      <c r="B42" s="32" t="s">
        <v>258</v>
      </c>
      <c r="C42" s="32">
        <v>0.11600000000000001</v>
      </c>
      <c r="D42" s="48"/>
      <c r="E42" s="32">
        <v>187.249</v>
      </c>
      <c r="F42" s="48">
        <v>182.98099999999999</v>
      </c>
      <c r="G42" s="48">
        <v>6.0359999999999996</v>
      </c>
      <c r="H42" s="48">
        <v>3.3</v>
      </c>
    </row>
    <row r="43" spans="1:8" x14ac:dyDescent="0.2">
      <c r="A43" s="48"/>
      <c r="B43" s="32" t="s">
        <v>259</v>
      </c>
      <c r="C43" s="32">
        <v>0.114</v>
      </c>
      <c r="D43" s="48"/>
      <c r="E43" s="32">
        <v>178.71299999999999</v>
      </c>
      <c r="F43" s="48"/>
      <c r="G43" s="48"/>
      <c r="H43" s="48"/>
    </row>
    <row r="44" spans="1:8" x14ac:dyDescent="0.2">
      <c r="A44" s="48">
        <v>22</v>
      </c>
      <c r="B44" s="32" t="s">
        <v>260</v>
      </c>
      <c r="C44" s="32">
        <v>0.114</v>
      </c>
      <c r="D44" s="48"/>
      <c r="E44" s="32">
        <v>179.61099999999999</v>
      </c>
      <c r="F44" s="48">
        <v>180.51</v>
      </c>
      <c r="G44" s="48">
        <v>1.2709999999999999</v>
      </c>
      <c r="H44" s="48">
        <v>0.7</v>
      </c>
    </row>
    <row r="45" spans="1:8" x14ac:dyDescent="0.2">
      <c r="A45" s="48"/>
      <c r="B45" s="32" t="s">
        <v>90</v>
      </c>
      <c r="C45" s="32">
        <v>0.114</v>
      </c>
      <c r="D45" s="48"/>
      <c r="E45" s="32">
        <v>181.40799999999999</v>
      </c>
      <c r="F45" s="48"/>
      <c r="G45" s="48"/>
      <c r="H45" s="48"/>
    </row>
    <row r="46" spans="1:8" x14ac:dyDescent="0.2">
      <c r="A46" s="48">
        <v>23</v>
      </c>
      <c r="B46" s="32" t="s">
        <v>261</v>
      </c>
      <c r="C46" s="32">
        <v>0.11799999999999999</v>
      </c>
      <c r="D46" s="48"/>
      <c r="E46" s="32">
        <v>199.38</v>
      </c>
      <c r="F46" s="48">
        <v>191.518</v>
      </c>
      <c r="G46" s="48">
        <v>11.119</v>
      </c>
      <c r="H46" s="48">
        <v>5.8</v>
      </c>
    </row>
    <row r="47" spans="1:8" x14ac:dyDescent="0.2">
      <c r="A47" s="48"/>
      <c r="B47" s="32" t="s">
        <v>262</v>
      </c>
      <c r="C47" s="32">
        <v>0.115</v>
      </c>
      <c r="D47" s="48"/>
      <c r="E47" s="32">
        <v>183.655</v>
      </c>
      <c r="F47" s="48"/>
      <c r="G47" s="48"/>
      <c r="H47" s="48"/>
    </row>
    <row r="48" spans="1:8" x14ac:dyDescent="0.2">
      <c r="A48" s="48">
        <v>24</v>
      </c>
      <c r="B48" s="32" t="s">
        <v>263</v>
      </c>
      <c r="C48" s="32">
        <v>0.111</v>
      </c>
      <c r="D48" s="48"/>
      <c r="E48" s="32">
        <v>165.68299999999999</v>
      </c>
      <c r="F48" s="48">
        <v>160.96600000000001</v>
      </c>
      <c r="G48" s="48">
        <v>6.6719999999999997</v>
      </c>
      <c r="H48" s="48">
        <v>4.0999999999999996</v>
      </c>
    </row>
    <row r="49" spans="1:8" x14ac:dyDescent="0.2">
      <c r="A49" s="48"/>
      <c r="B49" s="32" t="s">
        <v>264</v>
      </c>
      <c r="C49" s="32">
        <v>0.109</v>
      </c>
      <c r="D49" s="48"/>
      <c r="E49" s="32">
        <v>156.24799999999999</v>
      </c>
      <c r="F49" s="48"/>
      <c r="G49" s="48"/>
      <c r="H49" s="48"/>
    </row>
    <row r="50" spans="1:8" x14ac:dyDescent="0.2">
      <c r="A50" s="48">
        <v>25</v>
      </c>
      <c r="B50" s="32" t="s">
        <v>265</v>
      </c>
      <c r="C50" s="32">
        <v>0.104</v>
      </c>
      <c r="D50" s="48"/>
      <c r="E50" s="32">
        <v>135.131</v>
      </c>
      <c r="F50" s="48">
        <v>135.80500000000001</v>
      </c>
      <c r="G50" s="48">
        <v>0.95299999999999996</v>
      </c>
      <c r="H50" s="48">
        <v>0.7</v>
      </c>
    </row>
    <row r="51" spans="1:8" x14ac:dyDescent="0.2">
      <c r="A51" s="48"/>
      <c r="B51" s="32" t="s">
        <v>266</v>
      </c>
      <c r="C51" s="32">
        <v>0.104</v>
      </c>
      <c r="D51" s="48"/>
      <c r="E51" s="32">
        <v>136.47900000000001</v>
      </c>
      <c r="F51" s="48"/>
      <c r="G51" s="48"/>
      <c r="H51" s="48"/>
    </row>
    <row r="52" spans="1:8" x14ac:dyDescent="0.2">
      <c r="A52" s="48">
        <v>26</v>
      </c>
      <c r="B52" s="32" t="s">
        <v>267</v>
      </c>
      <c r="C52" s="32">
        <v>0.106</v>
      </c>
      <c r="D52" s="48"/>
      <c r="E52" s="32">
        <v>142.32</v>
      </c>
      <c r="F52" s="48">
        <v>186.8</v>
      </c>
      <c r="G52" s="48">
        <v>62.905000000000001</v>
      </c>
      <c r="H52" s="48">
        <v>33.700000000000003</v>
      </c>
    </row>
    <row r="53" spans="1:8" x14ac:dyDescent="0.2">
      <c r="A53" s="48"/>
      <c r="B53" s="32" t="s">
        <v>268</v>
      </c>
      <c r="C53" s="32">
        <v>0.126</v>
      </c>
      <c r="D53" s="48"/>
      <c r="E53" s="32">
        <v>231.28</v>
      </c>
      <c r="F53" s="48"/>
      <c r="G53" s="48"/>
      <c r="H53" s="48"/>
    </row>
    <row r="54" spans="1:8" x14ac:dyDescent="0.2">
      <c r="A54" s="48">
        <v>27</v>
      </c>
      <c r="B54" s="32" t="s">
        <v>269</v>
      </c>
      <c r="C54" s="32">
        <v>0.107</v>
      </c>
      <c r="D54" s="48"/>
      <c r="E54" s="32">
        <v>149.50899999999999</v>
      </c>
      <c r="F54" s="48">
        <v>140.523</v>
      </c>
      <c r="G54" s="48">
        <v>12.708</v>
      </c>
      <c r="H54" s="48">
        <v>9</v>
      </c>
    </row>
    <row r="55" spans="1:8" x14ac:dyDescent="0.2">
      <c r="A55" s="48"/>
      <c r="B55" s="32" t="s">
        <v>270</v>
      </c>
      <c r="C55" s="32">
        <v>0.10299999999999999</v>
      </c>
      <c r="D55" s="48"/>
      <c r="E55" s="32">
        <v>131.53700000000001</v>
      </c>
      <c r="F55" s="48"/>
      <c r="G55" s="48"/>
      <c r="H55" s="48"/>
    </row>
    <row r="56" spans="1:8" x14ac:dyDescent="0.2">
      <c r="A56" s="48">
        <v>28</v>
      </c>
      <c r="B56" s="32" t="s">
        <v>271</v>
      </c>
      <c r="C56" s="32">
        <v>0.126</v>
      </c>
      <c r="D56" s="48"/>
      <c r="E56" s="32">
        <v>233.976</v>
      </c>
      <c r="F56" s="48">
        <v>224.76499999999999</v>
      </c>
      <c r="G56" s="48">
        <v>13.026</v>
      </c>
      <c r="H56" s="48">
        <v>5.8</v>
      </c>
    </row>
    <row r="57" spans="1:8" x14ac:dyDescent="0.2">
      <c r="A57" s="48"/>
      <c r="B57" s="32" t="s">
        <v>272</v>
      </c>
      <c r="C57" s="32">
        <v>0.122</v>
      </c>
      <c r="D57" s="48"/>
      <c r="E57" s="32">
        <v>215.55500000000001</v>
      </c>
      <c r="F57" s="48"/>
      <c r="G57" s="48"/>
      <c r="H57" s="48"/>
    </row>
    <row r="58" spans="1:8" x14ac:dyDescent="0.2">
      <c r="A58" s="48">
        <v>29</v>
      </c>
      <c r="B58" s="32" t="s">
        <v>273</v>
      </c>
      <c r="C58" s="32">
        <v>0.11899999999999999</v>
      </c>
      <c r="D58" s="48"/>
      <c r="E58" s="32">
        <v>203.87299999999999</v>
      </c>
      <c r="F58" s="48">
        <v>199.60499999999999</v>
      </c>
      <c r="G58" s="48">
        <v>6.0359999999999996</v>
      </c>
      <c r="H58" s="48">
        <v>3</v>
      </c>
    </row>
    <row r="59" spans="1:8" x14ac:dyDescent="0.2">
      <c r="A59" s="48"/>
      <c r="B59" s="32" t="s">
        <v>274</v>
      </c>
      <c r="C59" s="32">
        <v>0.11700000000000001</v>
      </c>
      <c r="D59" s="48"/>
      <c r="E59" s="32">
        <v>195.33699999999999</v>
      </c>
      <c r="F59" s="48"/>
      <c r="G59" s="48"/>
      <c r="H59" s="48"/>
    </row>
    <row r="60" spans="1:8" x14ac:dyDescent="0.2">
      <c r="A60" s="48">
        <v>30</v>
      </c>
      <c r="B60" s="32" t="s">
        <v>91</v>
      </c>
      <c r="C60" s="32">
        <v>0.115</v>
      </c>
      <c r="D60" s="48"/>
      <c r="E60" s="32">
        <v>182.756</v>
      </c>
      <c r="F60" s="48">
        <v>188.148</v>
      </c>
      <c r="G60" s="48">
        <v>7.625</v>
      </c>
      <c r="H60" s="48">
        <v>4.0999999999999996</v>
      </c>
    </row>
    <row r="61" spans="1:8" x14ac:dyDescent="0.2">
      <c r="A61" s="48"/>
      <c r="B61" s="32" t="s">
        <v>21</v>
      </c>
      <c r="C61" s="32">
        <v>0.11700000000000001</v>
      </c>
      <c r="D61" s="48"/>
      <c r="E61" s="32">
        <v>193.53899999999999</v>
      </c>
      <c r="F61" s="48"/>
      <c r="G61" s="48"/>
      <c r="H61" s="48"/>
    </row>
    <row r="62" spans="1:8" x14ac:dyDescent="0.2">
      <c r="A62" s="48">
        <v>31</v>
      </c>
      <c r="B62" s="32" t="s">
        <v>275</v>
      </c>
      <c r="C62" s="32">
        <v>0.106</v>
      </c>
      <c r="D62" s="48"/>
      <c r="E62" s="32">
        <v>144.566</v>
      </c>
      <c r="F62" s="48">
        <v>140.97200000000001</v>
      </c>
      <c r="G62" s="48">
        <v>5.0830000000000002</v>
      </c>
      <c r="H62" s="48">
        <v>3.6</v>
      </c>
    </row>
    <row r="63" spans="1:8" x14ac:dyDescent="0.2">
      <c r="A63" s="48"/>
      <c r="B63" s="32" t="s">
        <v>276</v>
      </c>
      <c r="C63" s="32">
        <v>0.105</v>
      </c>
      <c r="D63" s="48"/>
      <c r="E63" s="32">
        <v>137.37799999999999</v>
      </c>
      <c r="F63" s="48"/>
      <c r="G63" s="48"/>
      <c r="H63" s="48"/>
    </row>
    <row r="64" spans="1:8" x14ac:dyDescent="0.2">
      <c r="A64" s="48">
        <v>32</v>
      </c>
      <c r="B64" s="32" t="s">
        <v>277</v>
      </c>
      <c r="C64" s="32">
        <v>0.111</v>
      </c>
      <c r="D64" s="48"/>
      <c r="E64" s="32">
        <v>165.23400000000001</v>
      </c>
      <c r="F64" s="48">
        <v>164.11099999999999</v>
      </c>
      <c r="G64" s="48">
        <v>1.5880000000000001</v>
      </c>
      <c r="H64" s="48">
        <v>1</v>
      </c>
    </row>
    <row r="65" spans="1:8" x14ac:dyDescent="0.2">
      <c r="A65" s="48"/>
      <c r="B65" s="32" t="s">
        <v>278</v>
      </c>
      <c r="C65" s="32">
        <v>0.11</v>
      </c>
      <c r="D65" s="48"/>
      <c r="E65" s="32">
        <v>162.98699999999999</v>
      </c>
      <c r="F65" s="48"/>
      <c r="G65" s="48"/>
      <c r="H65" s="48"/>
    </row>
    <row r="66" spans="1:8" x14ac:dyDescent="0.2">
      <c r="A66" s="48">
        <v>33</v>
      </c>
      <c r="B66" s="32" t="s">
        <v>279</v>
      </c>
      <c r="C66" s="32">
        <v>0.10299999999999999</v>
      </c>
      <c r="D66" s="48"/>
      <c r="E66" s="32">
        <v>130.18899999999999</v>
      </c>
      <c r="F66" s="48">
        <v>133.334</v>
      </c>
      <c r="G66" s="48">
        <v>4.4480000000000004</v>
      </c>
      <c r="H66" s="48">
        <v>3.3</v>
      </c>
    </row>
    <row r="67" spans="1:8" x14ac:dyDescent="0.2">
      <c r="A67" s="48"/>
      <c r="B67" s="32" t="s">
        <v>280</v>
      </c>
      <c r="C67" s="32">
        <v>0.104</v>
      </c>
      <c r="D67" s="48"/>
      <c r="E67" s="32">
        <v>136.47900000000001</v>
      </c>
      <c r="F67" s="48"/>
      <c r="G67" s="48"/>
      <c r="H67" s="48"/>
    </row>
    <row r="68" spans="1:8" x14ac:dyDescent="0.2">
      <c r="A68" s="48">
        <v>34</v>
      </c>
      <c r="B68" s="32" t="s">
        <v>281</v>
      </c>
      <c r="C68" s="32">
        <v>9.8000000000000004E-2</v>
      </c>
      <c r="D68" s="48"/>
      <c r="E68" s="32">
        <v>109.072</v>
      </c>
      <c r="F68" s="48">
        <v>107.27500000000001</v>
      </c>
      <c r="G68" s="48">
        <v>2.5419999999999998</v>
      </c>
      <c r="H68" s="48">
        <v>2.4</v>
      </c>
    </row>
    <row r="69" spans="1:8" x14ac:dyDescent="0.2">
      <c r="A69" s="48"/>
      <c r="B69" s="32" t="s">
        <v>282</v>
      </c>
      <c r="C69" s="32">
        <v>9.8000000000000004E-2</v>
      </c>
      <c r="D69" s="48"/>
      <c r="E69" s="32">
        <v>105.47799999999999</v>
      </c>
      <c r="F69" s="48"/>
      <c r="G69" s="48"/>
      <c r="H69" s="48"/>
    </row>
    <row r="70" spans="1:8" x14ac:dyDescent="0.2">
      <c r="A70" s="48">
        <v>35</v>
      </c>
      <c r="B70" s="32" t="s">
        <v>283</v>
      </c>
      <c r="C70" s="32">
        <v>0.10199999999999999</v>
      </c>
      <c r="D70" s="48"/>
      <c r="E70" s="32">
        <v>123.449</v>
      </c>
      <c r="F70" s="48">
        <v>121.428</v>
      </c>
      <c r="G70" s="48">
        <v>2.859</v>
      </c>
      <c r="H70" s="48">
        <v>2.4</v>
      </c>
    </row>
    <row r="71" spans="1:8" x14ac:dyDescent="0.2">
      <c r="A71" s="48"/>
      <c r="B71" s="32" t="s">
        <v>284</v>
      </c>
      <c r="C71" s="32">
        <v>0.10100000000000001</v>
      </c>
      <c r="D71" s="48"/>
      <c r="E71" s="32">
        <v>119.40600000000001</v>
      </c>
      <c r="F71" s="48"/>
      <c r="G71" s="48"/>
      <c r="H71" s="48"/>
    </row>
    <row r="72" spans="1:8" x14ac:dyDescent="0.2">
      <c r="A72" s="48">
        <v>36</v>
      </c>
      <c r="B72" s="32" t="s">
        <v>285</v>
      </c>
      <c r="C72" s="32">
        <v>9.8000000000000004E-2</v>
      </c>
      <c r="D72" s="48"/>
      <c r="E72" s="32">
        <v>105.47799999999999</v>
      </c>
      <c r="F72" s="48">
        <v>111.54300000000001</v>
      </c>
      <c r="G72" s="48">
        <v>8.5779999999999994</v>
      </c>
      <c r="H72" s="48">
        <v>7.7</v>
      </c>
    </row>
    <row r="73" spans="1:8" x14ac:dyDescent="0.2">
      <c r="A73" s="48"/>
      <c r="B73" s="32" t="s">
        <v>286</v>
      </c>
      <c r="C73" s="32">
        <v>0.1</v>
      </c>
      <c r="D73" s="48"/>
      <c r="E73" s="32">
        <v>117.60899999999999</v>
      </c>
      <c r="F73" s="48"/>
      <c r="G73" s="48"/>
      <c r="H73" s="48"/>
    </row>
    <row r="74" spans="1:8" x14ac:dyDescent="0.2">
      <c r="A74" s="48">
        <v>37</v>
      </c>
      <c r="B74" s="32" t="s">
        <v>287</v>
      </c>
      <c r="C74" s="32">
        <v>0.115</v>
      </c>
      <c r="D74" s="48"/>
      <c r="E74" s="32">
        <v>182.30699999999999</v>
      </c>
      <c r="F74" s="48">
        <v>175.34299999999999</v>
      </c>
      <c r="G74" s="48">
        <v>9.8490000000000002</v>
      </c>
      <c r="H74" s="48">
        <v>5.6</v>
      </c>
    </row>
    <row r="75" spans="1:8" x14ac:dyDescent="0.2">
      <c r="A75" s="48"/>
      <c r="B75" s="32" t="s">
        <v>288</v>
      </c>
      <c r="C75" s="32">
        <v>0.112</v>
      </c>
      <c r="D75" s="48"/>
      <c r="E75" s="32">
        <v>168.37899999999999</v>
      </c>
      <c r="F75" s="48"/>
      <c r="G75" s="48"/>
      <c r="H75" s="48"/>
    </row>
    <row r="76" spans="1:8" x14ac:dyDescent="0.2">
      <c r="A76" s="48">
        <v>38</v>
      </c>
      <c r="B76" s="32" t="s">
        <v>14</v>
      </c>
      <c r="C76" s="32">
        <v>0.105</v>
      </c>
      <c r="D76" s="48"/>
      <c r="E76" s="32">
        <v>137.37799999999999</v>
      </c>
      <c r="F76" s="48">
        <v>135.35599999999999</v>
      </c>
      <c r="G76" s="48">
        <v>2.859</v>
      </c>
      <c r="H76" s="48">
        <v>2.1</v>
      </c>
    </row>
    <row r="77" spans="1:8" x14ac:dyDescent="0.2">
      <c r="A77" s="48"/>
      <c r="B77" s="32" t="s">
        <v>289</v>
      </c>
      <c r="C77" s="32">
        <v>0.104</v>
      </c>
      <c r="D77" s="48"/>
      <c r="E77" s="32">
        <v>133.334</v>
      </c>
      <c r="F77" s="48"/>
      <c r="G77" s="48"/>
      <c r="H77" s="48"/>
    </row>
    <row r="78" spans="1:8" x14ac:dyDescent="0.2">
      <c r="A78" s="48">
        <v>39</v>
      </c>
      <c r="B78" s="32" t="s">
        <v>290</v>
      </c>
      <c r="C78" s="32">
        <v>0.105</v>
      </c>
      <c r="D78" s="48"/>
      <c r="E78" s="32">
        <v>140.523</v>
      </c>
      <c r="F78" s="48">
        <v>143.44300000000001</v>
      </c>
      <c r="G78" s="48">
        <v>4.13</v>
      </c>
      <c r="H78" s="48">
        <v>2.9</v>
      </c>
    </row>
    <row r="79" spans="1:8" x14ac:dyDescent="0.2">
      <c r="A79" s="48"/>
      <c r="B79" s="32" t="s">
        <v>291</v>
      </c>
      <c r="C79" s="32">
        <v>0.107</v>
      </c>
      <c r="D79" s="48"/>
      <c r="E79" s="32">
        <v>146.363</v>
      </c>
      <c r="F79" s="48"/>
      <c r="G79" s="48"/>
      <c r="H79" s="48"/>
    </row>
    <row r="80" spans="1:8" x14ac:dyDescent="0.2">
      <c r="A80" s="48">
        <v>40</v>
      </c>
      <c r="B80" s="32" t="s">
        <v>292</v>
      </c>
      <c r="C80" s="32">
        <v>0.107</v>
      </c>
      <c r="D80" s="48"/>
      <c r="E80" s="32">
        <v>149.50899999999999</v>
      </c>
      <c r="F80" s="48">
        <v>150.18199999999999</v>
      </c>
      <c r="G80" s="48">
        <v>0.95299999999999996</v>
      </c>
      <c r="H80" s="48">
        <v>0.6</v>
      </c>
    </row>
    <row r="81" spans="1:8" x14ac:dyDescent="0.2">
      <c r="A81" s="48"/>
      <c r="B81" s="32" t="s">
        <v>293</v>
      </c>
      <c r="C81" s="32">
        <v>0.108</v>
      </c>
      <c r="D81" s="48"/>
      <c r="E81" s="32">
        <v>150.85599999999999</v>
      </c>
      <c r="F81" s="48"/>
      <c r="G81" s="48"/>
      <c r="H81" s="48"/>
    </row>
    <row r="82" spans="1:8" x14ac:dyDescent="0.2">
      <c r="A82" s="48">
        <v>41</v>
      </c>
      <c r="B82" s="32" t="s">
        <v>294</v>
      </c>
      <c r="C82" s="32">
        <v>9.6000000000000002E-2</v>
      </c>
      <c r="D82" s="48"/>
      <c r="E82" s="32">
        <v>99.188000000000002</v>
      </c>
      <c r="F82" s="48">
        <v>103.68</v>
      </c>
      <c r="G82" s="48">
        <v>6.3540000000000001</v>
      </c>
      <c r="H82" s="48">
        <v>6.1</v>
      </c>
    </row>
    <row r="83" spans="1:8" x14ac:dyDescent="0.2">
      <c r="A83" s="48"/>
      <c r="B83" s="32" t="s">
        <v>295</v>
      </c>
      <c r="C83" s="32">
        <v>9.8000000000000004E-2</v>
      </c>
      <c r="D83" s="48"/>
      <c r="E83" s="32">
        <v>108.173</v>
      </c>
      <c r="F83" s="48"/>
      <c r="G83" s="48"/>
      <c r="H83" s="48"/>
    </row>
    <row r="84" spans="1:8" x14ac:dyDescent="0.2">
      <c r="A84" s="48">
        <v>42</v>
      </c>
      <c r="B84" s="32" t="s">
        <v>296</v>
      </c>
      <c r="C84" s="32">
        <v>0.10199999999999999</v>
      </c>
      <c r="D84" s="48"/>
      <c r="E84" s="32">
        <v>123.449</v>
      </c>
      <c r="F84" s="48">
        <v>124.348</v>
      </c>
      <c r="G84" s="48">
        <v>1.2709999999999999</v>
      </c>
      <c r="H84" s="48">
        <v>1</v>
      </c>
    </row>
    <row r="85" spans="1:8" x14ac:dyDescent="0.2">
      <c r="A85" s="48"/>
      <c r="B85" s="32" t="s">
        <v>297</v>
      </c>
      <c r="C85" s="32">
        <v>0.10199999999999999</v>
      </c>
      <c r="D85" s="48"/>
      <c r="E85" s="32">
        <v>125.247</v>
      </c>
      <c r="F85" s="48"/>
      <c r="G85" s="48"/>
      <c r="H85" s="48"/>
    </row>
    <row r="86" spans="1:8" x14ac:dyDescent="0.2">
      <c r="A86" s="48">
        <v>43</v>
      </c>
      <c r="B86" s="32" t="s">
        <v>298</v>
      </c>
      <c r="C86" s="32">
        <v>0.111</v>
      </c>
      <c r="D86" s="48"/>
      <c r="E86" s="32">
        <v>164.33500000000001</v>
      </c>
      <c r="F86" s="48">
        <v>161.41499999999999</v>
      </c>
      <c r="G86" s="48">
        <v>4.13</v>
      </c>
      <c r="H86" s="48">
        <v>2.6</v>
      </c>
    </row>
    <row r="87" spans="1:8" x14ac:dyDescent="0.2">
      <c r="A87" s="48"/>
      <c r="B87" s="32" t="s">
        <v>299</v>
      </c>
      <c r="C87" s="32">
        <v>0.109</v>
      </c>
      <c r="D87" s="48"/>
      <c r="E87" s="32">
        <v>158.494</v>
      </c>
      <c r="F87" s="48"/>
      <c r="G87" s="48"/>
      <c r="H87" s="48"/>
    </row>
    <row r="88" spans="1:8" x14ac:dyDescent="0.2">
      <c r="A88" s="48">
        <v>44</v>
      </c>
      <c r="B88" s="32" t="s">
        <v>300</v>
      </c>
      <c r="C88" s="32">
        <v>0.109</v>
      </c>
      <c r="D88" s="48"/>
      <c r="E88" s="32">
        <v>157.14699999999999</v>
      </c>
      <c r="F88" s="48">
        <v>149.28399999999999</v>
      </c>
      <c r="G88" s="48">
        <v>11.119</v>
      </c>
      <c r="H88" s="48">
        <v>7.4</v>
      </c>
    </row>
    <row r="89" spans="1:8" x14ac:dyDescent="0.2">
      <c r="A89" s="48"/>
      <c r="B89" s="32" t="s">
        <v>301</v>
      </c>
      <c r="C89" s="32">
        <v>0.106</v>
      </c>
      <c r="D89" s="48"/>
      <c r="E89" s="32">
        <v>141.42099999999999</v>
      </c>
      <c r="F89" s="48"/>
      <c r="G89" s="48"/>
      <c r="H89" s="48"/>
    </row>
    <row r="90" spans="1:8" x14ac:dyDescent="0.2">
      <c r="A90" s="48">
        <v>45</v>
      </c>
      <c r="B90" s="32" t="s">
        <v>302</v>
      </c>
      <c r="C90" s="32">
        <v>9.8000000000000004E-2</v>
      </c>
      <c r="D90" s="48"/>
      <c r="E90" s="32">
        <v>105.47799999999999</v>
      </c>
      <c r="F90" s="48">
        <v>98.063999999999993</v>
      </c>
      <c r="G90" s="48">
        <v>10.484</v>
      </c>
      <c r="H90" s="48">
        <v>10.7</v>
      </c>
    </row>
    <row r="91" spans="1:8" x14ac:dyDescent="0.2">
      <c r="A91" s="48"/>
      <c r="B91" s="32" t="s">
        <v>303</v>
      </c>
      <c r="C91" s="32">
        <v>9.4E-2</v>
      </c>
      <c r="D91" s="48"/>
      <c r="E91" s="32">
        <v>90.650999999999996</v>
      </c>
      <c r="F91" s="48"/>
      <c r="G91" s="48"/>
      <c r="H91" s="48"/>
    </row>
    <row r="92" spans="1:8" x14ac:dyDescent="0.2">
      <c r="A92" s="48">
        <v>46</v>
      </c>
      <c r="B92" s="32" t="s">
        <v>70</v>
      </c>
      <c r="C92" s="32">
        <v>9.4E-2</v>
      </c>
      <c r="D92" s="48"/>
      <c r="E92" s="32">
        <v>90.201999999999998</v>
      </c>
      <c r="F92" s="48">
        <v>83.238</v>
      </c>
      <c r="G92" s="48">
        <v>9.8490000000000002</v>
      </c>
      <c r="H92" s="48">
        <v>11.8</v>
      </c>
    </row>
    <row r="93" spans="1:8" x14ac:dyDescent="0.2">
      <c r="A93" s="48"/>
      <c r="B93" s="32" t="s">
        <v>71</v>
      </c>
      <c r="C93" s="32">
        <v>9.0999999999999998E-2</v>
      </c>
      <c r="D93" s="48"/>
      <c r="E93" s="32">
        <v>76.272999999999996</v>
      </c>
      <c r="F93" s="48"/>
      <c r="G93" s="48"/>
      <c r="H93" s="48"/>
    </row>
    <row r="94" spans="1:8" x14ac:dyDescent="0.2">
      <c r="A94" s="48">
        <v>47</v>
      </c>
      <c r="B94" s="32" t="s">
        <v>304</v>
      </c>
      <c r="C94" s="32">
        <v>0.109</v>
      </c>
      <c r="D94" s="48"/>
      <c r="E94" s="32">
        <v>155.34899999999999</v>
      </c>
      <c r="F94" s="48">
        <v>144.11699999999999</v>
      </c>
      <c r="G94" s="48">
        <v>15.885</v>
      </c>
      <c r="H94" s="48">
        <v>11</v>
      </c>
    </row>
    <row r="95" spans="1:8" x14ac:dyDescent="0.2">
      <c r="A95" s="48"/>
      <c r="B95" s="32" t="s">
        <v>305</v>
      </c>
      <c r="C95" s="32">
        <v>0.104</v>
      </c>
      <c r="D95" s="48"/>
      <c r="E95" s="32">
        <v>132.88499999999999</v>
      </c>
      <c r="F95" s="48"/>
      <c r="G95" s="48"/>
      <c r="H95" s="48"/>
    </row>
    <row r="96" spans="1:8" x14ac:dyDescent="0.2">
      <c r="A96" s="48">
        <v>48</v>
      </c>
      <c r="B96" s="32" t="s">
        <v>306</v>
      </c>
      <c r="C96" s="32">
        <v>9.5000000000000001E-2</v>
      </c>
      <c r="D96" s="48"/>
      <c r="E96" s="32">
        <v>95.593000000000004</v>
      </c>
      <c r="F96" s="48">
        <v>92.673000000000002</v>
      </c>
      <c r="G96" s="48">
        <v>4.13</v>
      </c>
      <c r="H96" s="48">
        <v>4.5</v>
      </c>
    </row>
    <row r="97" spans="1:8" x14ac:dyDescent="0.2">
      <c r="A97" s="48"/>
      <c r="B97" s="32" t="s">
        <v>307</v>
      </c>
      <c r="C97" s="32">
        <v>9.4E-2</v>
      </c>
      <c r="D97" s="48"/>
      <c r="E97" s="32">
        <v>89.751999999999995</v>
      </c>
      <c r="F97" s="48"/>
      <c r="G97" s="48"/>
      <c r="H97" s="48"/>
    </row>
    <row r="98" spans="1:8" x14ac:dyDescent="0.2">
      <c r="A98" s="32"/>
      <c r="B98" s="32"/>
      <c r="C98" s="32"/>
      <c r="D98" s="32"/>
      <c r="E98" s="32"/>
      <c r="F98" s="32"/>
      <c r="G98" s="32"/>
      <c r="H98" s="32"/>
    </row>
  </sheetData>
  <mergeCells count="240">
    <mergeCell ref="A94:A95"/>
    <mergeCell ref="D94:D95"/>
    <mergeCell ref="F94:F95"/>
    <mergeCell ref="G94:G95"/>
    <mergeCell ref="H94:H95"/>
    <mergeCell ref="A96:A97"/>
    <mergeCell ref="D96:D97"/>
    <mergeCell ref="F96:F97"/>
    <mergeCell ref="G96:G97"/>
    <mergeCell ref="H96:H97"/>
    <mergeCell ref="A90:A91"/>
    <mergeCell ref="D90:D91"/>
    <mergeCell ref="F90:F91"/>
    <mergeCell ref="G90:G91"/>
    <mergeCell ref="H90:H91"/>
    <mergeCell ref="A92:A93"/>
    <mergeCell ref="D92:D93"/>
    <mergeCell ref="F92:F93"/>
    <mergeCell ref="G92:G93"/>
    <mergeCell ref="H92:H93"/>
    <mergeCell ref="A86:A87"/>
    <mergeCell ref="D86:D87"/>
    <mergeCell ref="F86:F87"/>
    <mergeCell ref="G86:G87"/>
    <mergeCell ref="H86:H87"/>
    <mergeCell ref="A88:A89"/>
    <mergeCell ref="D88:D89"/>
    <mergeCell ref="F88:F89"/>
    <mergeCell ref="G88:G89"/>
    <mergeCell ref="H88:H89"/>
    <mergeCell ref="A82:A83"/>
    <mergeCell ref="D82:D83"/>
    <mergeCell ref="F82:F83"/>
    <mergeCell ref="G82:G83"/>
    <mergeCell ref="H82:H83"/>
    <mergeCell ref="A84:A85"/>
    <mergeCell ref="D84:D85"/>
    <mergeCell ref="F84:F85"/>
    <mergeCell ref="G84:G85"/>
    <mergeCell ref="H84:H85"/>
    <mergeCell ref="A78:A79"/>
    <mergeCell ref="D78:D79"/>
    <mergeCell ref="F78:F79"/>
    <mergeCell ref="G78:G79"/>
    <mergeCell ref="H78:H79"/>
    <mergeCell ref="A80:A81"/>
    <mergeCell ref="D80:D81"/>
    <mergeCell ref="F80:F81"/>
    <mergeCell ref="G80:G81"/>
    <mergeCell ref="H80:H81"/>
    <mergeCell ref="A74:A75"/>
    <mergeCell ref="D74:D75"/>
    <mergeCell ref="F74:F75"/>
    <mergeCell ref="G74:G75"/>
    <mergeCell ref="H74:H75"/>
    <mergeCell ref="A76:A77"/>
    <mergeCell ref="D76:D77"/>
    <mergeCell ref="F76:F77"/>
    <mergeCell ref="G76:G77"/>
    <mergeCell ref="H76:H77"/>
    <mergeCell ref="A70:A71"/>
    <mergeCell ref="D70:D71"/>
    <mergeCell ref="F70:F71"/>
    <mergeCell ref="G70:G71"/>
    <mergeCell ref="H70:H71"/>
    <mergeCell ref="A72:A73"/>
    <mergeCell ref="D72:D73"/>
    <mergeCell ref="F72:F73"/>
    <mergeCell ref="G72:G73"/>
    <mergeCell ref="H72:H73"/>
    <mergeCell ref="A66:A67"/>
    <mergeCell ref="D66:D67"/>
    <mergeCell ref="F66:F67"/>
    <mergeCell ref="G66:G67"/>
    <mergeCell ref="H66:H67"/>
    <mergeCell ref="A68:A69"/>
    <mergeCell ref="D68:D69"/>
    <mergeCell ref="F68:F69"/>
    <mergeCell ref="G68:G69"/>
    <mergeCell ref="H68:H69"/>
    <mergeCell ref="A62:A63"/>
    <mergeCell ref="D62:D63"/>
    <mergeCell ref="F62:F63"/>
    <mergeCell ref="G62:G63"/>
    <mergeCell ref="H62:H63"/>
    <mergeCell ref="A64:A65"/>
    <mergeCell ref="D64:D65"/>
    <mergeCell ref="F64:F65"/>
    <mergeCell ref="G64:G65"/>
    <mergeCell ref="H64:H65"/>
    <mergeCell ref="A58:A59"/>
    <mergeCell ref="D58:D59"/>
    <mergeCell ref="F58:F59"/>
    <mergeCell ref="G58:G59"/>
    <mergeCell ref="H58:H59"/>
    <mergeCell ref="A60:A61"/>
    <mergeCell ref="D60:D61"/>
    <mergeCell ref="F60:F61"/>
    <mergeCell ref="G60:G61"/>
    <mergeCell ref="H60:H61"/>
    <mergeCell ref="A54:A55"/>
    <mergeCell ref="D54:D55"/>
    <mergeCell ref="F54:F55"/>
    <mergeCell ref="G54:G55"/>
    <mergeCell ref="H54:H55"/>
    <mergeCell ref="A56:A57"/>
    <mergeCell ref="D56:D57"/>
    <mergeCell ref="F56:F57"/>
    <mergeCell ref="G56:G57"/>
    <mergeCell ref="H56:H57"/>
    <mergeCell ref="A50:A51"/>
    <mergeCell ref="D50:D51"/>
    <mergeCell ref="F50:F51"/>
    <mergeCell ref="G50:G51"/>
    <mergeCell ref="H50:H51"/>
    <mergeCell ref="A52:A53"/>
    <mergeCell ref="D52:D53"/>
    <mergeCell ref="F52:F53"/>
    <mergeCell ref="G52:G53"/>
    <mergeCell ref="H52:H53"/>
    <mergeCell ref="A46:A47"/>
    <mergeCell ref="D46:D47"/>
    <mergeCell ref="F46:F47"/>
    <mergeCell ref="G46:G47"/>
    <mergeCell ref="H46:H47"/>
    <mergeCell ref="A48:A49"/>
    <mergeCell ref="D48:D49"/>
    <mergeCell ref="F48:F49"/>
    <mergeCell ref="G48:G49"/>
    <mergeCell ref="H48:H49"/>
    <mergeCell ref="A42:A43"/>
    <mergeCell ref="D42:D43"/>
    <mergeCell ref="F42:F43"/>
    <mergeCell ref="G42:G43"/>
    <mergeCell ref="H42:H43"/>
    <mergeCell ref="A44:A45"/>
    <mergeCell ref="D44:D45"/>
    <mergeCell ref="F44:F45"/>
    <mergeCell ref="G44:G45"/>
    <mergeCell ref="H44:H45"/>
    <mergeCell ref="A38:A39"/>
    <mergeCell ref="D38:D39"/>
    <mergeCell ref="F38:F39"/>
    <mergeCell ref="G38:G39"/>
    <mergeCell ref="H38:H39"/>
    <mergeCell ref="A40:A41"/>
    <mergeCell ref="D40:D41"/>
    <mergeCell ref="F40:F41"/>
    <mergeCell ref="G40:G41"/>
    <mergeCell ref="H40:H41"/>
    <mergeCell ref="A34:A35"/>
    <mergeCell ref="D34:D35"/>
    <mergeCell ref="F34:F35"/>
    <mergeCell ref="G34:G35"/>
    <mergeCell ref="H34:H35"/>
    <mergeCell ref="A36:A37"/>
    <mergeCell ref="D36:D37"/>
    <mergeCell ref="F36:F37"/>
    <mergeCell ref="G36:G37"/>
    <mergeCell ref="H36:H37"/>
    <mergeCell ref="A30:A31"/>
    <mergeCell ref="D30:D31"/>
    <mergeCell ref="F30:F31"/>
    <mergeCell ref="G30:G31"/>
    <mergeCell ref="H30:H31"/>
    <mergeCell ref="A32:A33"/>
    <mergeCell ref="D32:D33"/>
    <mergeCell ref="F32:F33"/>
    <mergeCell ref="G32:G33"/>
    <mergeCell ref="H32:H33"/>
    <mergeCell ref="A26:A27"/>
    <mergeCell ref="D26:D27"/>
    <mergeCell ref="F26:F27"/>
    <mergeCell ref="G26:G27"/>
    <mergeCell ref="H26:H27"/>
    <mergeCell ref="A28:A29"/>
    <mergeCell ref="D28:D29"/>
    <mergeCell ref="F28:F29"/>
    <mergeCell ref="G28:G29"/>
    <mergeCell ref="H28:H29"/>
    <mergeCell ref="A22:A23"/>
    <mergeCell ref="D22:D23"/>
    <mergeCell ref="F22:F23"/>
    <mergeCell ref="G22:G23"/>
    <mergeCell ref="H22:H23"/>
    <mergeCell ref="A24:A25"/>
    <mergeCell ref="D24:D25"/>
    <mergeCell ref="F24:F25"/>
    <mergeCell ref="G24:G25"/>
    <mergeCell ref="H24:H25"/>
    <mergeCell ref="A18:A19"/>
    <mergeCell ref="D18:D19"/>
    <mergeCell ref="F18:F19"/>
    <mergeCell ref="G18:G19"/>
    <mergeCell ref="H18:H19"/>
    <mergeCell ref="A20:A21"/>
    <mergeCell ref="D20:D21"/>
    <mergeCell ref="F20:F21"/>
    <mergeCell ref="G20:G21"/>
    <mergeCell ref="H20:H21"/>
    <mergeCell ref="A14:A15"/>
    <mergeCell ref="D14:D15"/>
    <mergeCell ref="F14:F15"/>
    <mergeCell ref="G14:G15"/>
    <mergeCell ref="H14:H15"/>
    <mergeCell ref="A16:A17"/>
    <mergeCell ref="D16:D17"/>
    <mergeCell ref="F16:F17"/>
    <mergeCell ref="G16:G17"/>
    <mergeCell ref="H16:H17"/>
    <mergeCell ref="A10:A11"/>
    <mergeCell ref="D10:D11"/>
    <mergeCell ref="F10:F11"/>
    <mergeCell ref="G10:G11"/>
    <mergeCell ref="H10:H11"/>
    <mergeCell ref="A12:A13"/>
    <mergeCell ref="D12:D13"/>
    <mergeCell ref="F12:F13"/>
    <mergeCell ref="G12:G13"/>
    <mergeCell ref="H12:H13"/>
    <mergeCell ref="A6:A7"/>
    <mergeCell ref="D6:D7"/>
    <mergeCell ref="F6:F7"/>
    <mergeCell ref="G6:G7"/>
    <mergeCell ref="H6:H7"/>
    <mergeCell ref="A8:A9"/>
    <mergeCell ref="D8:D9"/>
    <mergeCell ref="F8:F9"/>
    <mergeCell ref="G8:G9"/>
    <mergeCell ref="H8:H9"/>
    <mergeCell ref="A2:A3"/>
    <mergeCell ref="D2:D3"/>
    <mergeCell ref="F2:F3"/>
    <mergeCell ref="G2:G3"/>
    <mergeCell ref="H2:H3"/>
    <mergeCell ref="A4:A5"/>
    <mergeCell ref="D4:D5"/>
    <mergeCell ref="F4:F5"/>
    <mergeCell ref="G4:G5"/>
    <mergeCell ref="H4:H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H13" sqref="H13"/>
    </sheetView>
  </sheetViews>
  <sheetFormatPr baseColWidth="10" defaultColWidth="8.796875" defaultRowHeight="15" x14ac:dyDescent="0.2"/>
  <cols>
    <col min="1" max="1" width="10.3984375" bestFit="1" customWidth="1"/>
    <col min="3" max="3" width="9.796875" bestFit="1" customWidth="1"/>
    <col min="4" max="4" width="13.796875" bestFit="1" customWidth="1"/>
    <col min="5" max="5" width="11" bestFit="1" customWidth="1"/>
    <col min="12" max="12" width="10.3984375" bestFit="1" customWidth="1"/>
  </cols>
  <sheetData>
    <row r="1" spans="1:18" x14ac:dyDescent="0.2">
      <c r="A1" s="3" t="s">
        <v>4</v>
      </c>
      <c r="B1" s="3" t="s">
        <v>6</v>
      </c>
      <c r="C1" s="3" t="s">
        <v>459</v>
      </c>
      <c r="D1" s="3" t="s">
        <v>465</v>
      </c>
      <c r="E1" s="3" t="s">
        <v>466</v>
      </c>
      <c r="I1" t="s">
        <v>467</v>
      </c>
      <c r="J1" t="s">
        <v>455</v>
      </c>
      <c r="K1" t="s">
        <v>456</v>
      </c>
      <c r="L1" t="s">
        <v>4</v>
      </c>
      <c r="N1" t="s">
        <v>468</v>
      </c>
      <c r="O1" t="s">
        <v>467</v>
      </c>
      <c r="P1" t="s">
        <v>455</v>
      </c>
      <c r="Q1" t="s">
        <v>456</v>
      </c>
      <c r="R1" t="s">
        <v>4</v>
      </c>
    </row>
    <row r="2" spans="1:18" x14ac:dyDescent="0.2">
      <c r="A2" t="s">
        <v>18</v>
      </c>
      <c r="B2">
        <v>1</v>
      </c>
      <c r="C2" t="s">
        <v>18</v>
      </c>
      <c r="D2" s="42">
        <v>209.60627510891391</v>
      </c>
      <c r="E2">
        <f>LOG(D2)</f>
        <v>2.3214042802409858</v>
      </c>
      <c r="H2">
        <v>1</v>
      </c>
      <c r="I2">
        <v>209.60627510891391</v>
      </c>
      <c r="J2">
        <v>2005.791167452684</v>
      </c>
      <c r="K2" s="12">
        <v>1621.640017156501</v>
      </c>
      <c r="L2" t="s">
        <v>453</v>
      </c>
      <c r="O2">
        <f>LOG(I2)</f>
        <v>2.3214042802409858</v>
      </c>
      <c r="P2">
        <f>LOG(J2)</f>
        <v>3.3022857145547313</v>
      </c>
      <c r="Q2">
        <f>LOG(K2)</f>
        <v>3.209954452887601</v>
      </c>
      <c r="R2" t="s">
        <v>453</v>
      </c>
    </row>
    <row r="3" spans="1:18" x14ac:dyDescent="0.2">
      <c r="A3" t="s">
        <v>18</v>
      </c>
      <c r="B3">
        <v>1</v>
      </c>
      <c r="C3" t="s">
        <v>455</v>
      </c>
      <c r="D3" s="42">
        <v>2005.791167452684</v>
      </c>
      <c r="E3">
        <f t="shared" ref="E3:E49" si="0">LOG(D3)</f>
        <v>3.3022857145547313</v>
      </c>
      <c r="H3">
        <v>2</v>
      </c>
      <c r="I3">
        <v>131.66680130660768</v>
      </c>
      <c r="J3">
        <v>2057.5836552964397</v>
      </c>
      <c r="K3" s="12">
        <v>1566.5666815984341</v>
      </c>
      <c r="L3" t="s">
        <v>453</v>
      </c>
      <c r="O3">
        <f t="shared" ref="O3:O17" si="1">LOG(I3)</f>
        <v>2.1194762850082172</v>
      </c>
      <c r="P3">
        <f t="shared" ref="P3:P17" si="2">LOG(J3)</f>
        <v>3.3133575013788685</v>
      </c>
      <c r="Q3">
        <f t="shared" ref="Q3:Q17" si="3">LOG(K3)</f>
        <v>3.1949488855464185</v>
      </c>
      <c r="R3" t="s">
        <v>453</v>
      </c>
    </row>
    <row r="4" spans="1:18" x14ac:dyDescent="0.2">
      <c r="A4" t="s">
        <v>18</v>
      </c>
      <c r="B4">
        <v>1</v>
      </c>
      <c r="C4" t="s">
        <v>456</v>
      </c>
      <c r="D4" s="42">
        <v>1621.640017156501</v>
      </c>
      <c r="E4">
        <f t="shared" si="0"/>
        <v>3.209954452887601</v>
      </c>
      <c r="H4">
        <v>3</v>
      </c>
      <c r="I4">
        <v>170.75345307966595</v>
      </c>
      <c r="J4">
        <v>1431.8475562700567</v>
      </c>
      <c r="K4" s="12">
        <v>1742.1982188928916</v>
      </c>
      <c r="L4" t="s">
        <v>453</v>
      </c>
      <c r="O4">
        <f t="shared" si="1"/>
        <v>2.2323694950082169</v>
      </c>
      <c r="P4">
        <f t="shared" si="2"/>
        <v>3.155896782640188</v>
      </c>
      <c r="Q4">
        <f t="shared" si="3"/>
        <v>3.2410975654098864</v>
      </c>
      <c r="R4" t="s">
        <v>453</v>
      </c>
    </row>
    <row r="5" spans="1:18" x14ac:dyDescent="0.2">
      <c r="A5" t="s">
        <v>18</v>
      </c>
      <c r="B5">
        <v>2</v>
      </c>
      <c r="C5" t="s">
        <v>18</v>
      </c>
      <c r="D5" s="42">
        <v>131.66680130660768</v>
      </c>
      <c r="E5">
        <f t="shared" si="0"/>
        <v>2.1194762850082172</v>
      </c>
      <c r="H5">
        <v>4</v>
      </c>
      <c r="I5">
        <v>165.49528781697694</v>
      </c>
      <c r="J5">
        <v>1926.0617126595735</v>
      </c>
      <c r="K5" s="12">
        <v>2057.4796777642046</v>
      </c>
      <c r="L5" t="s">
        <v>453</v>
      </c>
      <c r="O5">
        <f t="shared" si="1"/>
        <v>2.2187856325273314</v>
      </c>
      <c r="P5">
        <f t="shared" si="2"/>
        <v>3.2846701981769586</v>
      </c>
      <c r="Q5">
        <f t="shared" si="3"/>
        <v>3.3133355542714504</v>
      </c>
      <c r="R5" t="s">
        <v>453</v>
      </c>
    </row>
    <row r="6" spans="1:18" x14ac:dyDescent="0.2">
      <c r="A6" t="s">
        <v>18</v>
      </c>
      <c r="B6">
        <v>2</v>
      </c>
      <c r="C6" t="s">
        <v>455</v>
      </c>
      <c r="D6" s="42">
        <v>2057.5836552964397</v>
      </c>
      <c r="E6">
        <f t="shared" si="0"/>
        <v>3.3133575013788685</v>
      </c>
      <c r="H6">
        <v>5</v>
      </c>
      <c r="I6">
        <v>245.87478723181147</v>
      </c>
      <c r="J6">
        <v>2471.8065468832065</v>
      </c>
      <c r="K6" s="12">
        <v>2454.0898298078741</v>
      </c>
      <c r="L6" t="s">
        <v>453</v>
      </c>
      <c r="O6">
        <f t="shared" si="1"/>
        <v>2.390713997110046</v>
      </c>
      <c r="P6">
        <f t="shared" si="2"/>
        <v>3.3930144781850879</v>
      </c>
      <c r="Q6">
        <f t="shared" si="3"/>
        <v>3.3898904556509084</v>
      </c>
      <c r="R6" t="s">
        <v>453</v>
      </c>
    </row>
    <row r="7" spans="1:18" x14ac:dyDescent="0.2">
      <c r="A7" t="s">
        <v>18</v>
      </c>
      <c r="B7">
        <v>2</v>
      </c>
      <c r="C7" t="s">
        <v>456</v>
      </c>
      <c r="D7" s="42">
        <v>1566.5666815984341</v>
      </c>
      <c r="E7">
        <f t="shared" si="0"/>
        <v>3.1949488855464185</v>
      </c>
      <c r="H7">
        <v>6</v>
      </c>
      <c r="I7">
        <v>126.3199812802907</v>
      </c>
      <c r="J7">
        <v>1401.1655140830944</v>
      </c>
      <c r="K7" s="12">
        <v>672.81552473947431</v>
      </c>
      <c r="L7" t="s">
        <v>453</v>
      </c>
      <c r="O7">
        <f t="shared" si="1"/>
        <v>2.1014720526409358</v>
      </c>
      <c r="P7">
        <f t="shared" si="2"/>
        <v>3.1464894397877305</v>
      </c>
      <c r="Q7">
        <f t="shared" si="3"/>
        <v>2.8278960039416083</v>
      </c>
      <c r="R7" t="s">
        <v>453</v>
      </c>
    </row>
    <row r="8" spans="1:18" x14ac:dyDescent="0.2">
      <c r="A8" t="s">
        <v>18</v>
      </c>
      <c r="B8">
        <v>3</v>
      </c>
      <c r="C8" t="s">
        <v>18</v>
      </c>
      <c r="D8" s="42">
        <v>170.75345307966595</v>
      </c>
      <c r="E8">
        <f t="shared" si="0"/>
        <v>2.2323694950082169</v>
      </c>
      <c r="H8">
        <v>7</v>
      </c>
      <c r="I8">
        <v>154.77352211431088</v>
      </c>
      <c r="J8">
        <v>1753.2514074472758</v>
      </c>
      <c r="K8" s="12">
        <v>1676.9352691711265</v>
      </c>
      <c r="L8" t="s">
        <v>453</v>
      </c>
      <c r="O8">
        <f t="shared" si="1"/>
        <v>2.1896966657576997</v>
      </c>
      <c r="P8">
        <f t="shared" si="2"/>
        <v>3.2438441962069757</v>
      </c>
      <c r="Q8">
        <f t="shared" si="3"/>
        <v>3.2245162988706308</v>
      </c>
      <c r="R8" t="s">
        <v>453</v>
      </c>
    </row>
    <row r="9" spans="1:18" x14ac:dyDescent="0.2">
      <c r="A9" t="s">
        <v>18</v>
      </c>
      <c r="B9">
        <v>3</v>
      </c>
      <c r="C9" t="s">
        <v>455</v>
      </c>
      <c r="D9" s="42">
        <v>1431.8475562700567</v>
      </c>
      <c r="E9">
        <f t="shared" si="0"/>
        <v>3.155896782640188</v>
      </c>
      <c r="H9">
        <v>8</v>
      </c>
      <c r="I9">
        <v>186.80174860317936</v>
      </c>
      <c r="J9">
        <v>1826.9725855159943</v>
      </c>
      <c r="K9" s="12">
        <v>844.79014246484996</v>
      </c>
      <c r="L9" t="s">
        <v>453</v>
      </c>
      <c r="O9">
        <f t="shared" si="1"/>
        <v>2.2713809372321769</v>
      </c>
      <c r="P9">
        <f t="shared" si="2"/>
        <v>3.2617320306319826</v>
      </c>
      <c r="Q9">
        <f t="shared" si="3"/>
        <v>2.9267488376020263</v>
      </c>
      <c r="R9" t="s">
        <v>453</v>
      </c>
    </row>
    <row r="10" spans="1:18" x14ac:dyDescent="0.2">
      <c r="A10" t="s">
        <v>18</v>
      </c>
      <c r="B10">
        <v>3</v>
      </c>
      <c r="C10" t="s">
        <v>456</v>
      </c>
      <c r="D10" s="42">
        <v>1742.1982188928916</v>
      </c>
      <c r="E10">
        <f t="shared" si="0"/>
        <v>3.2410975654098864</v>
      </c>
      <c r="H10">
        <v>9</v>
      </c>
      <c r="I10">
        <v>146.68034313116658</v>
      </c>
      <c r="J10">
        <v>3016.4749693290241</v>
      </c>
      <c r="K10">
        <v>1879.8374558746755</v>
      </c>
      <c r="L10" t="s">
        <v>9</v>
      </c>
      <c r="O10">
        <f t="shared" si="1"/>
        <v>2.1663719172402827</v>
      </c>
      <c r="P10">
        <f t="shared" si="2"/>
        <v>3.4794997258972815</v>
      </c>
      <c r="Q10">
        <f t="shared" si="3"/>
        <v>3.2741202986953022</v>
      </c>
      <c r="R10" t="s">
        <v>9</v>
      </c>
    </row>
    <row r="11" spans="1:18" x14ac:dyDescent="0.2">
      <c r="A11" t="s">
        <v>18</v>
      </c>
      <c r="B11">
        <v>4</v>
      </c>
      <c r="C11" t="s">
        <v>18</v>
      </c>
      <c r="D11" s="42">
        <v>165.49528781697694</v>
      </c>
      <c r="E11">
        <f t="shared" si="0"/>
        <v>2.2187856325273314</v>
      </c>
      <c r="H11">
        <v>10</v>
      </c>
      <c r="I11">
        <v>199.57561535130489</v>
      </c>
      <c r="J11">
        <v>1978.4598089552778</v>
      </c>
      <c r="K11">
        <v>2175.7706933348745</v>
      </c>
      <c r="L11" t="s">
        <v>9</v>
      </c>
      <c r="O11">
        <f t="shared" si="1"/>
        <v>2.3001074770049161</v>
      </c>
      <c r="P11">
        <f t="shared" si="2"/>
        <v>3.2963272322991735</v>
      </c>
      <c r="Q11">
        <f t="shared" si="3"/>
        <v>3.3376131227049517</v>
      </c>
      <c r="R11" t="s">
        <v>9</v>
      </c>
    </row>
    <row r="12" spans="1:18" x14ac:dyDescent="0.2">
      <c r="A12" t="s">
        <v>18</v>
      </c>
      <c r="B12">
        <v>4</v>
      </c>
      <c r="C12" t="s">
        <v>455</v>
      </c>
      <c r="D12" s="42">
        <v>1926.0617126595735</v>
      </c>
      <c r="E12">
        <f t="shared" si="0"/>
        <v>3.2846701981769586</v>
      </c>
      <c r="H12">
        <v>11</v>
      </c>
      <c r="I12">
        <v>273.04729074769097</v>
      </c>
      <c r="J12">
        <v>1549.5881277124336</v>
      </c>
      <c r="K12">
        <v>1513.7322520830269</v>
      </c>
      <c r="L12" t="s">
        <v>9</v>
      </c>
      <c r="O12">
        <f t="shared" si="1"/>
        <v>2.4362378717004756</v>
      </c>
      <c r="P12">
        <f t="shared" si="2"/>
        <v>3.1902162803435212</v>
      </c>
      <c r="Q12">
        <f t="shared" si="3"/>
        <v>3.1800490642484878</v>
      </c>
      <c r="R12" t="s">
        <v>9</v>
      </c>
    </row>
    <row r="13" spans="1:18" x14ac:dyDescent="0.2">
      <c r="A13" t="s">
        <v>18</v>
      </c>
      <c r="B13">
        <v>4</v>
      </c>
      <c r="C13" t="s">
        <v>456</v>
      </c>
      <c r="D13" s="42">
        <v>2057.4796777642046</v>
      </c>
      <c r="E13">
        <f t="shared" si="0"/>
        <v>3.3133355542714504</v>
      </c>
      <c r="H13">
        <v>12</v>
      </c>
      <c r="I13">
        <v>171.28332695195505</v>
      </c>
      <c r="J13">
        <v>3029.2913563074608</v>
      </c>
      <c r="K13">
        <v>1555.2283041100986</v>
      </c>
      <c r="L13" t="s">
        <v>9</v>
      </c>
      <c r="O13">
        <f t="shared" si="1"/>
        <v>2.2337150899638876</v>
      </c>
      <c r="P13">
        <f t="shared" si="2"/>
        <v>3.4813410456509084</v>
      </c>
      <c r="Q13">
        <f t="shared" si="3"/>
        <v>3.1917941515218691</v>
      </c>
      <c r="R13" t="s">
        <v>9</v>
      </c>
    </row>
    <row r="14" spans="1:18" x14ac:dyDescent="0.2">
      <c r="A14" t="s">
        <v>18</v>
      </c>
      <c r="B14">
        <v>5</v>
      </c>
      <c r="C14" t="s">
        <v>18</v>
      </c>
      <c r="D14" s="42">
        <v>245.87478723181147</v>
      </c>
      <c r="E14">
        <f t="shared" si="0"/>
        <v>2.390713997110046</v>
      </c>
      <c r="H14">
        <v>13</v>
      </c>
      <c r="I14">
        <v>236.7713040025381</v>
      </c>
      <c r="J14">
        <v>1572.4300226713117</v>
      </c>
      <c r="K14">
        <v>836.25141169433539</v>
      </c>
      <c r="L14" t="s">
        <v>9</v>
      </c>
      <c r="O14">
        <f t="shared" si="1"/>
        <v>2.3743290660047243</v>
      </c>
      <c r="P14">
        <f t="shared" si="2"/>
        <v>3.196571327284917</v>
      </c>
      <c r="Q14">
        <f t="shared" si="3"/>
        <v>2.9223368639185314</v>
      </c>
      <c r="R14" t="s">
        <v>9</v>
      </c>
    </row>
    <row r="15" spans="1:18" x14ac:dyDescent="0.2">
      <c r="A15" t="s">
        <v>18</v>
      </c>
      <c r="B15">
        <v>5</v>
      </c>
      <c r="C15" t="s">
        <v>455</v>
      </c>
      <c r="D15" s="42">
        <v>2471.8065468832065</v>
      </c>
      <c r="E15">
        <f t="shared" si="0"/>
        <v>3.3930144781850879</v>
      </c>
      <c r="H15">
        <v>14</v>
      </c>
      <c r="I15">
        <v>220.97852020949637</v>
      </c>
      <c r="J15">
        <v>2322.5435843089826</v>
      </c>
      <c r="K15">
        <v>1831.2918572181588</v>
      </c>
      <c r="L15" t="s">
        <v>9</v>
      </c>
      <c r="O15">
        <f t="shared" si="1"/>
        <v>2.344350060979882</v>
      </c>
      <c r="P15">
        <f t="shared" si="2"/>
        <v>3.3659638726106889</v>
      </c>
      <c r="Q15">
        <f t="shared" si="3"/>
        <v>3.2627575643336111</v>
      </c>
      <c r="R15" t="s">
        <v>9</v>
      </c>
    </row>
    <row r="16" spans="1:18" x14ac:dyDescent="0.2">
      <c r="A16" t="s">
        <v>18</v>
      </c>
      <c r="B16">
        <v>5</v>
      </c>
      <c r="C16" t="s">
        <v>456</v>
      </c>
      <c r="D16" s="42">
        <v>2454.0898298078741</v>
      </c>
      <c r="E16">
        <f t="shared" si="0"/>
        <v>3.3898904556509084</v>
      </c>
      <c r="H16">
        <v>15</v>
      </c>
      <c r="I16">
        <v>244.66917090408248</v>
      </c>
      <c r="J16">
        <v>3201.9292749948822</v>
      </c>
      <c r="K16">
        <v>2327.5224472292894</v>
      </c>
      <c r="L16" t="s">
        <v>9</v>
      </c>
      <c r="O16">
        <f t="shared" si="1"/>
        <v>2.3885792503091818</v>
      </c>
      <c r="P16">
        <f t="shared" si="2"/>
        <v>3.5054117348853802</v>
      </c>
      <c r="Q16">
        <f t="shared" si="3"/>
        <v>3.3668938781220397</v>
      </c>
      <c r="R16" t="s">
        <v>9</v>
      </c>
    </row>
    <row r="17" spans="1:18" x14ac:dyDescent="0.2">
      <c r="A17" t="s">
        <v>18</v>
      </c>
      <c r="B17">
        <v>6</v>
      </c>
      <c r="C17" t="s">
        <v>18</v>
      </c>
      <c r="D17" s="42">
        <v>126.3199812802907</v>
      </c>
      <c r="E17">
        <f t="shared" si="0"/>
        <v>2.1014720526409358</v>
      </c>
      <c r="H17">
        <v>16</v>
      </c>
      <c r="I17">
        <v>215.88583458806204</v>
      </c>
      <c r="J17">
        <v>2285.7631625440154</v>
      </c>
      <c r="K17">
        <v>1025.028864174775</v>
      </c>
      <c r="L17" t="s">
        <v>9</v>
      </c>
      <c r="O17">
        <f t="shared" si="1"/>
        <v>2.3342241469101204</v>
      </c>
      <c r="P17">
        <f t="shared" si="2"/>
        <v>3.3590312293275089</v>
      </c>
      <c r="Q17">
        <f t="shared" si="3"/>
        <v>3.0107360950262425</v>
      </c>
      <c r="R17" t="s">
        <v>9</v>
      </c>
    </row>
    <row r="18" spans="1:18" x14ac:dyDescent="0.2">
      <c r="A18" t="s">
        <v>18</v>
      </c>
      <c r="B18">
        <v>6</v>
      </c>
      <c r="C18" t="s">
        <v>455</v>
      </c>
      <c r="D18" s="42">
        <v>1401.1655140830944</v>
      </c>
      <c r="E18">
        <f t="shared" si="0"/>
        <v>3.1464894397877305</v>
      </c>
    </row>
    <row r="19" spans="1:18" x14ac:dyDescent="0.2">
      <c r="A19" t="s">
        <v>18</v>
      </c>
      <c r="B19">
        <v>6</v>
      </c>
      <c r="C19" t="s">
        <v>456</v>
      </c>
      <c r="D19" s="42">
        <v>672.81552473947431</v>
      </c>
      <c r="E19">
        <f t="shared" si="0"/>
        <v>2.8278960039416083</v>
      </c>
    </row>
    <row r="20" spans="1:18" x14ac:dyDescent="0.2">
      <c r="A20" t="s">
        <v>18</v>
      </c>
      <c r="B20">
        <v>7</v>
      </c>
      <c r="C20" t="s">
        <v>18</v>
      </c>
      <c r="D20" s="42">
        <v>154.77352211431088</v>
      </c>
      <c r="E20">
        <f t="shared" si="0"/>
        <v>2.1896966657576997</v>
      </c>
    </row>
    <row r="21" spans="1:18" x14ac:dyDescent="0.2">
      <c r="A21" t="s">
        <v>18</v>
      </c>
      <c r="B21">
        <v>7</v>
      </c>
      <c r="C21" t="s">
        <v>455</v>
      </c>
      <c r="D21" s="42">
        <v>1753.2514074472758</v>
      </c>
      <c r="E21">
        <f t="shared" si="0"/>
        <v>3.2438441962069757</v>
      </c>
    </row>
    <row r="22" spans="1:18" x14ac:dyDescent="0.2">
      <c r="A22" t="s">
        <v>18</v>
      </c>
      <c r="B22">
        <v>7</v>
      </c>
      <c r="C22" t="s">
        <v>456</v>
      </c>
      <c r="D22" s="42">
        <v>1676.9352691711265</v>
      </c>
      <c r="E22">
        <f t="shared" si="0"/>
        <v>3.2245162988706308</v>
      </c>
    </row>
    <row r="23" spans="1:18" x14ac:dyDescent="0.2">
      <c r="A23" t="s">
        <v>18</v>
      </c>
      <c r="B23">
        <v>8</v>
      </c>
      <c r="C23" t="s">
        <v>18</v>
      </c>
      <c r="D23" s="42">
        <v>186.80174860317936</v>
      </c>
      <c r="E23">
        <f t="shared" si="0"/>
        <v>2.2713809372321769</v>
      </c>
    </row>
    <row r="24" spans="1:18" x14ac:dyDescent="0.2">
      <c r="A24" t="s">
        <v>18</v>
      </c>
      <c r="B24">
        <v>8</v>
      </c>
      <c r="C24" t="s">
        <v>455</v>
      </c>
      <c r="D24" s="42">
        <v>1826.9725855159943</v>
      </c>
      <c r="E24">
        <f t="shared" si="0"/>
        <v>3.2617320306319826</v>
      </c>
    </row>
    <row r="25" spans="1:18" x14ac:dyDescent="0.2">
      <c r="A25" t="s">
        <v>18</v>
      </c>
      <c r="B25">
        <v>8</v>
      </c>
      <c r="C25" t="s">
        <v>456</v>
      </c>
      <c r="D25" s="42">
        <v>844.79014246484996</v>
      </c>
      <c r="E25">
        <f t="shared" si="0"/>
        <v>2.9267488376020263</v>
      </c>
    </row>
    <row r="26" spans="1:18" x14ac:dyDescent="0.2">
      <c r="A26" t="s">
        <v>9</v>
      </c>
      <c r="B26">
        <v>9</v>
      </c>
      <c r="C26" t="s">
        <v>18</v>
      </c>
      <c r="D26" s="43">
        <v>146.68034313116658</v>
      </c>
      <c r="E26">
        <f t="shared" si="0"/>
        <v>2.1663719172402827</v>
      </c>
    </row>
    <row r="27" spans="1:18" x14ac:dyDescent="0.2">
      <c r="A27" t="s">
        <v>9</v>
      </c>
      <c r="B27">
        <v>9</v>
      </c>
      <c r="C27" t="s">
        <v>455</v>
      </c>
      <c r="D27" s="43">
        <v>3016.4749693290241</v>
      </c>
      <c r="E27">
        <f t="shared" si="0"/>
        <v>3.4794997258972815</v>
      </c>
    </row>
    <row r="28" spans="1:18" x14ac:dyDescent="0.2">
      <c r="A28" t="s">
        <v>9</v>
      </c>
      <c r="B28">
        <v>9</v>
      </c>
      <c r="C28" t="s">
        <v>456</v>
      </c>
      <c r="D28" s="43">
        <v>1879.8374558746755</v>
      </c>
      <c r="E28">
        <f t="shared" si="0"/>
        <v>3.2741202986953022</v>
      </c>
    </row>
    <row r="29" spans="1:18" x14ac:dyDescent="0.2">
      <c r="A29" t="s">
        <v>9</v>
      </c>
      <c r="B29">
        <v>10</v>
      </c>
      <c r="C29" t="s">
        <v>18</v>
      </c>
      <c r="D29" s="43">
        <v>199.57561535130489</v>
      </c>
      <c r="E29">
        <f t="shared" si="0"/>
        <v>2.3001074770049161</v>
      </c>
    </row>
    <row r="30" spans="1:18" x14ac:dyDescent="0.2">
      <c r="A30" t="s">
        <v>9</v>
      </c>
      <c r="B30">
        <v>10</v>
      </c>
      <c r="C30" t="s">
        <v>455</v>
      </c>
      <c r="D30" s="43">
        <v>1978.4598089552778</v>
      </c>
      <c r="E30">
        <f t="shared" si="0"/>
        <v>3.2963272322991735</v>
      </c>
    </row>
    <row r="31" spans="1:18" x14ac:dyDescent="0.2">
      <c r="A31" t="s">
        <v>9</v>
      </c>
      <c r="B31">
        <v>10</v>
      </c>
      <c r="C31" t="s">
        <v>456</v>
      </c>
      <c r="D31" s="43">
        <v>2175.7706933348745</v>
      </c>
      <c r="E31">
        <f t="shared" si="0"/>
        <v>3.3376131227049517</v>
      </c>
    </row>
    <row r="32" spans="1:18" x14ac:dyDescent="0.2">
      <c r="A32" t="s">
        <v>9</v>
      </c>
      <c r="B32">
        <v>11</v>
      </c>
      <c r="C32" t="s">
        <v>18</v>
      </c>
      <c r="D32" s="43">
        <v>273.04729074769097</v>
      </c>
      <c r="E32">
        <f t="shared" si="0"/>
        <v>2.4362378717004756</v>
      </c>
    </row>
    <row r="33" spans="1:5" x14ac:dyDescent="0.2">
      <c r="A33" t="s">
        <v>9</v>
      </c>
      <c r="B33">
        <v>11</v>
      </c>
      <c r="C33" t="s">
        <v>455</v>
      </c>
      <c r="D33" s="43">
        <v>1549.5881277124336</v>
      </c>
      <c r="E33">
        <f t="shared" si="0"/>
        <v>3.1902162803435212</v>
      </c>
    </row>
    <row r="34" spans="1:5" x14ac:dyDescent="0.2">
      <c r="A34" t="s">
        <v>9</v>
      </c>
      <c r="B34">
        <v>11</v>
      </c>
      <c r="C34" t="s">
        <v>456</v>
      </c>
      <c r="D34" s="43">
        <v>1513.7322520830269</v>
      </c>
      <c r="E34">
        <f t="shared" si="0"/>
        <v>3.1800490642484878</v>
      </c>
    </row>
    <row r="35" spans="1:5" x14ac:dyDescent="0.2">
      <c r="A35" t="s">
        <v>9</v>
      </c>
      <c r="B35">
        <v>12</v>
      </c>
      <c r="C35" t="s">
        <v>18</v>
      </c>
      <c r="D35" s="43">
        <v>171.28332695195505</v>
      </c>
      <c r="E35">
        <f t="shared" si="0"/>
        <v>2.2337150899638876</v>
      </c>
    </row>
    <row r="36" spans="1:5" x14ac:dyDescent="0.2">
      <c r="A36" t="s">
        <v>9</v>
      </c>
      <c r="B36">
        <v>12</v>
      </c>
      <c r="C36" t="s">
        <v>455</v>
      </c>
      <c r="D36" s="43">
        <v>3029.2913563074608</v>
      </c>
      <c r="E36">
        <f t="shared" si="0"/>
        <v>3.4813410456509084</v>
      </c>
    </row>
    <row r="37" spans="1:5" x14ac:dyDescent="0.2">
      <c r="A37" t="s">
        <v>9</v>
      </c>
      <c r="B37">
        <v>12</v>
      </c>
      <c r="C37" t="s">
        <v>456</v>
      </c>
      <c r="D37" s="43">
        <v>1555.2283041100986</v>
      </c>
      <c r="E37">
        <f t="shared" si="0"/>
        <v>3.1917941515218691</v>
      </c>
    </row>
    <row r="38" spans="1:5" x14ac:dyDescent="0.2">
      <c r="A38" t="s">
        <v>9</v>
      </c>
      <c r="B38">
        <v>13</v>
      </c>
      <c r="C38" t="s">
        <v>18</v>
      </c>
      <c r="D38" s="43">
        <v>236.7713040025381</v>
      </c>
      <c r="E38">
        <f t="shared" si="0"/>
        <v>2.3743290660047243</v>
      </c>
    </row>
    <row r="39" spans="1:5" x14ac:dyDescent="0.2">
      <c r="A39" t="s">
        <v>9</v>
      </c>
      <c r="B39">
        <v>13</v>
      </c>
      <c r="C39" t="s">
        <v>455</v>
      </c>
      <c r="D39" s="43">
        <v>1572.4300226713117</v>
      </c>
      <c r="E39">
        <f t="shared" si="0"/>
        <v>3.196571327284917</v>
      </c>
    </row>
    <row r="40" spans="1:5" x14ac:dyDescent="0.2">
      <c r="A40" t="s">
        <v>9</v>
      </c>
      <c r="B40">
        <v>13</v>
      </c>
      <c r="C40" t="s">
        <v>456</v>
      </c>
      <c r="D40" s="43">
        <v>836.25141169433539</v>
      </c>
      <c r="E40">
        <f t="shared" si="0"/>
        <v>2.9223368639185314</v>
      </c>
    </row>
    <row r="41" spans="1:5" x14ac:dyDescent="0.2">
      <c r="A41" t="s">
        <v>9</v>
      </c>
      <c r="B41">
        <v>14</v>
      </c>
      <c r="C41" t="s">
        <v>18</v>
      </c>
      <c r="D41" s="43">
        <v>220.97852020949637</v>
      </c>
      <c r="E41">
        <f t="shared" si="0"/>
        <v>2.344350060979882</v>
      </c>
    </row>
    <row r="42" spans="1:5" x14ac:dyDescent="0.2">
      <c r="A42" t="s">
        <v>9</v>
      </c>
      <c r="B42">
        <v>14</v>
      </c>
      <c r="C42" t="s">
        <v>455</v>
      </c>
      <c r="D42" s="43">
        <v>2322.5435843089826</v>
      </c>
      <c r="E42">
        <f t="shared" si="0"/>
        <v>3.3659638726106889</v>
      </c>
    </row>
    <row r="43" spans="1:5" x14ac:dyDescent="0.2">
      <c r="A43" t="s">
        <v>9</v>
      </c>
      <c r="B43">
        <v>14</v>
      </c>
      <c r="C43" t="s">
        <v>456</v>
      </c>
      <c r="D43" s="43">
        <v>1831.2918572181588</v>
      </c>
      <c r="E43">
        <f t="shared" si="0"/>
        <v>3.2627575643336111</v>
      </c>
    </row>
    <row r="44" spans="1:5" x14ac:dyDescent="0.2">
      <c r="A44" t="s">
        <v>9</v>
      </c>
      <c r="B44">
        <v>15</v>
      </c>
      <c r="C44" t="s">
        <v>18</v>
      </c>
      <c r="D44" s="43">
        <v>244.66917090408248</v>
      </c>
      <c r="E44">
        <f t="shared" si="0"/>
        <v>2.3885792503091818</v>
      </c>
    </row>
    <row r="45" spans="1:5" x14ac:dyDescent="0.2">
      <c r="A45" t="s">
        <v>9</v>
      </c>
      <c r="B45">
        <v>15</v>
      </c>
      <c r="C45" t="s">
        <v>455</v>
      </c>
      <c r="D45" s="43">
        <v>3201.9292749948822</v>
      </c>
      <c r="E45">
        <f t="shared" si="0"/>
        <v>3.5054117348853802</v>
      </c>
    </row>
    <row r="46" spans="1:5" x14ac:dyDescent="0.2">
      <c r="A46" t="s">
        <v>9</v>
      </c>
      <c r="B46">
        <v>15</v>
      </c>
      <c r="C46" t="s">
        <v>456</v>
      </c>
      <c r="D46" s="43">
        <v>2327.5224472292894</v>
      </c>
      <c r="E46">
        <f t="shared" si="0"/>
        <v>3.3668938781220397</v>
      </c>
    </row>
    <row r="47" spans="1:5" x14ac:dyDescent="0.2">
      <c r="A47" t="s">
        <v>9</v>
      </c>
      <c r="B47">
        <v>16</v>
      </c>
      <c r="C47" t="s">
        <v>18</v>
      </c>
      <c r="D47" s="43">
        <v>215.88583458806204</v>
      </c>
      <c r="E47">
        <f t="shared" si="0"/>
        <v>2.3342241469101204</v>
      </c>
    </row>
    <row r="48" spans="1:5" x14ac:dyDescent="0.2">
      <c r="A48" t="s">
        <v>9</v>
      </c>
      <c r="B48">
        <v>16</v>
      </c>
      <c r="C48" t="s">
        <v>455</v>
      </c>
      <c r="D48" s="43">
        <v>2285.7631625440154</v>
      </c>
      <c r="E48">
        <f t="shared" si="0"/>
        <v>3.3590312293275089</v>
      </c>
    </row>
    <row r="49" spans="1:5" x14ac:dyDescent="0.2">
      <c r="A49" t="s">
        <v>9</v>
      </c>
      <c r="B49">
        <v>16</v>
      </c>
      <c r="C49" t="s">
        <v>456</v>
      </c>
      <c r="D49" s="43">
        <v>1025.028864174775</v>
      </c>
      <c r="E49">
        <f t="shared" si="0"/>
        <v>3.0107360950262425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ColWidth="8.7968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7"/>
  <sheetViews>
    <sheetView topLeftCell="J17" workbookViewId="0">
      <selection activeCell="AE28" sqref="AE28"/>
    </sheetView>
  </sheetViews>
  <sheetFormatPr baseColWidth="10" defaultColWidth="8.796875" defaultRowHeight="15" x14ac:dyDescent="0.2"/>
  <cols>
    <col min="2" max="2" width="13.796875" bestFit="1" customWidth="1"/>
    <col min="3" max="3" width="10.3984375" bestFit="1" customWidth="1"/>
    <col min="4" max="4" width="9.796875" bestFit="1" customWidth="1"/>
    <col min="13" max="13" width="11.19921875" bestFit="1" customWidth="1"/>
    <col min="14" max="15" width="11.19921875" customWidth="1"/>
    <col min="17" max="17" width="10.3984375" bestFit="1" customWidth="1"/>
    <col min="19" max="19" width="9.796875" bestFit="1" customWidth="1"/>
    <col min="29" max="29" width="11.19921875" bestFit="1" customWidth="1"/>
    <col min="33" max="33" width="10.3984375" bestFit="1" customWidth="1"/>
    <col min="35" max="35" width="9.796875" bestFit="1" customWidth="1"/>
    <col min="45" max="45" width="11.19921875" bestFit="1" customWidth="1"/>
    <col min="49" max="49" width="10.3984375" bestFit="1" customWidth="1"/>
  </cols>
  <sheetData>
    <row r="1" spans="2:40" s="2" customFormat="1" x14ac:dyDescent="0.2">
      <c r="B1" s="2" t="s">
        <v>121</v>
      </c>
    </row>
    <row r="2" spans="2:40" x14ac:dyDescent="0.2">
      <c r="C2" s="3" t="s">
        <v>130</v>
      </c>
      <c r="Q2" s="3" t="s">
        <v>131</v>
      </c>
      <c r="AG2" s="3" t="s">
        <v>131</v>
      </c>
    </row>
    <row r="3" spans="2:40" x14ac:dyDescent="0.2"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129</v>
      </c>
      <c r="Q3" t="s">
        <v>122</v>
      </c>
      <c r="R3" t="s">
        <v>123</v>
      </c>
      <c r="S3" t="s">
        <v>124</v>
      </c>
      <c r="T3" t="s">
        <v>125</v>
      </c>
      <c r="U3" t="s">
        <v>126</v>
      </c>
      <c r="V3" t="s">
        <v>127</v>
      </c>
      <c r="W3" t="s">
        <v>128</v>
      </c>
      <c r="X3" t="s">
        <v>129</v>
      </c>
      <c r="AG3" t="s">
        <v>122</v>
      </c>
      <c r="AH3" t="s">
        <v>123</v>
      </c>
      <c r="AI3" t="s">
        <v>124</v>
      </c>
      <c r="AJ3" t="s">
        <v>125</v>
      </c>
      <c r="AK3" t="s">
        <v>126</v>
      </c>
      <c r="AL3" t="s">
        <v>127</v>
      </c>
      <c r="AM3" t="s">
        <v>128</v>
      </c>
      <c r="AN3" t="s">
        <v>129</v>
      </c>
    </row>
    <row r="4" spans="2:40" x14ac:dyDescent="0.2">
      <c r="C4">
        <v>0</v>
      </c>
      <c r="D4">
        <v>0.1263</v>
      </c>
      <c r="E4">
        <v>0.12479999999999999</v>
      </c>
      <c r="F4">
        <v>0.1265</v>
      </c>
      <c r="G4">
        <v>0.1235</v>
      </c>
      <c r="H4">
        <f>F4-D4</f>
        <v>2.0000000000000573E-4</v>
      </c>
      <c r="I4">
        <f>G4-E4</f>
        <v>-1.2999999999999956E-3</v>
      </c>
      <c r="J4">
        <f>AVERAGE(H4:I4)</f>
        <v>-5.4999999999999494E-4</v>
      </c>
      <c r="Q4">
        <v>0</v>
      </c>
      <c r="R4">
        <v>0.1245</v>
      </c>
      <c r="S4">
        <v>0.1229</v>
      </c>
      <c r="T4">
        <v>0.12570000000000001</v>
      </c>
      <c r="U4">
        <v>0.1232</v>
      </c>
      <c r="V4">
        <f>T4-R4</f>
        <v>1.2000000000000066E-3</v>
      </c>
      <c r="W4">
        <f>U4-S4</f>
        <v>3.0000000000000859E-4</v>
      </c>
      <c r="X4">
        <f>AVERAGE(V4:W4)</f>
        <v>7.5000000000000761E-4</v>
      </c>
      <c r="AG4">
        <v>0</v>
      </c>
      <c r="AH4">
        <v>0.12609999999999999</v>
      </c>
      <c r="AI4">
        <v>0.1231</v>
      </c>
      <c r="AJ4">
        <v>0.12540000000000001</v>
      </c>
      <c r="AK4">
        <v>0.12280000000000001</v>
      </c>
      <c r="AL4">
        <f>AJ4-AH4</f>
        <v>-6.9999999999997842E-4</v>
      </c>
      <c r="AM4">
        <f>AK4-AI4</f>
        <v>-2.9999999999999472E-4</v>
      </c>
      <c r="AN4">
        <f>AVERAGE(AL4:AM4)</f>
        <v>-4.9999999999998657E-4</v>
      </c>
    </row>
    <row r="5" spans="2:40" x14ac:dyDescent="0.2">
      <c r="C5">
        <v>0.25</v>
      </c>
      <c r="D5">
        <v>0.1255</v>
      </c>
      <c r="E5">
        <v>0.123</v>
      </c>
      <c r="F5">
        <v>0.13389999999999999</v>
      </c>
      <c r="G5">
        <v>0.13159999999999999</v>
      </c>
      <c r="H5">
        <f t="shared" ref="H5:H10" si="0">F5-D5</f>
        <v>8.3999999999999908E-3</v>
      </c>
      <c r="I5">
        <f t="shared" ref="I5:I10" si="1">G5-E5</f>
        <v>8.5999999999999965E-3</v>
      </c>
      <c r="J5">
        <f t="shared" ref="J5:J10" si="2">AVERAGE(H5:I5)</f>
        <v>8.4999999999999937E-3</v>
      </c>
      <c r="Q5">
        <v>0.25</v>
      </c>
      <c r="R5">
        <v>0.124</v>
      </c>
      <c r="S5">
        <v>0.1208</v>
      </c>
      <c r="T5">
        <v>0.1338</v>
      </c>
      <c r="U5">
        <v>0.12959999999999999</v>
      </c>
      <c r="V5">
        <f t="shared" ref="V5:V10" si="3">T5-R5</f>
        <v>9.8000000000000032E-3</v>
      </c>
      <c r="W5">
        <f t="shared" ref="W5:W10" si="4">U5-S5</f>
        <v>8.7999999999999884E-3</v>
      </c>
      <c r="X5">
        <f t="shared" ref="X5:X10" si="5">AVERAGE(V5:W5)</f>
        <v>9.2999999999999958E-3</v>
      </c>
      <c r="AG5">
        <v>0.25</v>
      </c>
      <c r="AH5">
        <v>0.12280000000000001</v>
      </c>
      <c r="AI5">
        <v>0.1216</v>
      </c>
      <c r="AJ5">
        <v>0.13539999999999999</v>
      </c>
      <c r="AK5">
        <v>0.12939999999999999</v>
      </c>
      <c r="AL5">
        <f t="shared" ref="AL5:AL10" si="6">AJ5-AH5</f>
        <v>1.2599999999999986E-2</v>
      </c>
      <c r="AM5">
        <f t="shared" ref="AM5:AM10" si="7">AK5-AI5</f>
        <v>7.7999999999999875E-3</v>
      </c>
      <c r="AN5">
        <f t="shared" ref="AN5:AN10" si="8">AVERAGE(AL5:AM5)</f>
        <v>1.0199999999999987E-2</v>
      </c>
    </row>
    <row r="6" spans="2:40" x14ac:dyDescent="0.2">
      <c r="C6">
        <v>0.5</v>
      </c>
      <c r="D6">
        <v>0.1242</v>
      </c>
      <c r="E6">
        <v>0.1222</v>
      </c>
      <c r="F6">
        <v>0.14130000000000001</v>
      </c>
      <c r="G6">
        <v>0.1389</v>
      </c>
      <c r="H6">
        <f t="shared" si="0"/>
        <v>1.7100000000000004E-2</v>
      </c>
      <c r="I6">
        <f t="shared" si="1"/>
        <v>1.6699999999999993E-2</v>
      </c>
      <c r="J6">
        <f t="shared" si="2"/>
        <v>1.6899999999999998E-2</v>
      </c>
      <c r="Q6">
        <v>0.5</v>
      </c>
      <c r="R6">
        <v>0.1231</v>
      </c>
      <c r="S6">
        <v>0.1208</v>
      </c>
      <c r="T6">
        <v>0.14099999999999999</v>
      </c>
      <c r="U6">
        <v>0.1381</v>
      </c>
      <c r="V6">
        <f t="shared" si="3"/>
        <v>1.7899999999999985E-2</v>
      </c>
      <c r="W6">
        <f t="shared" si="4"/>
        <v>1.7299999999999996E-2</v>
      </c>
      <c r="X6">
        <f t="shared" si="5"/>
        <v>1.7599999999999991E-2</v>
      </c>
      <c r="AG6">
        <v>0.5</v>
      </c>
      <c r="AH6">
        <v>0.1227</v>
      </c>
      <c r="AI6">
        <v>0.1208</v>
      </c>
      <c r="AJ6">
        <v>0.13780000000000001</v>
      </c>
      <c r="AK6">
        <v>0.1371</v>
      </c>
      <c r="AL6">
        <f t="shared" si="6"/>
        <v>1.5100000000000002E-2</v>
      </c>
      <c r="AM6">
        <f t="shared" si="7"/>
        <v>1.6299999999999995E-2</v>
      </c>
      <c r="AN6">
        <f t="shared" si="8"/>
        <v>1.5699999999999999E-2</v>
      </c>
    </row>
    <row r="7" spans="2:40" x14ac:dyDescent="0.2">
      <c r="C7">
        <v>1</v>
      </c>
      <c r="D7">
        <v>0.12479999999999999</v>
      </c>
      <c r="E7">
        <v>0.12089999999999999</v>
      </c>
      <c r="F7">
        <v>0.15859999999999999</v>
      </c>
      <c r="G7">
        <v>0.15390000000000001</v>
      </c>
      <c r="H7">
        <f t="shared" si="0"/>
        <v>3.3799999999999997E-2</v>
      </c>
      <c r="I7">
        <f t="shared" si="1"/>
        <v>3.3000000000000015E-2</v>
      </c>
      <c r="J7">
        <f t="shared" si="2"/>
        <v>3.3400000000000006E-2</v>
      </c>
      <c r="Q7">
        <v>1</v>
      </c>
      <c r="R7">
        <v>0.1231</v>
      </c>
      <c r="S7">
        <v>0.11899999999999999</v>
      </c>
      <c r="T7">
        <v>0.1462</v>
      </c>
      <c r="U7">
        <v>0.153</v>
      </c>
      <c r="V7">
        <f t="shared" si="3"/>
        <v>2.3099999999999996E-2</v>
      </c>
      <c r="W7">
        <f t="shared" si="4"/>
        <v>3.4000000000000002E-2</v>
      </c>
      <c r="X7">
        <f t="shared" si="5"/>
        <v>2.8549999999999999E-2</v>
      </c>
      <c r="AG7">
        <v>1</v>
      </c>
      <c r="AH7">
        <v>0.1225</v>
      </c>
      <c r="AI7">
        <v>0.11990000000000001</v>
      </c>
      <c r="AJ7">
        <v>0.1547</v>
      </c>
      <c r="AK7">
        <v>0.15310000000000001</v>
      </c>
      <c r="AL7">
        <f t="shared" si="6"/>
        <v>3.2200000000000006E-2</v>
      </c>
      <c r="AM7">
        <f t="shared" si="7"/>
        <v>3.3200000000000007E-2</v>
      </c>
      <c r="AN7">
        <f t="shared" si="8"/>
        <v>3.2700000000000007E-2</v>
      </c>
    </row>
    <row r="8" spans="2:40" x14ac:dyDescent="0.2">
      <c r="C8">
        <v>2.5</v>
      </c>
      <c r="D8">
        <v>0.1246</v>
      </c>
      <c r="E8">
        <v>0.1225</v>
      </c>
      <c r="F8">
        <v>0.20780000000000001</v>
      </c>
      <c r="G8">
        <v>0.1956</v>
      </c>
      <c r="H8">
        <f t="shared" si="0"/>
        <v>8.320000000000001E-2</v>
      </c>
      <c r="I8">
        <f t="shared" si="1"/>
        <v>7.3099999999999998E-2</v>
      </c>
      <c r="J8">
        <f t="shared" si="2"/>
        <v>7.8149999999999997E-2</v>
      </c>
      <c r="Q8">
        <v>2.5</v>
      </c>
      <c r="R8">
        <v>0.1227</v>
      </c>
      <c r="S8">
        <v>0.1193</v>
      </c>
      <c r="T8">
        <v>0.19570000000000001</v>
      </c>
      <c r="U8">
        <v>0.19339999999999999</v>
      </c>
      <c r="V8">
        <f t="shared" si="3"/>
        <v>7.3000000000000009E-2</v>
      </c>
      <c r="W8">
        <f t="shared" si="4"/>
        <v>7.4099999999999985E-2</v>
      </c>
      <c r="X8">
        <f t="shared" si="5"/>
        <v>7.3550000000000004E-2</v>
      </c>
      <c r="AG8">
        <v>2.5</v>
      </c>
      <c r="AH8">
        <v>0.124</v>
      </c>
      <c r="AI8">
        <v>0.1208</v>
      </c>
      <c r="AJ8">
        <v>0.20960000000000001</v>
      </c>
      <c r="AK8">
        <v>0.2014</v>
      </c>
      <c r="AL8">
        <f t="shared" si="6"/>
        <v>8.5600000000000009E-2</v>
      </c>
      <c r="AM8">
        <f t="shared" si="7"/>
        <v>8.0599999999999991E-2</v>
      </c>
      <c r="AN8">
        <f t="shared" si="8"/>
        <v>8.3100000000000007E-2</v>
      </c>
    </row>
    <row r="9" spans="2:40" x14ac:dyDescent="0.2">
      <c r="C9">
        <v>5</v>
      </c>
      <c r="D9">
        <v>0.12820000000000001</v>
      </c>
      <c r="E9">
        <v>0.123</v>
      </c>
      <c r="F9">
        <v>0.2762</v>
      </c>
      <c r="G9">
        <v>0.26700000000000002</v>
      </c>
      <c r="H9">
        <f t="shared" si="0"/>
        <v>0.14799999999999999</v>
      </c>
      <c r="I9">
        <f t="shared" si="1"/>
        <v>0.14400000000000002</v>
      </c>
      <c r="J9">
        <f t="shared" si="2"/>
        <v>0.14600000000000002</v>
      </c>
      <c r="Q9">
        <v>5</v>
      </c>
      <c r="R9">
        <v>0.1239</v>
      </c>
      <c r="S9">
        <v>0.12280000000000001</v>
      </c>
      <c r="T9">
        <v>0.24790000000000001</v>
      </c>
      <c r="U9">
        <v>0.246</v>
      </c>
      <c r="V9">
        <f t="shared" si="3"/>
        <v>0.12400000000000001</v>
      </c>
      <c r="W9">
        <f t="shared" si="4"/>
        <v>0.12319999999999999</v>
      </c>
      <c r="X9">
        <f t="shared" si="5"/>
        <v>0.1236</v>
      </c>
      <c r="AG9">
        <v>5</v>
      </c>
      <c r="AH9">
        <v>0.1249</v>
      </c>
      <c r="AI9">
        <v>0.12230000000000001</v>
      </c>
      <c r="AJ9">
        <v>0.26919999999999999</v>
      </c>
      <c r="AK9">
        <v>0.26860000000000001</v>
      </c>
      <c r="AL9">
        <f t="shared" si="6"/>
        <v>0.14429999999999998</v>
      </c>
      <c r="AM9">
        <f t="shared" si="7"/>
        <v>0.14629999999999999</v>
      </c>
      <c r="AN9">
        <f t="shared" si="8"/>
        <v>0.14529999999999998</v>
      </c>
    </row>
    <row r="10" spans="2:40" x14ac:dyDescent="0.2">
      <c r="C10">
        <v>10</v>
      </c>
      <c r="D10">
        <v>0.1265</v>
      </c>
      <c r="E10">
        <v>0.12479999999999999</v>
      </c>
      <c r="F10">
        <v>0.36849999999999999</v>
      </c>
      <c r="G10">
        <v>0.37609999999999999</v>
      </c>
      <c r="H10">
        <f t="shared" si="0"/>
        <v>0.24199999999999999</v>
      </c>
      <c r="I10">
        <f t="shared" si="1"/>
        <v>0.25129999999999997</v>
      </c>
      <c r="J10">
        <f t="shared" si="2"/>
        <v>0.24664999999999998</v>
      </c>
      <c r="Q10">
        <v>10</v>
      </c>
      <c r="R10">
        <v>0.1263</v>
      </c>
      <c r="S10">
        <v>0.12089999999999999</v>
      </c>
      <c r="T10">
        <v>0.32800000000000001</v>
      </c>
      <c r="U10">
        <v>0.32150000000000001</v>
      </c>
      <c r="V10">
        <f t="shared" si="3"/>
        <v>0.20170000000000002</v>
      </c>
      <c r="W10">
        <f t="shared" si="4"/>
        <v>0.2006</v>
      </c>
      <c r="X10">
        <f t="shared" si="5"/>
        <v>0.20115</v>
      </c>
      <c r="AG10">
        <v>10</v>
      </c>
      <c r="AH10">
        <v>0.12590000000000001</v>
      </c>
      <c r="AI10">
        <v>0.1239</v>
      </c>
      <c r="AJ10">
        <v>0.36409999999999998</v>
      </c>
      <c r="AK10">
        <v>0.3659</v>
      </c>
      <c r="AL10">
        <f t="shared" si="6"/>
        <v>0.23819999999999997</v>
      </c>
      <c r="AM10">
        <f t="shared" si="7"/>
        <v>0.24199999999999999</v>
      </c>
      <c r="AN10">
        <f t="shared" si="8"/>
        <v>0.24009999999999998</v>
      </c>
    </row>
    <row r="26" spans="2:53" s="3" customFormat="1" x14ac:dyDescent="0.2">
      <c r="B26" s="3" t="s">
        <v>4</v>
      </c>
      <c r="C26" s="3" t="s">
        <v>132</v>
      </c>
      <c r="D26" s="3" t="s">
        <v>139</v>
      </c>
      <c r="E26" s="3" t="s">
        <v>133</v>
      </c>
      <c r="F26" s="3" t="s">
        <v>134</v>
      </c>
      <c r="G26" s="3" t="s">
        <v>135</v>
      </c>
      <c r="H26" s="3" t="s">
        <v>136</v>
      </c>
      <c r="I26" s="3" t="s">
        <v>127</v>
      </c>
      <c r="J26" s="3" t="s">
        <v>128</v>
      </c>
      <c r="K26" s="3" t="s">
        <v>137</v>
      </c>
      <c r="L26" s="3" t="s">
        <v>122</v>
      </c>
      <c r="M26" s="3" t="s">
        <v>19</v>
      </c>
      <c r="N26" s="3" t="s">
        <v>138</v>
      </c>
      <c r="Q26" s="3" t="s">
        <v>4</v>
      </c>
      <c r="R26" s="3" t="s">
        <v>132</v>
      </c>
      <c r="S26" s="3" t="s">
        <v>139</v>
      </c>
      <c r="T26" s="3" t="s">
        <v>133</v>
      </c>
      <c r="U26" s="3" t="s">
        <v>134</v>
      </c>
      <c r="V26" s="3" t="s">
        <v>135</v>
      </c>
      <c r="W26" s="3" t="s">
        <v>136</v>
      </c>
      <c r="X26" s="3" t="s">
        <v>127</v>
      </c>
      <c r="Y26" s="3" t="s">
        <v>128</v>
      </c>
      <c r="Z26" s="3" t="s">
        <v>137</v>
      </c>
      <c r="AA26" s="3" t="s">
        <v>122</v>
      </c>
      <c r="AB26" s="3" t="s">
        <v>19</v>
      </c>
      <c r="AC26" s="3" t="s">
        <v>138</v>
      </c>
      <c r="AG26" s="3" t="s">
        <v>4</v>
      </c>
      <c r="AH26" s="3" t="s">
        <v>132</v>
      </c>
      <c r="AI26" s="3" t="s">
        <v>139</v>
      </c>
      <c r="AJ26" s="3" t="s">
        <v>133</v>
      </c>
      <c r="AK26" s="3" t="s">
        <v>134</v>
      </c>
      <c r="AL26" s="3" t="s">
        <v>135</v>
      </c>
      <c r="AM26" s="3" t="s">
        <v>136</v>
      </c>
      <c r="AN26" s="3" t="s">
        <v>127</v>
      </c>
      <c r="AO26" s="3" t="s">
        <v>128</v>
      </c>
      <c r="AP26" s="3" t="s">
        <v>137</v>
      </c>
      <c r="AQ26" s="3" t="s">
        <v>122</v>
      </c>
      <c r="AR26" s="3" t="s">
        <v>19</v>
      </c>
      <c r="AS26" s="3" t="s">
        <v>138</v>
      </c>
      <c r="AW26" s="3" t="s">
        <v>4</v>
      </c>
      <c r="AX26" s="3" t="s">
        <v>132</v>
      </c>
      <c r="AY26" s="3" t="s">
        <v>140</v>
      </c>
      <c r="AZ26" s="3" t="s">
        <v>65</v>
      </c>
      <c r="BA26" s="3" t="s">
        <v>66</v>
      </c>
    </row>
    <row r="27" spans="2:53" x14ac:dyDescent="0.2">
      <c r="B27" t="s">
        <v>18</v>
      </c>
      <c r="C27" t="s">
        <v>11</v>
      </c>
      <c r="D27">
        <v>78</v>
      </c>
      <c r="E27">
        <v>0.12540000000000001</v>
      </c>
      <c r="F27">
        <v>0.12540000000000001</v>
      </c>
      <c r="G27">
        <v>0.29920000000000002</v>
      </c>
      <c r="H27">
        <v>0.29260000000000003</v>
      </c>
      <c r="I27">
        <f>G27-E27</f>
        <v>0.17380000000000001</v>
      </c>
      <c r="J27">
        <f>H27-F27</f>
        <v>0.16720000000000002</v>
      </c>
      <c r="K27">
        <f t="shared" ref="K27:K51" si="9">AVERAGE(I27:J27)</f>
        <v>0.17050000000000001</v>
      </c>
      <c r="L27">
        <f>39.82*K27-0.2595</f>
        <v>6.5298100000000003</v>
      </c>
      <c r="M27">
        <v>3</v>
      </c>
      <c r="N27">
        <f>L27*M27</f>
        <v>19.58943</v>
      </c>
      <c r="Q27" t="s">
        <v>18</v>
      </c>
      <c r="R27" t="s">
        <v>10</v>
      </c>
      <c r="S27">
        <v>6</v>
      </c>
      <c r="T27">
        <v>0.11890000000000001</v>
      </c>
      <c r="U27">
        <v>0.11940000000000001</v>
      </c>
      <c r="V27">
        <v>0.15279999999999999</v>
      </c>
      <c r="W27">
        <v>0.1515</v>
      </c>
      <c r="X27">
        <f>V27-T27</f>
        <v>3.3899999999999986E-2</v>
      </c>
      <c r="Y27">
        <f>W27-U27</f>
        <v>3.209999999999999E-2</v>
      </c>
      <c r="Z27">
        <f t="shared" ref="Z27:Z67" si="10">AVERAGE(X27:Y27)</f>
        <v>3.2999999999999988E-2</v>
      </c>
      <c r="AA27">
        <f>48.803*Z27-0.4187</f>
        <v>1.1917989999999992</v>
      </c>
      <c r="AB27">
        <v>3</v>
      </c>
      <c r="AC27" s="9">
        <f>AA27*AB27</f>
        <v>3.5753969999999975</v>
      </c>
      <c r="AG27" t="s">
        <v>18</v>
      </c>
      <c r="AH27" t="s">
        <v>10</v>
      </c>
      <c r="AI27">
        <v>69</v>
      </c>
      <c r="AJ27">
        <v>0.12139999999999999</v>
      </c>
      <c r="AK27">
        <v>0.124</v>
      </c>
      <c r="AL27">
        <v>0.14979999999999999</v>
      </c>
      <c r="AM27">
        <v>0.15160000000000001</v>
      </c>
      <c r="AN27">
        <f>AL27-AJ27</f>
        <v>2.8399999999999995E-2</v>
      </c>
      <c r="AO27">
        <f>AM27-AK27</f>
        <v>2.7600000000000013E-2</v>
      </c>
      <c r="AP27">
        <f>AVERAGE(AN27:AO27)</f>
        <v>2.8000000000000004E-2</v>
      </c>
      <c r="AQ27">
        <f>40.661*AP27-0.3089</f>
        <v>0.82960800000000035</v>
      </c>
      <c r="AR27">
        <v>3</v>
      </c>
      <c r="AS27" s="9">
        <f>AQ27*AR27</f>
        <v>2.488824000000001</v>
      </c>
      <c r="AW27" t="s">
        <v>18</v>
      </c>
      <c r="AX27" t="s">
        <v>10</v>
      </c>
      <c r="AY27">
        <f>AVERAGE(AS27:AS30,AC27:AC33)</f>
        <v>4.9146973363636368</v>
      </c>
      <c r="AZ27">
        <f>COUNT(AS27:AS30,AC27:AC33)</f>
        <v>11</v>
      </c>
      <c r="BA27">
        <f>STDEV(AS27:AS30,AC27:AC33)/SQRT(AZ27)</f>
        <v>0.40321982892588992</v>
      </c>
    </row>
    <row r="28" spans="2:53" x14ac:dyDescent="0.2">
      <c r="D28">
        <v>79</v>
      </c>
      <c r="E28">
        <v>0.1222</v>
      </c>
      <c r="F28">
        <v>0.12559999999999999</v>
      </c>
      <c r="G28">
        <v>0.2014</v>
      </c>
      <c r="H28">
        <v>0.1986</v>
      </c>
      <c r="I28">
        <f t="shared" ref="I28:I40" si="11">G28-E28</f>
        <v>7.9199999999999993E-2</v>
      </c>
      <c r="J28">
        <f t="shared" ref="J28:J40" si="12">H28-F28</f>
        <v>7.3000000000000009E-2</v>
      </c>
      <c r="K28">
        <f t="shared" si="9"/>
        <v>7.6100000000000001E-2</v>
      </c>
      <c r="L28">
        <f t="shared" ref="L28:L51" si="13">39.82*K28-0.2595</f>
        <v>2.7708020000000002</v>
      </c>
      <c r="M28">
        <v>3</v>
      </c>
      <c r="N28">
        <f t="shared" ref="N28:N51" si="14">L28*M28</f>
        <v>8.3124060000000011</v>
      </c>
      <c r="S28">
        <v>7</v>
      </c>
      <c r="T28">
        <v>0.1195</v>
      </c>
      <c r="U28">
        <v>0.1195</v>
      </c>
      <c r="V28">
        <v>0.16650000000000001</v>
      </c>
      <c r="W28">
        <v>0.16600000000000001</v>
      </c>
      <c r="X28">
        <f t="shared" ref="X28:X45" si="15">V28-T28</f>
        <v>4.7000000000000014E-2</v>
      </c>
      <c r="Y28">
        <f t="shared" ref="Y28:Y45" si="16">W28-U28</f>
        <v>4.6500000000000014E-2</v>
      </c>
      <c r="Z28">
        <f t="shared" si="10"/>
        <v>4.6750000000000014E-2</v>
      </c>
      <c r="AA28">
        <f t="shared" ref="AA28:AA67" si="17">48.803*Z28-0.4187</f>
        <v>1.8628402500000003</v>
      </c>
      <c r="AB28">
        <v>3</v>
      </c>
      <c r="AC28" s="9">
        <f t="shared" ref="AC28:AC45" si="18">AA28*AB28</f>
        <v>5.5885207500000007</v>
      </c>
      <c r="AI28">
        <v>70</v>
      </c>
      <c r="AJ28">
        <v>0.1188</v>
      </c>
      <c r="AK28">
        <v>0.1207</v>
      </c>
      <c r="AL28">
        <v>0.1676</v>
      </c>
      <c r="AM28">
        <v>0.16550000000000001</v>
      </c>
      <c r="AN28">
        <f t="shared" ref="AN28:AN41" si="19">AL28-AJ28</f>
        <v>4.8799999999999996E-2</v>
      </c>
      <c r="AO28">
        <f t="shared" ref="AO28:AO41" si="20">AM28-AK28</f>
        <v>4.4800000000000006E-2</v>
      </c>
      <c r="AP28">
        <f t="shared" ref="AP28:AP60" si="21">AVERAGE(AN28:AO28)</f>
        <v>4.6800000000000001E-2</v>
      </c>
      <c r="AQ28">
        <f t="shared" ref="AQ28:AQ60" si="22">40.661*AP28-0.3089</f>
        <v>1.5940348000000002</v>
      </c>
      <c r="AR28">
        <v>3</v>
      </c>
      <c r="AS28" s="9">
        <f t="shared" ref="AS28:AS60" si="23">AQ28*AR28</f>
        <v>4.7821044000000006</v>
      </c>
      <c r="AX28" t="s">
        <v>11</v>
      </c>
      <c r="AY28">
        <f>AVERAGE(AC34:AC41,N27:N31)</f>
        <v>16.290176469230769</v>
      </c>
      <c r="AZ28">
        <f>COUNT(AC34:AC41,N27:N31)</f>
        <v>13</v>
      </c>
      <c r="BA28">
        <f>STDEV(AC34:AC41,N27:N31)/SQRT(AZ28)</f>
        <v>1.4614093670292301</v>
      </c>
    </row>
    <row r="29" spans="2:53" x14ac:dyDescent="0.2">
      <c r="D29">
        <v>80</v>
      </c>
      <c r="E29">
        <v>0.12139999999999999</v>
      </c>
      <c r="F29">
        <v>0.1202</v>
      </c>
      <c r="G29">
        <v>0.34279999999999999</v>
      </c>
      <c r="H29">
        <v>0.3417</v>
      </c>
      <c r="I29">
        <f t="shared" si="11"/>
        <v>0.22139999999999999</v>
      </c>
      <c r="J29">
        <f t="shared" si="12"/>
        <v>0.2215</v>
      </c>
      <c r="K29">
        <f t="shared" si="9"/>
        <v>0.22144999999999998</v>
      </c>
      <c r="L29">
        <f t="shared" si="13"/>
        <v>8.5586389999999994</v>
      </c>
      <c r="M29">
        <v>3</v>
      </c>
      <c r="N29">
        <f t="shared" si="14"/>
        <v>25.675916999999998</v>
      </c>
      <c r="S29">
        <v>8</v>
      </c>
      <c r="T29">
        <v>0.1171</v>
      </c>
      <c r="U29">
        <v>0.1157</v>
      </c>
      <c r="V29">
        <v>0.1515</v>
      </c>
      <c r="W29">
        <v>0.14929999999999999</v>
      </c>
      <c r="X29">
        <f t="shared" si="15"/>
        <v>3.44E-2</v>
      </c>
      <c r="Y29">
        <f t="shared" si="16"/>
        <v>3.3599999999999991E-2</v>
      </c>
      <c r="Z29">
        <f t="shared" si="10"/>
        <v>3.3999999999999996E-2</v>
      </c>
      <c r="AA29">
        <f t="shared" si="17"/>
        <v>1.2406019999999995</v>
      </c>
      <c r="AB29">
        <v>3</v>
      </c>
      <c r="AC29" s="9">
        <f t="shared" si="18"/>
        <v>3.7218059999999986</v>
      </c>
      <c r="AI29">
        <v>71</v>
      </c>
      <c r="AJ29">
        <v>0.1208</v>
      </c>
      <c r="AK29">
        <v>0.1206</v>
      </c>
      <c r="AL29">
        <v>0.17960000000000001</v>
      </c>
      <c r="AM29">
        <v>0.17829999999999999</v>
      </c>
      <c r="AN29">
        <f t="shared" si="19"/>
        <v>5.8800000000000005E-2</v>
      </c>
      <c r="AO29">
        <f t="shared" si="20"/>
        <v>5.7699999999999987E-2</v>
      </c>
      <c r="AP29">
        <f t="shared" si="21"/>
        <v>5.8249999999999996E-2</v>
      </c>
      <c r="AQ29">
        <f t="shared" si="22"/>
        <v>2.0596032499999999</v>
      </c>
      <c r="AR29">
        <v>3</v>
      </c>
      <c r="AS29" s="9">
        <f t="shared" si="23"/>
        <v>6.1788097499999992</v>
      </c>
      <c r="AX29" t="s">
        <v>12</v>
      </c>
      <c r="AY29">
        <f>AVERAGE(AS31:AS34,AC42:AC45,N32:N35)</f>
        <v>8.9518234749999994</v>
      </c>
      <c r="AZ29">
        <f>COUNT(AS31:AS34,AC42:AC45,N32:N35)</f>
        <v>12</v>
      </c>
      <c r="BA29">
        <f>STDEV(AS31:AS34,AC42:AC45,N32:N35)/SQRT(AZ29)</f>
        <v>1.2893424590620042</v>
      </c>
    </row>
    <row r="30" spans="2:53" x14ac:dyDescent="0.2">
      <c r="D30">
        <v>81</v>
      </c>
      <c r="E30">
        <v>0.12429999999999999</v>
      </c>
      <c r="F30">
        <v>0.12429999999999999</v>
      </c>
      <c r="G30">
        <v>0.27700000000000002</v>
      </c>
      <c r="H30">
        <v>0.27239999999999998</v>
      </c>
      <c r="I30">
        <f t="shared" si="11"/>
        <v>0.15270000000000003</v>
      </c>
      <c r="J30">
        <f t="shared" si="12"/>
        <v>0.14809999999999998</v>
      </c>
      <c r="K30">
        <f t="shared" si="9"/>
        <v>0.15040000000000001</v>
      </c>
      <c r="L30">
        <f t="shared" si="13"/>
        <v>5.7294280000000004</v>
      </c>
      <c r="M30">
        <v>3</v>
      </c>
      <c r="N30">
        <f t="shared" si="14"/>
        <v>17.188284000000003</v>
      </c>
      <c r="S30">
        <v>13</v>
      </c>
      <c r="T30">
        <v>0.11550000000000001</v>
      </c>
      <c r="U30">
        <v>0.11700000000000001</v>
      </c>
      <c r="V30">
        <v>0.15559999999999999</v>
      </c>
      <c r="W30">
        <v>0.1565</v>
      </c>
      <c r="X30">
        <f t="shared" si="15"/>
        <v>4.0099999999999983E-2</v>
      </c>
      <c r="Y30">
        <f t="shared" si="16"/>
        <v>3.9499999999999993E-2</v>
      </c>
      <c r="Z30">
        <f t="shared" si="10"/>
        <v>3.9799999999999988E-2</v>
      </c>
      <c r="AA30">
        <f t="shared" si="17"/>
        <v>1.5236593999999992</v>
      </c>
      <c r="AB30">
        <v>3</v>
      </c>
      <c r="AC30" s="9">
        <f t="shared" si="18"/>
        <v>4.5709781999999972</v>
      </c>
      <c r="AI30">
        <v>72</v>
      </c>
      <c r="AJ30">
        <v>0.1187</v>
      </c>
      <c r="AK30">
        <v>0.1241</v>
      </c>
      <c r="AL30">
        <v>0.1857</v>
      </c>
      <c r="AM30">
        <v>0.19109999999999999</v>
      </c>
      <c r="AN30">
        <f t="shared" si="19"/>
        <v>6.7000000000000004E-2</v>
      </c>
      <c r="AO30">
        <f t="shared" si="20"/>
        <v>6.699999999999999E-2</v>
      </c>
      <c r="AP30">
        <f t="shared" si="21"/>
        <v>6.7000000000000004E-2</v>
      </c>
      <c r="AQ30">
        <f t="shared" si="22"/>
        <v>2.4153870000000004</v>
      </c>
      <c r="AR30">
        <v>3</v>
      </c>
      <c r="AS30" s="9">
        <f t="shared" si="23"/>
        <v>7.2461610000000007</v>
      </c>
      <c r="AX30" t="s">
        <v>13</v>
      </c>
      <c r="AY30">
        <f>AVERAGE(AS35:AS41,N36:N40)</f>
        <v>6.1251611124999989</v>
      </c>
      <c r="AZ30">
        <f>COUNT(AS35:AS41,N36:N40)</f>
        <v>12</v>
      </c>
      <c r="BA30">
        <f>STDEV(AS35:AS41,N36:N40)/SQRT(AZ30)</f>
        <v>0.58226977944090064</v>
      </c>
    </row>
    <row r="31" spans="2:53" x14ac:dyDescent="0.2">
      <c r="D31">
        <v>82</v>
      </c>
      <c r="E31">
        <v>0.12529999999999999</v>
      </c>
      <c r="F31">
        <v>0.12130000000000001</v>
      </c>
      <c r="G31">
        <v>0.31059999999999999</v>
      </c>
      <c r="H31">
        <v>0.31140000000000001</v>
      </c>
      <c r="I31">
        <f t="shared" si="11"/>
        <v>0.18529999999999999</v>
      </c>
      <c r="J31">
        <f t="shared" si="12"/>
        <v>0.19009999999999999</v>
      </c>
      <c r="K31">
        <f t="shared" si="9"/>
        <v>0.18769999999999998</v>
      </c>
      <c r="L31">
        <f t="shared" si="13"/>
        <v>7.214713999999999</v>
      </c>
      <c r="M31">
        <v>3</v>
      </c>
      <c r="N31">
        <f t="shared" si="14"/>
        <v>21.644141999999995</v>
      </c>
      <c r="S31">
        <v>14</v>
      </c>
      <c r="T31">
        <v>0.11459999999999999</v>
      </c>
      <c r="U31">
        <v>0.115</v>
      </c>
      <c r="V31">
        <v>0.15959999999999999</v>
      </c>
      <c r="W31">
        <v>0.1653</v>
      </c>
      <c r="X31">
        <f t="shared" si="15"/>
        <v>4.4999999999999998E-2</v>
      </c>
      <c r="Y31">
        <f t="shared" si="16"/>
        <v>5.0299999999999997E-2</v>
      </c>
      <c r="Z31">
        <f t="shared" si="10"/>
        <v>4.7649999999999998E-2</v>
      </c>
      <c r="AA31">
        <f t="shared" si="17"/>
        <v>1.9067629499999998</v>
      </c>
      <c r="AB31">
        <v>3</v>
      </c>
      <c r="AC31" s="9">
        <f t="shared" si="18"/>
        <v>5.7202888499999993</v>
      </c>
      <c r="AH31" t="s">
        <v>12</v>
      </c>
      <c r="AI31">
        <v>45</v>
      </c>
      <c r="AJ31">
        <v>0.12189999999999999</v>
      </c>
      <c r="AK31">
        <v>0.123</v>
      </c>
      <c r="AL31">
        <v>0.2485</v>
      </c>
      <c r="AM31">
        <v>0.2422</v>
      </c>
      <c r="AN31">
        <f t="shared" si="19"/>
        <v>0.12659999999999999</v>
      </c>
      <c r="AO31">
        <f t="shared" si="20"/>
        <v>0.1192</v>
      </c>
      <c r="AP31">
        <f t="shared" si="21"/>
        <v>0.1229</v>
      </c>
      <c r="AQ31">
        <f t="shared" si="22"/>
        <v>4.6883368999999995</v>
      </c>
      <c r="AR31">
        <v>3</v>
      </c>
      <c r="AS31" s="9">
        <f t="shared" si="23"/>
        <v>14.065010699999998</v>
      </c>
    </row>
    <row r="32" spans="2:53" x14ac:dyDescent="0.2">
      <c r="C32" t="s">
        <v>12</v>
      </c>
      <c r="D32">
        <v>87</v>
      </c>
      <c r="E32">
        <v>0.1225</v>
      </c>
      <c r="F32">
        <v>0.1186</v>
      </c>
      <c r="G32">
        <v>0.1636</v>
      </c>
      <c r="H32">
        <v>0.161</v>
      </c>
      <c r="I32">
        <f t="shared" si="11"/>
        <v>4.1099999999999998E-2</v>
      </c>
      <c r="J32">
        <f t="shared" si="12"/>
        <v>4.2400000000000007E-2</v>
      </c>
      <c r="K32">
        <f t="shared" si="9"/>
        <v>4.1750000000000002E-2</v>
      </c>
      <c r="L32">
        <f t="shared" si="13"/>
        <v>1.4029850000000001</v>
      </c>
      <c r="M32">
        <v>3</v>
      </c>
      <c r="N32">
        <f t="shared" si="14"/>
        <v>4.2089550000000004</v>
      </c>
      <c r="S32">
        <v>15</v>
      </c>
      <c r="T32">
        <v>0.1159</v>
      </c>
      <c r="U32">
        <v>0.1147</v>
      </c>
      <c r="V32">
        <v>0.153</v>
      </c>
      <c r="W32">
        <v>0.15790000000000001</v>
      </c>
      <c r="X32">
        <f t="shared" si="15"/>
        <v>3.7099999999999994E-2</v>
      </c>
      <c r="Y32">
        <f t="shared" si="16"/>
        <v>4.3200000000000016E-2</v>
      </c>
      <c r="Z32">
        <f t="shared" si="10"/>
        <v>4.0150000000000005E-2</v>
      </c>
      <c r="AA32">
        <f t="shared" si="17"/>
        <v>1.5407404500000002</v>
      </c>
      <c r="AB32">
        <v>3</v>
      </c>
      <c r="AC32" s="9">
        <f t="shared" si="18"/>
        <v>4.6222213500000002</v>
      </c>
      <c r="AI32">
        <v>46</v>
      </c>
      <c r="AJ32">
        <v>0.1196</v>
      </c>
      <c r="AK32">
        <v>0.1188</v>
      </c>
      <c r="AL32">
        <v>0.1804</v>
      </c>
      <c r="AM32">
        <v>0.17979999999999999</v>
      </c>
      <c r="AN32">
        <f t="shared" si="19"/>
        <v>6.0800000000000007E-2</v>
      </c>
      <c r="AO32">
        <f t="shared" si="20"/>
        <v>6.0999999999999985E-2</v>
      </c>
      <c r="AP32">
        <f t="shared" si="21"/>
        <v>6.0899999999999996E-2</v>
      </c>
      <c r="AQ32">
        <f t="shared" si="22"/>
        <v>2.1673548999999999</v>
      </c>
      <c r="AR32">
        <v>3</v>
      </c>
      <c r="AS32" s="9">
        <f t="shared" si="23"/>
        <v>6.5020647</v>
      </c>
      <c r="AW32" t="s">
        <v>9</v>
      </c>
      <c r="AX32" t="s">
        <v>10</v>
      </c>
      <c r="AY32">
        <f>AVERAGE(AS43:AS46,AC47:AC54)</f>
        <v>5.9685556125000003</v>
      </c>
      <c r="AZ32">
        <f>COUNT(AS43:AS46,AC47:AC54)</f>
        <v>12</v>
      </c>
      <c r="BA32">
        <f>STDEV(AS43:AS46,AC47:AC54)/SQRT(AZ32)</f>
        <v>0.52456006636610286</v>
      </c>
    </row>
    <row r="33" spans="2:53" x14ac:dyDescent="0.2">
      <c r="D33">
        <v>88</v>
      </c>
      <c r="E33">
        <v>0.11849999999999999</v>
      </c>
      <c r="F33">
        <v>0.1179</v>
      </c>
      <c r="G33">
        <v>0.19950000000000001</v>
      </c>
      <c r="H33">
        <v>0.20519999999999999</v>
      </c>
      <c r="I33">
        <f t="shared" si="11"/>
        <v>8.1000000000000016E-2</v>
      </c>
      <c r="J33">
        <f t="shared" si="12"/>
        <v>8.7299999999999989E-2</v>
      </c>
      <c r="K33">
        <f t="shared" si="9"/>
        <v>8.4150000000000003E-2</v>
      </c>
      <c r="L33">
        <f t="shared" si="13"/>
        <v>3.0913530000000002</v>
      </c>
      <c r="M33">
        <v>3</v>
      </c>
      <c r="N33">
        <f t="shared" si="14"/>
        <v>9.2740590000000012</v>
      </c>
      <c r="S33">
        <v>16</v>
      </c>
      <c r="T33">
        <v>0.1153</v>
      </c>
      <c r="U33">
        <v>0.1142</v>
      </c>
      <c r="V33">
        <v>0.16109999999999999</v>
      </c>
      <c r="W33">
        <v>0.16159999999999999</v>
      </c>
      <c r="X33">
        <f t="shared" si="15"/>
        <v>4.5799999999999993E-2</v>
      </c>
      <c r="Y33">
        <f t="shared" si="16"/>
        <v>4.7399999999999998E-2</v>
      </c>
      <c r="Z33">
        <f t="shared" si="10"/>
        <v>4.6599999999999996E-2</v>
      </c>
      <c r="AA33">
        <f t="shared" si="17"/>
        <v>1.8555197999999995</v>
      </c>
      <c r="AB33">
        <v>3</v>
      </c>
      <c r="AC33" s="9">
        <f t="shared" si="18"/>
        <v>5.5665593999999983</v>
      </c>
      <c r="AI33">
        <v>47</v>
      </c>
      <c r="AJ33">
        <v>0.1188</v>
      </c>
      <c r="AK33">
        <v>0.1202</v>
      </c>
      <c r="AL33">
        <v>0.1615</v>
      </c>
      <c r="AM33">
        <v>0.16619999999999999</v>
      </c>
      <c r="AN33">
        <f t="shared" si="19"/>
        <v>4.2700000000000002E-2</v>
      </c>
      <c r="AO33">
        <f t="shared" si="20"/>
        <v>4.5999999999999985E-2</v>
      </c>
      <c r="AP33">
        <f t="shared" si="21"/>
        <v>4.4349999999999994E-2</v>
      </c>
      <c r="AQ33">
        <f t="shared" si="22"/>
        <v>1.4944153499999999</v>
      </c>
      <c r="AR33">
        <v>3</v>
      </c>
      <c r="AS33" s="9">
        <f t="shared" si="23"/>
        <v>4.48324605</v>
      </c>
      <c r="AX33" t="s">
        <v>11</v>
      </c>
      <c r="AY33">
        <f>AVERAGE(AS47:AS50,AC55:AC61,N42)</f>
        <v>16.453252487499999</v>
      </c>
      <c r="AZ33">
        <f>COUNT(AS47:AS50,AC55:AC61,N42)</f>
        <v>12</v>
      </c>
      <c r="BA33">
        <f>STDEV(AS47:AS50,AC55:AC61,N42)/SQRT(AZ33)</f>
        <v>1.5619356630294516</v>
      </c>
    </row>
    <row r="34" spans="2:53" x14ac:dyDescent="0.2">
      <c r="D34">
        <v>89</v>
      </c>
      <c r="E34">
        <v>0.1164</v>
      </c>
      <c r="F34">
        <v>0.11700000000000001</v>
      </c>
      <c r="G34">
        <v>0.186</v>
      </c>
      <c r="H34">
        <v>0.18959999999999999</v>
      </c>
      <c r="I34">
        <f t="shared" si="11"/>
        <v>6.9599999999999995E-2</v>
      </c>
      <c r="J34">
        <f t="shared" si="12"/>
        <v>7.2599999999999984E-2</v>
      </c>
      <c r="K34">
        <f t="shared" si="9"/>
        <v>7.1099999999999997E-2</v>
      </c>
      <c r="L34">
        <f t="shared" si="13"/>
        <v>2.5717019999999997</v>
      </c>
      <c r="M34">
        <v>3</v>
      </c>
      <c r="N34">
        <f t="shared" si="14"/>
        <v>7.7151059999999987</v>
      </c>
      <c r="R34" t="s">
        <v>11</v>
      </c>
      <c r="S34">
        <v>21</v>
      </c>
      <c r="T34">
        <v>0.1154</v>
      </c>
      <c r="U34">
        <v>0.1198</v>
      </c>
      <c r="V34">
        <v>0.25319999999999998</v>
      </c>
      <c r="W34">
        <v>0.25659999999999999</v>
      </c>
      <c r="X34">
        <f t="shared" si="15"/>
        <v>0.13779999999999998</v>
      </c>
      <c r="Y34">
        <f t="shared" si="16"/>
        <v>0.13679999999999998</v>
      </c>
      <c r="Z34">
        <f t="shared" si="10"/>
        <v>0.13729999999999998</v>
      </c>
      <c r="AA34">
        <f t="shared" si="17"/>
        <v>6.2819518999999984</v>
      </c>
      <c r="AB34">
        <v>3</v>
      </c>
      <c r="AC34" s="9">
        <f t="shared" si="18"/>
        <v>18.845855699999994</v>
      </c>
      <c r="AI34">
        <v>48</v>
      </c>
      <c r="AJ34">
        <v>0.1197</v>
      </c>
      <c r="AK34">
        <v>0.12</v>
      </c>
      <c r="AL34">
        <v>0.1946</v>
      </c>
      <c r="AM34">
        <v>0.19339999999999999</v>
      </c>
      <c r="AN34">
        <f t="shared" si="19"/>
        <v>7.4899999999999994E-2</v>
      </c>
      <c r="AO34">
        <f t="shared" si="20"/>
        <v>7.3399999999999993E-2</v>
      </c>
      <c r="AP34">
        <f t="shared" si="21"/>
        <v>7.4149999999999994E-2</v>
      </c>
      <c r="AQ34">
        <f t="shared" si="22"/>
        <v>2.7061131499999997</v>
      </c>
      <c r="AR34">
        <v>3</v>
      </c>
      <c r="AS34" s="9">
        <f t="shared" si="23"/>
        <v>8.1183394499999988</v>
      </c>
      <c r="AX34" t="s">
        <v>12</v>
      </c>
      <c r="AY34">
        <f>AVERAGE(AS51:AS52,AC62:AC67,N43:N46)</f>
        <v>7.0764562</v>
      </c>
      <c r="AZ34">
        <f>COUNT(AS51:AS52,AC62:AC67,N43:N46)</f>
        <v>12</v>
      </c>
      <c r="BA34">
        <f>STDEV(AS51:AS52,AC62:AC67,N43:N46)/SQRT(AZ34)</f>
        <v>0.35257762241112151</v>
      </c>
    </row>
    <row r="35" spans="2:53" x14ac:dyDescent="0.2">
      <c r="D35">
        <v>90</v>
      </c>
      <c r="E35">
        <v>0.1178</v>
      </c>
      <c r="F35">
        <v>0.1162</v>
      </c>
      <c r="G35">
        <v>0.18629999999999999</v>
      </c>
      <c r="H35">
        <v>0.17960000000000001</v>
      </c>
      <c r="I35">
        <f t="shared" si="11"/>
        <v>6.8499999999999991E-2</v>
      </c>
      <c r="J35">
        <f t="shared" si="12"/>
        <v>6.3400000000000012E-2</v>
      </c>
      <c r="K35">
        <f t="shared" si="9"/>
        <v>6.5950000000000009E-2</v>
      </c>
      <c r="L35">
        <f t="shared" si="13"/>
        <v>2.3666290000000001</v>
      </c>
      <c r="M35">
        <v>3</v>
      </c>
      <c r="N35">
        <f t="shared" si="14"/>
        <v>7.0998870000000007</v>
      </c>
      <c r="S35">
        <v>22</v>
      </c>
      <c r="T35">
        <v>0.1164</v>
      </c>
      <c r="U35">
        <v>0.1196</v>
      </c>
      <c r="V35">
        <v>0.18759999999999999</v>
      </c>
      <c r="W35">
        <v>0.18759999999999999</v>
      </c>
      <c r="X35">
        <f t="shared" si="15"/>
        <v>7.1199999999999986E-2</v>
      </c>
      <c r="Y35">
        <f t="shared" si="16"/>
        <v>6.7999999999999991E-2</v>
      </c>
      <c r="Z35">
        <f t="shared" si="10"/>
        <v>6.9599999999999995E-2</v>
      </c>
      <c r="AA35">
        <f t="shared" si="17"/>
        <v>2.9779887999999999</v>
      </c>
      <c r="AB35">
        <v>3</v>
      </c>
      <c r="AC35" s="9">
        <f t="shared" si="18"/>
        <v>8.9339663999999992</v>
      </c>
      <c r="AH35" t="s">
        <v>13</v>
      </c>
      <c r="AI35">
        <v>54</v>
      </c>
      <c r="AJ35">
        <v>0.1187</v>
      </c>
      <c r="AK35">
        <v>0.11749999999999999</v>
      </c>
      <c r="AL35">
        <v>0.17069999999999999</v>
      </c>
      <c r="AM35">
        <v>0.1648</v>
      </c>
      <c r="AN35">
        <f t="shared" si="19"/>
        <v>5.1999999999999991E-2</v>
      </c>
      <c r="AO35">
        <f t="shared" si="20"/>
        <v>4.7300000000000009E-2</v>
      </c>
      <c r="AP35">
        <f t="shared" si="21"/>
        <v>4.965E-2</v>
      </c>
      <c r="AQ35">
        <f t="shared" si="22"/>
        <v>1.7099186500000001</v>
      </c>
      <c r="AR35">
        <v>3</v>
      </c>
      <c r="AS35" s="9">
        <f t="shared" si="23"/>
        <v>5.1297559499999998</v>
      </c>
      <c r="AX35" t="s">
        <v>13</v>
      </c>
      <c r="AY35">
        <f>AVERAGE(AS53:AS60,N47:N51)</f>
        <v>6.5940717461538458</v>
      </c>
      <c r="AZ35">
        <f>COUNT(AS53:AS60,N47:N51)</f>
        <v>13</v>
      </c>
      <c r="BA35">
        <f>STDEV(AS53:AS60,N47:N51)/SQRT(AZ35)</f>
        <v>0.69105828793784252</v>
      </c>
    </row>
    <row r="36" spans="2:53" x14ac:dyDescent="0.2">
      <c r="C36" t="s">
        <v>13</v>
      </c>
      <c r="D36">
        <v>96</v>
      </c>
      <c r="E36">
        <v>0.1164</v>
      </c>
      <c r="F36">
        <v>0.121</v>
      </c>
      <c r="G36">
        <v>0.16819999999999999</v>
      </c>
      <c r="H36">
        <v>0.17330000000000001</v>
      </c>
      <c r="I36">
        <f t="shared" si="11"/>
        <v>5.1799999999999985E-2</v>
      </c>
      <c r="J36">
        <f t="shared" si="12"/>
        <v>5.2300000000000013E-2</v>
      </c>
      <c r="K36">
        <f t="shared" si="9"/>
        <v>5.2049999999999999E-2</v>
      </c>
      <c r="L36">
        <f t="shared" si="13"/>
        <v>1.8131309999999998</v>
      </c>
      <c r="M36">
        <v>3</v>
      </c>
      <c r="N36">
        <f t="shared" si="14"/>
        <v>5.439392999999999</v>
      </c>
      <c r="S36">
        <v>23</v>
      </c>
      <c r="T36">
        <v>0.1138</v>
      </c>
      <c r="U36">
        <v>0.13700000000000001</v>
      </c>
      <c r="V36">
        <v>0.21909999999999999</v>
      </c>
      <c r="W36">
        <v>0.22070000000000001</v>
      </c>
      <c r="X36">
        <f t="shared" si="15"/>
        <v>0.10529999999999999</v>
      </c>
      <c r="Y36">
        <f t="shared" si="16"/>
        <v>8.3699999999999997E-2</v>
      </c>
      <c r="Z36">
        <f t="shared" si="10"/>
        <v>9.4500000000000001E-2</v>
      </c>
      <c r="AA36">
        <f t="shared" si="17"/>
        <v>4.1931834999999991</v>
      </c>
      <c r="AB36">
        <v>3</v>
      </c>
      <c r="AC36" s="9">
        <f t="shared" si="18"/>
        <v>12.579550499999996</v>
      </c>
      <c r="AI36">
        <v>55</v>
      </c>
      <c r="AJ36">
        <v>0.1159</v>
      </c>
      <c r="AK36">
        <v>0.11650000000000001</v>
      </c>
      <c r="AL36">
        <v>0.1749</v>
      </c>
      <c r="AM36">
        <v>0.1739</v>
      </c>
      <c r="AN36">
        <f t="shared" si="19"/>
        <v>5.8999999999999997E-2</v>
      </c>
      <c r="AO36">
        <f t="shared" si="20"/>
        <v>5.7399999999999993E-2</v>
      </c>
      <c r="AP36">
        <f t="shared" si="21"/>
        <v>5.8199999999999995E-2</v>
      </c>
      <c r="AQ36">
        <f t="shared" si="22"/>
        <v>2.0575701999999998</v>
      </c>
      <c r="AR36">
        <v>3</v>
      </c>
      <c r="AS36" s="9">
        <f t="shared" si="23"/>
        <v>6.1727105999999994</v>
      </c>
    </row>
    <row r="37" spans="2:53" x14ac:dyDescent="0.2">
      <c r="D37">
        <v>97</v>
      </c>
      <c r="E37">
        <v>0.114</v>
      </c>
      <c r="F37">
        <v>0.12</v>
      </c>
      <c r="G37">
        <v>0.15590000000000001</v>
      </c>
      <c r="H37">
        <v>0.16089999999999999</v>
      </c>
      <c r="I37">
        <f t="shared" si="11"/>
        <v>4.1900000000000007E-2</v>
      </c>
      <c r="J37">
        <f t="shared" si="12"/>
        <v>4.0899999999999992E-2</v>
      </c>
      <c r="K37">
        <f t="shared" si="9"/>
        <v>4.1399999999999999E-2</v>
      </c>
      <c r="L37">
        <f t="shared" si="13"/>
        <v>1.3890479999999998</v>
      </c>
      <c r="M37">
        <v>3</v>
      </c>
      <c r="N37">
        <f t="shared" si="14"/>
        <v>4.1671439999999995</v>
      </c>
      <c r="S37">
        <v>24</v>
      </c>
      <c r="T37">
        <v>0.1135</v>
      </c>
      <c r="U37">
        <v>0.1158</v>
      </c>
      <c r="V37">
        <v>0.2424</v>
      </c>
      <c r="W37">
        <v>0.23899999999999999</v>
      </c>
      <c r="X37">
        <f t="shared" si="15"/>
        <v>0.12890000000000001</v>
      </c>
      <c r="Y37">
        <f t="shared" si="16"/>
        <v>0.12319999999999999</v>
      </c>
      <c r="Z37">
        <f t="shared" si="10"/>
        <v>0.12605</v>
      </c>
      <c r="AA37">
        <f t="shared" si="17"/>
        <v>5.7329181499999988</v>
      </c>
      <c r="AB37">
        <v>3</v>
      </c>
      <c r="AC37" s="9">
        <f t="shared" si="18"/>
        <v>17.198754449999996</v>
      </c>
      <c r="AI37">
        <v>56</v>
      </c>
      <c r="AJ37">
        <v>0.11559999999999999</v>
      </c>
      <c r="AK37">
        <v>0.1153</v>
      </c>
      <c r="AL37">
        <v>0.20569999999999999</v>
      </c>
      <c r="AM37">
        <v>0.2034</v>
      </c>
      <c r="AN37">
        <f t="shared" si="19"/>
        <v>9.01E-2</v>
      </c>
      <c r="AO37">
        <f t="shared" si="20"/>
        <v>8.8099999999999998E-2</v>
      </c>
      <c r="AP37">
        <f t="shared" si="21"/>
        <v>8.9099999999999999E-2</v>
      </c>
      <c r="AQ37">
        <f t="shared" si="22"/>
        <v>3.3139951000000001</v>
      </c>
      <c r="AR37">
        <v>3</v>
      </c>
      <c r="AS37" s="9">
        <f t="shared" si="23"/>
        <v>9.9419853000000007</v>
      </c>
    </row>
    <row r="38" spans="2:53" x14ac:dyDescent="0.2">
      <c r="D38">
        <v>98</v>
      </c>
      <c r="E38">
        <v>0.1152</v>
      </c>
      <c r="F38">
        <v>0.11890000000000001</v>
      </c>
      <c r="G38">
        <v>0.17849999999999999</v>
      </c>
      <c r="H38">
        <v>0.18179999999999999</v>
      </c>
      <c r="I38">
        <f t="shared" si="11"/>
        <v>6.3299999999999995E-2</v>
      </c>
      <c r="J38">
        <f t="shared" si="12"/>
        <v>6.2899999999999984E-2</v>
      </c>
      <c r="K38">
        <f t="shared" si="9"/>
        <v>6.3099999999999989E-2</v>
      </c>
      <c r="L38">
        <f t="shared" si="13"/>
        <v>2.2531419999999995</v>
      </c>
      <c r="M38">
        <v>3</v>
      </c>
      <c r="N38">
        <f t="shared" si="14"/>
        <v>6.7594259999999986</v>
      </c>
      <c r="S38">
        <v>29</v>
      </c>
      <c r="T38">
        <v>0.1187</v>
      </c>
      <c r="U38">
        <v>0.1217</v>
      </c>
      <c r="V38">
        <v>0.21</v>
      </c>
      <c r="W38">
        <v>0.2087</v>
      </c>
      <c r="X38">
        <f t="shared" si="15"/>
        <v>9.1299999999999992E-2</v>
      </c>
      <c r="Y38">
        <f t="shared" si="16"/>
        <v>8.6999999999999994E-2</v>
      </c>
      <c r="Z38">
        <f t="shared" si="10"/>
        <v>8.9149999999999993E-2</v>
      </c>
      <c r="AA38">
        <f t="shared" si="17"/>
        <v>3.9320874499999996</v>
      </c>
      <c r="AB38">
        <v>3</v>
      </c>
      <c r="AC38" s="9">
        <f t="shared" si="18"/>
        <v>11.796262349999999</v>
      </c>
      <c r="AI38">
        <v>61</v>
      </c>
      <c r="AJ38">
        <v>0.11360000000000001</v>
      </c>
      <c r="AK38">
        <v>0.1187</v>
      </c>
      <c r="AL38">
        <v>0.152</v>
      </c>
      <c r="AM38">
        <v>0.15640000000000001</v>
      </c>
      <c r="AN38">
        <f t="shared" si="19"/>
        <v>3.839999999999999E-2</v>
      </c>
      <c r="AO38">
        <f t="shared" si="20"/>
        <v>3.7700000000000011E-2</v>
      </c>
      <c r="AP38">
        <f t="shared" si="21"/>
        <v>3.805E-2</v>
      </c>
      <c r="AQ38">
        <f t="shared" si="22"/>
        <v>1.2382510500000001</v>
      </c>
      <c r="AR38">
        <v>3</v>
      </c>
      <c r="AS38" s="9">
        <f t="shared" si="23"/>
        <v>3.7147531500000004</v>
      </c>
    </row>
    <row r="39" spans="2:53" x14ac:dyDescent="0.2">
      <c r="D39">
        <v>99</v>
      </c>
      <c r="E39">
        <v>0.1172</v>
      </c>
      <c r="F39">
        <v>0.1208</v>
      </c>
      <c r="G39">
        <v>0.1802</v>
      </c>
      <c r="H39">
        <v>0.1825</v>
      </c>
      <c r="I39">
        <f t="shared" si="11"/>
        <v>6.3E-2</v>
      </c>
      <c r="J39">
        <f t="shared" si="12"/>
        <v>6.1699999999999991E-2</v>
      </c>
      <c r="K39">
        <f t="shared" si="9"/>
        <v>6.2349999999999996E-2</v>
      </c>
      <c r="L39">
        <f t="shared" si="13"/>
        <v>2.2232769999999999</v>
      </c>
      <c r="M39">
        <v>3</v>
      </c>
      <c r="N39">
        <f t="shared" si="14"/>
        <v>6.6698310000000003</v>
      </c>
      <c r="S39">
        <v>30</v>
      </c>
      <c r="T39">
        <v>0.12089999999999999</v>
      </c>
      <c r="U39">
        <v>0.1215</v>
      </c>
      <c r="V39">
        <v>0.25519999999999998</v>
      </c>
      <c r="W39">
        <v>0.25890000000000002</v>
      </c>
      <c r="X39">
        <f t="shared" si="15"/>
        <v>0.13429999999999997</v>
      </c>
      <c r="Y39">
        <f t="shared" si="16"/>
        <v>0.13740000000000002</v>
      </c>
      <c r="Z39">
        <f t="shared" si="10"/>
        <v>0.13585</v>
      </c>
      <c r="AA39">
        <f t="shared" si="17"/>
        <v>6.2111875499999991</v>
      </c>
      <c r="AB39">
        <v>3</v>
      </c>
      <c r="AC39" s="9">
        <f t="shared" si="18"/>
        <v>18.633562649999998</v>
      </c>
      <c r="AI39">
        <v>62</v>
      </c>
      <c r="AJ39">
        <v>0.1147</v>
      </c>
      <c r="AK39">
        <v>0.1187</v>
      </c>
      <c r="AL39">
        <v>0.14549999999999999</v>
      </c>
      <c r="AM39">
        <v>0.14749999999999999</v>
      </c>
      <c r="AN39">
        <f t="shared" si="19"/>
        <v>3.0799999999999994E-2</v>
      </c>
      <c r="AO39">
        <f t="shared" si="20"/>
        <v>2.8799999999999992E-2</v>
      </c>
      <c r="AP39">
        <f t="shared" si="21"/>
        <v>2.9799999999999993E-2</v>
      </c>
      <c r="AQ39">
        <f t="shared" si="22"/>
        <v>0.90279779999999987</v>
      </c>
      <c r="AR39">
        <v>3</v>
      </c>
      <c r="AS39" s="9">
        <f t="shared" si="23"/>
        <v>2.7083933999999994</v>
      </c>
    </row>
    <row r="40" spans="2:53" x14ac:dyDescent="0.2">
      <c r="D40">
        <v>100</v>
      </c>
      <c r="E40">
        <v>0.11650000000000001</v>
      </c>
      <c r="F40">
        <v>0.1275</v>
      </c>
      <c r="G40">
        <v>0.189</v>
      </c>
      <c r="H40">
        <v>0.1976</v>
      </c>
      <c r="I40">
        <f t="shared" si="11"/>
        <v>7.2499999999999995E-2</v>
      </c>
      <c r="J40">
        <f t="shared" si="12"/>
        <v>7.0099999999999996E-2</v>
      </c>
      <c r="K40">
        <f t="shared" si="9"/>
        <v>7.1300000000000002E-2</v>
      </c>
      <c r="L40">
        <f t="shared" si="13"/>
        <v>2.579666</v>
      </c>
      <c r="M40">
        <v>3</v>
      </c>
      <c r="N40">
        <f t="shared" si="14"/>
        <v>7.7389980000000005</v>
      </c>
      <c r="S40">
        <v>31</v>
      </c>
      <c r="T40">
        <v>0.1225</v>
      </c>
      <c r="U40">
        <v>0.12609999999999999</v>
      </c>
      <c r="V40">
        <v>0.26650000000000001</v>
      </c>
      <c r="W40">
        <v>0.2742</v>
      </c>
      <c r="X40">
        <f t="shared" si="15"/>
        <v>0.14400000000000002</v>
      </c>
      <c r="Y40">
        <f t="shared" si="16"/>
        <v>0.14810000000000001</v>
      </c>
      <c r="Z40">
        <f t="shared" si="10"/>
        <v>0.14605000000000001</v>
      </c>
      <c r="AA40">
        <f t="shared" si="17"/>
        <v>6.7089781500000001</v>
      </c>
      <c r="AB40">
        <v>3</v>
      </c>
      <c r="AC40" s="9">
        <f t="shared" si="18"/>
        <v>20.12693445</v>
      </c>
      <c r="AI40">
        <v>63</v>
      </c>
      <c r="AJ40">
        <v>0.1164</v>
      </c>
      <c r="AK40">
        <v>0.1207</v>
      </c>
      <c r="AL40">
        <v>0.18429999999999999</v>
      </c>
      <c r="AM40">
        <v>0.18690000000000001</v>
      </c>
      <c r="AN40">
        <f t="shared" si="19"/>
        <v>6.7899999999999988E-2</v>
      </c>
      <c r="AO40">
        <f t="shared" si="20"/>
        <v>6.6200000000000009E-2</v>
      </c>
      <c r="AP40">
        <f t="shared" si="21"/>
        <v>6.7049999999999998E-2</v>
      </c>
      <c r="AQ40">
        <f t="shared" si="22"/>
        <v>2.41742005</v>
      </c>
      <c r="AR40">
        <v>3</v>
      </c>
      <c r="AS40" s="9">
        <f t="shared" si="23"/>
        <v>7.2522601499999997</v>
      </c>
    </row>
    <row r="41" spans="2:53" x14ac:dyDescent="0.2">
      <c r="S41">
        <v>32</v>
      </c>
      <c r="T41">
        <v>0.1188</v>
      </c>
      <c r="U41">
        <v>0.12130000000000001</v>
      </c>
      <c r="V41">
        <v>0.2069</v>
      </c>
      <c r="W41">
        <v>0.20399999999999999</v>
      </c>
      <c r="X41">
        <f t="shared" si="15"/>
        <v>8.8099999999999998E-2</v>
      </c>
      <c r="Y41">
        <f t="shared" si="16"/>
        <v>8.2699999999999982E-2</v>
      </c>
      <c r="Z41">
        <f t="shared" si="10"/>
        <v>8.539999999999999E-2</v>
      </c>
      <c r="AA41">
        <f t="shared" si="17"/>
        <v>3.7490761999999997</v>
      </c>
      <c r="AB41">
        <v>3</v>
      </c>
      <c r="AC41" s="9">
        <f t="shared" si="18"/>
        <v>11.2472286</v>
      </c>
      <c r="AI41">
        <v>64</v>
      </c>
      <c r="AJ41">
        <v>0.1137</v>
      </c>
      <c r="AK41">
        <v>0.1195</v>
      </c>
      <c r="AL41">
        <v>0.1898</v>
      </c>
      <c r="AM41">
        <v>0.18659999999999999</v>
      </c>
      <c r="AN41">
        <f t="shared" si="19"/>
        <v>7.6100000000000001E-2</v>
      </c>
      <c r="AO41">
        <f t="shared" si="20"/>
        <v>6.7099999999999993E-2</v>
      </c>
      <c r="AP41">
        <f t="shared" si="21"/>
        <v>7.1599999999999997E-2</v>
      </c>
      <c r="AQ41">
        <f t="shared" si="22"/>
        <v>2.6024276</v>
      </c>
      <c r="AR41">
        <v>3</v>
      </c>
      <c r="AS41" s="9">
        <f t="shared" si="23"/>
        <v>7.8072827999999994</v>
      </c>
    </row>
    <row r="42" spans="2:53" x14ac:dyDescent="0.2">
      <c r="B42" t="s">
        <v>9</v>
      </c>
      <c r="C42" t="s">
        <v>11</v>
      </c>
      <c r="D42">
        <v>77</v>
      </c>
      <c r="E42">
        <v>0.1249</v>
      </c>
      <c r="F42">
        <v>0.1235</v>
      </c>
      <c r="G42">
        <v>0.22670000000000001</v>
      </c>
      <c r="H42">
        <v>0.22839999999999999</v>
      </c>
      <c r="I42">
        <f>G42-E42</f>
        <v>0.10180000000000002</v>
      </c>
      <c r="J42">
        <f>H42-F42</f>
        <v>0.10489999999999999</v>
      </c>
      <c r="K42">
        <f t="shared" si="9"/>
        <v>0.10335</v>
      </c>
      <c r="L42">
        <f t="shared" si="13"/>
        <v>3.8558969999999997</v>
      </c>
      <c r="M42">
        <v>3</v>
      </c>
      <c r="N42">
        <f t="shared" si="14"/>
        <v>11.567691</v>
      </c>
      <c r="R42" t="s">
        <v>12</v>
      </c>
      <c r="S42">
        <v>37</v>
      </c>
      <c r="T42">
        <v>0.125</v>
      </c>
      <c r="U42">
        <v>0.12470000000000001</v>
      </c>
      <c r="V42">
        <v>0.28549999999999998</v>
      </c>
      <c r="W42">
        <v>0.26250000000000001</v>
      </c>
      <c r="X42">
        <f t="shared" si="15"/>
        <v>0.16049999999999998</v>
      </c>
      <c r="Y42">
        <f t="shared" si="16"/>
        <v>0.13780000000000001</v>
      </c>
      <c r="Z42">
        <f t="shared" si="10"/>
        <v>0.14915</v>
      </c>
      <c r="AA42">
        <f t="shared" si="17"/>
        <v>6.8602674499999994</v>
      </c>
      <c r="AB42">
        <v>3</v>
      </c>
      <c r="AC42" s="9">
        <f t="shared" si="18"/>
        <v>20.580802349999999</v>
      </c>
      <c r="AS42" s="9"/>
    </row>
    <row r="43" spans="2:53" x14ac:dyDescent="0.2">
      <c r="C43" t="s">
        <v>12</v>
      </c>
      <c r="D43">
        <v>83</v>
      </c>
      <c r="E43">
        <v>0.12189999999999999</v>
      </c>
      <c r="F43">
        <v>0.1198</v>
      </c>
      <c r="G43">
        <v>0.17710000000000001</v>
      </c>
      <c r="H43">
        <v>0.1784</v>
      </c>
      <c r="I43">
        <f t="shared" ref="I43:I51" si="24">G43-E43</f>
        <v>5.5200000000000013E-2</v>
      </c>
      <c r="J43">
        <f t="shared" ref="J43:J51" si="25">H43-F43</f>
        <v>5.8599999999999999E-2</v>
      </c>
      <c r="K43">
        <f t="shared" si="9"/>
        <v>5.6900000000000006E-2</v>
      </c>
      <c r="L43">
        <f t="shared" si="13"/>
        <v>2.0062580000000003</v>
      </c>
      <c r="M43">
        <v>3</v>
      </c>
      <c r="N43">
        <f t="shared" si="14"/>
        <v>6.0187740000000005</v>
      </c>
      <c r="S43">
        <v>38</v>
      </c>
      <c r="T43">
        <v>0.126</v>
      </c>
      <c r="U43">
        <v>0.12609999999999999</v>
      </c>
      <c r="V43">
        <v>0.19670000000000001</v>
      </c>
      <c r="W43">
        <v>0.19220000000000001</v>
      </c>
      <c r="X43">
        <f t="shared" si="15"/>
        <v>7.0700000000000013E-2</v>
      </c>
      <c r="Y43">
        <f t="shared" si="16"/>
        <v>6.610000000000002E-2</v>
      </c>
      <c r="Z43">
        <f t="shared" si="10"/>
        <v>6.8400000000000016E-2</v>
      </c>
      <c r="AA43">
        <f t="shared" si="17"/>
        <v>2.9194252000000009</v>
      </c>
      <c r="AB43">
        <v>3</v>
      </c>
      <c r="AC43" s="9">
        <f t="shared" si="18"/>
        <v>8.7582756000000028</v>
      </c>
      <c r="AG43" t="s">
        <v>9</v>
      </c>
      <c r="AH43" t="s">
        <v>10</v>
      </c>
      <c r="AI43">
        <v>65</v>
      </c>
      <c r="AJ43">
        <v>0.1133</v>
      </c>
      <c r="AK43">
        <v>0.1167</v>
      </c>
      <c r="AL43">
        <v>0.1633</v>
      </c>
      <c r="AM43">
        <v>0.1646</v>
      </c>
      <c r="AN43">
        <f>AL43-AJ43</f>
        <v>0.05</v>
      </c>
      <c r="AO43">
        <f>AM43-AK43</f>
        <v>4.7899999999999998E-2</v>
      </c>
      <c r="AP43">
        <f t="shared" si="21"/>
        <v>4.895E-2</v>
      </c>
      <c r="AQ43">
        <f t="shared" si="22"/>
        <v>1.6814559500000001</v>
      </c>
      <c r="AR43">
        <v>3</v>
      </c>
      <c r="AS43" s="9">
        <f t="shared" si="23"/>
        <v>5.0443678500000004</v>
      </c>
    </row>
    <row r="44" spans="2:53" x14ac:dyDescent="0.2">
      <c r="D44">
        <v>84</v>
      </c>
      <c r="E44">
        <v>0.1212</v>
      </c>
      <c r="F44">
        <v>0.1303</v>
      </c>
      <c r="G44">
        <v>0.1883</v>
      </c>
      <c r="H44">
        <v>0.1953</v>
      </c>
      <c r="I44">
        <f t="shared" si="24"/>
        <v>6.7099999999999993E-2</v>
      </c>
      <c r="J44">
        <f t="shared" si="25"/>
        <v>6.5000000000000002E-2</v>
      </c>
      <c r="K44">
        <f t="shared" si="9"/>
        <v>6.6049999999999998E-2</v>
      </c>
      <c r="L44">
        <f t="shared" si="13"/>
        <v>2.3706109999999998</v>
      </c>
      <c r="M44">
        <v>3</v>
      </c>
      <c r="N44">
        <f t="shared" si="14"/>
        <v>7.111832999999999</v>
      </c>
      <c r="S44">
        <v>39</v>
      </c>
      <c r="T44">
        <v>0.1255</v>
      </c>
      <c r="U44">
        <v>0.1278</v>
      </c>
      <c r="V44">
        <v>0.18210000000000001</v>
      </c>
      <c r="W44">
        <v>0.1852</v>
      </c>
      <c r="X44">
        <f t="shared" si="15"/>
        <v>5.6600000000000011E-2</v>
      </c>
      <c r="Y44">
        <f t="shared" si="16"/>
        <v>5.7400000000000007E-2</v>
      </c>
      <c r="Z44">
        <f t="shared" si="10"/>
        <v>5.7000000000000009E-2</v>
      </c>
      <c r="AA44">
        <f t="shared" si="17"/>
        <v>2.3630710000000006</v>
      </c>
      <c r="AB44">
        <v>3</v>
      </c>
      <c r="AC44" s="9">
        <f t="shared" si="18"/>
        <v>7.0892130000000018</v>
      </c>
      <c r="AI44">
        <v>66</v>
      </c>
      <c r="AJ44">
        <v>0.11600000000000001</v>
      </c>
      <c r="AK44">
        <v>0.1196</v>
      </c>
      <c r="AL44">
        <v>0.18720000000000001</v>
      </c>
      <c r="AM44">
        <v>0.19109999999999999</v>
      </c>
      <c r="AN44">
        <f t="shared" ref="AN44:AN60" si="26">AL44-AJ44</f>
        <v>7.1199999999999999E-2</v>
      </c>
      <c r="AO44">
        <f t="shared" ref="AO44:AO60" si="27">AM44-AK44</f>
        <v>7.1499999999999994E-2</v>
      </c>
      <c r="AP44">
        <f t="shared" si="21"/>
        <v>7.1349999999999997E-2</v>
      </c>
      <c r="AQ44">
        <f t="shared" si="22"/>
        <v>2.5922623499999999</v>
      </c>
      <c r="AR44">
        <v>3</v>
      </c>
      <c r="AS44" s="9">
        <f t="shared" si="23"/>
        <v>7.7767870499999994</v>
      </c>
    </row>
    <row r="45" spans="2:53" x14ac:dyDescent="0.2">
      <c r="D45">
        <v>85</v>
      </c>
      <c r="E45">
        <v>0.1249</v>
      </c>
      <c r="F45">
        <v>0.11890000000000001</v>
      </c>
      <c r="G45">
        <v>0.17780000000000001</v>
      </c>
      <c r="H45">
        <v>0.16850000000000001</v>
      </c>
      <c r="I45">
        <f t="shared" si="24"/>
        <v>5.2900000000000016E-2</v>
      </c>
      <c r="J45">
        <f t="shared" si="25"/>
        <v>4.9600000000000005E-2</v>
      </c>
      <c r="K45">
        <f t="shared" si="9"/>
        <v>5.1250000000000011E-2</v>
      </c>
      <c r="L45">
        <f t="shared" si="13"/>
        <v>1.7812750000000004</v>
      </c>
      <c r="M45">
        <v>3</v>
      </c>
      <c r="N45">
        <f t="shared" si="14"/>
        <v>5.3438250000000007</v>
      </c>
      <c r="S45">
        <v>40</v>
      </c>
      <c r="T45">
        <v>0.12670000000000001</v>
      </c>
      <c r="U45">
        <v>0.12659999999999999</v>
      </c>
      <c r="V45">
        <v>0.19950000000000001</v>
      </c>
      <c r="W45">
        <v>0.2011</v>
      </c>
      <c r="X45">
        <f t="shared" si="15"/>
        <v>7.2800000000000004E-2</v>
      </c>
      <c r="Y45">
        <f t="shared" si="16"/>
        <v>7.4500000000000011E-2</v>
      </c>
      <c r="Z45">
        <f t="shared" si="10"/>
        <v>7.3650000000000007E-2</v>
      </c>
      <c r="AA45">
        <f t="shared" si="17"/>
        <v>3.1756409500000005</v>
      </c>
      <c r="AB45">
        <v>3</v>
      </c>
      <c r="AC45" s="9">
        <f t="shared" si="18"/>
        <v>9.5269228500000018</v>
      </c>
      <c r="AI45">
        <v>67</v>
      </c>
      <c r="AJ45">
        <v>0.1171</v>
      </c>
      <c r="AK45">
        <v>0.12509999999999999</v>
      </c>
      <c r="AL45">
        <v>0.19320000000000001</v>
      </c>
      <c r="AM45">
        <v>0.20069999999999999</v>
      </c>
      <c r="AN45">
        <f t="shared" si="26"/>
        <v>7.6100000000000015E-2</v>
      </c>
      <c r="AO45">
        <f t="shared" si="27"/>
        <v>7.5600000000000001E-2</v>
      </c>
      <c r="AP45">
        <f t="shared" si="21"/>
        <v>7.5850000000000001E-2</v>
      </c>
      <c r="AQ45">
        <f t="shared" si="22"/>
        <v>2.7752368500000002</v>
      </c>
      <c r="AR45">
        <v>3</v>
      </c>
      <c r="AS45" s="9">
        <f t="shared" si="23"/>
        <v>8.3257105500000002</v>
      </c>
    </row>
    <row r="46" spans="2:53" x14ac:dyDescent="0.2">
      <c r="D46">
        <v>86</v>
      </c>
      <c r="E46">
        <v>0.11990000000000001</v>
      </c>
      <c r="F46">
        <v>0.1186</v>
      </c>
      <c r="G46">
        <v>0.18909999999999999</v>
      </c>
      <c r="H46">
        <v>0.187</v>
      </c>
      <c r="I46">
        <f t="shared" si="24"/>
        <v>6.9199999999999984E-2</v>
      </c>
      <c r="J46">
        <f t="shared" si="25"/>
        <v>6.8400000000000002E-2</v>
      </c>
      <c r="K46">
        <f t="shared" si="9"/>
        <v>6.88E-2</v>
      </c>
      <c r="L46">
        <f t="shared" si="13"/>
        <v>2.4801159999999998</v>
      </c>
      <c r="M46">
        <v>3</v>
      </c>
      <c r="N46">
        <f t="shared" si="14"/>
        <v>7.4403479999999993</v>
      </c>
      <c r="AC46" s="9"/>
      <c r="AI46">
        <v>68</v>
      </c>
      <c r="AJ46">
        <v>0.12089999999999999</v>
      </c>
      <c r="AK46">
        <v>0.12429999999999999</v>
      </c>
      <c r="AL46">
        <v>0.17949999999999999</v>
      </c>
      <c r="AM46">
        <v>0.18290000000000001</v>
      </c>
      <c r="AN46">
        <f t="shared" si="26"/>
        <v>5.8599999999999999E-2</v>
      </c>
      <c r="AO46">
        <f t="shared" si="27"/>
        <v>5.8600000000000013E-2</v>
      </c>
      <c r="AP46">
        <f t="shared" si="21"/>
        <v>5.8600000000000006E-2</v>
      </c>
      <c r="AQ46">
        <f t="shared" si="22"/>
        <v>2.0738346000000005</v>
      </c>
      <c r="AR46">
        <v>3</v>
      </c>
      <c r="AS46" s="9">
        <f t="shared" si="23"/>
        <v>6.2215038000000016</v>
      </c>
    </row>
    <row r="47" spans="2:53" x14ac:dyDescent="0.2">
      <c r="C47" t="s">
        <v>13</v>
      </c>
      <c r="D47">
        <v>91</v>
      </c>
      <c r="E47">
        <v>0.1173</v>
      </c>
      <c r="F47">
        <v>0.11899999999999999</v>
      </c>
      <c r="G47">
        <v>0.1636</v>
      </c>
      <c r="H47">
        <v>0.16830000000000001</v>
      </c>
      <c r="I47">
        <f t="shared" si="24"/>
        <v>4.6299999999999994E-2</v>
      </c>
      <c r="J47">
        <f t="shared" si="25"/>
        <v>4.930000000000001E-2</v>
      </c>
      <c r="K47">
        <f t="shared" si="9"/>
        <v>4.7800000000000002E-2</v>
      </c>
      <c r="L47">
        <f t="shared" si="13"/>
        <v>1.643896</v>
      </c>
      <c r="M47">
        <v>3</v>
      </c>
      <c r="N47">
        <f t="shared" si="14"/>
        <v>4.9316880000000003</v>
      </c>
      <c r="Q47" t="s">
        <v>9</v>
      </c>
      <c r="R47" t="s">
        <v>10</v>
      </c>
      <c r="S47">
        <v>1</v>
      </c>
      <c r="T47">
        <v>0.1212</v>
      </c>
      <c r="U47">
        <v>0.12180000000000001</v>
      </c>
      <c r="V47">
        <v>0.16869999999999999</v>
      </c>
      <c r="W47">
        <v>0.1651</v>
      </c>
      <c r="X47">
        <f>V47-T47</f>
        <v>4.7499999999999987E-2</v>
      </c>
      <c r="Y47">
        <f>W47-U47</f>
        <v>4.3299999999999991E-2</v>
      </c>
      <c r="Z47">
        <f t="shared" si="10"/>
        <v>4.5399999999999989E-2</v>
      </c>
      <c r="AA47">
        <f t="shared" si="17"/>
        <v>1.7969561999999992</v>
      </c>
      <c r="AB47">
        <v>3</v>
      </c>
      <c r="AC47" s="9">
        <f>AA47*AB47</f>
        <v>5.3908685999999975</v>
      </c>
      <c r="AH47" t="s">
        <v>11</v>
      </c>
      <c r="AI47">
        <v>73</v>
      </c>
      <c r="AJ47">
        <v>0.1193</v>
      </c>
      <c r="AK47">
        <v>0.1207</v>
      </c>
      <c r="AL47">
        <v>0.16900000000000001</v>
      </c>
      <c r="AM47">
        <v>0.16589999999999999</v>
      </c>
      <c r="AN47">
        <f t="shared" si="26"/>
        <v>4.9700000000000008E-2</v>
      </c>
      <c r="AO47">
        <f t="shared" si="27"/>
        <v>4.519999999999999E-2</v>
      </c>
      <c r="AP47">
        <f t="shared" si="21"/>
        <v>4.7449999999999999E-2</v>
      </c>
      <c r="AQ47">
        <f t="shared" si="22"/>
        <v>1.6204644500000001</v>
      </c>
      <c r="AR47">
        <v>3</v>
      </c>
      <c r="AS47" s="9">
        <f t="shared" si="23"/>
        <v>4.8613933500000002</v>
      </c>
    </row>
    <row r="48" spans="2:53" x14ac:dyDescent="0.2">
      <c r="D48">
        <v>92</v>
      </c>
      <c r="E48">
        <v>0.129</v>
      </c>
      <c r="F48">
        <v>0.1201</v>
      </c>
      <c r="G48">
        <v>0.17469999999999999</v>
      </c>
      <c r="H48">
        <v>0.16689999999999999</v>
      </c>
      <c r="I48">
        <f t="shared" si="24"/>
        <v>4.5699999999999991E-2</v>
      </c>
      <c r="J48">
        <f t="shared" si="25"/>
        <v>4.6799999999999994E-2</v>
      </c>
      <c r="K48">
        <f t="shared" si="9"/>
        <v>4.6249999999999993E-2</v>
      </c>
      <c r="L48">
        <f t="shared" si="13"/>
        <v>1.5821749999999997</v>
      </c>
      <c r="M48">
        <v>3</v>
      </c>
      <c r="N48">
        <f t="shared" si="14"/>
        <v>4.7465249999999992</v>
      </c>
      <c r="S48">
        <v>2</v>
      </c>
      <c r="T48">
        <v>0.1244</v>
      </c>
      <c r="U48">
        <v>0.1229</v>
      </c>
      <c r="V48">
        <v>0.1837</v>
      </c>
      <c r="W48">
        <v>0.17949999999999999</v>
      </c>
      <c r="X48">
        <f t="shared" ref="X48:X67" si="28">V48-T48</f>
        <v>5.9300000000000005E-2</v>
      </c>
      <c r="Y48">
        <f t="shared" ref="Y48:Y67" si="29">W48-U48</f>
        <v>5.6599999999999998E-2</v>
      </c>
      <c r="Z48">
        <f t="shared" si="10"/>
        <v>5.7950000000000002E-2</v>
      </c>
      <c r="AA48">
        <f t="shared" si="17"/>
        <v>2.4094338500000001</v>
      </c>
      <c r="AB48">
        <v>3</v>
      </c>
      <c r="AC48" s="9">
        <f t="shared" ref="AC48:AC67" si="30">AA48*AB48</f>
        <v>7.2283015500000003</v>
      </c>
      <c r="AI48">
        <v>74</v>
      </c>
      <c r="AJ48">
        <v>0.11899999999999999</v>
      </c>
      <c r="AK48">
        <v>0.12280000000000001</v>
      </c>
      <c r="AL48">
        <v>0.31559999999999999</v>
      </c>
      <c r="AM48">
        <v>0.31900000000000001</v>
      </c>
      <c r="AN48">
        <f t="shared" si="26"/>
        <v>0.1966</v>
      </c>
      <c r="AO48">
        <f t="shared" si="27"/>
        <v>0.19619999999999999</v>
      </c>
      <c r="AP48">
        <f t="shared" si="21"/>
        <v>0.19639999999999999</v>
      </c>
      <c r="AQ48">
        <f t="shared" si="22"/>
        <v>7.6769203999999993</v>
      </c>
      <c r="AR48">
        <v>3</v>
      </c>
      <c r="AS48" s="9">
        <f t="shared" si="23"/>
        <v>23.030761199999997</v>
      </c>
    </row>
    <row r="49" spans="4:45" x14ac:dyDescent="0.2">
      <c r="D49">
        <v>93</v>
      </c>
      <c r="E49">
        <v>0.12429999999999999</v>
      </c>
      <c r="F49">
        <v>0.121</v>
      </c>
      <c r="G49">
        <v>0.19020000000000001</v>
      </c>
      <c r="H49">
        <v>0.18609999999999999</v>
      </c>
      <c r="I49">
        <f t="shared" si="24"/>
        <v>6.5900000000000014E-2</v>
      </c>
      <c r="J49">
        <f t="shared" si="25"/>
        <v>6.5099999999999991E-2</v>
      </c>
      <c r="K49">
        <f t="shared" si="9"/>
        <v>6.5500000000000003E-2</v>
      </c>
      <c r="L49">
        <f t="shared" si="13"/>
        <v>2.3487100000000001</v>
      </c>
      <c r="M49">
        <v>3</v>
      </c>
      <c r="N49">
        <f t="shared" si="14"/>
        <v>7.0461299999999998</v>
      </c>
      <c r="S49">
        <v>3</v>
      </c>
      <c r="T49">
        <v>0.12139999999999999</v>
      </c>
      <c r="U49">
        <v>0.12239999999999999</v>
      </c>
      <c r="V49">
        <v>0.1711</v>
      </c>
      <c r="W49">
        <v>0.17519999999999999</v>
      </c>
      <c r="X49">
        <f t="shared" si="28"/>
        <v>4.9700000000000008E-2</v>
      </c>
      <c r="Y49">
        <f t="shared" si="29"/>
        <v>5.28E-2</v>
      </c>
      <c r="Z49">
        <f t="shared" si="10"/>
        <v>5.1250000000000004E-2</v>
      </c>
      <c r="AA49">
        <f t="shared" si="17"/>
        <v>2.08245375</v>
      </c>
      <c r="AB49">
        <v>3</v>
      </c>
      <c r="AC49" s="9">
        <f t="shared" si="30"/>
        <v>6.24736125</v>
      </c>
      <c r="AI49">
        <v>75</v>
      </c>
      <c r="AJ49">
        <v>0.12670000000000001</v>
      </c>
      <c r="AK49">
        <v>0.1258</v>
      </c>
      <c r="AL49">
        <v>0.2364</v>
      </c>
      <c r="AM49">
        <v>0.23169999999999999</v>
      </c>
      <c r="AN49">
        <f t="shared" si="26"/>
        <v>0.10969999999999999</v>
      </c>
      <c r="AO49">
        <f t="shared" si="27"/>
        <v>0.10589999999999999</v>
      </c>
      <c r="AP49">
        <f t="shared" si="21"/>
        <v>0.10779999999999999</v>
      </c>
      <c r="AQ49">
        <f t="shared" si="22"/>
        <v>4.0743557999999993</v>
      </c>
      <c r="AR49">
        <v>3</v>
      </c>
      <c r="AS49" s="9">
        <f t="shared" si="23"/>
        <v>12.223067399999998</v>
      </c>
    </row>
    <row r="50" spans="4:45" x14ac:dyDescent="0.2">
      <c r="D50">
        <v>94</v>
      </c>
      <c r="E50">
        <v>0.1143</v>
      </c>
      <c r="F50">
        <v>0.1205</v>
      </c>
      <c r="G50">
        <v>0.16650000000000001</v>
      </c>
      <c r="H50">
        <v>0.16919999999999999</v>
      </c>
      <c r="I50">
        <f t="shared" si="24"/>
        <v>5.220000000000001E-2</v>
      </c>
      <c r="J50">
        <f t="shared" si="25"/>
        <v>4.8699999999999993E-2</v>
      </c>
      <c r="K50">
        <f t="shared" si="9"/>
        <v>5.0450000000000002E-2</v>
      </c>
      <c r="L50">
        <f t="shared" si="13"/>
        <v>1.7494190000000001</v>
      </c>
      <c r="M50">
        <v>3</v>
      </c>
      <c r="N50">
        <f t="shared" si="14"/>
        <v>5.2482570000000006</v>
      </c>
      <c r="S50">
        <v>4</v>
      </c>
      <c r="T50">
        <v>0.1196</v>
      </c>
      <c r="U50">
        <v>0.11849999999999999</v>
      </c>
      <c r="V50">
        <v>0.18240000000000001</v>
      </c>
      <c r="W50">
        <v>0.1772</v>
      </c>
      <c r="X50">
        <f t="shared" si="28"/>
        <v>6.2800000000000009E-2</v>
      </c>
      <c r="Y50">
        <f t="shared" si="29"/>
        <v>5.8700000000000002E-2</v>
      </c>
      <c r="Z50">
        <f t="shared" si="10"/>
        <v>6.0750000000000005E-2</v>
      </c>
      <c r="AA50">
        <f t="shared" si="17"/>
        <v>2.5460822500000004</v>
      </c>
      <c r="AB50">
        <v>3</v>
      </c>
      <c r="AC50" s="9">
        <f t="shared" si="30"/>
        <v>7.6382467500000013</v>
      </c>
      <c r="AI50">
        <v>76</v>
      </c>
      <c r="AJ50">
        <v>0.13220000000000001</v>
      </c>
      <c r="AL50">
        <v>0.27589999999999998</v>
      </c>
      <c r="AN50">
        <f t="shared" si="26"/>
        <v>0.14369999999999997</v>
      </c>
      <c r="AP50">
        <f t="shared" si="21"/>
        <v>0.14369999999999997</v>
      </c>
      <c r="AQ50">
        <f t="shared" si="22"/>
        <v>5.5340856999999986</v>
      </c>
      <c r="AR50">
        <v>3</v>
      </c>
      <c r="AS50" s="9">
        <f t="shared" si="23"/>
        <v>16.602257099999996</v>
      </c>
    </row>
    <row r="51" spans="4:45" x14ac:dyDescent="0.2">
      <c r="D51">
        <v>95</v>
      </c>
      <c r="E51">
        <v>0.1159</v>
      </c>
      <c r="F51">
        <v>0.12820000000000001</v>
      </c>
      <c r="G51">
        <v>0.19259999999999999</v>
      </c>
      <c r="H51">
        <v>0.19420000000000001</v>
      </c>
      <c r="I51">
        <f t="shared" si="24"/>
        <v>7.669999999999999E-2</v>
      </c>
      <c r="J51">
        <f t="shared" si="25"/>
        <v>6.6000000000000003E-2</v>
      </c>
      <c r="K51">
        <f t="shared" si="9"/>
        <v>7.1349999999999997E-2</v>
      </c>
      <c r="L51">
        <f t="shared" si="13"/>
        <v>2.5816569999999999</v>
      </c>
      <c r="M51">
        <v>3</v>
      </c>
      <c r="N51">
        <f t="shared" si="14"/>
        <v>7.7449709999999996</v>
      </c>
      <c r="S51">
        <v>9</v>
      </c>
      <c r="T51">
        <v>0.11940000000000001</v>
      </c>
      <c r="U51">
        <v>0.1258</v>
      </c>
      <c r="V51">
        <v>0.1512</v>
      </c>
      <c r="W51">
        <v>0.15609999999999999</v>
      </c>
      <c r="X51">
        <f t="shared" si="28"/>
        <v>3.1799999999999995E-2</v>
      </c>
      <c r="Y51">
        <f t="shared" si="29"/>
        <v>3.0299999999999994E-2</v>
      </c>
      <c r="Z51">
        <f t="shared" si="10"/>
        <v>3.1049999999999994E-2</v>
      </c>
      <c r="AA51">
        <f t="shared" si="17"/>
        <v>1.0966331499999995</v>
      </c>
      <c r="AB51">
        <v>3</v>
      </c>
      <c r="AC51" s="9">
        <f t="shared" si="30"/>
        <v>3.2898994499999983</v>
      </c>
      <c r="AH51" t="s">
        <v>12</v>
      </c>
      <c r="AI51">
        <v>43</v>
      </c>
      <c r="AJ51">
        <v>0.1234</v>
      </c>
      <c r="AK51">
        <v>0.1231</v>
      </c>
      <c r="AL51">
        <v>0.19539999999999999</v>
      </c>
      <c r="AM51">
        <v>0.1963</v>
      </c>
      <c r="AN51">
        <f t="shared" si="26"/>
        <v>7.1999999999999995E-2</v>
      </c>
      <c r="AO51">
        <f t="shared" si="27"/>
        <v>7.3200000000000001E-2</v>
      </c>
      <c r="AP51">
        <f t="shared" si="21"/>
        <v>7.2599999999999998E-2</v>
      </c>
      <c r="AQ51">
        <f t="shared" si="22"/>
        <v>2.6430886</v>
      </c>
      <c r="AR51">
        <v>3</v>
      </c>
      <c r="AS51" s="9">
        <f t="shared" si="23"/>
        <v>7.9292657999999996</v>
      </c>
    </row>
    <row r="52" spans="4:45" x14ac:dyDescent="0.2">
      <c r="S52">
        <v>10</v>
      </c>
      <c r="T52">
        <v>0.1229</v>
      </c>
      <c r="U52">
        <v>0.1181</v>
      </c>
      <c r="V52">
        <v>0.14649999999999999</v>
      </c>
      <c r="W52">
        <v>0.14130000000000001</v>
      </c>
      <c r="X52">
        <f t="shared" si="28"/>
        <v>2.3599999999999996E-2</v>
      </c>
      <c r="Y52">
        <f t="shared" si="29"/>
        <v>2.3200000000000012E-2</v>
      </c>
      <c r="Z52">
        <f t="shared" si="10"/>
        <v>2.3400000000000004E-2</v>
      </c>
      <c r="AA52">
        <f t="shared" si="17"/>
        <v>0.72329020000000011</v>
      </c>
      <c r="AB52">
        <v>3</v>
      </c>
      <c r="AC52" s="9">
        <f t="shared" si="30"/>
        <v>2.1698706000000003</v>
      </c>
      <c r="AI52">
        <v>44</v>
      </c>
      <c r="AJ52">
        <v>0.12520000000000001</v>
      </c>
      <c r="AK52">
        <v>0.12609999999999999</v>
      </c>
      <c r="AL52">
        <v>0.19620000000000001</v>
      </c>
      <c r="AM52">
        <v>0.1948</v>
      </c>
      <c r="AN52">
        <f t="shared" si="26"/>
        <v>7.1000000000000008E-2</v>
      </c>
      <c r="AO52">
        <f t="shared" si="27"/>
        <v>6.8700000000000011E-2</v>
      </c>
      <c r="AP52">
        <f t="shared" si="21"/>
        <v>6.9850000000000009E-2</v>
      </c>
      <c r="AQ52">
        <f t="shared" si="22"/>
        <v>2.5312708500000007</v>
      </c>
      <c r="AR52">
        <v>3</v>
      </c>
      <c r="AS52" s="9">
        <f t="shared" si="23"/>
        <v>7.5938125500000027</v>
      </c>
    </row>
    <row r="53" spans="4:45" x14ac:dyDescent="0.2">
      <c r="S53">
        <v>11</v>
      </c>
      <c r="T53">
        <v>0.1192</v>
      </c>
      <c r="U53">
        <v>0.1192</v>
      </c>
      <c r="V53">
        <v>0.1706</v>
      </c>
      <c r="W53">
        <v>0.17230000000000001</v>
      </c>
      <c r="X53">
        <f t="shared" si="28"/>
        <v>5.1400000000000001E-2</v>
      </c>
      <c r="Y53">
        <f t="shared" si="29"/>
        <v>5.3100000000000008E-2</v>
      </c>
      <c r="Z53">
        <f t="shared" si="10"/>
        <v>5.2250000000000005E-2</v>
      </c>
      <c r="AA53">
        <f t="shared" si="17"/>
        <v>2.1312567500000004</v>
      </c>
      <c r="AB53">
        <v>3</v>
      </c>
      <c r="AC53" s="9">
        <f t="shared" si="30"/>
        <v>6.3937702500000011</v>
      </c>
      <c r="AH53" t="s">
        <v>13</v>
      </c>
      <c r="AI53">
        <v>49</v>
      </c>
      <c r="AJ53">
        <v>0.1183</v>
      </c>
      <c r="AK53">
        <v>0.1186</v>
      </c>
      <c r="AL53">
        <v>0.16919999999999999</v>
      </c>
      <c r="AM53">
        <v>0.16769999999999999</v>
      </c>
      <c r="AN53">
        <f t="shared" si="26"/>
        <v>5.0899999999999987E-2</v>
      </c>
      <c r="AO53">
        <f t="shared" si="27"/>
        <v>4.9099999999999991E-2</v>
      </c>
      <c r="AP53">
        <f t="shared" si="21"/>
        <v>4.9999999999999989E-2</v>
      </c>
      <c r="AQ53">
        <f t="shared" si="22"/>
        <v>1.7241499999999998</v>
      </c>
      <c r="AR53">
        <v>3</v>
      </c>
      <c r="AS53" s="9">
        <f t="shared" si="23"/>
        <v>5.1724499999999995</v>
      </c>
    </row>
    <row r="54" spans="4:45" x14ac:dyDescent="0.2">
      <c r="S54">
        <v>12</v>
      </c>
      <c r="T54">
        <v>0.1179</v>
      </c>
      <c r="U54">
        <v>0.11600000000000001</v>
      </c>
      <c r="V54">
        <v>0.16639999999999999</v>
      </c>
      <c r="W54">
        <v>0.16520000000000001</v>
      </c>
      <c r="X54">
        <f t="shared" si="28"/>
        <v>4.8499999999999988E-2</v>
      </c>
      <c r="Y54">
        <f t="shared" si="29"/>
        <v>4.9200000000000008E-2</v>
      </c>
      <c r="Z54">
        <f t="shared" si="10"/>
        <v>4.8849999999999998E-2</v>
      </c>
      <c r="AA54">
        <f t="shared" si="17"/>
        <v>1.9653265499999997</v>
      </c>
      <c r="AB54">
        <v>3</v>
      </c>
      <c r="AC54" s="9">
        <f t="shared" si="30"/>
        <v>5.8959796499999992</v>
      </c>
      <c r="AI54">
        <v>50</v>
      </c>
      <c r="AJ54">
        <v>0.122</v>
      </c>
      <c r="AK54">
        <v>0.12590000000000001</v>
      </c>
      <c r="AL54">
        <v>0.18659999999999999</v>
      </c>
      <c r="AM54">
        <v>0.18820000000000001</v>
      </c>
      <c r="AN54">
        <f t="shared" si="26"/>
        <v>6.4599999999999991E-2</v>
      </c>
      <c r="AO54">
        <f t="shared" si="27"/>
        <v>6.2299999999999994E-2</v>
      </c>
      <c r="AP54">
        <f t="shared" si="21"/>
        <v>6.3449999999999993E-2</v>
      </c>
      <c r="AQ54">
        <f t="shared" si="22"/>
        <v>2.2710404499999997</v>
      </c>
      <c r="AR54">
        <v>3</v>
      </c>
      <c r="AS54" s="9">
        <f t="shared" si="23"/>
        <v>6.8131213499999994</v>
      </c>
    </row>
    <row r="55" spans="4:45" x14ac:dyDescent="0.2">
      <c r="R55" t="s">
        <v>11</v>
      </c>
      <c r="S55">
        <v>17</v>
      </c>
      <c r="T55">
        <v>0.1242</v>
      </c>
      <c r="U55">
        <v>0.1177</v>
      </c>
      <c r="V55">
        <v>0.248</v>
      </c>
      <c r="W55">
        <v>0.24390000000000001</v>
      </c>
      <c r="X55">
        <f t="shared" si="28"/>
        <v>0.12379999999999999</v>
      </c>
      <c r="Y55">
        <f t="shared" si="29"/>
        <v>0.12620000000000001</v>
      </c>
      <c r="Z55">
        <f t="shared" si="10"/>
        <v>0.125</v>
      </c>
      <c r="AA55">
        <f t="shared" si="17"/>
        <v>5.6816749999999994</v>
      </c>
      <c r="AB55">
        <v>3</v>
      </c>
      <c r="AC55" s="9">
        <f t="shared" si="30"/>
        <v>17.045024999999999</v>
      </c>
      <c r="AI55">
        <v>51</v>
      </c>
      <c r="AJ55">
        <v>0.1235</v>
      </c>
      <c r="AK55">
        <v>0.1211</v>
      </c>
      <c r="AL55">
        <v>0.17180000000000001</v>
      </c>
      <c r="AM55">
        <v>0.1678</v>
      </c>
      <c r="AN55">
        <f t="shared" si="26"/>
        <v>4.830000000000001E-2</v>
      </c>
      <c r="AO55">
        <f t="shared" si="27"/>
        <v>4.6700000000000005E-2</v>
      </c>
      <c r="AP55">
        <f t="shared" si="21"/>
        <v>4.7500000000000007E-2</v>
      </c>
      <c r="AQ55">
        <f t="shared" si="22"/>
        <v>1.6224975000000004</v>
      </c>
      <c r="AR55">
        <v>3</v>
      </c>
      <c r="AS55" s="9">
        <f t="shared" si="23"/>
        <v>4.8674925000000009</v>
      </c>
    </row>
    <row r="56" spans="4:45" x14ac:dyDescent="0.2">
      <c r="S56">
        <v>18</v>
      </c>
      <c r="T56">
        <v>0.122</v>
      </c>
      <c r="U56">
        <v>0.1207</v>
      </c>
      <c r="V56">
        <v>0.224</v>
      </c>
      <c r="W56">
        <v>0.21160000000000001</v>
      </c>
      <c r="X56">
        <f t="shared" si="28"/>
        <v>0.10200000000000001</v>
      </c>
      <c r="Y56">
        <f t="shared" si="29"/>
        <v>9.0900000000000009E-2</v>
      </c>
      <c r="Z56">
        <f t="shared" si="10"/>
        <v>9.6450000000000008E-2</v>
      </c>
      <c r="AA56">
        <f t="shared" si="17"/>
        <v>4.2883493499999998</v>
      </c>
      <c r="AB56">
        <v>3</v>
      </c>
      <c r="AC56" s="9">
        <f t="shared" si="30"/>
        <v>12.865048049999999</v>
      </c>
      <c r="AI56">
        <v>52</v>
      </c>
      <c r="AJ56">
        <v>0.1186</v>
      </c>
      <c r="AK56">
        <v>0.1191</v>
      </c>
      <c r="AL56">
        <v>0.1731</v>
      </c>
      <c r="AM56">
        <v>0.17069999999999999</v>
      </c>
      <c r="AN56">
        <f t="shared" si="26"/>
        <v>5.4500000000000007E-2</v>
      </c>
      <c r="AO56">
        <f t="shared" si="27"/>
        <v>5.1599999999999993E-2</v>
      </c>
      <c r="AP56">
        <f t="shared" si="21"/>
        <v>5.305E-2</v>
      </c>
      <c r="AQ56">
        <f t="shared" si="22"/>
        <v>1.8481660500000001</v>
      </c>
      <c r="AR56">
        <v>3</v>
      </c>
      <c r="AS56" s="9">
        <f t="shared" si="23"/>
        <v>5.5444981500000008</v>
      </c>
    </row>
    <row r="57" spans="4:45" x14ac:dyDescent="0.2">
      <c r="S57">
        <v>20</v>
      </c>
      <c r="T57">
        <v>0.1145</v>
      </c>
      <c r="U57">
        <v>0.11899999999999999</v>
      </c>
      <c r="V57">
        <v>0.24610000000000001</v>
      </c>
      <c r="W57">
        <v>0.2467</v>
      </c>
      <c r="X57">
        <f t="shared" si="28"/>
        <v>0.13159999999999999</v>
      </c>
      <c r="Y57">
        <f t="shared" si="29"/>
        <v>0.12770000000000001</v>
      </c>
      <c r="Z57">
        <f t="shared" si="10"/>
        <v>0.12964999999999999</v>
      </c>
      <c r="AA57">
        <f t="shared" si="17"/>
        <v>5.9086089499999987</v>
      </c>
      <c r="AB57">
        <v>3</v>
      </c>
      <c r="AC57" s="9">
        <f t="shared" si="30"/>
        <v>17.725826849999997</v>
      </c>
      <c r="AI57">
        <v>57</v>
      </c>
      <c r="AJ57">
        <v>0.11609999999999999</v>
      </c>
      <c r="AK57">
        <v>0.115</v>
      </c>
      <c r="AL57">
        <v>0.15559999999999999</v>
      </c>
      <c r="AM57">
        <v>0.15290000000000001</v>
      </c>
      <c r="AN57">
        <f t="shared" si="26"/>
        <v>3.9499999999999993E-2</v>
      </c>
      <c r="AO57">
        <f t="shared" si="27"/>
        <v>3.7900000000000003E-2</v>
      </c>
      <c r="AP57">
        <f t="shared" si="21"/>
        <v>3.8699999999999998E-2</v>
      </c>
      <c r="AQ57">
        <f t="shared" si="22"/>
        <v>1.2646807</v>
      </c>
      <c r="AR57">
        <v>3</v>
      </c>
      <c r="AS57" s="9">
        <f t="shared" si="23"/>
        <v>3.7940421</v>
      </c>
    </row>
    <row r="58" spans="4:45" x14ac:dyDescent="0.2">
      <c r="S58">
        <v>25</v>
      </c>
      <c r="T58">
        <v>0.114</v>
      </c>
      <c r="U58">
        <v>0.1166</v>
      </c>
      <c r="V58">
        <v>0.26300000000000001</v>
      </c>
      <c r="W58">
        <v>0.26579999999999998</v>
      </c>
      <c r="X58">
        <f t="shared" si="28"/>
        <v>0.14900000000000002</v>
      </c>
      <c r="Y58">
        <f t="shared" si="29"/>
        <v>0.1492</v>
      </c>
      <c r="Z58">
        <f t="shared" si="10"/>
        <v>0.14910000000000001</v>
      </c>
      <c r="AA58">
        <f t="shared" si="17"/>
        <v>6.8578272999999994</v>
      </c>
      <c r="AB58">
        <v>3</v>
      </c>
      <c r="AC58" s="9">
        <f t="shared" si="30"/>
        <v>20.573481899999997</v>
      </c>
      <c r="AI58">
        <v>58</v>
      </c>
      <c r="AJ58">
        <v>0.1153</v>
      </c>
      <c r="AK58">
        <v>0.1163</v>
      </c>
      <c r="AL58">
        <v>0.17699999999999999</v>
      </c>
      <c r="AM58">
        <v>0.17899999999999999</v>
      </c>
      <c r="AN58">
        <f t="shared" si="26"/>
        <v>6.1699999999999991E-2</v>
      </c>
      <c r="AO58">
        <f t="shared" si="27"/>
        <v>6.2699999999999992E-2</v>
      </c>
      <c r="AP58">
        <f t="shared" si="21"/>
        <v>6.2199999999999991E-2</v>
      </c>
      <c r="AQ58">
        <f t="shared" si="22"/>
        <v>2.2202141999999996</v>
      </c>
      <c r="AR58">
        <v>3</v>
      </c>
      <c r="AS58" s="9">
        <f t="shared" si="23"/>
        <v>6.6606425999999992</v>
      </c>
    </row>
    <row r="59" spans="4:45" x14ac:dyDescent="0.2">
      <c r="S59">
        <v>26</v>
      </c>
      <c r="T59">
        <v>0.1158</v>
      </c>
      <c r="U59">
        <v>0.125</v>
      </c>
      <c r="V59">
        <v>0.28149999999999997</v>
      </c>
      <c r="W59">
        <v>0.2848</v>
      </c>
      <c r="X59">
        <f t="shared" si="28"/>
        <v>0.16569999999999996</v>
      </c>
      <c r="Y59">
        <f t="shared" si="29"/>
        <v>0.1598</v>
      </c>
      <c r="Z59">
        <f t="shared" si="10"/>
        <v>0.16274999999999998</v>
      </c>
      <c r="AA59">
        <f t="shared" si="17"/>
        <v>7.5239882499999986</v>
      </c>
      <c r="AB59">
        <v>3</v>
      </c>
      <c r="AC59" s="9">
        <f t="shared" si="30"/>
        <v>22.571964749999996</v>
      </c>
      <c r="AI59">
        <v>59</v>
      </c>
      <c r="AJ59">
        <v>0.12379999999999999</v>
      </c>
      <c r="AK59">
        <v>0.1191</v>
      </c>
      <c r="AL59">
        <v>0.2142</v>
      </c>
      <c r="AM59">
        <v>0.2203</v>
      </c>
      <c r="AN59">
        <f t="shared" si="26"/>
        <v>9.0400000000000008E-2</v>
      </c>
      <c r="AO59">
        <f t="shared" si="27"/>
        <v>0.1012</v>
      </c>
      <c r="AP59">
        <f t="shared" si="21"/>
        <v>9.5799999999999996E-2</v>
      </c>
      <c r="AQ59">
        <f t="shared" si="22"/>
        <v>3.5864237999999999</v>
      </c>
      <c r="AR59">
        <v>3</v>
      </c>
      <c r="AS59" s="9">
        <f t="shared" si="23"/>
        <v>10.759271399999999</v>
      </c>
    </row>
    <row r="60" spans="4:45" x14ac:dyDescent="0.2">
      <c r="S60">
        <v>27</v>
      </c>
      <c r="T60">
        <v>0.1215</v>
      </c>
      <c r="U60">
        <v>0.12559999999999999</v>
      </c>
      <c r="V60">
        <v>0.28799999999999998</v>
      </c>
      <c r="W60">
        <v>0.27979999999999999</v>
      </c>
      <c r="X60">
        <f t="shared" si="28"/>
        <v>0.16649999999999998</v>
      </c>
      <c r="Y60">
        <f t="shared" si="29"/>
        <v>0.1542</v>
      </c>
      <c r="Z60">
        <f t="shared" si="10"/>
        <v>0.16034999999999999</v>
      </c>
      <c r="AA60">
        <f t="shared" si="17"/>
        <v>7.4068610499999989</v>
      </c>
      <c r="AB60">
        <v>3</v>
      </c>
      <c r="AC60" s="9">
        <f t="shared" si="30"/>
        <v>22.220583149999996</v>
      </c>
      <c r="AI60">
        <v>60</v>
      </c>
      <c r="AJ60">
        <v>0.12189999999999999</v>
      </c>
      <c r="AK60">
        <v>0.1217</v>
      </c>
      <c r="AL60">
        <v>0.23</v>
      </c>
      <c r="AM60">
        <v>0.23200000000000001</v>
      </c>
      <c r="AN60">
        <f t="shared" si="26"/>
        <v>0.10810000000000002</v>
      </c>
      <c r="AO60">
        <f t="shared" si="27"/>
        <v>0.11030000000000001</v>
      </c>
      <c r="AP60">
        <f t="shared" si="21"/>
        <v>0.10920000000000002</v>
      </c>
      <c r="AQ60">
        <f t="shared" si="22"/>
        <v>4.1312812000000001</v>
      </c>
      <c r="AR60">
        <v>3</v>
      </c>
      <c r="AS60" s="9">
        <f t="shared" si="23"/>
        <v>12.3938436</v>
      </c>
    </row>
    <row r="61" spans="4:45" x14ac:dyDescent="0.2">
      <c r="S61">
        <v>28</v>
      </c>
      <c r="T61">
        <v>0.1221</v>
      </c>
      <c r="U61">
        <v>0.1242</v>
      </c>
      <c r="V61">
        <v>0.24890000000000001</v>
      </c>
      <c r="W61">
        <v>0.23519999999999999</v>
      </c>
      <c r="X61">
        <f t="shared" si="28"/>
        <v>0.12680000000000002</v>
      </c>
      <c r="Y61">
        <f t="shared" si="29"/>
        <v>0.11099999999999999</v>
      </c>
      <c r="Z61">
        <f t="shared" si="10"/>
        <v>0.11890000000000001</v>
      </c>
      <c r="AA61">
        <f t="shared" si="17"/>
        <v>5.3839766999999998</v>
      </c>
      <c r="AB61">
        <v>3</v>
      </c>
      <c r="AC61" s="9">
        <f t="shared" si="30"/>
        <v>16.151930100000001</v>
      </c>
      <c r="AS61" s="9"/>
    </row>
    <row r="62" spans="4:45" x14ac:dyDescent="0.2">
      <c r="R62" t="s">
        <v>12</v>
      </c>
      <c r="S62">
        <v>33</v>
      </c>
      <c r="T62">
        <v>0.11749999999999999</v>
      </c>
      <c r="U62">
        <v>0.1211</v>
      </c>
      <c r="V62">
        <v>0.1646</v>
      </c>
      <c r="W62">
        <v>0.16689999999999999</v>
      </c>
      <c r="X62">
        <f t="shared" si="28"/>
        <v>4.7100000000000003E-2</v>
      </c>
      <c r="Y62">
        <f t="shared" si="29"/>
        <v>4.5799999999999993E-2</v>
      </c>
      <c r="Z62">
        <f t="shared" si="10"/>
        <v>4.6449999999999998E-2</v>
      </c>
      <c r="AA62">
        <f t="shared" si="17"/>
        <v>1.8481993499999996</v>
      </c>
      <c r="AB62">
        <v>3</v>
      </c>
      <c r="AC62" s="9">
        <f t="shared" si="30"/>
        <v>5.5445980499999985</v>
      </c>
    </row>
    <row r="63" spans="4:45" x14ac:dyDescent="0.2">
      <c r="S63">
        <v>34</v>
      </c>
      <c r="T63">
        <v>0.12720000000000001</v>
      </c>
      <c r="U63">
        <v>0.1255</v>
      </c>
      <c r="V63">
        <v>0.1835</v>
      </c>
      <c r="W63">
        <v>0.17860000000000001</v>
      </c>
      <c r="X63">
        <f t="shared" si="28"/>
        <v>5.6299999999999989E-2</v>
      </c>
      <c r="Y63">
        <f t="shared" si="29"/>
        <v>5.3100000000000008E-2</v>
      </c>
      <c r="Z63">
        <f t="shared" si="10"/>
        <v>5.4699999999999999E-2</v>
      </c>
      <c r="AA63">
        <f t="shared" si="17"/>
        <v>2.2508241</v>
      </c>
      <c r="AB63">
        <v>3</v>
      </c>
      <c r="AC63" s="9">
        <f t="shared" si="30"/>
        <v>6.7524723</v>
      </c>
    </row>
    <row r="64" spans="4:45" x14ac:dyDescent="0.2">
      <c r="S64">
        <v>35</v>
      </c>
      <c r="T64">
        <v>0.1303</v>
      </c>
      <c r="U64">
        <v>0.1283</v>
      </c>
      <c r="V64">
        <v>0.18329999999999999</v>
      </c>
      <c r="W64">
        <v>0.17760000000000001</v>
      </c>
      <c r="X64">
        <f t="shared" si="28"/>
        <v>5.2999999999999992E-2</v>
      </c>
      <c r="Y64">
        <f t="shared" si="29"/>
        <v>4.930000000000001E-2</v>
      </c>
      <c r="Z64">
        <f t="shared" si="10"/>
        <v>5.1150000000000001E-2</v>
      </c>
      <c r="AA64">
        <f t="shared" si="17"/>
        <v>2.07757345</v>
      </c>
      <c r="AB64">
        <v>3</v>
      </c>
      <c r="AC64" s="9">
        <f t="shared" si="30"/>
        <v>6.2327203500000001</v>
      </c>
    </row>
    <row r="65" spans="19:29" x14ac:dyDescent="0.2">
      <c r="S65">
        <v>36</v>
      </c>
      <c r="T65">
        <v>0.1263</v>
      </c>
      <c r="U65">
        <v>0.1249</v>
      </c>
      <c r="V65">
        <v>0.20080000000000001</v>
      </c>
      <c r="W65">
        <v>0.19850000000000001</v>
      </c>
      <c r="X65">
        <f t="shared" si="28"/>
        <v>7.4500000000000011E-2</v>
      </c>
      <c r="Y65">
        <f t="shared" si="29"/>
        <v>7.3600000000000013E-2</v>
      </c>
      <c r="Z65">
        <f t="shared" si="10"/>
        <v>7.4050000000000005E-2</v>
      </c>
      <c r="AA65">
        <f t="shared" si="17"/>
        <v>3.1951621500000003</v>
      </c>
      <c r="AB65">
        <v>3</v>
      </c>
      <c r="AC65" s="9">
        <f t="shared" si="30"/>
        <v>9.5854864500000012</v>
      </c>
    </row>
    <row r="66" spans="19:29" x14ac:dyDescent="0.2">
      <c r="S66">
        <v>41</v>
      </c>
      <c r="T66">
        <v>0.1242</v>
      </c>
      <c r="U66">
        <v>0.12690000000000001</v>
      </c>
      <c r="V66">
        <v>0.18840000000000001</v>
      </c>
      <c r="W66">
        <v>0.1943</v>
      </c>
      <c r="X66">
        <f t="shared" si="28"/>
        <v>6.4200000000000007E-2</v>
      </c>
      <c r="Y66">
        <f t="shared" si="29"/>
        <v>6.7399999999999988E-2</v>
      </c>
      <c r="Z66">
        <f t="shared" si="10"/>
        <v>6.5799999999999997E-2</v>
      </c>
      <c r="AA66">
        <f t="shared" si="17"/>
        <v>2.7925374000000001</v>
      </c>
      <c r="AB66">
        <v>3</v>
      </c>
      <c r="AC66" s="9">
        <f t="shared" si="30"/>
        <v>8.3776121999999997</v>
      </c>
    </row>
    <row r="67" spans="19:29" x14ac:dyDescent="0.2">
      <c r="S67">
        <v>42</v>
      </c>
      <c r="T67">
        <v>0.1212</v>
      </c>
      <c r="U67">
        <v>0.13669999999999999</v>
      </c>
      <c r="V67">
        <v>0.1799</v>
      </c>
      <c r="W67">
        <v>0.19059999999999999</v>
      </c>
      <c r="X67">
        <f t="shared" si="28"/>
        <v>5.8700000000000002E-2</v>
      </c>
      <c r="Y67">
        <f t="shared" si="29"/>
        <v>5.3900000000000003E-2</v>
      </c>
      <c r="Z67">
        <f t="shared" si="10"/>
        <v>5.6300000000000003E-2</v>
      </c>
      <c r="AA67">
        <f t="shared" si="17"/>
        <v>2.3289089000000001</v>
      </c>
      <c r="AB67">
        <v>3</v>
      </c>
      <c r="AC67" s="9">
        <f t="shared" si="30"/>
        <v>6.9867267000000002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8"/>
  <sheetViews>
    <sheetView topLeftCell="E3" workbookViewId="0">
      <selection activeCell="X30" sqref="X30"/>
    </sheetView>
  </sheetViews>
  <sheetFormatPr baseColWidth="10" defaultColWidth="8.796875" defaultRowHeight="15" x14ac:dyDescent="0.2"/>
  <cols>
    <col min="5" max="5" width="18.3984375" bestFit="1" customWidth="1"/>
    <col min="6" max="6" width="12.3984375" bestFit="1" customWidth="1"/>
    <col min="7" max="7" width="10.3984375" bestFit="1" customWidth="1"/>
    <col min="12" max="12" width="15.3984375" bestFit="1" customWidth="1"/>
    <col min="15" max="15" width="10.3984375" bestFit="1" customWidth="1"/>
    <col min="24" max="24" width="16" bestFit="1" customWidth="1"/>
    <col min="27" max="27" width="10.3984375" bestFit="1" customWidth="1"/>
  </cols>
  <sheetData>
    <row r="2" spans="1:6" x14ac:dyDescent="0.2">
      <c r="B2" t="s">
        <v>151</v>
      </c>
      <c r="C2" t="s">
        <v>149</v>
      </c>
      <c r="D2" t="s">
        <v>150</v>
      </c>
      <c r="E2" t="s">
        <v>147</v>
      </c>
    </row>
    <row r="3" spans="1:6" x14ac:dyDescent="0.2">
      <c r="B3">
        <v>0</v>
      </c>
      <c r="C3">
        <v>4.5100000000000001E-2</v>
      </c>
      <c r="D3">
        <v>4.4900000000000002E-2</v>
      </c>
      <c r="E3">
        <f>AVERAGE(C3:D3)</f>
        <v>4.4999999999999998E-2</v>
      </c>
    </row>
    <row r="4" spans="1:6" x14ac:dyDescent="0.2">
      <c r="B4">
        <v>0.5</v>
      </c>
      <c r="C4">
        <v>8.4599999999999995E-2</v>
      </c>
      <c r="D4">
        <v>8.5699999999999998E-2</v>
      </c>
      <c r="E4">
        <f t="shared" ref="E4:E10" si="0">AVERAGE(C4:D4)</f>
        <v>8.5150000000000003E-2</v>
      </c>
    </row>
    <row r="5" spans="1:6" x14ac:dyDescent="0.2">
      <c r="B5">
        <v>1</v>
      </c>
      <c r="C5">
        <v>0.12379999999999999</v>
      </c>
      <c r="D5">
        <v>0.1235</v>
      </c>
      <c r="E5">
        <f t="shared" si="0"/>
        <v>0.12365</v>
      </c>
    </row>
    <row r="6" spans="1:6" x14ac:dyDescent="0.2">
      <c r="B6">
        <v>2</v>
      </c>
      <c r="C6">
        <v>0.2056</v>
      </c>
      <c r="D6">
        <v>0.19289999999999999</v>
      </c>
      <c r="E6">
        <f t="shared" si="0"/>
        <v>0.19924999999999998</v>
      </c>
    </row>
    <row r="7" spans="1:6" x14ac:dyDescent="0.2">
      <c r="B7">
        <v>4</v>
      </c>
      <c r="C7">
        <v>0.35709999999999997</v>
      </c>
      <c r="D7">
        <v>0.38969999999999999</v>
      </c>
      <c r="E7">
        <f t="shared" si="0"/>
        <v>0.37339999999999995</v>
      </c>
    </row>
    <row r="8" spans="1:6" x14ac:dyDescent="0.2">
      <c r="B8">
        <v>6</v>
      </c>
      <c r="C8">
        <v>0.50460000000000005</v>
      </c>
      <c r="D8">
        <v>0.51449999999999996</v>
      </c>
      <c r="E8">
        <f t="shared" si="0"/>
        <v>0.50954999999999995</v>
      </c>
    </row>
    <row r="9" spans="1:6" x14ac:dyDescent="0.2">
      <c r="B9">
        <v>8</v>
      </c>
      <c r="C9">
        <v>0.68579999999999997</v>
      </c>
      <c r="D9">
        <v>0.63149999999999995</v>
      </c>
      <c r="E9">
        <f t="shared" si="0"/>
        <v>0.65864999999999996</v>
      </c>
    </row>
    <row r="10" spans="1:6" x14ac:dyDescent="0.2">
      <c r="B10">
        <v>10</v>
      </c>
      <c r="C10">
        <v>0.7631</v>
      </c>
      <c r="D10">
        <v>0.82709999999999995</v>
      </c>
      <c r="E10">
        <f t="shared" si="0"/>
        <v>0.79509999999999992</v>
      </c>
    </row>
    <row r="12" spans="1:6" x14ac:dyDescent="0.2">
      <c r="A12" s="3"/>
      <c r="B12" s="3" t="s">
        <v>149</v>
      </c>
      <c r="C12" s="3" t="s">
        <v>150</v>
      </c>
      <c r="D12" s="3" t="s">
        <v>156</v>
      </c>
      <c r="E12" s="3" t="s">
        <v>161</v>
      </c>
      <c r="F12" s="3" t="s">
        <v>162</v>
      </c>
    </row>
    <row r="13" spans="1:6" x14ac:dyDescent="0.2">
      <c r="A13" s="3" t="s">
        <v>154</v>
      </c>
      <c r="B13" s="3">
        <v>0.4733</v>
      </c>
      <c r="C13" s="3">
        <v>0.46710000000000002</v>
      </c>
      <c r="D13" s="3">
        <f>AVERAGE(B13:C13)</f>
        <v>0.47020000000000001</v>
      </c>
      <c r="E13" s="3">
        <f>13.21*D13-0.669</f>
        <v>5.5423419999999997</v>
      </c>
      <c r="F13" s="3">
        <f>E13*180.16*0.001*1000*0.1</f>
        <v>99.850833471999991</v>
      </c>
    </row>
    <row r="14" spans="1:6" x14ac:dyDescent="0.2">
      <c r="A14" s="3"/>
      <c r="B14" s="3"/>
      <c r="C14" s="3"/>
      <c r="D14" s="3"/>
      <c r="E14" s="3" t="s">
        <v>163</v>
      </c>
      <c r="F14" s="3">
        <v>100</v>
      </c>
    </row>
    <row r="18" spans="2:31" s="3" customFormat="1" x14ac:dyDescent="0.2">
      <c r="B18" s="5" t="s">
        <v>146</v>
      </c>
      <c r="C18" s="5" t="s">
        <v>4</v>
      </c>
      <c r="D18" s="5" t="s">
        <v>5</v>
      </c>
      <c r="E18" s="5" t="s">
        <v>144</v>
      </c>
      <c r="F18" s="5" t="s">
        <v>149</v>
      </c>
      <c r="G18" s="5" t="s">
        <v>150</v>
      </c>
      <c r="H18" s="5" t="s">
        <v>147</v>
      </c>
      <c r="I18" s="5" t="s">
        <v>165</v>
      </c>
      <c r="J18" s="5" t="s">
        <v>19</v>
      </c>
      <c r="K18" s="5" t="s">
        <v>165</v>
      </c>
      <c r="N18" s="3" t="s">
        <v>146</v>
      </c>
      <c r="O18" s="3" t="s">
        <v>4</v>
      </c>
      <c r="P18" s="3" t="s">
        <v>5</v>
      </c>
      <c r="Q18" s="3" t="s">
        <v>144</v>
      </c>
      <c r="R18" s="3" t="s">
        <v>149</v>
      </c>
      <c r="S18" s="3" t="s">
        <v>150</v>
      </c>
      <c r="T18" s="3" t="s">
        <v>147</v>
      </c>
      <c r="U18" s="3" t="s">
        <v>165</v>
      </c>
      <c r="V18" s="3" t="s">
        <v>19</v>
      </c>
      <c r="W18" s="3" t="s">
        <v>165</v>
      </c>
      <c r="AA18" s="3" t="s">
        <v>4</v>
      </c>
      <c r="AB18" s="3" t="s">
        <v>132</v>
      </c>
      <c r="AC18" s="3" t="s">
        <v>140</v>
      </c>
      <c r="AD18" s="3" t="s">
        <v>65</v>
      </c>
      <c r="AE18" s="3" t="s">
        <v>66</v>
      </c>
    </row>
    <row r="19" spans="2:31" x14ac:dyDescent="0.2">
      <c r="B19" s="4">
        <v>11</v>
      </c>
      <c r="C19" s="4" t="s">
        <v>9</v>
      </c>
      <c r="D19" s="4" t="s">
        <v>10</v>
      </c>
      <c r="E19" s="4">
        <v>1</v>
      </c>
      <c r="F19">
        <v>0.12089999999999999</v>
      </c>
      <c r="G19">
        <v>0.1163</v>
      </c>
      <c r="H19" s="4">
        <f>AVERAGE(F19:G19)</f>
        <v>0.1186</v>
      </c>
      <c r="I19" s="4">
        <f>13.21*H19-0.669</f>
        <v>0.89770600000000011</v>
      </c>
      <c r="J19" s="4">
        <v>3</v>
      </c>
      <c r="K19" s="4">
        <f>I19*J19</f>
        <v>2.6931180000000001</v>
      </c>
      <c r="N19">
        <v>15</v>
      </c>
      <c r="O19" t="s">
        <v>18</v>
      </c>
      <c r="P19" t="s">
        <v>10</v>
      </c>
      <c r="Q19">
        <v>5</v>
      </c>
      <c r="T19" s="4" t="e">
        <f>AVERAGE(R19:S19)</f>
        <v>#DIV/0!</v>
      </c>
      <c r="U19" s="4" t="e">
        <f>13.21*T19-0.669</f>
        <v>#DIV/0!</v>
      </c>
      <c r="V19">
        <v>3</v>
      </c>
      <c r="W19" t="e">
        <f>U19*V19</f>
        <v>#DIV/0!</v>
      </c>
      <c r="AA19" t="s">
        <v>18</v>
      </c>
      <c r="AB19" t="s">
        <v>10</v>
      </c>
      <c r="AC19">
        <f>AVERAGE(W20:W30)</f>
        <v>2.5155035454545449</v>
      </c>
      <c r="AD19">
        <f>COUNT(W20:W30)</f>
        <v>11</v>
      </c>
      <c r="AE19">
        <f>STDEV(W20:W30)/SQRT(AD19)</f>
        <v>0.14608159491974984</v>
      </c>
    </row>
    <row r="20" spans="2:31" x14ac:dyDescent="0.2">
      <c r="B20" s="4"/>
      <c r="C20" s="4"/>
      <c r="D20" s="4"/>
      <c r="E20" s="4">
        <v>2</v>
      </c>
      <c r="F20">
        <v>0.11409999999999999</v>
      </c>
      <c r="G20">
        <v>0.1113</v>
      </c>
      <c r="H20" s="4">
        <f t="shared" ref="H20:H68" si="1">AVERAGE(F20:G20)</f>
        <v>0.11269999999999999</v>
      </c>
      <c r="I20" s="4">
        <f t="shared" ref="I20:I68" si="2">13.21*H20-0.669</f>
        <v>0.81976699999999991</v>
      </c>
      <c r="J20" s="4">
        <v>3</v>
      </c>
      <c r="K20" s="4">
        <f t="shared" ref="K20:K68" si="3">I20*J20</f>
        <v>2.459301</v>
      </c>
      <c r="Q20">
        <v>6</v>
      </c>
      <c r="R20">
        <v>0.1101</v>
      </c>
      <c r="S20">
        <v>0.1071</v>
      </c>
      <c r="T20" s="4">
        <f t="shared" ref="T20:T68" si="4">AVERAGE(R20:S20)</f>
        <v>0.1086</v>
      </c>
      <c r="U20" s="4">
        <f t="shared" ref="U20:U68" si="5">13.21*T20-0.669</f>
        <v>0.76560600000000001</v>
      </c>
      <c r="V20">
        <v>3</v>
      </c>
      <c r="W20">
        <f t="shared" ref="W20:W68" si="6">U20*V20</f>
        <v>2.296818</v>
      </c>
      <c r="AB20" t="s">
        <v>11</v>
      </c>
      <c r="AC20">
        <f>AVERAGE(W31:W38,W40:W43)</f>
        <v>3.3131623750000005</v>
      </c>
      <c r="AD20">
        <f>COUNT(W31:W38,W40:W43)</f>
        <v>12</v>
      </c>
      <c r="AE20">
        <f>STDEV(W31:W38,W40:W43)/SQRT(AD20)</f>
        <v>0.17336631662420701</v>
      </c>
    </row>
    <row r="21" spans="2:31" x14ac:dyDescent="0.2">
      <c r="B21" s="4"/>
      <c r="C21" s="4"/>
      <c r="D21" s="4"/>
      <c r="E21" s="4">
        <v>3</v>
      </c>
      <c r="F21">
        <v>0.1171</v>
      </c>
      <c r="G21">
        <v>0.1171</v>
      </c>
      <c r="H21" s="4">
        <f t="shared" si="1"/>
        <v>0.1171</v>
      </c>
      <c r="I21" s="4">
        <f t="shared" si="2"/>
        <v>0.87789099999999998</v>
      </c>
      <c r="J21" s="4">
        <v>3</v>
      </c>
      <c r="K21" s="4">
        <f t="shared" si="3"/>
        <v>2.6336729999999999</v>
      </c>
      <c r="Q21">
        <v>7</v>
      </c>
      <c r="R21">
        <v>0.1211</v>
      </c>
      <c r="S21">
        <v>0.11840000000000001</v>
      </c>
      <c r="T21" s="4">
        <f t="shared" si="4"/>
        <v>0.11975</v>
      </c>
      <c r="U21" s="4">
        <f t="shared" si="5"/>
        <v>0.91289749999999992</v>
      </c>
      <c r="V21">
        <v>3</v>
      </c>
      <c r="W21">
        <f t="shared" si="6"/>
        <v>2.7386925</v>
      </c>
      <c r="AB21" t="s">
        <v>12</v>
      </c>
      <c r="AC21">
        <f>AVERAGE(W44:W55)</f>
        <v>4.9787782499999995</v>
      </c>
      <c r="AD21">
        <f>COUNT(W44:W55)</f>
        <v>12</v>
      </c>
      <c r="AE21">
        <f>STDEV(W44:W55)/SQRT(AD21)</f>
        <v>0.48803180645506095</v>
      </c>
    </row>
    <row r="22" spans="2:31" x14ac:dyDescent="0.2">
      <c r="B22" s="4"/>
      <c r="C22" s="4"/>
      <c r="D22" s="4"/>
      <c r="E22" s="4">
        <v>4</v>
      </c>
      <c r="F22">
        <v>0.10589999999999999</v>
      </c>
      <c r="G22">
        <v>0.1026</v>
      </c>
      <c r="H22" s="4">
        <f t="shared" si="1"/>
        <v>0.10425</v>
      </c>
      <c r="I22" s="4">
        <f t="shared" si="2"/>
        <v>0.7081424999999999</v>
      </c>
      <c r="J22" s="4">
        <v>3</v>
      </c>
      <c r="K22" s="4">
        <f t="shared" si="3"/>
        <v>2.1244274999999995</v>
      </c>
      <c r="Q22">
        <v>8</v>
      </c>
      <c r="R22">
        <v>9.9400000000000002E-2</v>
      </c>
      <c r="S22">
        <v>9.9400000000000002E-2</v>
      </c>
      <c r="T22" s="4">
        <f t="shared" si="4"/>
        <v>9.9400000000000002E-2</v>
      </c>
      <c r="U22" s="4">
        <f t="shared" si="5"/>
        <v>0.64407400000000004</v>
      </c>
      <c r="V22">
        <v>3</v>
      </c>
      <c r="W22">
        <f t="shared" si="6"/>
        <v>1.9322220000000001</v>
      </c>
      <c r="AB22" t="s">
        <v>13</v>
      </c>
      <c r="AC22">
        <f>AVERAGE(W57:W68)</f>
        <v>2.4117450000000002</v>
      </c>
      <c r="AD22">
        <f>COUNT(W57:W68)</f>
        <v>11</v>
      </c>
      <c r="AE22">
        <f>STDEV(W57:W68)/SQRT(AD22)</f>
        <v>0.21455620246477261</v>
      </c>
    </row>
    <row r="23" spans="2:31" x14ac:dyDescent="0.2">
      <c r="B23" s="4">
        <v>12</v>
      </c>
      <c r="C23" s="4"/>
      <c r="D23" s="4"/>
      <c r="E23" s="4">
        <v>9</v>
      </c>
      <c r="F23">
        <v>0.1371</v>
      </c>
      <c r="G23">
        <v>0.1326</v>
      </c>
      <c r="H23" s="4">
        <f t="shared" si="1"/>
        <v>0.13485</v>
      </c>
      <c r="I23" s="4">
        <f t="shared" si="2"/>
        <v>1.1123685000000001</v>
      </c>
      <c r="J23" s="4">
        <v>3</v>
      </c>
      <c r="K23" s="4">
        <f t="shared" si="3"/>
        <v>3.3371055000000003</v>
      </c>
      <c r="N23">
        <v>14</v>
      </c>
      <c r="Q23">
        <v>13</v>
      </c>
      <c r="R23">
        <v>0.1384</v>
      </c>
      <c r="S23">
        <v>0.13919999999999999</v>
      </c>
      <c r="T23" s="4">
        <f t="shared" si="4"/>
        <v>0.13879999999999998</v>
      </c>
      <c r="U23" s="4">
        <f t="shared" si="5"/>
        <v>1.1645479999999997</v>
      </c>
      <c r="V23">
        <v>3</v>
      </c>
      <c r="W23">
        <f t="shared" si="6"/>
        <v>3.4936439999999989</v>
      </c>
    </row>
    <row r="24" spans="2:31" x14ac:dyDescent="0.2">
      <c r="B24" s="4"/>
      <c r="C24" s="4"/>
      <c r="D24" s="4"/>
      <c r="E24" s="4">
        <v>10</v>
      </c>
      <c r="F24">
        <v>8.5800000000000001E-2</v>
      </c>
      <c r="G24">
        <v>8.5099999999999995E-2</v>
      </c>
      <c r="H24" s="4">
        <f t="shared" si="1"/>
        <v>8.5449999999999998E-2</v>
      </c>
      <c r="I24" s="4">
        <f t="shared" si="2"/>
        <v>0.45979450000000011</v>
      </c>
      <c r="J24" s="4">
        <v>3</v>
      </c>
      <c r="K24" s="4">
        <f t="shared" si="3"/>
        <v>1.3793835000000003</v>
      </c>
      <c r="Q24">
        <v>14</v>
      </c>
      <c r="R24">
        <v>0.1348</v>
      </c>
      <c r="S24">
        <v>0.13270000000000001</v>
      </c>
      <c r="T24" s="4">
        <f t="shared" si="4"/>
        <v>0.13375000000000001</v>
      </c>
      <c r="U24" s="4">
        <f t="shared" si="5"/>
        <v>1.0978375000000002</v>
      </c>
      <c r="V24">
        <v>3</v>
      </c>
      <c r="W24">
        <f t="shared" si="6"/>
        <v>3.2935125000000007</v>
      </c>
      <c r="AA24" t="s">
        <v>9</v>
      </c>
      <c r="AB24" t="s">
        <v>10</v>
      </c>
      <c r="AC24">
        <f>AVERAGE(K19:K30)</f>
        <v>2.7215194999999999</v>
      </c>
      <c r="AD24">
        <f>COUNT(K19:K30)</f>
        <v>12</v>
      </c>
      <c r="AE24">
        <f>STDEV(K19:K30)/SQRT(AD24)</f>
        <v>0.28492187927688289</v>
      </c>
    </row>
    <row r="25" spans="2:31" x14ac:dyDescent="0.2">
      <c r="B25" s="4"/>
      <c r="C25" s="4"/>
      <c r="D25" s="4"/>
      <c r="E25" s="4">
        <v>11</v>
      </c>
      <c r="F25">
        <v>0.1118</v>
      </c>
      <c r="G25">
        <v>0.11609999999999999</v>
      </c>
      <c r="H25" s="4">
        <f t="shared" si="1"/>
        <v>0.11395</v>
      </c>
      <c r="I25" s="4">
        <f t="shared" si="2"/>
        <v>0.83627950000000006</v>
      </c>
      <c r="J25" s="4">
        <v>3</v>
      </c>
      <c r="K25" s="4">
        <f t="shared" si="3"/>
        <v>2.5088385000000004</v>
      </c>
      <c r="Q25">
        <v>15</v>
      </c>
      <c r="R25">
        <v>0.1138</v>
      </c>
      <c r="S25">
        <v>0.11070000000000001</v>
      </c>
      <c r="T25" s="4">
        <f t="shared" si="4"/>
        <v>0.11225</v>
      </c>
      <c r="U25" s="4">
        <f t="shared" si="5"/>
        <v>0.81382250000000012</v>
      </c>
      <c r="V25">
        <v>3</v>
      </c>
      <c r="W25">
        <f t="shared" si="6"/>
        <v>2.4414675000000003</v>
      </c>
      <c r="AB25" t="s">
        <v>11</v>
      </c>
      <c r="AC25">
        <f>AVERAGE(K31:K32,K34:K43)</f>
        <v>3.9561591249999997</v>
      </c>
      <c r="AD25">
        <f>COUNT(K31:K32,K34:K43)</f>
        <v>12</v>
      </c>
      <c r="AE25">
        <f>STDEV(K31:K32,K34:K43)/SQRT(AD25)</f>
        <v>0.40057636650089778</v>
      </c>
    </row>
    <row r="26" spans="2:31" x14ac:dyDescent="0.2">
      <c r="B26" s="4"/>
      <c r="C26" s="4"/>
      <c r="D26" s="4"/>
      <c r="E26" s="4">
        <v>12</v>
      </c>
      <c r="F26">
        <v>0.1234</v>
      </c>
      <c r="G26">
        <v>0.1236</v>
      </c>
      <c r="H26" s="4">
        <f t="shared" si="1"/>
        <v>0.1235</v>
      </c>
      <c r="I26" s="4">
        <f t="shared" si="2"/>
        <v>0.96243500000000015</v>
      </c>
      <c r="J26" s="4">
        <v>3</v>
      </c>
      <c r="K26" s="4">
        <f t="shared" si="3"/>
        <v>2.8873050000000005</v>
      </c>
      <c r="Q26">
        <v>16</v>
      </c>
      <c r="R26">
        <v>0.1108</v>
      </c>
      <c r="S26">
        <v>0.1082</v>
      </c>
      <c r="T26" s="4">
        <f t="shared" si="4"/>
        <v>0.1095</v>
      </c>
      <c r="U26" s="4">
        <f t="shared" si="5"/>
        <v>0.77749500000000005</v>
      </c>
      <c r="V26">
        <v>3</v>
      </c>
      <c r="W26">
        <f t="shared" si="6"/>
        <v>2.3324850000000001</v>
      </c>
      <c r="AB26" t="s">
        <v>12</v>
      </c>
      <c r="AC26">
        <f>AVERAGE(K44:K47,K49:K55)</f>
        <v>3.6060490909090905</v>
      </c>
      <c r="AD26">
        <f>COUNT(K44:K47,K49:K55)</f>
        <v>11</v>
      </c>
      <c r="AE26">
        <f>STDEV(K44:K47,K49:K55)/SQRT(AD26)</f>
        <v>0.55434185944587344</v>
      </c>
    </row>
    <row r="27" spans="2:31" x14ac:dyDescent="0.2">
      <c r="B27" s="4">
        <v>12</v>
      </c>
      <c r="C27" s="4"/>
      <c r="D27" s="4"/>
      <c r="E27" s="4">
        <v>65</v>
      </c>
      <c r="F27">
        <v>0.1216</v>
      </c>
      <c r="G27">
        <v>0.1229</v>
      </c>
      <c r="H27" s="4">
        <f t="shared" si="1"/>
        <v>0.12225</v>
      </c>
      <c r="I27" s="4">
        <f t="shared" si="2"/>
        <v>0.9459225</v>
      </c>
      <c r="J27" s="4">
        <v>3</v>
      </c>
      <c r="K27" s="4">
        <f t="shared" si="3"/>
        <v>2.8377675</v>
      </c>
      <c r="N27">
        <v>15</v>
      </c>
      <c r="Q27">
        <v>69</v>
      </c>
      <c r="R27">
        <v>0.11070000000000001</v>
      </c>
      <c r="S27">
        <v>0.1067</v>
      </c>
      <c r="T27" s="4">
        <f t="shared" si="4"/>
        <v>0.1087</v>
      </c>
      <c r="U27" s="4">
        <f t="shared" si="5"/>
        <v>0.76692700000000014</v>
      </c>
      <c r="V27">
        <v>3</v>
      </c>
      <c r="W27">
        <f t="shared" si="6"/>
        <v>2.3007810000000006</v>
      </c>
      <c r="AB27" t="s">
        <v>13</v>
      </c>
      <c r="AC27">
        <f>AVERAGE(K56:K68)</f>
        <v>3.8803413461538461</v>
      </c>
      <c r="AD27">
        <f>COUNT(K56:K68)</f>
        <v>13</v>
      </c>
      <c r="AE27">
        <f>STDEV(K56:K68)/SQRT(AD27)</f>
        <v>0.62181601223738459</v>
      </c>
    </row>
    <row r="28" spans="2:31" x14ac:dyDescent="0.2">
      <c r="B28" s="4"/>
      <c r="C28" s="4"/>
      <c r="D28" s="4"/>
      <c r="E28" s="4">
        <v>66</v>
      </c>
      <c r="F28">
        <v>0.18579999999999999</v>
      </c>
      <c r="G28">
        <v>0.18840000000000001</v>
      </c>
      <c r="H28" s="4">
        <f t="shared" si="1"/>
        <v>0.18709999999999999</v>
      </c>
      <c r="I28" s="4">
        <f t="shared" si="2"/>
        <v>1.8025910000000001</v>
      </c>
      <c r="J28" s="4">
        <v>3</v>
      </c>
      <c r="K28" s="4">
        <f t="shared" si="3"/>
        <v>5.4077730000000006</v>
      </c>
      <c r="Q28">
        <v>70</v>
      </c>
      <c r="R28">
        <v>0.1099</v>
      </c>
      <c r="S28">
        <v>0.1055</v>
      </c>
      <c r="T28" s="4">
        <f t="shared" si="4"/>
        <v>0.10769999999999999</v>
      </c>
      <c r="U28" s="4">
        <f t="shared" si="5"/>
        <v>0.75371699999999997</v>
      </c>
      <c r="V28">
        <v>3</v>
      </c>
      <c r="W28">
        <f t="shared" si="6"/>
        <v>2.2611509999999999</v>
      </c>
    </row>
    <row r="29" spans="2:31" x14ac:dyDescent="0.2">
      <c r="B29" s="4"/>
      <c r="C29" s="4"/>
      <c r="D29" s="4"/>
      <c r="E29" s="4">
        <v>67</v>
      </c>
      <c r="F29">
        <v>0.1162</v>
      </c>
      <c r="G29">
        <v>0.1135</v>
      </c>
      <c r="H29" s="4">
        <f t="shared" si="1"/>
        <v>0.11485000000000001</v>
      </c>
      <c r="I29" s="4">
        <f t="shared" si="2"/>
        <v>0.8481685000000001</v>
      </c>
      <c r="J29" s="4">
        <v>3</v>
      </c>
      <c r="K29" s="4">
        <f t="shared" si="3"/>
        <v>2.5445055000000005</v>
      </c>
      <c r="Q29">
        <v>71</v>
      </c>
      <c r="R29">
        <v>0.10489999999999999</v>
      </c>
      <c r="S29">
        <v>0.1009</v>
      </c>
      <c r="T29" s="4">
        <f t="shared" si="4"/>
        <v>0.10289999999999999</v>
      </c>
      <c r="U29" s="4">
        <f t="shared" si="5"/>
        <v>0.69030899999999984</v>
      </c>
      <c r="V29">
        <v>3</v>
      </c>
      <c r="W29">
        <f t="shared" si="6"/>
        <v>2.0709269999999993</v>
      </c>
    </row>
    <row r="30" spans="2:31" x14ac:dyDescent="0.2">
      <c r="B30" s="4"/>
      <c r="C30" s="4"/>
      <c r="D30" s="4"/>
      <c r="E30" s="4">
        <v>68</v>
      </c>
      <c r="F30">
        <v>0.1</v>
      </c>
      <c r="G30">
        <v>9.4399999999999998E-2</v>
      </c>
      <c r="H30" s="4">
        <f t="shared" si="1"/>
        <v>9.7200000000000009E-2</v>
      </c>
      <c r="I30" s="4">
        <f t="shared" si="2"/>
        <v>0.61501200000000011</v>
      </c>
      <c r="J30" s="4">
        <v>3</v>
      </c>
      <c r="K30" s="4">
        <f t="shared" si="3"/>
        <v>1.8450360000000003</v>
      </c>
      <c r="Q30">
        <v>72</v>
      </c>
      <c r="R30">
        <v>0.1147</v>
      </c>
      <c r="S30">
        <v>0.1132</v>
      </c>
      <c r="T30" s="4">
        <f t="shared" si="4"/>
        <v>0.11395</v>
      </c>
      <c r="U30" s="4">
        <f t="shared" si="5"/>
        <v>0.83627950000000006</v>
      </c>
      <c r="V30">
        <v>3</v>
      </c>
      <c r="W30">
        <f t="shared" si="6"/>
        <v>2.5088385000000004</v>
      </c>
    </row>
    <row r="31" spans="2:31" x14ac:dyDescent="0.2">
      <c r="B31" s="4">
        <v>11</v>
      </c>
      <c r="C31" s="4"/>
      <c r="D31" s="4" t="s">
        <v>11</v>
      </c>
      <c r="E31" s="4">
        <v>17</v>
      </c>
      <c r="F31">
        <v>0.1366</v>
      </c>
      <c r="G31">
        <v>0.13239999999999999</v>
      </c>
      <c r="H31" s="4">
        <f t="shared" si="1"/>
        <v>0.13450000000000001</v>
      </c>
      <c r="I31" s="4">
        <f t="shared" si="2"/>
        <v>1.1077450000000002</v>
      </c>
      <c r="J31" s="4">
        <v>3</v>
      </c>
      <c r="K31" s="4">
        <f t="shared" si="3"/>
        <v>3.3232350000000004</v>
      </c>
      <c r="N31">
        <v>15</v>
      </c>
      <c r="P31" t="s">
        <v>11</v>
      </c>
      <c r="Q31">
        <v>21</v>
      </c>
      <c r="R31">
        <v>0.13539999999999999</v>
      </c>
      <c r="S31">
        <v>0.13420000000000001</v>
      </c>
      <c r="T31" s="4">
        <f t="shared" si="4"/>
        <v>0.1348</v>
      </c>
      <c r="U31" s="4">
        <f t="shared" si="5"/>
        <v>1.1117080000000001</v>
      </c>
      <c r="V31">
        <v>3</v>
      </c>
      <c r="W31">
        <f t="shared" si="6"/>
        <v>3.3351240000000004</v>
      </c>
    </row>
    <row r="32" spans="2:31" x14ac:dyDescent="0.2">
      <c r="B32" s="4"/>
      <c r="C32" s="4"/>
      <c r="D32" s="4"/>
      <c r="E32" s="4">
        <v>18</v>
      </c>
      <c r="F32">
        <v>0.12529999999999999</v>
      </c>
      <c r="G32">
        <v>0.1226</v>
      </c>
      <c r="H32" s="4">
        <f t="shared" si="1"/>
        <v>0.12395</v>
      </c>
      <c r="I32" s="4">
        <f t="shared" si="2"/>
        <v>0.96837950000000017</v>
      </c>
      <c r="J32" s="4">
        <v>3</v>
      </c>
      <c r="K32" s="4">
        <f t="shared" si="3"/>
        <v>2.9051385000000005</v>
      </c>
      <c r="Q32">
        <v>22</v>
      </c>
      <c r="R32">
        <v>0.1668</v>
      </c>
      <c r="S32">
        <v>0.16389999999999999</v>
      </c>
      <c r="T32" s="4">
        <f t="shared" si="4"/>
        <v>0.16535</v>
      </c>
      <c r="U32" s="4">
        <f t="shared" si="5"/>
        <v>1.5152735000000002</v>
      </c>
      <c r="V32">
        <v>3</v>
      </c>
      <c r="W32">
        <f t="shared" si="6"/>
        <v>4.5458205000000005</v>
      </c>
    </row>
    <row r="33" spans="2:26" x14ac:dyDescent="0.2">
      <c r="B33" s="4"/>
      <c r="C33" s="4"/>
      <c r="D33" s="4"/>
      <c r="E33" s="4">
        <v>19</v>
      </c>
      <c r="H33" s="4" t="e">
        <f t="shared" si="1"/>
        <v>#DIV/0!</v>
      </c>
      <c r="I33" s="4" t="e">
        <f t="shared" si="2"/>
        <v>#DIV/0!</v>
      </c>
      <c r="J33" s="4">
        <v>3</v>
      </c>
      <c r="K33" s="4" t="e">
        <f t="shared" si="3"/>
        <v>#DIV/0!</v>
      </c>
      <c r="Q33">
        <v>23</v>
      </c>
      <c r="R33">
        <v>0.12939999999999999</v>
      </c>
      <c r="S33">
        <v>0.12520000000000001</v>
      </c>
      <c r="T33" s="4">
        <f t="shared" si="4"/>
        <v>0.1273</v>
      </c>
      <c r="U33" s="4">
        <f t="shared" si="5"/>
        <v>1.0126330000000001</v>
      </c>
      <c r="V33">
        <v>3</v>
      </c>
      <c r="W33">
        <f t="shared" si="6"/>
        <v>3.0378990000000003</v>
      </c>
    </row>
    <row r="34" spans="2:26" x14ac:dyDescent="0.2">
      <c r="B34" s="4"/>
      <c r="C34" s="4"/>
      <c r="D34" s="4"/>
      <c r="E34" s="4">
        <v>20</v>
      </c>
      <c r="F34">
        <v>0.14410000000000001</v>
      </c>
      <c r="G34">
        <v>0.14180000000000001</v>
      </c>
      <c r="H34" s="4">
        <f t="shared" si="1"/>
        <v>0.14295000000000002</v>
      </c>
      <c r="I34" s="4">
        <f t="shared" si="2"/>
        <v>1.2193695000000004</v>
      </c>
      <c r="J34" s="4">
        <v>3</v>
      </c>
      <c r="K34" s="4">
        <f t="shared" si="3"/>
        <v>3.6581085000000013</v>
      </c>
      <c r="Q34">
        <v>24</v>
      </c>
      <c r="R34">
        <v>0.1391</v>
      </c>
      <c r="S34">
        <v>0.1353</v>
      </c>
      <c r="T34" s="4">
        <f t="shared" si="4"/>
        <v>0.13719999999999999</v>
      </c>
      <c r="U34" s="4">
        <f t="shared" si="5"/>
        <v>1.1434119999999999</v>
      </c>
      <c r="V34">
        <v>3</v>
      </c>
      <c r="W34">
        <f t="shared" si="6"/>
        <v>3.4302359999999998</v>
      </c>
    </row>
    <row r="35" spans="2:26" x14ac:dyDescent="0.2">
      <c r="B35" s="4">
        <v>12</v>
      </c>
      <c r="C35" s="4"/>
      <c r="D35" s="4"/>
      <c r="E35" s="4">
        <v>25</v>
      </c>
      <c r="F35">
        <v>0.14710000000000001</v>
      </c>
      <c r="G35">
        <v>0.1467</v>
      </c>
      <c r="H35" s="4">
        <f t="shared" si="1"/>
        <v>0.1469</v>
      </c>
      <c r="I35" s="4">
        <f t="shared" si="2"/>
        <v>1.271549</v>
      </c>
      <c r="J35" s="4">
        <v>3</v>
      </c>
      <c r="K35" s="4">
        <f t="shared" si="3"/>
        <v>3.8146469999999999</v>
      </c>
      <c r="N35">
        <v>14</v>
      </c>
      <c r="Q35">
        <v>29</v>
      </c>
      <c r="R35">
        <v>0.125</v>
      </c>
      <c r="S35">
        <v>0.1192</v>
      </c>
      <c r="T35" s="4">
        <f t="shared" si="4"/>
        <v>0.1221</v>
      </c>
      <c r="U35" s="4">
        <f t="shared" si="5"/>
        <v>0.94394100000000014</v>
      </c>
      <c r="V35">
        <v>3</v>
      </c>
      <c r="W35">
        <f t="shared" si="6"/>
        <v>2.8318230000000004</v>
      </c>
    </row>
    <row r="36" spans="2:26" x14ac:dyDescent="0.2">
      <c r="B36" s="4"/>
      <c r="C36" s="4"/>
      <c r="D36" s="4"/>
      <c r="E36" s="4">
        <v>26</v>
      </c>
      <c r="F36">
        <v>0.1837</v>
      </c>
      <c r="G36">
        <v>0.1772</v>
      </c>
      <c r="H36" s="4">
        <f t="shared" si="1"/>
        <v>0.18045</v>
      </c>
      <c r="I36" s="4">
        <f t="shared" si="2"/>
        <v>1.7147445000000001</v>
      </c>
      <c r="J36" s="4">
        <v>3</v>
      </c>
      <c r="K36" s="4">
        <f t="shared" si="3"/>
        <v>5.1442335000000003</v>
      </c>
      <c r="Q36">
        <v>30</v>
      </c>
      <c r="R36">
        <v>0.1593</v>
      </c>
      <c r="S36">
        <v>0.1598</v>
      </c>
      <c r="T36" s="4">
        <f t="shared" si="4"/>
        <v>0.15955</v>
      </c>
      <c r="U36" s="4">
        <f t="shared" si="5"/>
        <v>1.4386554999999999</v>
      </c>
      <c r="V36">
        <v>3</v>
      </c>
      <c r="W36">
        <f t="shared" si="6"/>
        <v>4.3159665</v>
      </c>
    </row>
    <row r="37" spans="2:26" x14ac:dyDescent="0.2">
      <c r="B37" s="4"/>
      <c r="C37" s="4"/>
      <c r="D37" s="4"/>
      <c r="E37" s="4">
        <v>27</v>
      </c>
      <c r="F37">
        <v>0.1671</v>
      </c>
      <c r="G37">
        <v>0.1656</v>
      </c>
      <c r="H37" s="4">
        <f t="shared" si="1"/>
        <v>0.16635</v>
      </c>
      <c r="I37" s="4">
        <f t="shared" si="2"/>
        <v>1.5284835000000001</v>
      </c>
      <c r="J37" s="4">
        <v>3</v>
      </c>
      <c r="K37" s="4">
        <f t="shared" si="3"/>
        <v>4.5854505000000003</v>
      </c>
      <c r="Q37">
        <v>31</v>
      </c>
      <c r="R37">
        <v>0.12809999999999999</v>
      </c>
      <c r="S37">
        <v>0.12640000000000001</v>
      </c>
      <c r="T37" s="4">
        <f t="shared" si="4"/>
        <v>0.12725</v>
      </c>
      <c r="U37" s="4">
        <f t="shared" si="5"/>
        <v>1.0119725000000002</v>
      </c>
      <c r="V37">
        <v>3</v>
      </c>
      <c r="W37">
        <f t="shared" si="6"/>
        <v>3.0359175000000005</v>
      </c>
    </row>
    <row r="38" spans="2:26" x14ac:dyDescent="0.2">
      <c r="B38" s="4"/>
      <c r="C38" s="4"/>
      <c r="D38" s="4"/>
      <c r="E38" s="4">
        <v>28</v>
      </c>
      <c r="F38">
        <v>0.18190000000000001</v>
      </c>
      <c r="G38">
        <v>0.1782</v>
      </c>
      <c r="H38" s="4">
        <f t="shared" si="1"/>
        <v>0.18004999999999999</v>
      </c>
      <c r="I38" s="4">
        <f t="shared" si="2"/>
        <v>1.7094605</v>
      </c>
      <c r="J38" s="4">
        <v>3</v>
      </c>
      <c r="K38" s="4">
        <f t="shared" si="3"/>
        <v>5.1283814999999997</v>
      </c>
      <c r="Q38">
        <v>32</v>
      </c>
      <c r="R38">
        <v>0.1361</v>
      </c>
      <c r="S38">
        <v>0.13109999999999999</v>
      </c>
      <c r="T38" s="4">
        <f t="shared" si="4"/>
        <v>0.1336</v>
      </c>
      <c r="U38" s="4">
        <f t="shared" si="5"/>
        <v>1.0958559999999999</v>
      </c>
      <c r="V38">
        <v>3</v>
      </c>
      <c r="W38">
        <f t="shared" si="6"/>
        <v>3.2875679999999998</v>
      </c>
    </row>
    <row r="39" spans="2:26" x14ac:dyDescent="0.2">
      <c r="B39" s="4">
        <v>12</v>
      </c>
      <c r="C39" s="4"/>
      <c r="D39" s="4"/>
      <c r="E39" s="4">
        <v>73</v>
      </c>
      <c r="F39">
        <v>0.1323</v>
      </c>
      <c r="G39">
        <v>0.12790000000000001</v>
      </c>
      <c r="H39" s="4">
        <f t="shared" si="1"/>
        <v>0.13009999999999999</v>
      </c>
      <c r="I39" s="4">
        <f t="shared" si="2"/>
        <v>1.0496209999999999</v>
      </c>
      <c r="J39" s="4">
        <v>3</v>
      </c>
      <c r="K39" s="4">
        <f t="shared" si="3"/>
        <v>3.1488629999999995</v>
      </c>
      <c r="N39">
        <v>15</v>
      </c>
      <c r="Q39" s="8">
        <v>78</v>
      </c>
      <c r="R39" s="8">
        <v>0.37290000000000001</v>
      </c>
      <c r="S39" s="8">
        <v>0.3569</v>
      </c>
      <c r="T39" s="8">
        <f t="shared" si="4"/>
        <v>0.3649</v>
      </c>
      <c r="U39" s="8">
        <f t="shared" si="5"/>
        <v>4.1513290000000005</v>
      </c>
      <c r="V39" s="8">
        <v>3</v>
      </c>
      <c r="W39" s="8">
        <f t="shared" si="6"/>
        <v>12.453987000000001</v>
      </c>
      <c r="X39" t="s">
        <v>167</v>
      </c>
    </row>
    <row r="40" spans="2:26" x14ac:dyDescent="0.2">
      <c r="B40" s="4"/>
      <c r="C40" s="4"/>
      <c r="D40" s="4"/>
      <c r="E40" s="4">
        <v>74</v>
      </c>
      <c r="F40">
        <v>0.23910000000000001</v>
      </c>
      <c r="G40">
        <v>0.23200000000000001</v>
      </c>
      <c r="H40" s="4">
        <f t="shared" si="1"/>
        <v>0.23555000000000001</v>
      </c>
      <c r="I40" s="4">
        <f t="shared" si="2"/>
        <v>2.4426155000000005</v>
      </c>
      <c r="J40" s="4">
        <v>3</v>
      </c>
      <c r="K40" s="4">
        <f t="shared" si="3"/>
        <v>7.3278465000000015</v>
      </c>
      <c r="Q40">
        <v>79</v>
      </c>
      <c r="R40">
        <v>0.1211</v>
      </c>
      <c r="S40">
        <v>0.1183</v>
      </c>
      <c r="T40" s="4">
        <f t="shared" si="4"/>
        <v>0.1197</v>
      </c>
      <c r="U40" s="4">
        <f t="shared" si="5"/>
        <v>0.91223699999999996</v>
      </c>
      <c r="V40">
        <v>3</v>
      </c>
      <c r="W40">
        <f t="shared" si="6"/>
        <v>2.7367109999999997</v>
      </c>
    </row>
    <row r="41" spans="2:26" x14ac:dyDescent="0.2">
      <c r="B41" s="4"/>
      <c r="C41" s="4"/>
      <c r="D41" s="4"/>
      <c r="E41" s="4">
        <v>75</v>
      </c>
      <c r="F41">
        <v>0.1138</v>
      </c>
      <c r="G41">
        <v>0.1113</v>
      </c>
      <c r="H41" s="4">
        <f t="shared" si="1"/>
        <v>0.11255</v>
      </c>
      <c r="I41" s="4">
        <f t="shared" si="2"/>
        <v>0.81778550000000005</v>
      </c>
      <c r="J41" s="4">
        <v>3</v>
      </c>
      <c r="K41" s="4">
        <f t="shared" si="3"/>
        <v>2.4533564999999999</v>
      </c>
      <c r="Q41">
        <v>80</v>
      </c>
      <c r="R41">
        <v>0.14069999999999999</v>
      </c>
      <c r="S41">
        <v>0.13750000000000001</v>
      </c>
      <c r="T41" s="4">
        <f t="shared" si="4"/>
        <v>0.1391</v>
      </c>
      <c r="U41" s="4">
        <f t="shared" si="5"/>
        <v>1.1685110000000001</v>
      </c>
      <c r="V41">
        <v>3</v>
      </c>
      <c r="W41">
        <f t="shared" si="6"/>
        <v>3.5055330000000002</v>
      </c>
    </row>
    <row r="42" spans="2:26" x14ac:dyDescent="0.2">
      <c r="B42" s="4"/>
      <c r="C42" s="4"/>
      <c r="D42" s="4"/>
      <c r="E42" s="4">
        <v>76</v>
      </c>
      <c r="F42">
        <v>0.13550000000000001</v>
      </c>
      <c r="G42">
        <v>0.1346</v>
      </c>
      <c r="H42" s="4">
        <f t="shared" si="1"/>
        <v>0.13505</v>
      </c>
      <c r="I42" s="4">
        <f t="shared" si="2"/>
        <v>1.1150105000000001</v>
      </c>
      <c r="J42" s="4">
        <v>3</v>
      </c>
      <c r="K42" s="4">
        <f t="shared" si="3"/>
        <v>3.3450315000000002</v>
      </c>
      <c r="Q42">
        <v>81</v>
      </c>
      <c r="R42">
        <v>0.11459999999999999</v>
      </c>
      <c r="S42">
        <v>0.1129</v>
      </c>
      <c r="T42" s="4">
        <f t="shared" si="4"/>
        <v>0.11374999999999999</v>
      </c>
      <c r="U42" s="4">
        <f t="shared" si="5"/>
        <v>0.83363750000000003</v>
      </c>
      <c r="V42">
        <v>3</v>
      </c>
      <c r="W42">
        <f t="shared" si="6"/>
        <v>2.5009125000000001</v>
      </c>
    </row>
    <row r="43" spans="2:26" x14ac:dyDescent="0.2">
      <c r="B43" s="4"/>
      <c r="C43" s="4"/>
      <c r="D43" s="4"/>
      <c r="E43" s="4">
        <v>77</v>
      </c>
      <c r="F43">
        <v>0.1183</v>
      </c>
      <c r="G43">
        <v>0.1162</v>
      </c>
      <c r="H43" s="4">
        <f t="shared" si="1"/>
        <v>0.11724999999999999</v>
      </c>
      <c r="I43" s="4">
        <f t="shared" si="2"/>
        <v>0.87987250000000006</v>
      </c>
      <c r="J43" s="4">
        <v>3</v>
      </c>
      <c r="K43" s="4">
        <f t="shared" si="3"/>
        <v>2.6396174999999999</v>
      </c>
      <c r="Q43">
        <v>82</v>
      </c>
      <c r="R43">
        <v>0.13170000000000001</v>
      </c>
      <c r="S43">
        <v>0.1308</v>
      </c>
      <c r="T43" s="4">
        <f t="shared" si="4"/>
        <v>0.13125000000000001</v>
      </c>
      <c r="U43" s="4">
        <f t="shared" si="5"/>
        <v>1.0648125000000002</v>
      </c>
      <c r="V43">
        <v>3</v>
      </c>
      <c r="W43">
        <f t="shared" si="6"/>
        <v>3.1944375000000003</v>
      </c>
    </row>
    <row r="44" spans="2:26" x14ac:dyDescent="0.2">
      <c r="B44" s="4">
        <v>11</v>
      </c>
      <c r="C44" s="4"/>
      <c r="D44" s="4" t="s">
        <v>12</v>
      </c>
      <c r="E44" s="4">
        <v>33</v>
      </c>
      <c r="F44">
        <v>0.16350000000000001</v>
      </c>
      <c r="G44">
        <v>0.17050000000000001</v>
      </c>
      <c r="H44" s="4">
        <f t="shared" si="1"/>
        <v>0.16700000000000001</v>
      </c>
      <c r="I44" s="4">
        <f t="shared" si="2"/>
        <v>1.5370700000000004</v>
      </c>
      <c r="J44" s="4">
        <v>3</v>
      </c>
      <c r="K44" s="4">
        <f t="shared" si="3"/>
        <v>4.6112100000000016</v>
      </c>
      <c r="N44">
        <v>15</v>
      </c>
      <c r="P44" s="4" t="s">
        <v>12</v>
      </c>
      <c r="Q44" s="4">
        <v>37</v>
      </c>
      <c r="R44">
        <v>0.23830000000000001</v>
      </c>
      <c r="S44">
        <v>0.23350000000000001</v>
      </c>
      <c r="T44" s="4">
        <f t="shared" si="4"/>
        <v>0.2359</v>
      </c>
      <c r="U44" s="4">
        <f t="shared" si="5"/>
        <v>2.4472390000000002</v>
      </c>
      <c r="V44">
        <v>3</v>
      </c>
      <c r="W44" s="4">
        <f t="shared" si="6"/>
        <v>7.3417170000000009</v>
      </c>
      <c r="X44" s="4"/>
      <c r="Y44" s="4"/>
      <c r="Z44" s="4"/>
    </row>
    <row r="45" spans="2:26" x14ac:dyDescent="0.2">
      <c r="B45" s="4"/>
      <c r="C45" s="4"/>
      <c r="D45" s="4"/>
      <c r="E45" s="4">
        <v>34</v>
      </c>
      <c r="F45">
        <v>0.15260000000000001</v>
      </c>
      <c r="G45">
        <v>0.14910000000000001</v>
      </c>
      <c r="H45" s="4">
        <f t="shared" si="1"/>
        <v>0.15085000000000001</v>
      </c>
      <c r="I45" s="4">
        <f t="shared" si="2"/>
        <v>1.3237285000000003</v>
      </c>
      <c r="J45" s="4">
        <v>3</v>
      </c>
      <c r="K45" s="4">
        <f t="shared" si="3"/>
        <v>3.9711855000000007</v>
      </c>
      <c r="P45" s="4"/>
      <c r="Q45" s="4">
        <v>38</v>
      </c>
      <c r="R45">
        <v>0.1673</v>
      </c>
      <c r="S45">
        <v>0.16350000000000001</v>
      </c>
      <c r="T45" s="4">
        <f t="shared" si="4"/>
        <v>0.16539999999999999</v>
      </c>
      <c r="U45" s="4">
        <f t="shared" si="5"/>
        <v>1.5159340000000001</v>
      </c>
      <c r="V45">
        <v>3</v>
      </c>
      <c r="W45" s="4">
        <f t="shared" si="6"/>
        <v>4.5478020000000008</v>
      </c>
      <c r="X45" s="4"/>
      <c r="Y45" s="4"/>
      <c r="Z45" s="4"/>
    </row>
    <row r="46" spans="2:26" x14ac:dyDescent="0.2">
      <c r="B46" s="4"/>
      <c r="C46" s="4"/>
      <c r="D46" s="4"/>
      <c r="E46" s="4">
        <v>35</v>
      </c>
      <c r="F46">
        <v>0.1009</v>
      </c>
      <c r="G46">
        <v>9.9299999999999999E-2</v>
      </c>
      <c r="H46" s="4">
        <f t="shared" si="1"/>
        <v>0.10009999999999999</v>
      </c>
      <c r="I46" s="4">
        <f t="shared" si="2"/>
        <v>0.65332100000000004</v>
      </c>
      <c r="J46" s="4">
        <v>3</v>
      </c>
      <c r="K46" s="4">
        <f t="shared" si="3"/>
        <v>1.9599630000000001</v>
      </c>
      <c r="P46" s="4"/>
      <c r="Q46" s="4">
        <v>39</v>
      </c>
      <c r="R46">
        <v>0.1671</v>
      </c>
      <c r="S46">
        <v>0.16569999999999999</v>
      </c>
      <c r="T46" s="4">
        <f t="shared" si="4"/>
        <v>0.16639999999999999</v>
      </c>
      <c r="U46" s="4">
        <f t="shared" si="5"/>
        <v>1.5291440000000001</v>
      </c>
      <c r="V46">
        <v>3</v>
      </c>
      <c r="W46" s="4">
        <f t="shared" si="6"/>
        <v>4.5874319999999997</v>
      </c>
      <c r="X46" s="4"/>
      <c r="Y46" s="4"/>
      <c r="Z46" s="4"/>
    </row>
    <row r="47" spans="2:26" x14ac:dyDescent="0.2">
      <c r="B47" s="4"/>
      <c r="C47" s="4"/>
      <c r="D47" s="4"/>
      <c r="E47" s="4">
        <v>36</v>
      </c>
      <c r="F47">
        <v>0.14810000000000001</v>
      </c>
      <c r="G47">
        <v>0.14480000000000001</v>
      </c>
      <c r="H47" s="4">
        <f t="shared" si="1"/>
        <v>0.14645000000000002</v>
      </c>
      <c r="I47" s="4">
        <f t="shared" si="2"/>
        <v>1.2656045000000005</v>
      </c>
      <c r="J47" s="4">
        <v>3</v>
      </c>
      <c r="K47" s="4">
        <f t="shared" si="3"/>
        <v>3.7968135000000016</v>
      </c>
      <c r="P47" s="4"/>
      <c r="Q47" s="4">
        <v>40</v>
      </c>
      <c r="R47">
        <v>0.128</v>
      </c>
      <c r="S47">
        <v>0.12429999999999999</v>
      </c>
      <c r="T47" s="4">
        <f t="shared" si="4"/>
        <v>0.12614999999999998</v>
      </c>
      <c r="U47" s="4">
        <f t="shared" si="5"/>
        <v>0.99744149999999987</v>
      </c>
      <c r="V47">
        <v>3</v>
      </c>
      <c r="W47" s="4">
        <f t="shared" si="6"/>
        <v>2.9923244999999996</v>
      </c>
      <c r="X47" s="4"/>
      <c r="Y47" s="4"/>
      <c r="Z47" s="4"/>
    </row>
    <row r="48" spans="2:26" x14ac:dyDescent="0.2">
      <c r="B48" s="4">
        <v>12</v>
      </c>
      <c r="C48" s="4"/>
      <c r="D48" s="4"/>
      <c r="E48" s="8">
        <v>41</v>
      </c>
      <c r="F48" s="8">
        <v>0.3846</v>
      </c>
      <c r="G48" s="8">
        <v>0.38169999999999998</v>
      </c>
      <c r="H48" s="8">
        <f t="shared" si="1"/>
        <v>0.38314999999999999</v>
      </c>
      <c r="I48" s="8">
        <f t="shared" si="2"/>
        <v>4.3924114999999997</v>
      </c>
      <c r="J48" s="8">
        <v>3</v>
      </c>
      <c r="K48" s="8">
        <f t="shared" si="3"/>
        <v>13.177234499999999</v>
      </c>
      <c r="L48" t="s">
        <v>166</v>
      </c>
      <c r="N48">
        <v>14</v>
      </c>
      <c r="P48" s="4"/>
      <c r="Q48" s="4">
        <v>45</v>
      </c>
      <c r="R48">
        <v>0.2843</v>
      </c>
      <c r="S48">
        <v>0.2727</v>
      </c>
      <c r="T48" s="4">
        <f t="shared" si="4"/>
        <v>0.27849999999999997</v>
      </c>
      <c r="U48" s="4">
        <f t="shared" si="5"/>
        <v>3.0099849999999999</v>
      </c>
      <c r="V48">
        <v>3</v>
      </c>
      <c r="W48" s="4">
        <f t="shared" si="6"/>
        <v>9.0299549999999993</v>
      </c>
      <c r="X48" s="4"/>
      <c r="Y48" s="4"/>
      <c r="Z48" s="4"/>
    </row>
    <row r="49" spans="2:23" x14ac:dyDescent="0.2">
      <c r="B49" s="4"/>
      <c r="C49" s="4"/>
      <c r="D49" s="4"/>
      <c r="E49" s="4">
        <v>42</v>
      </c>
      <c r="F49">
        <v>0.1366</v>
      </c>
      <c r="G49">
        <v>0.13070000000000001</v>
      </c>
      <c r="H49" s="4">
        <f t="shared" si="1"/>
        <v>0.13364999999999999</v>
      </c>
      <c r="I49" s="4">
        <f t="shared" si="2"/>
        <v>1.0965164999999999</v>
      </c>
      <c r="J49" s="4">
        <v>3</v>
      </c>
      <c r="K49" s="4">
        <f t="shared" si="3"/>
        <v>3.2895494999999997</v>
      </c>
      <c r="Q49">
        <v>46</v>
      </c>
      <c r="R49">
        <v>0.14960000000000001</v>
      </c>
      <c r="S49">
        <v>0.14660000000000001</v>
      </c>
      <c r="T49" s="4">
        <f t="shared" si="4"/>
        <v>0.14810000000000001</v>
      </c>
      <c r="U49" s="4">
        <f t="shared" si="5"/>
        <v>1.2874010000000002</v>
      </c>
      <c r="V49">
        <v>3</v>
      </c>
      <c r="W49">
        <f t="shared" si="6"/>
        <v>3.8622030000000009</v>
      </c>
    </row>
    <row r="50" spans="2:23" x14ac:dyDescent="0.2">
      <c r="B50" s="4"/>
      <c r="C50" s="4"/>
      <c r="D50" s="4"/>
      <c r="E50" s="4">
        <v>43</v>
      </c>
      <c r="F50">
        <v>0.27279999999999999</v>
      </c>
      <c r="G50">
        <v>0.26079999999999998</v>
      </c>
      <c r="H50" s="4">
        <f t="shared" si="1"/>
        <v>0.26679999999999998</v>
      </c>
      <c r="I50" s="4">
        <f t="shared" si="2"/>
        <v>2.8554279999999999</v>
      </c>
      <c r="J50" s="4">
        <v>3</v>
      </c>
      <c r="K50" s="4">
        <f t="shared" si="3"/>
        <v>8.5662839999999996</v>
      </c>
      <c r="Q50">
        <v>47</v>
      </c>
      <c r="R50">
        <v>0.16439999999999999</v>
      </c>
      <c r="S50">
        <v>0.1575</v>
      </c>
      <c r="T50" s="4">
        <f t="shared" si="4"/>
        <v>0.16094999999999998</v>
      </c>
      <c r="U50" s="4">
        <f t="shared" si="5"/>
        <v>1.4571494999999999</v>
      </c>
      <c r="V50">
        <v>3</v>
      </c>
      <c r="W50">
        <f t="shared" si="6"/>
        <v>4.3714484999999996</v>
      </c>
    </row>
    <row r="51" spans="2:23" x14ac:dyDescent="0.2">
      <c r="B51" s="4"/>
      <c r="C51" s="4"/>
      <c r="D51" s="4"/>
      <c r="E51" s="4">
        <v>44</v>
      </c>
      <c r="F51">
        <v>0.1167</v>
      </c>
      <c r="G51">
        <v>0.11409999999999999</v>
      </c>
      <c r="H51" s="4">
        <f t="shared" si="1"/>
        <v>0.1154</v>
      </c>
      <c r="I51" s="4">
        <f t="shared" si="2"/>
        <v>0.85543400000000003</v>
      </c>
      <c r="J51" s="4">
        <v>3</v>
      </c>
      <c r="K51" s="4">
        <f t="shared" si="3"/>
        <v>2.5663020000000003</v>
      </c>
      <c r="Q51">
        <v>48</v>
      </c>
      <c r="R51">
        <v>0.16039999999999999</v>
      </c>
      <c r="S51">
        <v>0.15329999999999999</v>
      </c>
      <c r="T51" s="4">
        <f t="shared" si="4"/>
        <v>0.15684999999999999</v>
      </c>
      <c r="U51" s="4">
        <f t="shared" si="5"/>
        <v>1.4029884999999997</v>
      </c>
      <c r="V51">
        <v>3</v>
      </c>
      <c r="W51">
        <f t="shared" si="6"/>
        <v>4.2089654999999997</v>
      </c>
    </row>
    <row r="52" spans="2:23" x14ac:dyDescent="0.2">
      <c r="B52" s="4">
        <v>12</v>
      </c>
      <c r="C52" s="4"/>
      <c r="D52" s="4"/>
      <c r="E52" s="4">
        <v>83</v>
      </c>
      <c r="F52">
        <v>0.13669999999999999</v>
      </c>
      <c r="G52">
        <v>0.13250000000000001</v>
      </c>
      <c r="H52" s="4">
        <f t="shared" si="1"/>
        <v>0.1346</v>
      </c>
      <c r="I52" s="4">
        <f t="shared" si="2"/>
        <v>1.1090660000000001</v>
      </c>
      <c r="J52" s="4">
        <v>3</v>
      </c>
      <c r="K52" s="4">
        <f t="shared" si="3"/>
        <v>3.3271980000000001</v>
      </c>
      <c r="N52">
        <v>15</v>
      </c>
      <c r="Q52">
        <v>87</v>
      </c>
      <c r="R52">
        <v>0.14729999999999999</v>
      </c>
      <c r="S52">
        <v>0.1454</v>
      </c>
      <c r="T52" s="4">
        <f t="shared" si="4"/>
        <v>0.14634999999999998</v>
      </c>
      <c r="U52" s="4">
        <f t="shared" si="5"/>
        <v>1.2642834999999999</v>
      </c>
      <c r="V52">
        <v>3</v>
      </c>
      <c r="W52">
        <f t="shared" si="6"/>
        <v>3.7928504999999997</v>
      </c>
    </row>
    <row r="53" spans="2:23" x14ac:dyDescent="0.2">
      <c r="B53" s="4"/>
      <c r="C53" s="4"/>
      <c r="D53" s="4"/>
      <c r="E53" s="4">
        <v>84</v>
      </c>
      <c r="F53">
        <v>0.1234</v>
      </c>
      <c r="G53">
        <v>0.1236</v>
      </c>
      <c r="H53" s="4">
        <f t="shared" si="1"/>
        <v>0.1235</v>
      </c>
      <c r="I53" s="4">
        <f t="shared" si="2"/>
        <v>0.96243500000000015</v>
      </c>
      <c r="J53" s="4">
        <v>3</v>
      </c>
      <c r="K53" s="4">
        <f t="shared" si="3"/>
        <v>2.8873050000000005</v>
      </c>
      <c r="Q53">
        <v>88</v>
      </c>
      <c r="R53">
        <v>0.1817</v>
      </c>
      <c r="S53">
        <v>0.17910000000000001</v>
      </c>
      <c r="T53" s="4">
        <f t="shared" si="4"/>
        <v>0.1804</v>
      </c>
      <c r="U53" s="4">
        <f t="shared" si="5"/>
        <v>1.7140840000000002</v>
      </c>
      <c r="V53">
        <v>3</v>
      </c>
      <c r="W53">
        <f t="shared" si="6"/>
        <v>5.1422520000000009</v>
      </c>
    </row>
    <row r="54" spans="2:23" x14ac:dyDescent="0.2">
      <c r="B54" s="4"/>
      <c r="C54" s="4"/>
      <c r="D54" s="4"/>
      <c r="E54" s="4">
        <v>85</v>
      </c>
      <c r="F54">
        <v>0.12570000000000001</v>
      </c>
      <c r="G54">
        <v>0.1152</v>
      </c>
      <c r="H54" s="4">
        <f t="shared" si="1"/>
        <v>0.12045</v>
      </c>
      <c r="I54" s="4">
        <f t="shared" si="2"/>
        <v>0.92214450000000014</v>
      </c>
      <c r="J54" s="4">
        <v>3</v>
      </c>
      <c r="K54" s="4">
        <f t="shared" si="3"/>
        <v>2.7664335000000007</v>
      </c>
      <c r="Q54">
        <v>89</v>
      </c>
      <c r="R54">
        <v>0.2011</v>
      </c>
      <c r="S54">
        <v>0.19309999999999999</v>
      </c>
      <c r="T54" s="4">
        <f t="shared" si="4"/>
        <v>0.1971</v>
      </c>
      <c r="U54" s="4">
        <f t="shared" si="5"/>
        <v>1.9346909999999999</v>
      </c>
      <c r="V54">
        <v>3</v>
      </c>
      <c r="W54">
        <f t="shared" si="6"/>
        <v>5.8040729999999998</v>
      </c>
    </row>
    <row r="55" spans="2:23" x14ac:dyDescent="0.2">
      <c r="B55" s="4"/>
      <c r="C55" s="4"/>
      <c r="D55" s="4"/>
      <c r="E55" s="4">
        <v>86</v>
      </c>
      <c r="F55">
        <v>0.10009999999999999</v>
      </c>
      <c r="G55">
        <v>9.8299999999999998E-2</v>
      </c>
      <c r="H55" s="4">
        <f t="shared" si="1"/>
        <v>9.9199999999999997E-2</v>
      </c>
      <c r="I55" s="4">
        <f t="shared" si="2"/>
        <v>0.641432</v>
      </c>
      <c r="J55" s="4">
        <v>3</v>
      </c>
      <c r="K55" s="4">
        <f t="shared" si="3"/>
        <v>1.924296</v>
      </c>
      <c r="Q55">
        <v>90</v>
      </c>
      <c r="R55">
        <v>0.156</v>
      </c>
      <c r="S55">
        <v>0.15040000000000001</v>
      </c>
      <c r="T55" s="4">
        <f t="shared" si="4"/>
        <v>0.1532</v>
      </c>
      <c r="U55" s="4">
        <f t="shared" si="5"/>
        <v>1.3547720000000001</v>
      </c>
      <c r="V55">
        <v>3</v>
      </c>
      <c r="W55">
        <f t="shared" si="6"/>
        <v>4.0643159999999998</v>
      </c>
    </row>
    <row r="56" spans="2:23" x14ac:dyDescent="0.2">
      <c r="B56" s="4">
        <v>11</v>
      </c>
      <c r="C56" s="4"/>
      <c r="D56" s="4" t="s">
        <v>13</v>
      </c>
      <c r="E56" s="4">
        <v>49</v>
      </c>
      <c r="F56">
        <v>0.1757</v>
      </c>
      <c r="G56">
        <v>0.1734</v>
      </c>
      <c r="H56" s="4">
        <f t="shared" si="1"/>
        <v>0.17454999999999998</v>
      </c>
      <c r="I56" s="4">
        <f t="shared" si="2"/>
        <v>1.6368054999999999</v>
      </c>
      <c r="J56" s="4">
        <v>3</v>
      </c>
      <c r="K56" s="4">
        <f t="shared" si="3"/>
        <v>4.9104165000000002</v>
      </c>
      <c r="N56">
        <v>15</v>
      </c>
      <c r="P56" t="s">
        <v>13</v>
      </c>
      <c r="Q56">
        <v>53</v>
      </c>
      <c r="T56" s="4" t="e">
        <f t="shared" si="4"/>
        <v>#DIV/0!</v>
      </c>
      <c r="U56" s="4" t="e">
        <f t="shared" si="5"/>
        <v>#DIV/0!</v>
      </c>
      <c r="V56">
        <v>3</v>
      </c>
      <c r="W56" t="e">
        <f t="shared" si="6"/>
        <v>#DIV/0!</v>
      </c>
    </row>
    <row r="57" spans="2:23" x14ac:dyDescent="0.2">
      <c r="B57" s="4"/>
      <c r="C57" s="4"/>
      <c r="D57" s="4"/>
      <c r="E57" s="4">
        <v>50</v>
      </c>
      <c r="F57">
        <v>0.26640000000000003</v>
      </c>
      <c r="G57">
        <v>0.25750000000000001</v>
      </c>
      <c r="H57" s="4">
        <f t="shared" si="1"/>
        <v>0.26195000000000002</v>
      </c>
      <c r="I57" s="4">
        <f t="shared" si="2"/>
        <v>2.7913595000000004</v>
      </c>
      <c r="J57" s="4">
        <v>3</v>
      </c>
      <c r="K57" s="4">
        <f t="shared" si="3"/>
        <v>8.3740785000000013</v>
      </c>
      <c r="Q57">
        <v>54</v>
      </c>
      <c r="R57">
        <v>0.1144</v>
      </c>
      <c r="S57">
        <v>0.10929999999999999</v>
      </c>
      <c r="T57" s="4">
        <f t="shared" si="4"/>
        <v>0.11185</v>
      </c>
      <c r="U57" s="4">
        <f t="shared" si="5"/>
        <v>0.80853850000000005</v>
      </c>
      <c r="V57">
        <v>3</v>
      </c>
      <c r="W57">
        <f t="shared" si="6"/>
        <v>2.4256155000000001</v>
      </c>
    </row>
    <row r="58" spans="2:23" x14ac:dyDescent="0.2">
      <c r="B58" s="4"/>
      <c r="C58" s="4"/>
      <c r="D58" s="4"/>
      <c r="E58" s="4">
        <v>51</v>
      </c>
      <c r="F58">
        <v>0.17369999999999999</v>
      </c>
      <c r="G58">
        <v>0.16370000000000001</v>
      </c>
      <c r="H58" s="4">
        <f t="shared" si="1"/>
        <v>0.16870000000000002</v>
      </c>
      <c r="I58" s="4">
        <f t="shared" si="2"/>
        <v>1.5595270000000001</v>
      </c>
      <c r="J58" s="4">
        <v>3</v>
      </c>
      <c r="K58" s="4">
        <f t="shared" si="3"/>
        <v>4.6785810000000003</v>
      </c>
      <c r="Q58">
        <v>55</v>
      </c>
      <c r="R58">
        <v>0.1079</v>
      </c>
      <c r="S58">
        <v>0.1057</v>
      </c>
      <c r="T58" s="4">
        <f t="shared" si="4"/>
        <v>0.10680000000000001</v>
      </c>
      <c r="U58" s="4">
        <f t="shared" si="5"/>
        <v>0.74182800000000015</v>
      </c>
      <c r="V58">
        <v>3</v>
      </c>
      <c r="W58">
        <f t="shared" si="6"/>
        <v>2.2254840000000007</v>
      </c>
    </row>
    <row r="59" spans="2:23" x14ac:dyDescent="0.2">
      <c r="B59" s="4"/>
      <c r="C59" s="4"/>
      <c r="D59" s="4"/>
      <c r="E59" s="4">
        <v>52</v>
      </c>
      <c r="F59">
        <v>0.1077</v>
      </c>
      <c r="G59">
        <v>0.1124</v>
      </c>
      <c r="H59" s="4">
        <f t="shared" si="1"/>
        <v>0.11005000000000001</v>
      </c>
      <c r="I59" s="4">
        <f t="shared" si="2"/>
        <v>0.78476050000000019</v>
      </c>
      <c r="J59" s="4">
        <v>3</v>
      </c>
      <c r="K59" s="4">
        <f t="shared" si="3"/>
        <v>2.3542815000000008</v>
      </c>
      <c r="Q59">
        <v>56</v>
      </c>
      <c r="R59">
        <v>0.1202</v>
      </c>
      <c r="S59">
        <v>0.1171</v>
      </c>
      <c r="T59" s="4">
        <f t="shared" si="4"/>
        <v>0.11865000000000001</v>
      </c>
      <c r="U59" s="4">
        <f t="shared" si="5"/>
        <v>0.89836650000000007</v>
      </c>
      <c r="V59">
        <v>3</v>
      </c>
      <c r="W59">
        <f t="shared" si="6"/>
        <v>2.6950995000000004</v>
      </c>
    </row>
    <row r="60" spans="2:23" x14ac:dyDescent="0.2">
      <c r="B60" s="4">
        <v>12</v>
      </c>
      <c r="C60" s="4"/>
      <c r="D60" s="4"/>
      <c r="E60" s="4">
        <v>57</v>
      </c>
      <c r="F60">
        <v>0.10829999999999999</v>
      </c>
      <c r="G60">
        <v>0.1052</v>
      </c>
      <c r="H60" s="4">
        <f t="shared" si="1"/>
        <v>0.10675</v>
      </c>
      <c r="I60" s="4">
        <f t="shared" si="2"/>
        <v>0.74116749999999998</v>
      </c>
      <c r="J60" s="4">
        <v>3</v>
      </c>
      <c r="K60" s="4">
        <f t="shared" si="3"/>
        <v>2.2235024999999999</v>
      </c>
      <c r="N60">
        <v>14</v>
      </c>
      <c r="Q60">
        <v>61</v>
      </c>
      <c r="R60">
        <v>0.11559999999999999</v>
      </c>
      <c r="S60">
        <v>0.1137</v>
      </c>
      <c r="T60" s="4">
        <f t="shared" si="4"/>
        <v>0.11465</v>
      </c>
      <c r="U60" s="4">
        <f t="shared" si="5"/>
        <v>0.84552650000000007</v>
      </c>
      <c r="V60">
        <v>3</v>
      </c>
      <c r="W60">
        <f t="shared" si="6"/>
        <v>2.5365795000000002</v>
      </c>
    </row>
    <row r="61" spans="2:23" x14ac:dyDescent="0.2">
      <c r="B61" s="4"/>
      <c r="C61" s="4"/>
      <c r="D61" s="4"/>
      <c r="E61" s="4">
        <v>58</v>
      </c>
      <c r="F61">
        <v>0.12609999999999999</v>
      </c>
      <c r="G61">
        <v>0.12470000000000001</v>
      </c>
      <c r="H61" s="4">
        <f t="shared" si="1"/>
        <v>0.12540000000000001</v>
      </c>
      <c r="I61" s="4">
        <f t="shared" si="2"/>
        <v>0.98753400000000013</v>
      </c>
      <c r="J61" s="4">
        <v>3</v>
      </c>
      <c r="K61" s="4">
        <f t="shared" si="3"/>
        <v>2.9626020000000004</v>
      </c>
      <c r="Q61">
        <v>62</v>
      </c>
      <c r="R61">
        <v>0.1046</v>
      </c>
      <c r="S61">
        <v>0.10009999999999999</v>
      </c>
      <c r="T61" s="4">
        <f t="shared" si="4"/>
        <v>0.10235</v>
      </c>
      <c r="U61" s="4">
        <f t="shared" si="5"/>
        <v>0.68304349999999991</v>
      </c>
      <c r="V61">
        <v>3</v>
      </c>
      <c r="W61">
        <f t="shared" si="6"/>
        <v>2.0491304999999995</v>
      </c>
    </row>
    <row r="62" spans="2:23" x14ac:dyDescent="0.2">
      <c r="B62" s="4"/>
      <c r="C62" s="4"/>
      <c r="D62" s="4"/>
      <c r="E62" s="4">
        <v>59</v>
      </c>
      <c r="F62">
        <v>0.1211</v>
      </c>
      <c r="G62">
        <v>0.11650000000000001</v>
      </c>
      <c r="H62" s="4">
        <f t="shared" si="1"/>
        <v>0.1188</v>
      </c>
      <c r="I62" s="4">
        <f t="shared" si="2"/>
        <v>0.90034800000000015</v>
      </c>
      <c r="J62" s="4">
        <v>3</v>
      </c>
      <c r="K62" s="4">
        <f t="shared" si="3"/>
        <v>2.7010440000000004</v>
      </c>
      <c r="Q62">
        <v>63</v>
      </c>
      <c r="R62">
        <v>0.12470000000000001</v>
      </c>
      <c r="S62">
        <v>0.12870000000000001</v>
      </c>
      <c r="T62" s="4">
        <f t="shared" si="4"/>
        <v>0.12670000000000001</v>
      </c>
      <c r="U62" s="4">
        <f t="shared" si="5"/>
        <v>1.0047070000000002</v>
      </c>
      <c r="V62">
        <v>3</v>
      </c>
    </row>
    <row r="63" spans="2:23" x14ac:dyDescent="0.2">
      <c r="B63" s="4"/>
      <c r="C63" s="4"/>
      <c r="D63" s="4"/>
      <c r="E63" s="4">
        <v>60</v>
      </c>
      <c r="F63">
        <v>0.27350000000000002</v>
      </c>
      <c r="G63">
        <v>0.2681</v>
      </c>
      <c r="H63" s="4">
        <f t="shared" si="1"/>
        <v>0.27080000000000004</v>
      </c>
      <c r="I63" s="4">
        <f t="shared" si="2"/>
        <v>2.9082680000000005</v>
      </c>
      <c r="J63" s="4">
        <v>3</v>
      </c>
      <c r="K63" s="4">
        <f t="shared" si="3"/>
        <v>8.7248040000000024</v>
      </c>
      <c r="Q63">
        <v>64</v>
      </c>
      <c r="R63">
        <v>0.16239999999999999</v>
      </c>
      <c r="S63">
        <v>0.15759999999999999</v>
      </c>
      <c r="T63" s="4">
        <f t="shared" si="4"/>
        <v>0.15999999999999998</v>
      </c>
      <c r="U63" s="4">
        <f t="shared" si="5"/>
        <v>1.4445999999999999</v>
      </c>
      <c r="V63">
        <v>3</v>
      </c>
      <c r="W63">
        <f t="shared" si="6"/>
        <v>4.3338000000000001</v>
      </c>
    </row>
    <row r="64" spans="2:23" x14ac:dyDescent="0.2">
      <c r="B64" s="4">
        <v>12</v>
      </c>
      <c r="C64" s="4"/>
      <c r="D64" s="4"/>
      <c r="E64" s="4">
        <v>91</v>
      </c>
      <c r="F64">
        <v>0.1384</v>
      </c>
      <c r="G64">
        <v>0.13170000000000001</v>
      </c>
      <c r="H64" s="4">
        <f t="shared" si="1"/>
        <v>0.13505</v>
      </c>
      <c r="I64" s="4">
        <f t="shared" si="2"/>
        <v>1.1150105000000001</v>
      </c>
      <c r="J64" s="4">
        <v>3</v>
      </c>
      <c r="K64" s="4">
        <f t="shared" si="3"/>
        <v>3.3450315000000002</v>
      </c>
      <c r="N64">
        <v>15</v>
      </c>
      <c r="Q64">
        <v>96</v>
      </c>
      <c r="R64">
        <v>0.104</v>
      </c>
      <c r="S64">
        <v>0.1013</v>
      </c>
      <c r="T64" s="4">
        <f t="shared" si="4"/>
        <v>0.10264999999999999</v>
      </c>
      <c r="U64" s="4">
        <f t="shared" si="5"/>
        <v>0.68700649999999985</v>
      </c>
      <c r="V64">
        <v>3</v>
      </c>
      <c r="W64">
        <f t="shared" si="6"/>
        <v>2.0610194999999996</v>
      </c>
    </row>
    <row r="65" spans="2:23" x14ac:dyDescent="0.2">
      <c r="B65" s="4"/>
      <c r="C65" s="4"/>
      <c r="D65" s="4"/>
      <c r="E65" s="4">
        <v>92</v>
      </c>
      <c r="F65">
        <v>0.1135</v>
      </c>
      <c r="G65">
        <v>0.1118</v>
      </c>
      <c r="H65" s="4">
        <f t="shared" si="1"/>
        <v>0.11265</v>
      </c>
      <c r="I65" s="4">
        <f t="shared" si="2"/>
        <v>0.81910649999999996</v>
      </c>
      <c r="J65" s="4">
        <v>3</v>
      </c>
      <c r="K65" s="4">
        <f t="shared" si="3"/>
        <v>2.4573194999999997</v>
      </c>
      <c r="Q65">
        <v>97</v>
      </c>
      <c r="R65">
        <v>9.1800000000000007E-2</v>
      </c>
      <c r="S65">
        <v>8.9099999999999999E-2</v>
      </c>
      <c r="T65" s="4">
        <f t="shared" si="4"/>
        <v>9.0450000000000003E-2</v>
      </c>
      <c r="U65" s="4">
        <f t="shared" si="5"/>
        <v>0.52584450000000005</v>
      </c>
      <c r="V65">
        <v>3</v>
      </c>
      <c r="W65">
        <f t="shared" si="6"/>
        <v>1.5775335000000001</v>
      </c>
    </row>
    <row r="66" spans="2:23" x14ac:dyDescent="0.2">
      <c r="B66" s="4"/>
      <c r="C66" s="4"/>
      <c r="D66" s="4"/>
      <c r="E66" s="4">
        <v>93</v>
      </c>
      <c r="F66">
        <v>0.12640000000000001</v>
      </c>
      <c r="G66">
        <v>0.12239999999999999</v>
      </c>
      <c r="H66" s="4">
        <f t="shared" si="1"/>
        <v>0.12440000000000001</v>
      </c>
      <c r="I66" s="4">
        <f t="shared" si="2"/>
        <v>0.97432400000000019</v>
      </c>
      <c r="J66" s="4">
        <v>3</v>
      </c>
      <c r="K66" s="4">
        <f t="shared" si="3"/>
        <v>2.9229720000000006</v>
      </c>
      <c r="Q66">
        <v>98</v>
      </c>
      <c r="R66">
        <v>0.1087</v>
      </c>
      <c r="S66">
        <v>0.1065</v>
      </c>
      <c r="T66" s="4">
        <f t="shared" si="4"/>
        <v>0.1076</v>
      </c>
      <c r="U66" s="4">
        <f t="shared" si="5"/>
        <v>0.75239600000000006</v>
      </c>
      <c r="V66">
        <v>3</v>
      </c>
      <c r="W66">
        <f t="shared" si="6"/>
        <v>2.2571880000000002</v>
      </c>
    </row>
    <row r="67" spans="2:23" x14ac:dyDescent="0.2">
      <c r="B67" s="4"/>
      <c r="C67" s="4"/>
      <c r="D67" s="4"/>
      <c r="E67" s="4">
        <v>94</v>
      </c>
      <c r="F67">
        <v>0.11409999999999999</v>
      </c>
      <c r="G67">
        <v>0.1115</v>
      </c>
      <c r="H67" s="4">
        <f t="shared" si="1"/>
        <v>0.1128</v>
      </c>
      <c r="I67" s="4">
        <f t="shared" si="2"/>
        <v>0.82108800000000004</v>
      </c>
      <c r="J67" s="4">
        <v>3</v>
      </c>
      <c r="K67" s="4">
        <f t="shared" si="3"/>
        <v>2.4632640000000001</v>
      </c>
      <c r="Q67">
        <v>99</v>
      </c>
      <c r="R67">
        <v>0.1144</v>
      </c>
      <c r="S67">
        <v>0.1114</v>
      </c>
      <c r="T67" s="4">
        <f t="shared" si="4"/>
        <v>0.1129</v>
      </c>
      <c r="U67" s="4">
        <f t="shared" si="5"/>
        <v>0.82240900000000017</v>
      </c>
      <c r="V67">
        <v>3</v>
      </c>
      <c r="W67">
        <f t="shared" si="6"/>
        <v>2.4672270000000003</v>
      </c>
    </row>
    <row r="68" spans="2:23" x14ac:dyDescent="0.2">
      <c r="B68" s="4"/>
      <c r="C68" s="4"/>
      <c r="D68" s="4"/>
      <c r="E68" s="4">
        <v>95</v>
      </c>
      <c r="F68">
        <v>0.1042</v>
      </c>
      <c r="G68">
        <v>0.1145</v>
      </c>
      <c r="H68" s="4">
        <f t="shared" si="1"/>
        <v>0.10935</v>
      </c>
      <c r="I68" s="4">
        <f t="shared" si="2"/>
        <v>0.77551350000000019</v>
      </c>
      <c r="J68" s="4">
        <v>3</v>
      </c>
      <c r="K68" s="4">
        <f t="shared" si="3"/>
        <v>2.3265405000000006</v>
      </c>
      <c r="Q68">
        <v>100</v>
      </c>
      <c r="R68">
        <v>9.9000000000000005E-2</v>
      </c>
      <c r="S68">
        <v>9.8199999999999996E-2</v>
      </c>
      <c r="T68" s="4">
        <f t="shared" si="4"/>
        <v>9.8599999999999993E-2</v>
      </c>
      <c r="U68" s="4">
        <f t="shared" si="5"/>
        <v>0.6335059999999999</v>
      </c>
      <c r="V68">
        <v>3</v>
      </c>
      <c r="W68">
        <f t="shared" si="6"/>
        <v>1.9005179999999997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>
      <selection activeCell="D17" sqref="D17"/>
    </sheetView>
  </sheetViews>
  <sheetFormatPr baseColWidth="10" defaultColWidth="8.796875" defaultRowHeight="15" x14ac:dyDescent="0.2"/>
  <cols>
    <col min="2" max="2" width="12" bestFit="1" customWidth="1"/>
    <col min="3" max="3" width="12.3984375" bestFit="1" customWidth="1"/>
    <col min="8" max="8" width="11.3984375" bestFit="1" customWidth="1"/>
    <col min="9" max="9" width="16.19921875" bestFit="1" customWidth="1"/>
    <col min="10" max="10" width="9.3984375" bestFit="1" customWidth="1"/>
    <col min="11" max="12" width="9.3984375" customWidth="1"/>
    <col min="13" max="13" width="18.19921875" bestFit="1" customWidth="1"/>
    <col min="14" max="15" width="18.19921875" customWidth="1"/>
    <col min="16" max="16" width="10.3984375" bestFit="1" customWidth="1"/>
  </cols>
  <sheetData>
    <row r="1" spans="2:15" x14ac:dyDescent="0.2">
      <c r="B1" s="2" t="s">
        <v>181</v>
      </c>
      <c r="C1" s="2"/>
      <c r="D1" s="2"/>
      <c r="E1" s="2"/>
      <c r="F1" s="2"/>
      <c r="G1" s="1"/>
    </row>
    <row r="2" spans="2:15" x14ac:dyDescent="0.2">
      <c r="B2" s="3" t="s">
        <v>169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</row>
    <row r="3" spans="2:15" x14ac:dyDescent="0.2">
      <c r="B3">
        <v>1</v>
      </c>
      <c r="C3">
        <f>LOG(B3)*(-1)</f>
        <v>0</v>
      </c>
      <c r="D3">
        <v>16.18</v>
      </c>
      <c r="E3">
        <v>16.190000000000001</v>
      </c>
      <c r="F3">
        <v>16.09</v>
      </c>
      <c r="G3">
        <f t="shared" ref="G3:G8" si="0">AVERAGE(D3:F3)</f>
        <v>16.153333333333336</v>
      </c>
    </row>
    <row r="4" spans="2:15" x14ac:dyDescent="0.2">
      <c r="B4">
        <f>1/4</f>
        <v>0.25</v>
      </c>
      <c r="C4">
        <f>LOG(B4)</f>
        <v>-0.6020599913279624</v>
      </c>
      <c r="D4">
        <v>18.600000000000001</v>
      </c>
      <c r="E4">
        <v>18.579999999999998</v>
      </c>
      <c r="F4">
        <v>18.68</v>
      </c>
      <c r="G4">
        <f t="shared" si="0"/>
        <v>18.62</v>
      </c>
    </row>
    <row r="5" spans="2:15" x14ac:dyDescent="0.2">
      <c r="B5">
        <f>1/16</f>
        <v>6.25E-2</v>
      </c>
      <c r="C5">
        <f>LOG(B5)</f>
        <v>-1.2041199826559248</v>
      </c>
      <c r="D5">
        <v>19.600000000000001</v>
      </c>
      <c r="E5">
        <v>19.73</v>
      </c>
      <c r="F5">
        <v>19.72</v>
      </c>
      <c r="G5">
        <f t="shared" si="0"/>
        <v>19.683333333333334</v>
      </c>
    </row>
    <row r="6" spans="2:15" x14ac:dyDescent="0.2">
      <c r="B6">
        <f>1/64</f>
        <v>1.5625E-2</v>
      </c>
      <c r="C6">
        <f>LOG(B6)</f>
        <v>-1.8061799739838871</v>
      </c>
      <c r="D6">
        <v>21.98</v>
      </c>
      <c r="E6">
        <v>22.04</v>
      </c>
      <c r="F6">
        <v>22.08</v>
      </c>
      <c r="G6">
        <f t="shared" si="0"/>
        <v>22.033333333333331</v>
      </c>
    </row>
    <row r="7" spans="2:15" x14ac:dyDescent="0.2">
      <c r="B7">
        <f>1/256</f>
        <v>3.90625E-3</v>
      </c>
      <c r="C7">
        <f>LOG(B7)</f>
        <v>-2.4082399653118496</v>
      </c>
      <c r="D7">
        <v>24.04</v>
      </c>
      <c r="E7">
        <v>24</v>
      </c>
      <c r="F7">
        <v>23.93</v>
      </c>
      <c r="G7">
        <f t="shared" si="0"/>
        <v>23.99</v>
      </c>
    </row>
    <row r="8" spans="2:15" x14ac:dyDescent="0.2">
      <c r="B8">
        <f>1/1024</f>
        <v>9.765625E-4</v>
      </c>
      <c r="C8">
        <f>LOG(B8)</f>
        <v>-3.0102999566398121</v>
      </c>
      <c r="D8">
        <v>24.96</v>
      </c>
      <c r="E8">
        <v>25.01</v>
      </c>
      <c r="F8">
        <v>24.96</v>
      </c>
      <c r="G8">
        <f t="shared" si="0"/>
        <v>24.97666666666667</v>
      </c>
    </row>
    <row r="10" spans="2:15" x14ac:dyDescent="0.2">
      <c r="B10" t="s">
        <v>175</v>
      </c>
      <c r="C10" t="s">
        <v>176</v>
      </c>
      <c r="D10" t="s">
        <v>176</v>
      </c>
      <c r="E10" t="s">
        <v>176</v>
      </c>
    </row>
    <row r="11" spans="2:15" x14ac:dyDescent="0.2">
      <c r="B11" t="s">
        <v>177</v>
      </c>
      <c r="C11" t="s">
        <v>176</v>
      </c>
      <c r="D11" t="s">
        <v>176</v>
      </c>
      <c r="E11" t="s">
        <v>176</v>
      </c>
    </row>
    <row r="13" spans="2:15" x14ac:dyDescent="0.2">
      <c r="B13" s="1" t="s">
        <v>189</v>
      </c>
    </row>
    <row r="16" spans="2:15" x14ac:dyDescent="0.2">
      <c r="J16" s="3" t="s">
        <v>203</v>
      </c>
      <c r="K16" s="3" t="s">
        <v>202</v>
      </c>
      <c r="L16" s="3" t="s">
        <v>191</v>
      </c>
      <c r="M16" s="3"/>
      <c r="N16" s="3"/>
      <c r="O16" s="3"/>
    </row>
    <row r="17" spans="1:20" s="3" customFormat="1" x14ac:dyDescent="0.2">
      <c r="A17" s="3" t="s">
        <v>4</v>
      </c>
      <c r="B17" s="3" t="s">
        <v>5</v>
      </c>
      <c r="C17" s="3" t="s">
        <v>139</v>
      </c>
      <c r="D17" s="3" t="s">
        <v>171</v>
      </c>
      <c r="E17" s="3" t="s">
        <v>172</v>
      </c>
      <c r="F17" s="3" t="s">
        <v>182</v>
      </c>
      <c r="G17" s="3" t="s">
        <v>183</v>
      </c>
      <c r="H17" s="3" t="s">
        <v>184</v>
      </c>
      <c r="I17" s="3" t="s">
        <v>190</v>
      </c>
      <c r="J17" s="3" t="s">
        <v>192</v>
      </c>
      <c r="K17" s="3" t="s">
        <v>205</v>
      </c>
      <c r="L17" s="3" t="s">
        <v>204</v>
      </c>
      <c r="M17" s="3" t="s">
        <v>206</v>
      </c>
      <c r="N17" s="3" t="s">
        <v>207</v>
      </c>
    </row>
    <row r="18" spans="1:20" x14ac:dyDescent="0.2">
      <c r="A18" t="s">
        <v>188</v>
      </c>
      <c r="B18" t="s">
        <v>10</v>
      </c>
      <c r="C18">
        <v>1</v>
      </c>
      <c r="D18">
        <v>16.52</v>
      </c>
      <c r="E18">
        <v>16.48</v>
      </c>
      <c r="F18">
        <f>AVERAGE(D18:E18)</f>
        <v>16.5</v>
      </c>
      <c r="G18">
        <f>(F18-16.44)/(-2.9696)</f>
        <v>-2.0204741379309915E-2</v>
      </c>
      <c r="H18">
        <f>10^G18</f>
        <v>0.95454247572596496</v>
      </c>
      <c r="I18">
        <f t="shared" ref="I18:I23" si="1">H18/(AVERAGE(H$18:H$23)/AVERAGE(H$18:H$23))</f>
        <v>0.95454247572596496</v>
      </c>
      <c r="J18">
        <v>929.4</v>
      </c>
      <c r="K18">
        <v>350</v>
      </c>
      <c r="L18">
        <f>(J18/1000)*K18</f>
        <v>325.29000000000002</v>
      </c>
      <c r="M18">
        <f>H18/L18</f>
        <v>2.9344353522271355E-3</v>
      </c>
      <c r="N18">
        <f>M18/O$18*100</f>
        <v>80.581256334992219</v>
      </c>
      <c r="O18">
        <f>AVERAGE(M18:M23)</f>
        <v>3.6415855072153593E-3</v>
      </c>
      <c r="P18" s="3" t="s">
        <v>4</v>
      </c>
      <c r="Q18" s="3" t="s">
        <v>5</v>
      </c>
      <c r="R18" s="3" t="s">
        <v>181</v>
      </c>
      <c r="S18" s="3" t="s">
        <v>65</v>
      </c>
      <c r="T18" s="3" t="s">
        <v>66</v>
      </c>
    </row>
    <row r="19" spans="1:20" x14ac:dyDescent="0.2">
      <c r="C19">
        <v>2</v>
      </c>
      <c r="D19">
        <v>17.23</v>
      </c>
      <c r="E19">
        <v>17.05</v>
      </c>
      <c r="F19">
        <f t="shared" ref="F19:F65" si="2">AVERAGE(D19:E19)</f>
        <v>17.14</v>
      </c>
      <c r="G19">
        <f t="shared" ref="G19:G65" si="3">(F19-16.44)/(-2.9696)</f>
        <v>-0.23572198275862047</v>
      </c>
      <c r="H19">
        <f t="shared" ref="H19:H65" si="4">10^G19</f>
        <v>0.58113631774063701</v>
      </c>
      <c r="I19">
        <f t="shared" si="1"/>
        <v>0.58113631774063701</v>
      </c>
      <c r="J19">
        <v>752.8</v>
      </c>
      <c r="K19">
        <v>175</v>
      </c>
      <c r="L19">
        <f t="shared" ref="L19:L65" si="5">(J19/1000)*K19</f>
        <v>131.73999999999998</v>
      </c>
      <c r="M19">
        <f t="shared" ref="M19:M65" si="6">H19/L19</f>
        <v>4.4112366611555875E-3</v>
      </c>
      <c r="N19">
        <f t="shared" ref="N19:N65" si="7">M19/O$18*100</f>
        <v>121.13505648611734</v>
      </c>
      <c r="P19" t="s">
        <v>18</v>
      </c>
      <c r="Q19" t="s">
        <v>10</v>
      </c>
      <c r="R19">
        <f>AVERAGE(N18:N23)</f>
        <v>100</v>
      </c>
      <c r="S19">
        <f>COUNT(H18:H23)</f>
        <v>6</v>
      </c>
      <c r="T19">
        <f>STDEV(N18:N23)/SQRT(S19)</f>
        <v>5.7128996074436005</v>
      </c>
    </row>
    <row r="20" spans="1:20" x14ac:dyDescent="0.2">
      <c r="C20">
        <v>3</v>
      </c>
      <c r="D20">
        <v>16.239999999999998</v>
      </c>
      <c r="E20">
        <v>16.329999999999998</v>
      </c>
      <c r="F20">
        <f t="shared" si="2"/>
        <v>16.284999999999997</v>
      </c>
      <c r="G20">
        <f t="shared" si="3"/>
        <v>5.2195581896553309E-2</v>
      </c>
      <c r="H20">
        <f t="shared" si="4"/>
        <v>1.1277051970614604</v>
      </c>
      <c r="I20">
        <f t="shared" si="1"/>
        <v>1.1277051970614604</v>
      </c>
      <c r="J20">
        <v>1329</v>
      </c>
      <c r="K20">
        <v>225</v>
      </c>
      <c r="L20">
        <f t="shared" si="5"/>
        <v>299.02499999999998</v>
      </c>
      <c r="M20">
        <f t="shared" si="6"/>
        <v>3.7712739639209447E-3</v>
      </c>
      <c r="N20">
        <f t="shared" si="7"/>
        <v>103.56131845451996</v>
      </c>
      <c r="Q20" t="s">
        <v>11</v>
      </c>
      <c r="R20">
        <f>AVERAGE(N24:N29)</f>
        <v>101.66806582935256</v>
      </c>
      <c r="S20">
        <f>COUNT(H24:H29)</f>
        <v>6</v>
      </c>
      <c r="T20">
        <f>STDEV(N24:N29)/SQRT(S20)</f>
        <v>11.43542210119055</v>
      </c>
    </row>
    <row r="21" spans="1:20" x14ac:dyDescent="0.2">
      <c r="C21">
        <v>4</v>
      </c>
      <c r="D21">
        <v>16.87</v>
      </c>
      <c r="E21">
        <v>16.96</v>
      </c>
      <c r="F21">
        <f t="shared" si="2"/>
        <v>16.914999999999999</v>
      </c>
      <c r="G21">
        <f t="shared" si="3"/>
        <v>-0.15995420258620618</v>
      </c>
      <c r="H21">
        <f t="shared" si="4"/>
        <v>0.69190393003126893</v>
      </c>
      <c r="I21">
        <f t="shared" si="1"/>
        <v>0.69190393003126893</v>
      </c>
      <c r="J21">
        <v>884.9</v>
      </c>
      <c r="K21">
        <v>225</v>
      </c>
      <c r="L21">
        <f t="shared" si="5"/>
        <v>199.10249999999999</v>
      </c>
      <c r="M21">
        <f t="shared" si="6"/>
        <v>3.4751142252421189E-3</v>
      </c>
      <c r="N21">
        <f t="shared" si="7"/>
        <v>95.428604336122334</v>
      </c>
      <c r="Q21" t="s">
        <v>12</v>
      </c>
      <c r="R21">
        <f>AVERAGE(N30:N33,N35)</f>
        <v>132.97961833111307</v>
      </c>
      <c r="S21">
        <v>5</v>
      </c>
      <c r="T21">
        <f>STDEV(N30:N33,N35)/SQRT(S21)</f>
        <v>13.19775494824319</v>
      </c>
    </row>
    <row r="22" spans="1:20" x14ac:dyDescent="0.2">
      <c r="C22">
        <v>5</v>
      </c>
      <c r="D22">
        <v>16.37</v>
      </c>
      <c r="E22">
        <v>16.45</v>
      </c>
      <c r="F22">
        <f t="shared" si="2"/>
        <v>16.41</v>
      </c>
      <c r="G22">
        <f t="shared" si="3"/>
        <v>1.0102370689655556E-2</v>
      </c>
      <c r="H22">
        <f t="shared" si="4"/>
        <v>1.023534228494841</v>
      </c>
      <c r="I22">
        <f t="shared" si="1"/>
        <v>1.023534228494841</v>
      </c>
      <c r="J22">
        <v>1224</v>
      </c>
      <c r="K22">
        <v>250</v>
      </c>
      <c r="L22">
        <f t="shared" si="5"/>
        <v>306</v>
      </c>
      <c r="M22">
        <f t="shared" si="6"/>
        <v>3.344883099656343E-3</v>
      </c>
      <c r="N22">
        <f t="shared" si="7"/>
        <v>91.852383886877391</v>
      </c>
      <c r="Q22" t="s">
        <v>13</v>
      </c>
      <c r="R22">
        <f>AVERAGE(N36:N38,N40:N41)</f>
        <v>147.55746537302494</v>
      </c>
      <c r="S22">
        <f>COUNT(H36:H38,H40:H41)</f>
        <v>5</v>
      </c>
      <c r="T22">
        <f>STDEV(N36:N38,N40:N41)/SQRT(S22)</f>
        <v>16.429360067787755</v>
      </c>
    </row>
    <row r="23" spans="1:20" x14ac:dyDescent="0.2">
      <c r="C23">
        <v>6</v>
      </c>
      <c r="D23">
        <v>16.309999999999999</v>
      </c>
      <c r="E23">
        <v>16.28</v>
      </c>
      <c r="F23">
        <f t="shared" si="2"/>
        <v>16.295000000000002</v>
      </c>
      <c r="G23">
        <f t="shared" si="3"/>
        <v>4.8828124999999861E-2</v>
      </c>
      <c r="H23">
        <f t="shared" si="4"/>
        <v>1.1189949459517483</v>
      </c>
      <c r="I23">
        <f t="shared" si="1"/>
        <v>1.1189949459517483</v>
      </c>
      <c r="J23">
        <v>1040</v>
      </c>
      <c r="K23">
        <v>275</v>
      </c>
      <c r="L23">
        <f t="shared" si="5"/>
        <v>286</v>
      </c>
      <c r="M23">
        <f t="shared" si="6"/>
        <v>3.912569741090029E-3</v>
      </c>
      <c r="N23">
        <f t="shared" si="7"/>
        <v>107.44138050137082</v>
      </c>
    </row>
    <row r="24" spans="1:20" x14ac:dyDescent="0.2">
      <c r="B24" t="s">
        <v>11</v>
      </c>
      <c r="C24">
        <v>7</v>
      </c>
      <c r="D24">
        <v>16.73</v>
      </c>
      <c r="E24">
        <v>16.66</v>
      </c>
      <c r="F24">
        <f t="shared" si="2"/>
        <v>16.695</v>
      </c>
      <c r="G24">
        <f t="shared" si="3"/>
        <v>-8.5870150862068631E-2</v>
      </c>
      <c r="H24">
        <f t="shared" si="4"/>
        <v>0.82059685683385919</v>
      </c>
      <c r="I24">
        <f t="shared" ref="I24:I29" si="8">H24/(AVERAGE(H$24:H$29)/AVERAGE(H$18:H$23))</f>
        <v>0.69728028989940016</v>
      </c>
      <c r="J24">
        <v>942.6</v>
      </c>
      <c r="K24">
        <v>275</v>
      </c>
      <c r="L24">
        <f t="shared" si="5"/>
        <v>259.21499999999997</v>
      </c>
      <c r="M24">
        <f t="shared" si="6"/>
        <v>3.1656997350996635E-3</v>
      </c>
      <c r="N24">
        <f t="shared" si="7"/>
        <v>86.931907237306774</v>
      </c>
      <c r="P24" t="s">
        <v>9</v>
      </c>
      <c r="Q24" t="s">
        <v>10</v>
      </c>
      <c r="R24">
        <f>AVERAGE(N42:N47)</f>
        <v>92.155346301030974</v>
      </c>
      <c r="S24">
        <v>6</v>
      </c>
      <c r="T24">
        <f>STDEV(N42:N47)/SQRT(S24)</f>
        <v>11.980981340597976</v>
      </c>
    </row>
    <row r="25" spans="1:20" x14ac:dyDescent="0.2">
      <c r="C25">
        <v>8</v>
      </c>
      <c r="D25">
        <v>15.95</v>
      </c>
      <c r="E25">
        <v>16.04</v>
      </c>
      <c r="F25">
        <f t="shared" si="2"/>
        <v>15.994999999999999</v>
      </c>
      <c r="G25">
        <f t="shared" si="3"/>
        <v>0.14985183189655243</v>
      </c>
      <c r="H25">
        <f t="shared" si="4"/>
        <v>1.4120557118581174</v>
      </c>
      <c r="I25">
        <f t="shared" si="8"/>
        <v>1.1998566749541879</v>
      </c>
      <c r="J25">
        <v>1035</v>
      </c>
      <c r="K25">
        <v>275</v>
      </c>
      <c r="L25">
        <f t="shared" si="5"/>
        <v>284.625</v>
      </c>
      <c r="M25">
        <f t="shared" si="6"/>
        <v>4.9611092204062098E-3</v>
      </c>
      <c r="N25">
        <f t="shared" si="7"/>
        <v>136.23486831701121</v>
      </c>
      <c r="Q25" t="s">
        <v>11</v>
      </c>
      <c r="R25">
        <f>AVERAGE(N48:N53)</f>
        <v>102.562083702937</v>
      </c>
      <c r="S25">
        <v>6</v>
      </c>
      <c r="T25">
        <f>STDEV(N48:N53)/SQRT(S25)</f>
        <v>10.100981100135799</v>
      </c>
    </row>
    <row r="26" spans="1:20" x14ac:dyDescent="0.2">
      <c r="C26">
        <v>9</v>
      </c>
      <c r="D26">
        <v>16.52</v>
      </c>
      <c r="E26">
        <v>16.47</v>
      </c>
      <c r="F26">
        <f t="shared" si="2"/>
        <v>16.494999999999997</v>
      </c>
      <c r="G26">
        <f t="shared" si="3"/>
        <v>-1.8521012931033191E-2</v>
      </c>
      <c r="H26">
        <f t="shared" si="4"/>
        <v>0.95825035114054813</v>
      </c>
      <c r="I26">
        <f t="shared" si="8"/>
        <v>0.81424767481745697</v>
      </c>
      <c r="J26">
        <v>796.2</v>
      </c>
      <c r="K26">
        <v>425</v>
      </c>
      <c r="L26">
        <f t="shared" si="5"/>
        <v>338.38499999999999</v>
      </c>
      <c r="M26">
        <f t="shared" si="6"/>
        <v>2.8318346000577692E-3</v>
      </c>
      <c r="N26">
        <f t="shared" si="7"/>
        <v>77.76378158488474</v>
      </c>
      <c r="Q26" t="s">
        <v>12</v>
      </c>
      <c r="R26">
        <f>AVERAGE(N54:N59)</f>
        <v>123.02631526932559</v>
      </c>
      <c r="S26">
        <v>6</v>
      </c>
      <c r="T26">
        <f>STDEV(N54:N59)/SQRT(S26)</f>
        <v>16.682296649329345</v>
      </c>
    </row>
    <row r="27" spans="1:20" x14ac:dyDescent="0.2">
      <c r="C27">
        <v>10</v>
      </c>
      <c r="D27">
        <v>16.18</v>
      </c>
      <c r="E27">
        <v>16.190000000000001</v>
      </c>
      <c r="F27">
        <f t="shared" si="2"/>
        <v>16.185000000000002</v>
      </c>
      <c r="G27">
        <f t="shared" si="3"/>
        <v>8.5870150862068631E-2</v>
      </c>
      <c r="H27">
        <f t="shared" si="4"/>
        <v>1.2186251893022586</v>
      </c>
      <c r="I27">
        <f t="shared" si="8"/>
        <v>1.0354942481182672</v>
      </c>
      <c r="J27">
        <v>1071</v>
      </c>
      <c r="K27">
        <v>225</v>
      </c>
      <c r="L27">
        <f t="shared" si="5"/>
        <v>240.97499999999999</v>
      </c>
      <c r="M27">
        <f t="shared" si="6"/>
        <v>5.0570606465494706E-3</v>
      </c>
      <c r="N27">
        <f t="shared" si="7"/>
        <v>138.86974880939962</v>
      </c>
      <c r="Q27" t="s">
        <v>13</v>
      </c>
      <c r="R27">
        <f>AVERAGE(N60:N65)</f>
        <v>138.94377239678488</v>
      </c>
      <c r="S27">
        <v>6</v>
      </c>
      <c r="T27">
        <f>STDEV(N60:N65)/SQRT(S27)</f>
        <v>12.354573592269817</v>
      </c>
    </row>
    <row r="28" spans="1:20" x14ac:dyDescent="0.2">
      <c r="C28">
        <v>11</v>
      </c>
      <c r="D28">
        <v>16.45</v>
      </c>
      <c r="E28">
        <v>16.55</v>
      </c>
      <c r="F28">
        <f t="shared" si="2"/>
        <v>16.5</v>
      </c>
      <c r="G28">
        <f t="shared" si="3"/>
        <v>-2.0204741379309915E-2</v>
      </c>
      <c r="H28">
        <f t="shared" si="4"/>
        <v>0.95454247572596496</v>
      </c>
      <c r="I28">
        <f t="shared" si="8"/>
        <v>0.81109700659047046</v>
      </c>
      <c r="J28">
        <v>968.9</v>
      </c>
      <c r="K28">
        <v>325</v>
      </c>
      <c r="L28">
        <f t="shared" si="5"/>
        <v>314.89249999999998</v>
      </c>
      <c r="M28">
        <f t="shared" si="6"/>
        <v>3.0313280745840722E-3</v>
      </c>
      <c r="N28">
        <f t="shared" si="7"/>
        <v>83.241985354397528</v>
      </c>
    </row>
    <row r="29" spans="1:20" x14ac:dyDescent="0.2">
      <c r="C29">
        <v>12</v>
      </c>
      <c r="D29">
        <v>16.34</v>
      </c>
      <c r="E29">
        <v>16.28</v>
      </c>
      <c r="F29">
        <f t="shared" si="2"/>
        <v>16.310000000000002</v>
      </c>
      <c r="G29">
        <f t="shared" si="3"/>
        <v>4.3776939655172084E-2</v>
      </c>
      <c r="H29">
        <f t="shared" si="4"/>
        <v>1.1060555508718575</v>
      </c>
      <c r="I29">
        <f t="shared" si="8"/>
        <v>0.9398412006261383</v>
      </c>
      <c r="J29">
        <v>1270</v>
      </c>
      <c r="K29">
        <v>275</v>
      </c>
      <c r="L29">
        <f t="shared" si="5"/>
        <v>349.25</v>
      </c>
      <c r="M29">
        <f t="shared" si="6"/>
        <v>3.1669450275500573E-3</v>
      </c>
      <c r="N29">
        <f t="shared" si="7"/>
        <v>86.96610367311547</v>
      </c>
    </row>
    <row r="30" spans="1:20" x14ac:dyDescent="0.2">
      <c r="B30" t="s">
        <v>12</v>
      </c>
      <c r="C30">
        <v>13</v>
      </c>
      <c r="D30">
        <v>16.41</v>
      </c>
      <c r="E30">
        <v>16.21</v>
      </c>
      <c r="F30">
        <f t="shared" si="2"/>
        <v>16.310000000000002</v>
      </c>
      <c r="G30">
        <f t="shared" si="3"/>
        <v>4.3776939655172084E-2</v>
      </c>
      <c r="H30">
        <f t="shared" si="4"/>
        <v>1.1060555508718575</v>
      </c>
      <c r="I30">
        <f t="shared" ref="I30:I35" si="9">H30/(AVERAGE(H$30:H$35)/AVERAGE(H$18:H$23))</f>
        <v>0.61009745751951727</v>
      </c>
      <c r="J30">
        <v>1046</v>
      </c>
      <c r="K30">
        <v>275</v>
      </c>
      <c r="L30">
        <f t="shared" si="5"/>
        <v>287.65000000000003</v>
      </c>
      <c r="M30">
        <f t="shared" si="6"/>
        <v>3.8451435802950022E-3</v>
      </c>
      <c r="N30">
        <f t="shared" si="7"/>
        <v>105.5898199472817</v>
      </c>
    </row>
    <row r="31" spans="1:20" x14ac:dyDescent="0.2">
      <c r="C31">
        <v>14</v>
      </c>
      <c r="D31">
        <v>16.14</v>
      </c>
      <c r="E31">
        <v>16.18</v>
      </c>
      <c r="F31">
        <f t="shared" si="2"/>
        <v>16.16</v>
      </c>
      <c r="G31">
        <f t="shared" si="3"/>
        <v>9.4288793103448662E-2</v>
      </c>
      <c r="H31">
        <f t="shared" si="4"/>
        <v>1.2424782445717988</v>
      </c>
      <c r="I31">
        <f t="shared" si="9"/>
        <v>0.68534787193920021</v>
      </c>
      <c r="J31">
        <v>943.7</v>
      </c>
      <c r="K31">
        <v>375</v>
      </c>
      <c r="L31">
        <f t="shared" si="5"/>
        <v>353.88750000000005</v>
      </c>
      <c r="M31">
        <f t="shared" si="6"/>
        <v>3.5109413148862239E-3</v>
      </c>
      <c r="N31">
        <f t="shared" si="7"/>
        <v>96.412436504091971</v>
      </c>
    </row>
    <row r="32" spans="1:20" x14ac:dyDescent="0.2">
      <c r="C32">
        <v>15</v>
      </c>
      <c r="D32">
        <v>15.74</v>
      </c>
      <c r="E32">
        <v>15.69</v>
      </c>
      <c r="F32">
        <f t="shared" si="2"/>
        <v>15.715</v>
      </c>
      <c r="G32">
        <f t="shared" si="3"/>
        <v>0.2441406250000005</v>
      </c>
      <c r="H32">
        <f t="shared" si="4"/>
        <v>1.7544485021070528</v>
      </c>
      <c r="I32">
        <f t="shared" si="9"/>
        <v>0.96774937718155185</v>
      </c>
      <c r="J32">
        <v>1156</v>
      </c>
      <c r="K32">
        <v>275</v>
      </c>
      <c r="L32">
        <f t="shared" si="5"/>
        <v>317.89999999999998</v>
      </c>
      <c r="M32">
        <f t="shared" si="6"/>
        <v>5.5188691478674206E-3</v>
      </c>
      <c r="N32">
        <f t="shared" si="7"/>
        <v>151.55127174502567</v>
      </c>
    </row>
    <row r="33" spans="1:14" x14ac:dyDescent="0.2">
      <c r="C33">
        <v>16</v>
      </c>
      <c r="D33">
        <v>15.45</v>
      </c>
      <c r="E33">
        <v>15.64</v>
      </c>
      <c r="F33">
        <f t="shared" si="2"/>
        <v>15.545</v>
      </c>
      <c r="G33">
        <f t="shared" si="3"/>
        <v>0.30138739224137978</v>
      </c>
      <c r="H33">
        <f t="shared" si="4"/>
        <v>2.0016465494723308</v>
      </c>
      <c r="I33">
        <f t="shared" si="9"/>
        <v>1.1041031978214502</v>
      </c>
      <c r="J33">
        <v>961.8</v>
      </c>
      <c r="K33">
        <v>375</v>
      </c>
      <c r="L33">
        <f t="shared" si="5"/>
        <v>360.67500000000001</v>
      </c>
      <c r="M33">
        <f t="shared" si="6"/>
        <v>5.5497235723915737E-3</v>
      </c>
      <c r="N33">
        <f t="shared" si="7"/>
        <v>152.39855171313349</v>
      </c>
    </row>
    <row r="34" spans="1:14" x14ac:dyDescent="0.2">
      <c r="C34" s="1">
        <v>17</v>
      </c>
      <c r="D34" s="1">
        <v>15.19</v>
      </c>
      <c r="E34" s="1">
        <v>15.22</v>
      </c>
      <c r="F34" s="1">
        <f t="shared" si="2"/>
        <v>15.205</v>
      </c>
      <c r="G34" s="1">
        <f t="shared" si="3"/>
        <v>0.41588092672413834</v>
      </c>
      <c r="H34" s="1">
        <f t="shared" si="4"/>
        <v>2.6054391022778978</v>
      </c>
      <c r="I34" s="1">
        <f t="shared" si="9"/>
        <v>1.4371536499850173</v>
      </c>
      <c r="J34" s="1">
        <v>581.79999999999995</v>
      </c>
      <c r="K34" s="1">
        <v>250</v>
      </c>
      <c r="L34" s="1">
        <f t="shared" si="5"/>
        <v>145.44999999999999</v>
      </c>
      <c r="M34" s="1">
        <f t="shared" si="6"/>
        <v>1.7912953607960799E-2</v>
      </c>
      <c r="N34" s="1">
        <f t="shared" si="7"/>
        <v>491.8998489110981</v>
      </c>
    </row>
    <row r="35" spans="1:14" x14ac:dyDescent="0.2">
      <c r="C35">
        <v>18</v>
      </c>
      <c r="D35">
        <v>16.14</v>
      </c>
      <c r="E35">
        <v>16.149999999999999</v>
      </c>
      <c r="F35">
        <f t="shared" si="2"/>
        <v>16.145</v>
      </c>
      <c r="G35">
        <f t="shared" si="3"/>
        <v>9.9339978448276439E-2</v>
      </c>
      <c r="H35">
        <f t="shared" si="4"/>
        <v>1.257013605722521</v>
      </c>
      <c r="I35">
        <f t="shared" si="9"/>
        <v>0.69336554055918354</v>
      </c>
      <c r="J35">
        <v>965.2</v>
      </c>
      <c r="K35" s="4">
        <v>225</v>
      </c>
      <c r="L35">
        <f t="shared" si="5"/>
        <v>217.17000000000002</v>
      </c>
      <c r="M35">
        <f t="shared" si="6"/>
        <v>5.788154928040341E-3</v>
      </c>
      <c r="N35">
        <f t="shared" si="7"/>
        <v>158.94601174603247</v>
      </c>
    </row>
    <row r="36" spans="1:14" x14ac:dyDescent="0.2">
      <c r="B36" t="s">
        <v>13</v>
      </c>
      <c r="C36">
        <v>19</v>
      </c>
      <c r="D36">
        <v>15.09</v>
      </c>
      <c r="E36">
        <v>15.03</v>
      </c>
      <c r="F36">
        <f t="shared" si="2"/>
        <v>15.059999999999999</v>
      </c>
      <c r="G36">
        <f t="shared" si="3"/>
        <v>0.46470905172413884</v>
      </c>
      <c r="H36">
        <f t="shared" si="4"/>
        <v>2.9154731874340318</v>
      </c>
      <c r="I36">
        <f>H36/(AVERAGE(H$36:H$38,H$40:$H41)/AVERAGE(H$18:H$23))</f>
        <v>1.4434158581120091</v>
      </c>
      <c r="J36">
        <v>1847.7</v>
      </c>
      <c r="K36" s="4">
        <v>225</v>
      </c>
      <c r="L36">
        <f t="shared" si="5"/>
        <v>415.73250000000002</v>
      </c>
      <c r="M36">
        <f t="shared" si="6"/>
        <v>7.0128584785505866E-3</v>
      </c>
      <c r="N36">
        <f t="shared" si="7"/>
        <v>192.57706470589417</v>
      </c>
    </row>
    <row r="37" spans="1:14" x14ac:dyDescent="0.2">
      <c r="C37">
        <v>20</v>
      </c>
      <c r="D37">
        <v>15.62</v>
      </c>
      <c r="E37">
        <v>15.57</v>
      </c>
      <c r="F37">
        <f t="shared" si="2"/>
        <v>15.594999999999999</v>
      </c>
      <c r="G37">
        <f t="shared" si="3"/>
        <v>0.2845501077586215</v>
      </c>
      <c r="H37">
        <f t="shared" si="4"/>
        <v>1.9255291947717545</v>
      </c>
      <c r="I37">
        <f>H37/(AVERAGE(H$36:H$38,H$40:$H42)/AVERAGE(H$18:H$23))</f>
        <v>1.0043329984718334</v>
      </c>
      <c r="J37">
        <v>961.2</v>
      </c>
      <c r="K37" s="4">
        <v>325</v>
      </c>
      <c r="L37">
        <f t="shared" si="5"/>
        <v>312.39000000000004</v>
      </c>
      <c r="M37">
        <f t="shared" si="6"/>
        <v>6.1638631030818984E-3</v>
      </c>
      <c r="N37">
        <f t="shared" si="7"/>
        <v>169.26317096959423</v>
      </c>
    </row>
    <row r="38" spans="1:14" x14ac:dyDescent="0.2">
      <c r="C38">
        <v>21</v>
      </c>
      <c r="D38">
        <v>15.87</v>
      </c>
      <c r="E38">
        <v>15.94</v>
      </c>
      <c r="F38">
        <f t="shared" si="2"/>
        <v>15.904999999999999</v>
      </c>
      <c r="G38">
        <f t="shared" si="3"/>
        <v>0.1801589439655179</v>
      </c>
      <c r="H38">
        <f t="shared" si="4"/>
        <v>1.5141152859952485</v>
      </c>
      <c r="I38">
        <f>H38/(AVERAGE(H$36:H$38,H$40:$H43)/AVERAGE(H$18:H$23))</f>
        <v>0.8169068275775998</v>
      </c>
      <c r="J38">
        <v>1005</v>
      </c>
      <c r="K38" s="4">
        <v>325</v>
      </c>
      <c r="L38">
        <f t="shared" si="5"/>
        <v>326.62499999999994</v>
      </c>
      <c r="M38">
        <f t="shared" si="6"/>
        <v>4.6356380742296173E-3</v>
      </c>
      <c r="N38">
        <f t="shared" si="7"/>
        <v>127.29724635175155</v>
      </c>
    </row>
    <row r="39" spans="1:14" x14ac:dyDescent="0.2">
      <c r="C39" s="1">
        <v>22</v>
      </c>
      <c r="D39" s="1">
        <v>14.11</v>
      </c>
      <c r="E39" s="1">
        <v>15.12</v>
      </c>
      <c r="F39" s="1">
        <f t="shared" si="2"/>
        <v>14.614999999999998</v>
      </c>
      <c r="G39" s="1">
        <f t="shared" si="3"/>
        <v>0.61456088362069061</v>
      </c>
      <c r="H39" s="1">
        <f t="shared" si="4"/>
        <v>4.1168105670854098</v>
      </c>
      <c r="I39" s="1">
        <f>H39/(AVERAGE(H$36:H$38,H$40:$H44)/AVERAGE(H$18:H$23))</f>
        <v>2.2661270213333409</v>
      </c>
      <c r="J39" s="1">
        <v>576.6</v>
      </c>
      <c r="K39" s="1">
        <v>225</v>
      </c>
      <c r="L39" s="1">
        <f t="shared" si="5"/>
        <v>129.73500000000001</v>
      </c>
      <c r="M39">
        <f t="shared" si="6"/>
        <v>3.1732458990136887E-2</v>
      </c>
      <c r="N39">
        <f t="shared" si="7"/>
        <v>871.39129171243894</v>
      </c>
    </row>
    <row r="40" spans="1:14" x14ac:dyDescent="0.2">
      <c r="C40">
        <v>23</v>
      </c>
      <c r="D40">
        <v>15.7</v>
      </c>
      <c r="E40">
        <v>15.82</v>
      </c>
      <c r="F40">
        <f t="shared" si="2"/>
        <v>15.76</v>
      </c>
      <c r="G40">
        <f t="shared" si="3"/>
        <v>0.22898706896551776</v>
      </c>
      <c r="H40">
        <f t="shared" si="4"/>
        <v>1.6942873526169688</v>
      </c>
      <c r="I40">
        <f>H40/(AVERAGE(H$36:H$38,H$40:$H45)/AVERAGE(H$18:H$23))</f>
        <v>0.96062139612275543</v>
      </c>
      <c r="J40">
        <v>948.8</v>
      </c>
      <c r="K40" s="4">
        <v>325</v>
      </c>
      <c r="L40">
        <f t="shared" si="5"/>
        <v>308.36</v>
      </c>
      <c r="M40">
        <f t="shared" si="6"/>
        <v>5.4945108075527592E-3</v>
      </c>
      <c r="N40">
        <f t="shared" si="7"/>
        <v>150.88237792758275</v>
      </c>
    </row>
    <row r="41" spans="1:14" x14ac:dyDescent="0.2">
      <c r="C41">
        <v>24</v>
      </c>
      <c r="D41">
        <v>16.190000000000001</v>
      </c>
      <c r="E41">
        <v>16.21</v>
      </c>
      <c r="F41">
        <f t="shared" si="2"/>
        <v>16.200000000000003</v>
      </c>
      <c r="G41">
        <f t="shared" si="3"/>
        <v>8.0818965517240854E-2</v>
      </c>
      <c r="H41">
        <f t="shared" si="4"/>
        <v>1.2045337290720455</v>
      </c>
      <c r="I41">
        <f>H41/(AVERAGE(H$36:H$38,H$40:$H46)/AVERAGE(H$18:H$23))</f>
        <v>0.71001056536500018</v>
      </c>
      <c r="J41">
        <v>1041</v>
      </c>
      <c r="K41" s="4">
        <v>325</v>
      </c>
      <c r="L41">
        <f t="shared" si="5"/>
        <v>338.32499999999999</v>
      </c>
      <c r="M41">
        <f t="shared" si="6"/>
        <v>3.5602859057771242E-3</v>
      </c>
      <c r="N41">
        <f t="shared" si="7"/>
        <v>97.767466910301849</v>
      </c>
    </row>
    <row r="42" spans="1:14" x14ac:dyDescent="0.2">
      <c r="A42" t="s">
        <v>9</v>
      </c>
      <c r="B42" t="s">
        <v>10</v>
      </c>
      <c r="C42">
        <v>25</v>
      </c>
      <c r="D42">
        <v>16.190000000000001</v>
      </c>
      <c r="E42">
        <v>16.04</v>
      </c>
      <c r="F42">
        <f t="shared" si="2"/>
        <v>16.115000000000002</v>
      </c>
      <c r="G42">
        <f t="shared" si="3"/>
        <v>0.1094423491379308</v>
      </c>
      <c r="H42">
        <f t="shared" si="4"/>
        <v>1.2865964511407153</v>
      </c>
      <c r="I42">
        <f t="shared" ref="I42:I47" si="10">H42/(AVERAGE(H$42:H$47)/AVERAGE(H$18:H$23))</f>
        <v>0.95623575924017101</v>
      </c>
      <c r="J42">
        <v>1245</v>
      </c>
      <c r="K42" s="4">
        <v>400</v>
      </c>
      <c r="L42">
        <f t="shared" si="5"/>
        <v>498.00000000000006</v>
      </c>
      <c r="M42">
        <f t="shared" si="6"/>
        <v>2.5835270103227214E-3</v>
      </c>
      <c r="N42">
        <f t="shared" si="7"/>
        <v>70.945114571764861</v>
      </c>
    </row>
    <row r="43" spans="1:14" x14ac:dyDescent="0.2">
      <c r="C43">
        <v>26</v>
      </c>
      <c r="D43">
        <v>16.13</v>
      </c>
      <c r="E43">
        <v>15.98</v>
      </c>
      <c r="F43">
        <f t="shared" si="2"/>
        <v>16.055</v>
      </c>
      <c r="G43">
        <f t="shared" si="3"/>
        <v>0.12964709051724191</v>
      </c>
      <c r="H43">
        <f t="shared" si="4"/>
        <v>1.3478671550600352</v>
      </c>
      <c r="I43">
        <f t="shared" si="10"/>
        <v>1.001773921598325</v>
      </c>
      <c r="J43">
        <v>935.2</v>
      </c>
      <c r="K43" s="4">
        <v>300</v>
      </c>
      <c r="L43">
        <f t="shared" si="5"/>
        <v>280.56</v>
      </c>
      <c r="M43">
        <f t="shared" si="6"/>
        <v>4.8042028623468602E-3</v>
      </c>
      <c r="N43">
        <f t="shared" si="7"/>
        <v>131.92613087974775</v>
      </c>
    </row>
    <row r="44" spans="1:14" x14ac:dyDescent="0.2">
      <c r="C44">
        <v>27</v>
      </c>
      <c r="D44">
        <v>15.95</v>
      </c>
      <c r="E44">
        <v>16.010000000000002</v>
      </c>
      <c r="F44">
        <f t="shared" si="2"/>
        <v>15.98</v>
      </c>
      <c r="G44">
        <f t="shared" si="3"/>
        <v>0.15490301724137961</v>
      </c>
      <c r="H44">
        <f t="shared" si="4"/>
        <v>1.4285749063200446</v>
      </c>
      <c r="I44">
        <f t="shared" si="10"/>
        <v>1.061758260692574</v>
      </c>
      <c r="J44">
        <v>1189</v>
      </c>
      <c r="K44" s="4">
        <v>300</v>
      </c>
      <c r="L44">
        <f t="shared" si="5"/>
        <v>356.70000000000005</v>
      </c>
      <c r="M44">
        <f t="shared" si="6"/>
        <v>4.004975907821823E-3</v>
      </c>
      <c r="N44">
        <f t="shared" si="7"/>
        <v>109.97890616289112</v>
      </c>
    </row>
    <row r="45" spans="1:14" x14ac:dyDescent="0.2">
      <c r="C45">
        <v>28</v>
      </c>
      <c r="D45">
        <v>16.16</v>
      </c>
      <c r="E45">
        <v>16.190000000000001</v>
      </c>
      <c r="F45">
        <f t="shared" si="2"/>
        <v>16.175000000000001</v>
      </c>
      <c r="G45">
        <f t="shared" si="3"/>
        <v>8.9237607758620885E-2</v>
      </c>
      <c r="H45">
        <f t="shared" si="4"/>
        <v>1.2281109617320989</v>
      </c>
      <c r="I45">
        <f t="shared" si="10"/>
        <v>0.9127676490028106</v>
      </c>
      <c r="J45">
        <v>1068</v>
      </c>
      <c r="K45" s="4">
        <v>300</v>
      </c>
      <c r="L45">
        <f t="shared" si="5"/>
        <v>320.40000000000003</v>
      </c>
      <c r="M45">
        <f t="shared" si="6"/>
        <v>3.8330554361176617E-3</v>
      </c>
      <c r="N45">
        <f t="shared" si="7"/>
        <v>105.2578726635123</v>
      </c>
    </row>
    <row r="46" spans="1:14" x14ac:dyDescent="0.2">
      <c r="C46">
        <v>29</v>
      </c>
      <c r="D46">
        <v>16.440000000000001</v>
      </c>
      <c r="E46">
        <v>16.440000000000001</v>
      </c>
      <c r="F46">
        <f t="shared" si="2"/>
        <v>16.440000000000001</v>
      </c>
      <c r="G46">
        <f>(F46-16.44)/(-2.9696)</f>
        <v>0</v>
      </c>
      <c r="H46">
        <f t="shared" si="4"/>
        <v>1</v>
      </c>
      <c r="I46">
        <f t="shared" si="10"/>
        <v>0.74322897315032876</v>
      </c>
      <c r="J46">
        <v>1355</v>
      </c>
      <c r="K46" s="4">
        <v>400</v>
      </c>
      <c r="L46">
        <f t="shared" si="5"/>
        <v>542</v>
      </c>
      <c r="M46">
        <f t="shared" si="6"/>
        <v>1.8450184501845018E-3</v>
      </c>
      <c r="N46">
        <f t="shared" si="7"/>
        <v>50.665251345295118</v>
      </c>
    </row>
    <row r="47" spans="1:14" x14ac:dyDescent="0.2">
      <c r="C47">
        <v>30</v>
      </c>
      <c r="D47">
        <v>16.27</v>
      </c>
      <c r="E47">
        <v>16.350000000000001</v>
      </c>
      <c r="F47">
        <f t="shared" si="2"/>
        <v>16.310000000000002</v>
      </c>
      <c r="G47">
        <f t="shared" si="3"/>
        <v>4.3776939655172084E-2</v>
      </c>
      <c r="H47">
        <f t="shared" si="4"/>
        <v>1.1060555508718575</v>
      </c>
      <c r="I47">
        <f t="shared" si="10"/>
        <v>0.82205253132171185</v>
      </c>
      <c r="J47">
        <v>721.8</v>
      </c>
      <c r="K47" s="4">
        <v>500</v>
      </c>
      <c r="L47">
        <f t="shared" si="5"/>
        <v>360.9</v>
      </c>
      <c r="M47">
        <f t="shared" si="6"/>
        <v>3.064714743341251E-3</v>
      </c>
      <c r="N47">
        <f t="shared" si="7"/>
        <v>84.158802182974725</v>
      </c>
    </row>
    <row r="48" spans="1:14" x14ac:dyDescent="0.2">
      <c r="B48" t="s">
        <v>11</v>
      </c>
      <c r="C48">
        <v>31</v>
      </c>
      <c r="D48">
        <v>16.059999999999999</v>
      </c>
      <c r="E48">
        <v>15.99</v>
      </c>
      <c r="F48">
        <f t="shared" si="2"/>
        <v>16.024999999999999</v>
      </c>
      <c r="G48">
        <f t="shared" si="3"/>
        <v>0.13974946120689746</v>
      </c>
      <c r="H48">
        <f t="shared" si="4"/>
        <v>1.3795881686679095</v>
      </c>
      <c r="I48">
        <f t="shared" ref="I48:I53" si="11">H48/(AVERAGE(H$48:H$53)/AVERAGE(H$18:H$23))</f>
        <v>0.84922032553368776</v>
      </c>
      <c r="J48">
        <v>873.4</v>
      </c>
      <c r="K48" s="4">
        <v>500</v>
      </c>
      <c r="L48">
        <f t="shared" si="5"/>
        <v>436.7</v>
      </c>
      <c r="M48">
        <f t="shared" si="6"/>
        <v>3.159121064043759E-3</v>
      </c>
      <c r="N48">
        <f t="shared" si="7"/>
        <v>86.751253205076324</v>
      </c>
    </row>
    <row r="49" spans="2:14" x14ac:dyDescent="0.2">
      <c r="C49">
        <v>32</v>
      </c>
      <c r="D49">
        <v>16.149999999999999</v>
      </c>
      <c r="E49">
        <v>16.03</v>
      </c>
      <c r="F49">
        <f t="shared" si="2"/>
        <v>16.09</v>
      </c>
      <c r="G49">
        <f t="shared" si="3"/>
        <v>0.11786099137931083</v>
      </c>
      <c r="H49">
        <f t="shared" si="4"/>
        <v>1.3117799583651353</v>
      </c>
      <c r="I49">
        <f t="shared" si="11"/>
        <v>0.80748025285476632</v>
      </c>
      <c r="J49">
        <v>1032</v>
      </c>
      <c r="K49" s="4">
        <v>400</v>
      </c>
      <c r="L49">
        <f t="shared" si="5"/>
        <v>412.8</v>
      </c>
      <c r="M49">
        <f t="shared" si="6"/>
        <v>3.1777615270473236E-3</v>
      </c>
      <c r="N49">
        <f t="shared" si="7"/>
        <v>87.263130873927722</v>
      </c>
    </row>
    <row r="50" spans="2:14" x14ac:dyDescent="0.2">
      <c r="C50">
        <v>33</v>
      </c>
      <c r="D50">
        <v>16.05</v>
      </c>
      <c r="E50">
        <v>16.02</v>
      </c>
      <c r="F50">
        <f t="shared" si="2"/>
        <v>16.035</v>
      </c>
      <c r="G50">
        <f t="shared" si="3"/>
        <v>0.13638200431034522</v>
      </c>
      <c r="H50">
        <f t="shared" si="4"/>
        <v>1.3689324056117544</v>
      </c>
      <c r="I50">
        <f t="shared" si="11"/>
        <v>0.84266105605249519</v>
      </c>
      <c r="J50">
        <v>915.4</v>
      </c>
      <c r="K50" s="4">
        <v>400</v>
      </c>
      <c r="L50">
        <f t="shared" si="5"/>
        <v>366.15999999999997</v>
      </c>
      <c r="M50">
        <f t="shared" si="6"/>
        <v>3.7386181057782243E-3</v>
      </c>
      <c r="N50">
        <f t="shared" si="7"/>
        <v>102.66457009922208</v>
      </c>
    </row>
    <row r="51" spans="2:14" x14ac:dyDescent="0.2">
      <c r="C51">
        <v>34</v>
      </c>
      <c r="D51">
        <v>16.14</v>
      </c>
      <c r="E51">
        <v>16.149999999999999</v>
      </c>
      <c r="F51">
        <f t="shared" si="2"/>
        <v>16.145</v>
      </c>
      <c r="G51">
        <f t="shared" si="3"/>
        <v>9.9339978448276439E-2</v>
      </c>
      <c r="H51">
        <f t="shared" si="4"/>
        <v>1.257013605722521</v>
      </c>
      <c r="I51">
        <f t="shared" si="11"/>
        <v>0.77376823583713628</v>
      </c>
      <c r="J51">
        <v>840.9</v>
      </c>
      <c r="K51" s="4">
        <v>500</v>
      </c>
      <c r="L51">
        <f t="shared" si="5"/>
        <v>420.45</v>
      </c>
      <c r="M51">
        <f t="shared" si="6"/>
        <v>2.9896863021108837E-3</v>
      </c>
      <c r="N51">
        <f t="shared" si="7"/>
        <v>82.09847870349833</v>
      </c>
    </row>
    <row r="52" spans="2:14" x14ac:dyDescent="0.2">
      <c r="C52">
        <v>35</v>
      </c>
      <c r="D52">
        <v>15.63</v>
      </c>
      <c r="E52">
        <v>15.17</v>
      </c>
      <c r="F52">
        <f t="shared" si="2"/>
        <v>15.4</v>
      </c>
      <c r="G52">
        <f t="shared" si="3"/>
        <v>0.35021551724137967</v>
      </c>
      <c r="H52">
        <f t="shared" si="4"/>
        <v>2.2398323724412945</v>
      </c>
      <c r="I52">
        <f t="shared" si="11"/>
        <v>1.3787528913807023</v>
      </c>
      <c r="J52">
        <v>1034</v>
      </c>
      <c r="K52" s="4">
        <v>400</v>
      </c>
      <c r="L52">
        <f t="shared" si="5"/>
        <v>413.6</v>
      </c>
      <c r="M52">
        <f t="shared" si="6"/>
        <v>5.415455445941234E-3</v>
      </c>
      <c r="N52">
        <f t="shared" si="7"/>
        <v>148.71147293428007</v>
      </c>
    </row>
    <row r="53" spans="2:14" x14ac:dyDescent="0.2">
      <c r="C53">
        <v>36</v>
      </c>
      <c r="D53">
        <v>16.010000000000002</v>
      </c>
      <c r="E53">
        <v>16.05</v>
      </c>
      <c r="F53">
        <f t="shared" si="2"/>
        <v>16.03</v>
      </c>
      <c r="G53">
        <f t="shared" si="3"/>
        <v>0.13806573275862075</v>
      </c>
      <c r="H53">
        <f t="shared" si="4"/>
        <v>1.3742499592461594</v>
      </c>
      <c r="I53">
        <f t="shared" si="11"/>
        <v>0.84593433334713342</v>
      </c>
      <c r="J53">
        <v>874.5</v>
      </c>
      <c r="K53" s="4">
        <v>400</v>
      </c>
      <c r="L53">
        <f t="shared" si="5"/>
        <v>349.8</v>
      </c>
      <c r="M53">
        <f t="shared" si="6"/>
        <v>3.928673411224012E-3</v>
      </c>
      <c r="N53">
        <f t="shared" si="7"/>
        <v>107.88359640161744</v>
      </c>
    </row>
    <row r="54" spans="2:14" x14ac:dyDescent="0.2">
      <c r="B54" t="s">
        <v>12</v>
      </c>
      <c r="C54">
        <v>37</v>
      </c>
      <c r="D54">
        <v>16.059999999999999</v>
      </c>
      <c r="E54">
        <v>15.9</v>
      </c>
      <c r="F54">
        <f t="shared" si="2"/>
        <v>15.98</v>
      </c>
      <c r="G54">
        <f t="shared" si="3"/>
        <v>0.15490301724137961</v>
      </c>
      <c r="H54">
        <f t="shared" si="4"/>
        <v>1.4285749063200446</v>
      </c>
      <c r="I54">
        <f t="shared" ref="I54:I59" si="12">H54/(AVERAGE(H$54:H$59)/AVERAGE(H$18:H$23))</f>
        <v>0.95593099502128531</v>
      </c>
      <c r="J54">
        <v>786.6</v>
      </c>
      <c r="K54" s="4">
        <v>300</v>
      </c>
      <c r="L54">
        <f t="shared" si="5"/>
        <v>235.98000000000002</v>
      </c>
      <c r="M54">
        <f t="shared" si="6"/>
        <v>6.0537965349607781E-3</v>
      </c>
      <c r="N54">
        <f t="shared" si="7"/>
        <v>166.24068068608895</v>
      </c>
    </row>
    <row r="55" spans="2:14" x14ac:dyDescent="0.2">
      <c r="C55">
        <v>38</v>
      </c>
      <c r="D55">
        <v>16.149999999999999</v>
      </c>
      <c r="E55">
        <v>16.07</v>
      </c>
      <c r="F55">
        <f t="shared" si="2"/>
        <v>16.11</v>
      </c>
      <c r="G55">
        <f t="shared" si="3"/>
        <v>0.11112607758620753</v>
      </c>
      <c r="H55">
        <f t="shared" si="4"/>
        <v>1.2915941746270867</v>
      </c>
      <c r="I55">
        <f t="shared" si="12"/>
        <v>0.864270329160018</v>
      </c>
      <c r="J55">
        <v>1115</v>
      </c>
      <c r="K55" s="4">
        <v>400</v>
      </c>
      <c r="L55">
        <f t="shared" si="5"/>
        <v>446</v>
      </c>
      <c r="M55">
        <f t="shared" si="6"/>
        <v>2.8959510641862929E-3</v>
      </c>
      <c r="N55">
        <f t="shared" si="7"/>
        <v>79.524455994464986</v>
      </c>
    </row>
    <row r="56" spans="2:14" x14ac:dyDescent="0.2">
      <c r="C56">
        <v>39</v>
      </c>
      <c r="D56">
        <v>16.3</v>
      </c>
      <c r="E56">
        <v>16.329999999999998</v>
      </c>
      <c r="F56">
        <f t="shared" si="2"/>
        <v>16.314999999999998</v>
      </c>
      <c r="G56">
        <f t="shared" si="3"/>
        <v>4.2093211206897754E-2</v>
      </c>
      <c r="H56">
        <f t="shared" si="4"/>
        <v>1.1017757547002685</v>
      </c>
      <c r="I56">
        <f t="shared" si="12"/>
        <v>0.7372533206494678</v>
      </c>
      <c r="J56">
        <v>915.1</v>
      </c>
      <c r="K56" s="4">
        <v>500</v>
      </c>
      <c r="L56">
        <f t="shared" si="5"/>
        <v>457.55</v>
      </c>
      <c r="M56">
        <f t="shared" si="6"/>
        <v>2.4079898474489532E-3</v>
      </c>
      <c r="N56">
        <f t="shared" si="7"/>
        <v>66.12476468499267</v>
      </c>
    </row>
    <row r="57" spans="2:14" x14ac:dyDescent="0.2">
      <c r="C57">
        <v>40</v>
      </c>
      <c r="D57">
        <v>15.94</v>
      </c>
      <c r="E57">
        <v>15.89</v>
      </c>
      <c r="F57">
        <f t="shared" si="2"/>
        <v>15.914999999999999</v>
      </c>
      <c r="G57">
        <f t="shared" si="3"/>
        <v>0.17679148706896625</v>
      </c>
      <c r="H57">
        <f t="shared" si="4"/>
        <v>1.5024204526430289</v>
      </c>
      <c r="I57">
        <f t="shared" si="12"/>
        <v>1.005344747329354</v>
      </c>
      <c r="J57">
        <v>897.9</v>
      </c>
      <c r="K57" s="4">
        <v>300</v>
      </c>
      <c r="L57">
        <f t="shared" si="5"/>
        <v>269.37</v>
      </c>
      <c r="M57">
        <f t="shared" si="6"/>
        <v>5.5775344420055271E-3</v>
      </c>
      <c r="N57">
        <f t="shared" si="7"/>
        <v>153.16225394005772</v>
      </c>
    </row>
    <row r="58" spans="2:14" x14ac:dyDescent="0.2">
      <c r="C58">
        <v>41</v>
      </c>
      <c r="D58">
        <v>15.77</v>
      </c>
      <c r="E58">
        <v>15.85</v>
      </c>
      <c r="F58">
        <f t="shared" si="2"/>
        <v>15.809999999999999</v>
      </c>
      <c r="G58">
        <f t="shared" si="3"/>
        <v>0.21214978448275951</v>
      </c>
      <c r="H58">
        <f t="shared" si="4"/>
        <v>1.6298580599339807</v>
      </c>
      <c r="I58">
        <f t="shared" si="12"/>
        <v>1.0906196308526681</v>
      </c>
      <c r="J58">
        <v>1045</v>
      </c>
      <c r="K58" s="4">
        <v>300</v>
      </c>
      <c r="L58">
        <f t="shared" si="5"/>
        <v>313.5</v>
      </c>
      <c r="M58">
        <f t="shared" si="6"/>
        <v>5.1989092820860627E-3</v>
      </c>
      <c r="N58">
        <f t="shared" si="7"/>
        <v>142.76499266006678</v>
      </c>
    </row>
    <row r="59" spans="2:14" x14ac:dyDescent="0.2">
      <c r="C59">
        <v>42</v>
      </c>
      <c r="D59">
        <v>16.05</v>
      </c>
      <c r="E59">
        <v>16.23</v>
      </c>
      <c r="F59">
        <f t="shared" si="2"/>
        <v>16.14</v>
      </c>
      <c r="G59">
        <f t="shared" si="3"/>
        <v>0.10102370689655198</v>
      </c>
      <c r="H59">
        <f t="shared" si="4"/>
        <v>1.2618964160352912</v>
      </c>
      <c r="I59">
        <f t="shared" si="12"/>
        <v>0.84439807199312855</v>
      </c>
      <c r="J59">
        <v>886.2</v>
      </c>
      <c r="K59" s="4">
        <v>300</v>
      </c>
      <c r="L59">
        <f t="shared" si="5"/>
        <v>265.86</v>
      </c>
      <c r="M59">
        <f t="shared" si="6"/>
        <v>4.7464696307654075E-3</v>
      </c>
      <c r="N59">
        <f t="shared" si="7"/>
        <v>130.34074365028241</v>
      </c>
    </row>
    <row r="60" spans="2:14" x14ac:dyDescent="0.2">
      <c r="B60" t="s">
        <v>13</v>
      </c>
      <c r="C60">
        <v>43</v>
      </c>
      <c r="D60">
        <v>16.079999999999998</v>
      </c>
      <c r="E60">
        <v>16.04</v>
      </c>
      <c r="F60">
        <f t="shared" si="2"/>
        <v>16.059999999999999</v>
      </c>
      <c r="G60">
        <f t="shared" si="3"/>
        <v>0.12796336206896639</v>
      </c>
      <c r="H60">
        <f t="shared" si="4"/>
        <v>1.3426516876402534</v>
      </c>
      <c r="I60">
        <f t="shared" ref="I60:I65" si="13">H60/(AVERAGE(H$60:H$65)/AVERAGE(H$18:H$23))</f>
        <v>0.80098060677622185</v>
      </c>
      <c r="J60">
        <v>1028</v>
      </c>
      <c r="K60" s="4">
        <v>300</v>
      </c>
      <c r="L60">
        <f t="shared" si="5"/>
        <v>308.40000000000003</v>
      </c>
      <c r="M60">
        <f t="shared" si="6"/>
        <v>4.3536046940345439E-3</v>
      </c>
      <c r="N60">
        <f t="shared" si="7"/>
        <v>119.55245003607371</v>
      </c>
    </row>
    <row r="61" spans="2:14" x14ac:dyDescent="0.2">
      <c r="C61">
        <v>44</v>
      </c>
      <c r="D61">
        <v>15.63</v>
      </c>
      <c r="E61">
        <v>15.73</v>
      </c>
      <c r="F61">
        <f t="shared" si="2"/>
        <v>15.68</v>
      </c>
      <c r="G61">
        <f t="shared" si="3"/>
        <v>0.2559267241379316</v>
      </c>
      <c r="H61">
        <f t="shared" si="4"/>
        <v>1.802713554323216</v>
      </c>
      <c r="I61">
        <f t="shared" si="13"/>
        <v>1.0754379634552058</v>
      </c>
      <c r="J61">
        <v>933.5</v>
      </c>
      <c r="K61" s="4">
        <v>300</v>
      </c>
      <c r="L61">
        <f t="shared" si="5"/>
        <v>280.05</v>
      </c>
      <c r="M61">
        <f t="shared" si="6"/>
        <v>6.4371132095097875E-3</v>
      </c>
      <c r="N61">
        <f t="shared" si="7"/>
        <v>176.76677361427954</v>
      </c>
    </row>
    <row r="62" spans="2:14" x14ac:dyDescent="0.2">
      <c r="C62">
        <v>45</v>
      </c>
      <c r="D62">
        <v>16.100000000000001</v>
      </c>
      <c r="E62">
        <v>16.16</v>
      </c>
      <c r="F62">
        <f t="shared" si="2"/>
        <v>16.130000000000003</v>
      </c>
      <c r="G62">
        <f t="shared" si="3"/>
        <v>0.10439116379310302</v>
      </c>
      <c r="H62">
        <f t="shared" si="4"/>
        <v>1.271719011479417</v>
      </c>
      <c r="I62">
        <f t="shared" si="13"/>
        <v>0.75866457014916255</v>
      </c>
      <c r="J62">
        <v>893.5</v>
      </c>
      <c r="K62" s="4">
        <v>300</v>
      </c>
      <c r="L62">
        <f t="shared" si="5"/>
        <v>268.05</v>
      </c>
      <c r="M62">
        <f t="shared" si="6"/>
        <v>4.7443350549502593E-3</v>
      </c>
      <c r="N62">
        <f t="shared" si="7"/>
        <v>130.28212698973937</v>
      </c>
    </row>
    <row r="63" spans="2:14" x14ac:dyDescent="0.2">
      <c r="C63">
        <v>46</v>
      </c>
      <c r="D63">
        <v>16.100000000000001</v>
      </c>
      <c r="E63">
        <v>16.09</v>
      </c>
      <c r="F63">
        <f t="shared" si="2"/>
        <v>16.094999999999999</v>
      </c>
      <c r="G63">
        <f t="shared" si="3"/>
        <v>0.11617726293103531</v>
      </c>
      <c r="H63">
        <f t="shared" si="4"/>
        <v>1.3067041275541449</v>
      </c>
      <c r="I63">
        <f t="shared" si="13"/>
        <v>0.77953550768242719</v>
      </c>
      <c r="J63">
        <v>943.7</v>
      </c>
      <c r="K63" s="4">
        <v>300</v>
      </c>
      <c r="L63">
        <f t="shared" si="5"/>
        <v>283.11</v>
      </c>
      <c r="M63">
        <f t="shared" si="6"/>
        <v>4.6155350484057252E-3</v>
      </c>
      <c r="N63">
        <f t="shared" si="7"/>
        <v>126.74520587970825</v>
      </c>
    </row>
    <row r="64" spans="2:14" x14ac:dyDescent="0.2">
      <c r="C64">
        <v>47</v>
      </c>
      <c r="D64">
        <v>16.09</v>
      </c>
      <c r="E64">
        <v>16.21</v>
      </c>
      <c r="F64">
        <f t="shared" si="2"/>
        <v>16.149999999999999</v>
      </c>
      <c r="G64">
        <f t="shared" si="3"/>
        <v>9.7656250000000916E-2</v>
      </c>
      <c r="H64">
        <f t="shared" si="4"/>
        <v>1.2521496890655595</v>
      </c>
      <c r="I64">
        <f t="shared" si="13"/>
        <v>0.74699017396320921</v>
      </c>
      <c r="J64">
        <v>1097</v>
      </c>
      <c r="K64" s="4">
        <v>300</v>
      </c>
      <c r="L64">
        <f t="shared" si="5"/>
        <v>329.09999999999997</v>
      </c>
      <c r="M64">
        <f t="shared" si="6"/>
        <v>3.8047696416455778E-3</v>
      </c>
      <c r="N64">
        <f t="shared" si="7"/>
        <v>104.48112873106751</v>
      </c>
    </row>
    <row r="65" spans="3:14" x14ac:dyDescent="0.2">
      <c r="C65">
        <v>48</v>
      </c>
      <c r="D65">
        <v>15.01</v>
      </c>
      <c r="E65">
        <v>15.79</v>
      </c>
      <c r="F65">
        <f t="shared" si="2"/>
        <v>15.399999999999999</v>
      </c>
      <c r="G65">
        <f t="shared" si="3"/>
        <v>0.35021551724138023</v>
      </c>
      <c r="H65">
        <f t="shared" si="4"/>
        <v>2.2398323724412972</v>
      </c>
      <c r="I65">
        <f t="shared" si="13"/>
        <v>1.3362082729796942</v>
      </c>
      <c r="J65">
        <v>1166</v>
      </c>
      <c r="K65" s="4">
        <v>300</v>
      </c>
      <c r="L65">
        <f t="shared" si="5"/>
        <v>349.79999999999995</v>
      </c>
      <c r="M65">
        <f t="shared" si="6"/>
        <v>6.4031800241317821E-3</v>
      </c>
      <c r="N65">
        <f t="shared" si="7"/>
        <v>175.83494912984082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workbookViewId="0">
      <selection activeCell="G19" sqref="G19"/>
    </sheetView>
  </sheetViews>
  <sheetFormatPr baseColWidth="10" defaultColWidth="8.796875" defaultRowHeight="15" x14ac:dyDescent="0.2"/>
  <cols>
    <col min="1" max="1" width="10.3984375" bestFit="1" customWidth="1"/>
    <col min="2" max="2" width="12" bestFit="1" customWidth="1"/>
    <col min="3" max="3" width="12.3984375" bestFit="1" customWidth="1"/>
    <col min="7" max="7" width="10.796875" bestFit="1" customWidth="1"/>
    <col min="8" max="8" width="12.3984375" bestFit="1" customWidth="1"/>
    <col min="12" max="12" width="17" bestFit="1" customWidth="1"/>
    <col min="13" max="13" width="23.3984375" bestFit="1" customWidth="1"/>
    <col min="14" max="14" width="13.3984375" bestFit="1" customWidth="1"/>
    <col min="15" max="15" width="13.3984375" customWidth="1"/>
    <col min="16" max="16" width="18.3984375" bestFit="1" customWidth="1"/>
    <col min="17" max="19" width="13.3984375" customWidth="1"/>
    <col min="21" max="21" width="10.3984375" bestFit="1" customWidth="1"/>
  </cols>
  <sheetData>
    <row r="1" spans="2:14" x14ac:dyDescent="0.2">
      <c r="B1" s="2" t="s">
        <v>168</v>
      </c>
      <c r="C1" s="2"/>
      <c r="D1" s="2"/>
      <c r="E1" s="2"/>
      <c r="F1" s="2"/>
      <c r="G1" s="1"/>
    </row>
    <row r="2" spans="2:14" x14ac:dyDescent="0.2">
      <c r="B2" s="3" t="s">
        <v>169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</row>
    <row r="3" spans="2:14" x14ac:dyDescent="0.2">
      <c r="B3">
        <v>1</v>
      </c>
      <c r="C3">
        <f>LOG(B3)*(-1)</f>
        <v>0</v>
      </c>
      <c r="D3" s="4">
        <v>27.95</v>
      </c>
      <c r="E3" s="4">
        <v>27.57</v>
      </c>
      <c r="F3" s="4">
        <v>25.28</v>
      </c>
      <c r="G3">
        <f t="shared" ref="G3:G8" si="0">AVERAGE(D3:F3)</f>
        <v>26.933333333333334</v>
      </c>
    </row>
    <row r="4" spans="2:14" x14ac:dyDescent="0.2">
      <c r="B4">
        <f>1/4</f>
        <v>0.25</v>
      </c>
      <c r="C4">
        <f>LOG(B4)</f>
        <v>-0.6020599913279624</v>
      </c>
      <c r="D4" s="4">
        <v>29.49</v>
      </c>
      <c r="E4" s="4">
        <v>29.26</v>
      </c>
      <c r="F4" s="4">
        <v>27.82</v>
      </c>
      <c r="G4">
        <f t="shared" si="0"/>
        <v>28.856666666666666</v>
      </c>
    </row>
    <row r="5" spans="2:14" x14ac:dyDescent="0.2">
      <c r="B5">
        <f>1/16</f>
        <v>6.25E-2</v>
      </c>
      <c r="C5">
        <f>LOG(B5)</f>
        <v>-1.2041199826559248</v>
      </c>
      <c r="D5" s="4">
        <v>30.86</v>
      </c>
      <c r="E5" s="4">
        <v>30</v>
      </c>
      <c r="F5" s="4">
        <v>28.63</v>
      </c>
      <c r="G5">
        <f t="shared" si="0"/>
        <v>29.83</v>
      </c>
    </row>
    <row r="6" spans="2:14" x14ac:dyDescent="0.2">
      <c r="B6">
        <f>1/64</f>
        <v>1.5625E-2</v>
      </c>
      <c r="C6">
        <f>LOG(B6)</f>
        <v>-1.8061799739838871</v>
      </c>
      <c r="D6" s="4">
        <v>34.54</v>
      </c>
      <c r="E6" s="4">
        <v>31.4</v>
      </c>
      <c r="F6" s="4">
        <v>30.34</v>
      </c>
      <c r="G6">
        <f t="shared" si="0"/>
        <v>32.093333333333334</v>
      </c>
    </row>
    <row r="7" spans="2:14" x14ac:dyDescent="0.2">
      <c r="B7">
        <f>1/256</f>
        <v>3.90625E-3</v>
      </c>
      <c r="C7">
        <f>LOG(B7)</f>
        <v>-2.4082399653118496</v>
      </c>
      <c r="D7" s="4">
        <v>34.99</v>
      </c>
      <c r="E7" s="4">
        <v>34.01</v>
      </c>
      <c r="F7" s="4">
        <v>32.39</v>
      </c>
      <c r="G7">
        <f t="shared" si="0"/>
        <v>33.796666666666667</v>
      </c>
    </row>
    <row r="8" spans="2:14" x14ac:dyDescent="0.2">
      <c r="B8">
        <f>1/1024</f>
        <v>9.765625E-4</v>
      </c>
      <c r="C8">
        <f>LOG(B8)</f>
        <v>-3.0102999566398121</v>
      </c>
      <c r="D8" s="4">
        <v>36.020000000000003</v>
      </c>
      <c r="E8" s="4">
        <v>37.270000000000003</v>
      </c>
      <c r="F8" s="4">
        <v>34.57</v>
      </c>
      <c r="G8">
        <f t="shared" si="0"/>
        <v>35.95333333333334</v>
      </c>
      <c r="N8">
        <f>10^(-1/-2.951)</f>
        <v>2.1820674968214973</v>
      </c>
    </row>
    <row r="9" spans="2:14" x14ac:dyDescent="0.2">
      <c r="N9">
        <f>10^(-1/-3.321928)</f>
        <v>2.0000000395980337</v>
      </c>
    </row>
    <row r="10" spans="2:14" x14ac:dyDescent="0.2">
      <c r="B10" t="s">
        <v>175</v>
      </c>
      <c r="C10" t="s">
        <v>176</v>
      </c>
      <c r="D10" t="s">
        <v>176</v>
      </c>
      <c r="E10" t="s">
        <v>176</v>
      </c>
    </row>
    <row r="11" spans="2:14" x14ac:dyDescent="0.2">
      <c r="B11" t="s">
        <v>177</v>
      </c>
      <c r="C11" t="s">
        <v>176</v>
      </c>
      <c r="D11" t="s">
        <v>176</v>
      </c>
      <c r="E11" t="s">
        <v>176</v>
      </c>
    </row>
    <row r="14" spans="2:14" x14ac:dyDescent="0.2">
      <c r="B14" s="1" t="s">
        <v>189</v>
      </c>
    </row>
    <row r="17" spans="1:31" x14ac:dyDescent="0.2">
      <c r="I17" s="3" t="s">
        <v>203</v>
      </c>
      <c r="J17" s="3" t="s">
        <v>202</v>
      </c>
      <c r="K17" s="3" t="s">
        <v>191</v>
      </c>
    </row>
    <row r="18" spans="1:31" s="3" customFormat="1" x14ac:dyDescent="0.2">
      <c r="A18" s="3" t="s">
        <v>4</v>
      </c>
      <c r="B18" s="3" t="s">
        <v>5</v>
      </c>
      <c r="C18" s="3" t="s">
        <v>139</v>
      </c>
      <c r="D18" s="3" t="s">
        <v>171</v>
      </c>
      <c r="E18" s="3" t="s">
        <v>172</v>
      </c>
      <c r="F18" s="3" t="s">
        <v>182</v>
      </c>
      <c r="G18" s="3" t="s">
        <v>185</v>
      </c>
      <c r="H18" s="3" t="s">
        <v>186</v>
      </c>
      <c r="I18" s="3" t="s">
        <v>347</v>
      </c>
      <c r="J18" s="3" t="s">
        <v>205</v>
      </c>
      <c r="K18" s="3" t="s">
        <v>204</v>
      </c>
      <c r="L18" s="3" t="s">
        <v>187</v>
      </c>
      <c r="M18" s="3" t="s">
        <v>193</v>
      </c>
      <c r="N18" s="3" t="s">
        <v>194</v>
      </c>
      <c r="O18" s="3" t="s">
        <v>181</v>
      </c>
      <c r="P18" s="3" t="s">
        <v>215</v>
      </c>
      <c r="Q18" s="3" t="s">
        <v>213</v>
      </c>
      <c r="S18" s="3" t="s">
        <v>212</v>
      </c>
      <c r="T18" s="3" t="s">
        <v>5</v>
      </c>
    </row>
    <row r="19" spans="1:31" x14ac:dyDescent="0.2">
      <c r="A19" t="s">
        <v>188</v>
      </c>
      <c r="B19" t="s">
        <v>10</v>
      </c>
      <c r="C19">
        <v>1</v>
      </c>
      <c r="D19">
        <v>27.36</v>
      </c>
      <c r="E19">
        <v>27.26</v>
      </c>
      <c r="F19">
        <f>AVERAGE(D19:E19)</f>
        <v>27.310000000000002</v>
      </c>
      <c r="G19">
        <f>(F19-26.802)/(-2.951)</f>
        <v>-0.17214503558115984</v>
      </c>
      <c r="H19">
        <f>10^G19</f>
        <v>0.67275194869922716</v>
      </c>
      <c r="I19">
        <v>929.4</v>
      </c>
      <c r="J19">
        <v>350</v>
      </c>
      <c r="K19">
        <f>(I19/1000)*J19</f>
        <v>325.29000000000002</v>
      </c>
      <c r="L19">
        <f>H19/K19</f>
        <v>2.0681605604206312E-3</v>
      </c>
      <c r="M19" s="10">
        <f>L19/N$19*100</f>
        <v>73.52485371074917</v>
      </c>
      <c r="N19">
        <f>AVERAGE(L19:L24)</f>
        <v>2.8128727308413138E-3</v>
      </c>
      <c r="O19">
        <v>0.95454247572596496</v>
      </c>
      <c r="P19">
        <f>H19/O19</f>
        <v>0.70478995519562848</v>
      </c>
      <c r="Q19">
        <f>P19/S$19*100</f>
        <v>89.312809546727749</v>
      </c>
      <c r="S19">
        <f>AVERAGE(P19:P24)</f>
        <v>0.78912527639933661</v>
      </c>
      <c r="T19" t="s">
        <v>10</v>
      </c>
      <c r="U19" s="3" t="s">
        <v>4</v>
      </c>
      <c r="V19" s="3" t="s">
        <v>5</v>
      </c>
      <c r="W19" s="3" t="s">
        <v>168</v>
      </c>
      <c r="X19" s="3" t="s">
        <v>65</v>
      </c>
      <c r="Y19" s="3" t="s">
        <v>66</v>
      </c>
      <c r="AA19" s="3" t="s">
        <v>168</v>
      </c>
      <c r="AB19" s="3" t="s">
        <v>65</v>
      </c>
      <c r="AC19" s="3" t="s">
        <v>66</v>
      </c>
      <c r="AD19" s="3"/>
      <c r="AE19" s="3"/>
    </row>
    <row r="20" spans="1:31" x14ac:dyDescent="0.2">
      <c r="C20">
        <v>2</v>
      </c>
      <c r="D20">
        <v>27.78</v>
      </c>
      <c r="E20">
        <v>27.78</v>
      </c>
      <c r="F20">
        <f t="shared" ref="F20:F66" si="1">AVERAGE(D20:E20)</f>
        <v>27.78</v>
      </c>
      <c r="G20">
        <f t="shared" ref="G20:G66" si="2">(F20-26.802)/(-2.951)</f>
        <v>-0.33141308031175926</v>
      </c>
      <c r="H20">
        <f t="shared" ref="H20:H66" si="3">10^G20</f>
        <v>0.46621572707069886</v>
      </c>
      <c r="I20">
        <v>752.8</v>
      </c>
      <c r="J20">
        <v>175</v>
      </c>
      <c r="K20">
        <f t="shared" ref="K20:K66" si="4">(I20/1000)*J20</f>
        <v>131.73999999999998</v>
      </c>
      <c r="L20">
        <f t="shared" ref="L20:L66" si="5">H20/K20</f>
        <v>3.538907902464695E-3</v>
      </c>
      <c r="M20" s="10">
        <f t="shared" ref="M20:M66" si="6">L20/N$19*100</f>
        <v>125.81116321626924</v>
      </c>
      <c r="O20">
        <v>0.58113631774063701</v>
      </c>
      <c r="P20">
        <f t="shared" ref="P20:P66" si="7">H20/O20</f>
        <v>0.80224847912322772</v>
      </c>
      <c r="Q20">
        <f t="shared" ref="Q20:Q66" si="8">P20/S$19*100</f>
        <v>101.6630062572283</v>
      </c>
      <c r="U20" t="s">
        <v>18</v>
      </c>
      <c r="V20" t="s">
        <v>10</v>
      </c>
      <c r="W20" s="9">
        <f>AVERAGE(M19:M24)</f>
        <v>100</v>
      </c>
      <c r="X20">
        <v>6</v>
      </c>
      <c r="Y20">
        <f>STDEV(M19:M24)/SQRT(X20)</f>
        <v>30.459532531624983</v>
      </c>
      <c r="AA20" s="9">
        <f>AVERAGE(Q19:Q24)</f>
        <v>100</v>
      </c>
      <c r="AB20">
        <v>6</v>
      </c>
      <c r="AC20">
        <f>STDEV(Q19:Q24)/SQRT(AB20)</f>
        <v>32.463750346358395</v>
      </c>
      <c r="AD20" s="3"/>
      <c r="AE20" s="3"/>
    </row>
    <row r="21" spans="1:31" x14ac:dyDescent="0.2">
      <c r="C21">
        <v>3</v>
      </c>
      <c r="D21">
        <v>27.24</v>
      </c>
      <c r="E21">
        <v>27.27</v>
      </c>
      <c r="F21">
        <f t="shared" si="1"/>
        <v>27.254999999999999</v>
      </c>
      <c r="G21">
        <f t="shared" si="2"/>
        <v>-0.15350728566587576</v>
      </c>
      <c r="H21">
        <f t="shared" si="3"/>
        <v>0.70225156275908529</v>
      </c>
      <c r="I21">
        <v>1329</v>
      </c>
      <c r="J21">
        <v>225</v>
      </c>
      <c r="K21">
        <f t="shared" si="4"/>
        <v>299.02499999999998</v>
      </c>
      <c r="L21">
        <f t="shared" si="5"/>
        <v>2.3484710735192219E-3</v>
      </c>
      <c r="M21" s="10">
        <f t="shared" si="6"/>
        <v>83.490129068754854</v>
      </c>
      <c r="O21">
        <v>1.1277051970614604</v>
      </c>
      <c r="P21">
        <f t="shared" si="7"/>
        <v>0.62272619172900046</v>
      </c>
      <c r="Q21">
        <f t="shared" si="8"/>
        <v>78.913476776515026</v>
      </c>
      <c r="V21" t="s">
        <v>11</v>
      </c>
      <c r="W21" s="9">
        <f>AVERAGE(M25:M30)</f>
        <v>184.80407864351312</v>
      </c>
      <c r="X21">
        <v>6</v>
      </c>
      <c r="Y21">
        <f>STDEV(M25:M30)/SQRT(X21)</f>
        <v>77.709630195003101</v>
      </c>
      <c r="AA21" s="9">
        <f>AVERAGE(Q25:Q30)</f>
        <v>163.87230511502904</v>
      </c>
      <c r="AB21">
        <v>6</v>
      </c>
      <c r="AC21">
        <f>STDEV(Q25:Q30)/SQRT(AB21)</f>
        <v>59.718331249443303</v>
      </c>
    </row>
    <row r="22" spans="1:31" x14ac:dyDescent="0.2">
      <c r="C22">
        <v>4</v>
      </c>
      <c r="D22">
        <v>28.55</v>
      </c>
      <c r="E22">
        <v>28.99</v>
      </c>
      <c r="F22">
        <f t="shared" si="1"/>
        <v>28.77</v>
      </c>
      <c r="G22">
        <f t="shared" si="2"/>
        <v>-0.66689257878685193</v>
      </c>
      <c r="H22">
        <f t="shared" si="3"/>
        <v>0.21533142835767463</v>
      </c>
      <c r="I22">
        <v>884.9</v>
      </c>
      <c r="J22">
        <v>225</v>
      </c>
      <c r="K22">
        <f t="shared" si="4"/>
        <v>199.10249999999999</v>
      </c>
      <c r="L22">
        <f t="shared" si="5"/>
        <v>1.0815104197972132E-3</v>
      </c>
      <c r="M22" s="10">
        <f t="shared" si="6"/>
        <v>38.448608354695793</v>
      </c>
      <c r="O22">
        <v>0.69190393003126893</v>
      </c>
      <c r="P22">
        <f t="shared" si="7"/>
        <v>0.31121579024409246</v>
      </c>
      <c r="Q22">
        <f t="shared" si="8"/>
        <v>39.438071438305037</v>
      </c>
      <c r="V22" t="s">
        <v>12</v>
      </c>
      <c r="W22" s="9">
        <f>AVERAGE(M31:M34,M36)</f>
        <v>288.54232771254237</v>
      </c>
      <c r="X22">
        <v>5</v>
      </c>
      <c r="Y22">
        <f>STDEV(M31:M34,M36)/SQRT(X22)</f>
        <v>58.024632798781703</v>
      </c>
      <c r="AA22" s="9">
        <f>AVERAGE(Q31:Q35,Q36)</f>
        <v>219.87790670131605</v>
      </c>
      <c r="AB22">
        <v>5</v>
      </c>
      <c r="AC22">
        <f>STDEV(Q31:Q34,Q36)/SQRT(AB22)</f>
        <v>51.811146363360592</v>
      </c>
    </row>
    <row r="23" spans="1:31" x14ac:dyDescent="0.2">
      <c r="C23">
        <v>5</v>
      </c>
      <c r="D23">
        <v>25.81</v>
      </c>
      <c r="E23">
        <v>25.96</v>
      </c>
      <c r="F23">
        <f t="shared" si="1"/>
        <v>25.884999999999998</v>
      </c>
      <c r="G23">
        <f t="shared" si="2"/>
        <v>0.31074212131480905</v>
      </c>
      <c r="H23">
        <f t="shared" si="3"/>
        <v>2.0452298439420478</v>
      </c>
      <c r="I23">
        <v>1224</v>
      </c>
      <c r="J23">
        <v>250</v>
      </c>
      <c r="K23">
        <f t="shared" si="4"/>
        <v>306</v>
      </c>
      <c r="L23">
        <f t="shared" si="5"/>
        <v>6.6837576599413327E-3</v>
      </c>
      <c r="M23" s="10">
        <f t="shared" si="6"/>
        <v>237.61322674354557</v>
      </c>
      <c r="O23">
        <v>1.023534228494841</v>
      </c>
      <c r="P23">
        <f t="shared" si="7"/>
        <v>1.9982036623725441</v>
      </c>
      <c r="Q23">
        <f t="shared" si="8"/>
        <v>253.21754633054661</v>
      </c>
      <c r="V23" t="s">
        <v>13</v>
      </c>
      <c r="W23" s="9">
        <f>AVERAGE(M37:M42)</f>
        <v>278.68407938454561</v>
      </c>
      <c r="X23">
        <v>6</v>
      </c>
      <c r="Y23">
        <f>STDEV(M37:M42)/SQRT(X23)</f>
        <v>60.418108495607832</v>
      </c>
      <c r="AA23" s="9">
        <f>AVERAGE(Q37:Q40,Q41:Q42)</f>
        <v>137.22135935658375</v>
      </c>
      <c r="AB23">
        <v>6</v>
      </c>
      <c r="AC23">
        <f>STDEV(Q37:Q42)/SQRT(AB23)</f>
        <v>24.614115632670522</v>
      </c>
    </row>
    <row r="24" spans="1:31" x14ac:dyDescent="0.2">
      <c r="C24">
        <v>6</v>
      </c>
      <c r="D24">
        <v>28.37</v>
      </c>
      <c r="E24">
        <v>28.07</v>
      </c>
      <c r="F24">
        <f t="shared" si="1"/>
        <v>28.22</v>
      </c>
      <c r="G24">
        <f t="shared" si="2"/>
        <v>-0.48051507963402212</v>
      </c>
      <c r="H24">
        <f t="shared" si="3"/>
        <v>0.33073862790676906</v>
      </c>
      <c r="I24">
        <v>1040</v>
      </c>
      <c r="J24">
        <v>275</v>
      </c>
      <c r="K24">
        <f t="shared" si="4"/>
        <v>286</v>
      </c>
      <c r="L24">
        <f t="shared" si="5"/>
        <v>1.156428768904787E-3</v>
      </c>
      <c r="M24" s="10">
        <f t="shared" si="6"/>
        <v>41.112018905985337</v>
      </c>
      <c r="O24">
        <v>1.1189949459517483</v>
      </c>
      <c r="P24">
        <f t="shared" si="7"/>
        <v>0.29556757973152697</v>
      </c>
      <c r="Q24">
        <f t="shared" si="8"/>
        <v>37.455089650677351</v>
      </c>
    </row>
    <row r="25" spans="1:31" x14ac:dyDescent="0.2">
      <c r="B25" t="s">
        <v>11</v>
      </c>
      <c r="C25">
        <v>7</v>
      </c>
      <c r="D25">
        <v>29.98</v>
      </c>
      <c r="E25">
        <v>30.24</v>
      </c>
      <c r="F25">
        <f t="shared" si="1"/>
        <v>30.11</v>
      </c>
      <c r="G25">
        <f t="shared" si="2"/>
        <v>-1.1209759403592001</v>
      </c>
      <c r="H25">
        <f t="shared" si="3"/>
        <v>7.5687482424815739E-2</v>
      </c>
      <c r="I25">
        <v>942.6</v>
      </c>
      <c r="J25">
        <v>275</v>
      </c>
      <c r="K25">
        <f t="shared" si="4"/>
        <v>259.21499999999997</v>
      </c>
      <c r="L25">
        <f t="shared" si="5"/>
        <v>2.919872786097091E-4</v>
      </c>
      <c r="M25" s="10">
        <f t="shared" si="6"/>
        <v>10.380394228585571</v>
      </c>
      <c r="O25">
        <v>0.82059685683385919</v>
      </c>
      <c r="P25">
        <f t="shared" si="7"/>
        <v>9.2234672597752448E-2</v>
      </c>
      <c r="Q25">
        <f t="shared" si="8"/>
        <v>11.688216732659457</v>
      </c>
      <c r="T25" t="s">
        <v>11</v>
      </c>
      <c r="U25" t="s">
        <v>9</v>
      </c>
      <c r="V25" t="s">
        <v>10</v>
      </c>
      <c r="W25" s="9">
        <f>AVERAGE(M43:M48)</f>
        <v>142.16141194239628</v>
      </c>
      <c r="X25">
        <v>6</v>
      </c>
      <c r="Y25">
        <f>STDEV(M43:M48)/SQRT(X25)</f>
        <v>43.570807631008073</v>
      </c>
      <c r="AA25" s="9">
        <f>AVERAGE(Q43:Q48)</f>
        <v>144.75601952216093</v>
      </c>
      <c r="AB25">
        <v>6</v>
      </c>
      <c r="AC25">
        <f>STDEV(Q43:Q48)/SQRT(AB25)</f>
        <v>40.314480326984132</v>
      </c>
    </row>
    <row r="26" spans="1:31" x14ac:dyDescent="0.2">
      <c r="C26">
        <v>8</v>
      </c>
      <c r="D26">
        <v>26.16</v>
      </c>
      <c r="E26">
        <v>26.27</v>
      </c>
      <c r="F26">
        <f t="shared" si="1"/>
        <v>26.215</v>
      </c>
      <c r="G26">
        <f t="shared" si="2"/>
        <v>0.19891562182311071</v>
      </c>
      <c r="H26">
        <f t="shared" si="3"/>
        <v>1.5809408517007979</v>
      </c>
      <c r="I26">
        <v>1035</v>
      </c>
      <c r="J26">
        <v>275</v>
      </c>
      <c r="K26">
        <f t="shared" si="4"/>
        <v>284.625</v>
      </c>
      <c r="L26">
        <f t="shared" si="5"/>
        <v>5.5544693955232247E-3</v>
      </c>
      <c r="M26" s="10">
        <f t="shared" si="6"/>
        <v>197.46607568206315</v>
      </c>
      <c r="O26">
        <v>1.4120557118581174</v>
      </c>
      <c r="P26">
        <f t="shared" si="7"/>
        <v>1.119602320520658</v>
      </c>
      <c r="Q26">
        <f t="shared" si="8"/>
        <v>141.87890744410569</v>
      </c>
      <c r="V26" t="s">
        <v>11</v>
      </c>
      <c r="W26" s="9">
        <f>AVERAGE(M49:M54)</f>
        <v>154.07279248682701</v>
      </c>
      <c r="X26">
        <v>6</v>
      </c>
      <c r="Y26">
        <f>STDEV(M49:M54)/SQRT(X26)</f>
        <v>23.742220625766333</v>
      </c>
      <c r="AA26" s="9">
        <f>AVERAGE(Q49:Q54)</f>
        <v>159.86907480057525</v>
      </c>
      <c r="AB26">
        <v>6</v>
      </c>
      <c r="AC26">
        <f>STDEV(Q49:Q54)/SQRT(AB26)</f>
        <v>31.528696976401424</v>
      </c>
    </row>
    <row r="27" spans="1:31" x14ac:dyDescent="0.2">
      <c r="C27">
        <v>9</v>
      </c>
      <c r="D27">
        <v>25.73</v>
      </c>
      <c r="E27">
        <v>25.63</v>
      </c>
      <c r="F27">
        <f t="shared" si="1"/>
        <v>25.68</v>
      </c>
      <c r="G27">
        <f t="shared" si="2"/>
        <v>0.38021009827177221</v>
      </c>
      <c r="H27">
        <f t="shared" si="3"/>
        <v>2.3999936811262801</v>
      </c>
      <c r="I27">
        <v>796.2</v>
      </c>
      <c r="J27">
        <v>425</v>
      </c>
      <c r="K27">
        <f t="shared" si="4"/>
        <v>338.38499999999999</v>
      </c>
      <c r="L27">
        <f t="shared" si="5"/>
        <v>7.0924942923778541E-3</v>
      </c>
      <c r="M27" s="10">
        <f t="shared" si="6"/>
        <v>252.14415905182207</v>
      </c>
      <c r="O27">
        <v>0.95825035114054813</v>
      </c>
      <c r="P27">
        <f t="shared" si="7"/>
        <v>2.5045581024517349</v>
      </c>
      <c r="Q27">
        <f t="shared" si="8"/>
        <v>317.38409316701495</v>
      </c>
      <c r="V27" t="s">
        <v>12</v>
      </c>
      <c r="W27" s="9">
        <f>AVERAGE(M55:M60)</f>
        <v>207.7042757696851</v>
      </c>
      <c r="X27">
        <v>6</v>
      </c>
      <c r="Y27">
        <f>STDEV(M55:M60)/SQRT(X27)</f>
        <v>70.417659065582498</v>
      </c>
      <c r="AA27" s="9">
        <f>AVERAGE(Q55:Q60)</f>
        <v>164.08213710522935</v>
      </c>
      <c r="AB27">
        <v>6</v>
      </c>
      <c r="AC27">
        <f>STDEV(Q55:Q60)/SQRT(AB27)</f>
        <v>49.772991651039128</v>
      </c>
    </row>
    <row r="28" spans="1:31" x14ac:dyDescent="0.2">
      <c r="C28">
        <v>10</v>
      </c>
      <c r="D28">
        <v>25.12</v>
      </c>
      <c r="E28">
        <v>25.23</v>
      </c>
      <c r="F28">
        <f t="shared" si="1"/>
        <v>25.175000000000001</v>
      </c>
      <c r="G28">
        <f t="shared" si="2"/>
        <v>0.55133852931209726</v>
      </c>
      <c r="H28">
        <f t="shared" si="3"/>
        <v>3.5590863860190236</v>
      </c>
      <c r="I28">
        <v>1071</v>
      </c>
      <c r="J28">
        <v>225</v>
      </c>
      <c r="K28">
        <f t="shared" si="4"/>
        <v>240.97499999999999</v>
      </c>
      <c r="L28">
        <f t="shared" si="5"/>
        <v>1.4769525411428669E-2</v>
      </c>
      <c r="M28" s="10">
        <f t="shared" si="6"/>
        <v>525.0690957145149</v>
      </c>
      <c r="O28">
        <v>1.2186251893022586</v>
      </c>
      <c r="P28">
        <f t="shared" si="7"/>
        <v>2.92057510156739</v>
      </c>
      <c r="Q28">
        <f t="shared" si="8"/>
        <v>370.10284538008307</v>
      </c>
      <c r="V28" t="s">
        <v>13</v>
      </c>
      <c r="W28" s="9">
        <f>AVERAGE(M61:M66)</f>
        <v>242.12618358981365</v>
      </c>
      <c r="X28">
        <v>6</v>
      </c>
      <c r="Y28">
        <f>STDEV(M61:M66)/SQRT(X28)</f>
        <v>63.602287377401787</v>
      </c>
      <c r="AA28" s="9">
        <f>AVERAGE(Q61:Q66)</f>
        <v>163.71966858101345</v>
      </c>
      <c r="AB28">
        <v>6</v>
      </c>
      <c r="AC28">
        <f>STDEV(Q61:Q66)/SQRT(AB28)</f>
        <v>30.6487991519089</v>
      </c>
    </row>
    <row r="29" spans="1:31" x14ac:dyDescent="0.2">
      <c r="C29">
        <v>11</v>
      </c>
      <c r="D29">
        <v>27.69</v>
      </c>
      <c r="E29">
        <v>27.66</v>
      </c>
      <c r="F29">
        <f t="shared" si="1"/>
        <v>27.675000000000001</v>
      </c>
      <c r="G29">
        <f t="shared" si="2"/>
        <v>-0.29583192138258252</v>
      </c>
      <c r="H29">
        <f t="shared" si="3"/>
        <v>0.50602046178230808</v>
      </c>
      <c r="I29">
        <v>968.9</v>
      </c>
      <c r="J29">
        <v>325</v>
      </c>
      <c r="K29">
        <f t="shared" si="4"/>
        <v>314.89249999999998</v>
      </c>
      <c r="L29">
        <f t="shared" si="5"/>
        <v>1.6069625722502381E-3</v>
      </c>
      <c r="M29" s="10">
        <f t="shared" si="6"/>
        <v>57.128875922146861</v>
      </c>
      <c r="O29">
        <v>0.95454247572596496</v>
      </c>
      <c r="P29">
        <f t="shared" si="7"/>
        <v>0.53011832857145591</v>
      </c>
      <c r="Q29">
        <f t="shared" si="8"/>
        <v>67.177968369015943</v>
      </c>
      <c r="AC29" s="9"/>
    </row>
    <row r="30" spans="1:31" x14ac:dyDescent="0.2">
      <c r="C30">
        <v>12</v>
      </c>
      <c r="D30">
        <v>27.34</v>
      </c>
      <c r="E30">
        <v>27.35</v>
      </c>
      <c r="F30">
        <f t="shared" si="1"/>
        <v>27.344999999999999</v>
      </c>
      <c r="G30">
        <f t="shared" si="2"/>
        <v>-0.1840054218908842</v>
      </c>
      <c r="H30">
        <f t="shared" si="3"/>
        <v>0.65462800140126864</v>
      </c>
      <c r="I30">
        <v>1270</v>
      </c>
      <c r="J30">
        <v>275</v>
      </c>
      <c r="K30">
        <f t="shared" si="4"/>
        <v>349.25</v>
      </c>
      <c r="L30">
        <f t="shared" si="5"/>
        <v>1.8743822516858087E-3</v>
      </c>
      <c r="M30" s="10">
        <f t="shared" si="6"/>
        <v>66.635871261946207</v>
      </c>
      <c r="O30">
        <v>1.1060555508718575</v>
      </c>
      <c r="P30">
        <f t="shared" si="7"/>
        <v>0.59185815837663192</v>
      </c>
      <c r="Q30">
        <f t="shared" si="8"/>
        <v>75.001799597295147</v>
      </c>
    </row>
    <row r="31" spans="1:31" x14ac:dyDescent="0.2">
      <c r="B31" t="s">
        <v>12</v>
      </c>
      <c r="C31">
        <v>13</v>
      </c>
      <c r="D31">
        <v>27.36</v>
      </c>
      <c r="E31">
        <v>27.19</v>
      </c>
      <c r="F31">
        <f t="shared" si="1"/>
        <v>27.274999999999999</v>
      </c>
      <c r="G31">
        <f t="shared" si="2"/>
        <v>-0.16028464927143307</v>
      </c>
      <c r="H31">
        <f t="shared" si="3"/>
        <v>0.69137767328895838</v>
      </c>
      <c r="I31">
        <v>1046</v>
      </c>
      <c r="J31">
        <v>275</v>
      </c>
      <c r="K31">
        <f t="shared" si="4"/>
        <v>287.65000000000003</v>
      </c>
      <c r="L31">
        <f t="shared" si="5"/>
        <v>2.4035378873247292E-3</v>
      </c>
      <c r="M31" s="10">
        <f t="shared" si="6"/>
        <v>85.447800782861762</v>
      </c>
      <c r="O31">
        <v>1.1060555508718575</v>
      </c>
      <c r="P31">
        <f t="shared" si="7"/>
        <v>0.62508404098146264</v>
      </c>
      <c r="Q31">
        <f t="shared" si="8"/>
        <v>79.212269544023457</v>
      </c>
      <c r="T31" t="s">
        <v>12</v>
      </c>
    </row>
    <row r="32" spans="1:31" x14ac:dyDescent="0.2">
      <c r="C32">
        <v>14</v>
      </c>
      <c r="D32">
        <v>25.09</v>
      </c>
      <c r="E32">
        <v>25.08</v>
      </c>
      <c r="F32">
        <f t="shared" si="1"/>
        <v>25.085000000000001</v>
      </c>
      <c r="G32">
        <f t="shared" si="2"/>
        <v>0.58183666553710567</v>
      </c>
      <c r="H32">
        <f t="shared" si="3"/>
        <v>3.8180065185515919</v>
      </c>
      <c r="I32">
        <v>943.7</v>
      </c>
      <c r="J32">
        <v>375</v>
      </c>
      <c r="K32">
        <f t="shared" si="4"/>
        <v>353.88750000000005</v>
      </c>
      <c r="L32">
        <f t="shared" si="5"/>
        <v>1.078875777910096E-2</v>
      </c>
      <c r="M32" s="10">
        <f t="shared" si="6"/>
        <v>383.54944611639456</v>
      </c>
      <c r="O32">
        <v>1.2424782445717988</v>
      </c>
      <c r="P32">
        <f t="shared" si="7"/>
        <v>3.0728960730152743</v>
      </c>
      <c r="Q32">
        <f t="shared" si="8"/>
        <v>389.40535361336418</v>
      </c>
    </row>
    <row r="33" spans="1:20" x14ac:dyDescent="0.2">
      <c r="C33">
        <v>15</v>
      </c>
      <c r="D33">
        <v>25.96</v>
      </c>
      <c r="E33">
        <v>25.76</v>
      </c>
      <c r="F33">
        <f t="shared" si="1"/>
        <v>25.86</v>
      </c>
      <c r="G33">
        <f t="shared" si="2"/>
        <v>0.31921382582175539</v>
      </c>
      <c r="H33">
        <f t="shared" si="3"/>
        <v>2.0855174393574054</v>
      </c>
      <c r="I33">
        <v>1156</v>
      </c>
      <c r="J33">
        <v>275</v>
      </c>
      <c r="K33">
        <f t="shared" si="4"/>
        <v>317.89999999999998</v>
      </c>
      <c r="L33">
        <f t="shared" si="5"/>
        <v>6.5602939268870888E-3</v>
      </c>
      <c r="M33" s="10">
        <f t="shared" si="6"/>
        <v>233.22398681453831</v>
      </c>
      <c r="O33">
        <v>1.7544485021070528</v>
      </c>
      <c r="P33">
        <f t="shared" si="7"/>
        <v>1.1887025677030396</v>
      </c>
      <c r="Q33">
        <f t="shared" si="8"/>
        <v>150.63546983654049</v>
      </c>
    </row>
    <row r="34" spans="1:20" x14ac:dyDescent="0.2">
      <c r="C34">
        <v>16</v>
      </c>
      <c r="D34">
        <v>25.14</v>
      </c>
      <c r="E34">
        <v>25.2</v>
      </c>
      <c r="F34">
        <f t="shared" si="1"/>
        <v>25.17</v>
      </c>
      <c r="G34">
        <f t="shared" si="2"/>
        <v>0.55303287021348624</v>
      </c>
      <c r="H34">
        <f t="shared" si="3"/>
        <v>3.5729987989291474</v>
      </c>
      <c r="I34">
        <v>961.8</v>
      </c>
      <c r="J34">
        <v>375</v>
      </c>
      <c r="K34">
        <f t="shared" si="4"/>
        <v>360.67500000000001</v>
      </c>
      <c r="L34">
        <f t="shared" si="5"/>
        <v>9.9064221222129271E-3</v>
      </c>
      <c r="M34" s="10">
        <f t="shared" si="6"/>
        <v>352.1816687116866</v>
      </c>
      <c r="O34">
        <v>2.0016465494723308</v>
      </c>
      <c r="P34">
        <f t="shared" si="7"/>
        <v>1.7850298295026426</v>
      </c>
      <c r="Q34">
        <f t="shared" si="8"/>
        <v>226.20360580102985</v>
      </c>
    </row>
    <row r="35" spans="1:20" s="4" customFormat="1" x14ac:dyDescent="0.2">
      <c r="C35" s="8">
        <v>17</v>
      </c>
      <c r="D35" s="8">
        <v>24.85</v>
      </c>
      <c r="E35" s="8">
        <v>24.72</v>
      </c>
      <c r="F35" s="8">
        <f t="shared" si="1"/>
        <v>24.785</v>
      </c>
      <c r="G35" s="8">
        <f t="shared" si="2"/>
        <v>0.68349711962046744</v>
      </c>
      <c r="H35" s="8">
        <f t="shared" si="3"/>
        <v>4.8249977995665247</v>
      </c>
      <c r="I35" s="8">
        <v>581.79999999999995</v>
      </c>
      <c r="J35" s="8">
        <v>250</v>
      </c>
      <c r="K35" s="8">
        <f t="shared" si="4"/>
        <v>145.44999999999999</v>
      </c>
      <c r="L35" s="8">
        <f t="shared" si="5"/>
        <v>3.3172896525036265E-2</v>
      </c>
      <c r="M35" s="13">
        <f t="shared" si="6"/>
        <v>1179.3244735645912</v>
      </c>
      <c r="O35" s="4">
        <v>2.6054391022778978</v>
      </c>
      <c r="P35" s="4">
        <f t="shared" si="7"/>
        <v>1.8518942911957139</v>
      </c>
      <c r="Q35" s="4">
        <f t="shared" si="8"/>
        <v>234.67684366234437</v>
      </c>
    </row>
    <row r="36" spans="1:20" x14ac:dyDescent="0.2">
      <c r="C36">
        <v>18</v>
      </c>
      <c r="D36">
        <v>25.51</v>
      </c>
      <c r="E36">
        <v>25.88</v>
      </c>
      <c r="F36">
        <f t="shared" si="1"/>
        <v>25.695</v>
      </c>
      <c r="G36">
        <f t="shared" si="2"/>
        <v>0.37512707556760394</v>
      </c>
      <c r="H36">
        <f t="shared" si="3"/>
        <v>2.3720676766040274</v>
      </c>
      <c r="I36">
        <v>965.2</v>
      </c>
      <c r="J36" s="4">
        <v>225</v>
      </c>
      <c r="K36">
        <f t="shared" si="4"/>
        <v>217.17000000000002</v>
      </c>
      <c r="L36">
        <f t="shared" si="5"/>
        <v>1.0922630550278709E-2</v>
      </c>
      <c r="M36" s="10">
        <f t="shared" si="6"/>
        <v>388.30873613723054</v>
      </c>
      <c r="O36">
        <v>1.257013605722521</v>
      </c>
      <c r="P36">
        <f t="shared" si="7"/>
        <v>1.8870660315888805</v>
      </c>
      <c r="Q36">
        <f t="shared" si="8"/>
        <v>239.1338977505938</v>
      </c>
    </row>
    <row r="37" spans="1:20" x14ac:dyDescent="0.2">
      <c r="B37" t="s">
        <v>13</v>
      </c>
      <c r="C37">
        <v>19</v>
      </c>
      <c r="D37">
        <v>24.72</v>
      </c>
      <c r="E37">
        <v>24.72</v>
      </c>
      <c r="F37">
        <f t="shared" si="1"/>
        <v>24.72</v>
      </c>
      <c r="G37">
        <f t="shared" si="2"/>
        <v>0.70552355133852951</v>
      </c>
      <c r="H37">
        <f t="shared" si="3"/>
        <v>5.0760226502598451</v>
      </c>
      <c r="I37">
        <v>1847.7</v>
      </c>
      <c r="J37" s="4">
        <v>225</v>
      </c>
      <c r="K37">
        <f t="shared" si="4"/>
        <v>415.73250000000002</v>
      </c>
      <c r="L37">
        <f t="shared" si="5"/>
        <v>1.2209828796786022E-2</v>
      </c>
      <c r="M37" s="10">
        <f t="shared" si="6"/>
        <v>434.06972035788243</v>
      </c>
      <c r="O37">
        <v>2.9154731874340318</v>
      </c>
      <c r="P37">
        <f t="shared" si="7"/>
        <v>1.7410630535509597</v>
      </c>
      <c r="Q37">
        <f t="shared" si="8"/>
        <v>220.63202201495508</v>
      </c>
      <c r="T37" t="s">
        <v>13</v>
      </c>
    </row>
    <row r="38" spans="1:20" x14ac:dyDescent="0.2">
      <c r="C38">
        <v>20</v>
      </c>
      <c r="D38">
        <v>25.94</v>
      </c>
      <c r="E38">
        <v>25.82</v>
      </c>
      <c r="F38">
        <f t="shared" si="1"/>
        <v>25.880000000000003</v>
      </c>
      <c r="G38">
        <f t="shared" si="2"/>
        <v>0.31243646221619686</v>
      </c>
      <c r="H38">
        <f t="shared" si="3"/>
        <v>2.0532246153521445</v>
      </c>
      <c r="I38">
        <v>961.2</v>
      </c>
      <c r="J38" s="4">
        <v>325</v>
      </c>
      <c r="K38">
        <f t="shared" si="4"/>
        <v>312.39000000000004</v>
      </c>
      <c r="L38">
        <f t="shared" si="5"/>
        <v>6.572632335709031E-3</v>
      </c>
      <c r="M38" s="10">
        <f t="shared" si="6"/>
        <v>233.66262766332818</v>
      </c>
      <c r="O38">
        <v>1.9255291947717545</v>
      </c>
      <c r="P38">
        <f t="shared" si="7"/>
        <v>1.0663170524379022</v>
      </c>
      <c r="Q38">
        <f t="shared" si="8"/>
        <v>135.12646018682247</v>
      </c>
    </row>
    <row r="39" spans="1:20" x14ac:dyDescent="0.2">
      <c r="C39">
        <v>21</v>
      </c>
      <c r="D39">
        <v>26.74</v>
      </c>
      <c r="E39">
        <v>26.75</v>
      </c>
      <c r="F39">
        <f t="shared" si="1"/>
        <v>26.744999999999997</v>
      </c>
      <c r="G39">
        <f t="shared" si="2"/>
        <v>1.9315486275839431E-2</v>
      </c>
      <c r="H39">
        <f t="shared" si="3"/>
        <v>1.0454794152236404</v>
      </c>
      <c r="I39">
        <v>1005</v>
      </c>
      <c r="J39" s="4">
        <v>325</v>
      </c>
      <c r="K39">
        <f t="shared" si="4"/>
        <v>326.62499999999994</v>
      </c>
      <c r="L39">
        <f t="shared" si="5"/>
        <v>3.2008554618404611E-3</v>
      </c>
      <c r="M39" s="10">
        <f t="shared" si="6"/>
        <v>113.79311359327315</v>
      </c>
      <c r="O39">
        <v>1.5141152859952485</v>
      </c>
      <c r="P39">
        <f t="shared" si="7"/>
        <v>0.69048864699654133</v>
      </c>
      <c r="Q39">
        <f t="shared" si="8"/>
        <v>87.50051071068718</v>
      </c>
    </row>
    <row r="40" spans="1:20" x14ac:dyDescent="0.2">
      <c r="C40">
        <v>22</v>
      </c>
      <c r="D40">
        <v>26.07</v>
      </c>
      <c r="E40">
        <v>26.06</v>
      </c>
      <c r="F40">
        <f t="shared" si="1"/>
        <v>26.064999999999998</v>
      </c>
      <c r="G40">
        <f t="shared" si="2"/>
        <v>0.24974584886479223</v>
      </c>
      <c r="H40">
        <f t="shared" si="3"/>
        <v>1.7772390571602241</v>
      </c>
      <c r="I40">
        <v>576.6</v>
      </c>
      <c r="J40" s="4">
        <v>225</v>
      </c>
      <c r="K40">
        <f t="shared" si="4"/>
        <v>129.73500000000001</v>
      </c>
      <c r="L40">
        <f t="shared" si="5"/>
        <v>1.3698994543956712E-2</v>
      </c>
      <c r="M40" s="10">
        <f t="shared" si="6"/>
        <v>487.010819713106</v>
      </c>
      <c r="O40">
        <v>4.1168105670854098</v>
      </c>
      <c r="P40">
        <f t="shared" si="7"/>
        <v>0.43170289917382842</v>
      </c>
      <c r="Q40">
        <f t="shared" si="8"/>
        <v>54.706510117585609</v>
      </c>
    </row>
    <row r="41" spans="1:20" x14ac:dyDescent="0.2">
      <c r="C41">
        <v>23</v>
      </c>
      <c r="D41">
        <v>25.89</v>
      </c>
      <c r="E41">
        <v>26.02</v>
      </c>
      <c r="F41">
        <f t="shared" si="1"/>
        <v>25.954999999999998</v>
      </c>
      <c r="G41">
        <f t="shared" si="2"/>
        <v>0.28702134869535795</v>
      </c>
      <c r="H41">
        <f t="shared" si="3"/>
        <v>1.93651715534418</v>
      </c>
      <c r="I41">
        <v>948.8</v>
      </c>
      <c r="J41" s="4">
        <v>325</v>
      </c>
      <c r="K41">
        <f t="shared" si="4"/>
        <v>308.36</v>
      </c>
      <c r="L41">
        <f t="shared" si="5"/>
        <v>6.2800530397722791E-3</v>
      </c>
      <c r="M41" s="10">
        <f t="shared" si="6"/>
        <v>223.2611867190291</v>
      </c>
      <c r="O41">
        <v>1.6942873526169688</v>
      </c>
      <c r="P41">
        <f t="shared" si="7"/>
        <v>1.1429685480169978</v>
      </c>
      <c r="Q41">
        <f t="shared" si="8"/>
        <v>144.83993634473305</v>
      </c>
    </row>
    <row r="42" spans="1:20" x14ac:dyDescent="0.2">
      <c r="C42">
        <v>24</v>
      </c>
      <c r="D42">
        <v>26.03</v>
      </c>
      <c r="E42">
        <v>26.19</v>
      </c>
      <c r="F42">
        <f t="shared" si="1"/>
        <v>26.11</v>
      </c>
      <c r="G42">
        <f t="shared" si="2"/>
        <v>0.23449678075228741</v>
      </c>
      <c r="H42">
        <f t="shared" si="3"/>
        <v>1.715918990666824</v>
      </c>
      <c r="I42">
        <v>1041</v>
      </c>
      <c r="J42" s="4">
        <v>325</v>
      </c>
      <c r="K42">
        <f t="shared" si="4"/>
        <v>338.32499999999999</v>
      </c>
      <c r="L42">
        <f t="shared" si="5"/>
        <v>5.0718066671597544E-3</v>
      </c>
      <c r="M42" s="10">
        <f t="shared" si="6"/>
        <v>180.30700826065481</v>
      </c>
      <c r="O42">
        <v>1.2045337290720455</v>
      </c>
      <c r="P42">
        <f t="shared" si="7"/>
        <v>1.4245503876331815</v>
      </c>
      <c r="Q42">
        <f t="shared" si="8"/>
        <v>180.52271676471915</v>
      </c>
    </row>
    <row r="43" spans="1:20" x14ac:dyDescent="0.2">
      <c r="A43" t="s">
        <v>9</v>
      </c>
      <c r="B43" t="s">
        <v>10</v>
      </c>
      <c r="C43">
        <v>25</v>
      </c>
      <c r="D43">
        <v>28.28</v>
      </c>
      <c r="E43">
        <v>28.28</v>
      </c>
      <c r="F43">
        <f t="shared" si="1"/>
        <v>28.28</v>
      </c>
      <c r="G43">
        <f t="shared" si="2"/>
        <v>-0.50084717045069516</v>
      </c>
      <c r="H43">
        <f t="shared" si="3"/>
        <v>0.31561150744732108</v>
      </c>
      <c r="I43">
        <v>1245</v>
      </c>
      <c r="J43" s="4">
        <v>400</v>
      </c>
      <c r="K43">
        <f t="shared" si="4"/>
        <v>498.00000000000006</v>
      </c>
      <c r="L43">
        <f t="shared" si="5"/>
        <v>6.3375804708297402E-4</v>
      </c>
      <c r="M43" s="10">
        <f t="shared" si="6"/>
        <v>22.530633545351364</v>
      </c>
      <c r="O43">
        <v>1.2865964511407153</v>
      </c>
      <c r="P43">
        <f t="shared" si="7"/>
        <v>0.24530730453009977</v>
      </c>
      <c r="Q43">
        <f t="shared" si="8"/>
        <v>31.085977330418459</v>
      </c>
      <c r="T43" t="s">
        <v>10</v>
      </c>
    </row>
    <row r="44" spans="1:20" x14ac:dyDescent="0.2">
      <c r="C44">
        <v>26</v>
      </c>
      <c r="D44">
        <v>26.86</v>
      </c>
      <c r="E44">
        <v>26.77</v>
      </c>
      <c r="F44">
        <f t="shared" si="1"/>
        <v>26.814999999999998</v>
      </c>
      <c r="G44">
        <f t="shared" si="2"/>
        <v>-4.4052863436116994E-3</v>
      </c>
      <c r="H44">
        <f t="shared" si="3"/>
        <v>0.98990772559700035</v>
      </c>
      <c r="I44">
        <v>935.2</v>
      </c>
      <c r="J44" s="4">
        <v>300</v>
      </c>
      <c r="K44">
        <f t="shared" si="4"/>
        <v>280.56</v>
      </c>
      <c r="L44">
        <f t="shared" si="5"/>
        <v>3.5283280781187639E-3</v>
      </c>
      <c r="M44" s="10">
        <f t="shared" si="6"/>
        <v>125.43504153006815</v>
      </c>
      <c r="O44">
        <v>1.3478671550600352</v>
      </c>
      <c r="P44">
        <f t="shared" si="7"/>
        <v>0.7344252895255905</v>
      </c>
      <c r="Q44">
        <f t="shared" si="8"/>
        <v>93.068275911356665</v>
      </c>
    </row>
    <row r="45" spans="1:20" x14ac:dyDescent="0.2">
      <c r="C45">
        <v>27</v>
      </c>
      <c r="D45">
        <v>26.42</v>
      </c>
      <c r="E45">
        <v>26.29</v>
      </c>
      <c r="F45">
        <f t="shared" si="1"/>
        <v>26.355</v>
      </c>
      <c r="G45">
        <f t="shared" si="2"/>
        <v>0.15147407658420847</v>
      </c>
      <c r="H45">
        <f t="shared" si="3"/>
        <v>1.4173401066526359</v>
      </c>
      <c r="I45">
        <v>1189</v>
      </c>
      <c r="J45" s="4">
        <v>300</v>
      </c>
      <c r="K45">
        <f t="shared" si="4"/>
        <v>356.70000000000005</v>
      </c>
      <c r="L45">
        <f t="shared" si="5"/>
        <v>3.9734794130996233E-3</v>
      </c>
      <c r="M45" s="10">
        <f t="shared" si="6"/>
        <v>141.26054725238774</v>
      </c>
      <c r="O45">
        <v>1.4285749063200446</v>
      </c>
      <c r="P45">
        <f t="shared" si="7"/>
        <v>0.99213565937795367</v>
      </c>
      <c r="Q45">
        <f t="shared" si="8"/>
        <v>125.72600182127276</v>
      </c>
    </row>
    <row r="46" spans="1:20" x14ac:dyDescent="0.2">
      <c r="C46">
        <v>28</v>
      </c>
      <c r="D46">
        <v>25.44</v>
      </c>
      <c r="E46">
        <v>25.49</v>
      </c>
      <c r="F46">
        <f t="shared" si="1"/>
        <v>25.465</v>
      </c>
      <c r="G46">
        <f t="shared" si="2"/>
        <v>0.45306675703151467</v>
      </c>
      <c r="H46">
        <f t="shared" si="3"/>
        <v>2.8383552891339527</v>
      </c>
      <c r="I46">
        <v>1068</v>
      </c>
      <c r="J46" s="4">
        <v>300</v>
      </c>
      <c r="K46">
        <f t="shared" si="4"/>
        <v>320.40000000000003</v>
      </c>
      <c r="L46">
        <f t="shared" si="5"/>
        <v>8.8587867950497886E-3</v>
      </c>
      <c r="M46" s="10">
        <f t="shared" si="6"/>
        <v>314.93734849497355</v>
      </c>
      <c r="O46">
        <v>1.2281109617320989</v>
      </c>
      <c r="P46">
        <f t="shared" si="7"/>
        <v>2.3111554066179845</v>
      </c>
      <c r="Q46">
        <f t="shared" si="8"/>
        <v>292.87560235853158</v>
      </c>
    </row>
    <row r="47" spans="1:20" x14ac:dyDescent="0.2">
      <c r="C47">
        <v>29</v>
      </c>
      <c r="D47">
        <v>27.19</v>
      </c>
      <c r="E47">
        <v>27.25</v>
      </c>
      <c r="F47">
        <f t="shared" si="1"/>
        <v>27.22</v>
      </c>
      <c r="G47">
        <f t="shared" si="2"/>
        <v>-0.14164689935615021</v>
      </c>
      <c r="H47">
        <f t="shared" si="3"/>
        <v>0.72169400989870025</v>
      </c>
      <c r="I47">
        <v>1355</v>
      </c>
      <c r="J47" s="4">
        <v>400</v>
      </c>
      <c r="K47">
        <f t="shared" si="4"/>
        <v>542</v>
      </c>
      <c r="L47">
        <f t="shared" si="5"/>
        <v>1.3315387636507385E-3</v>
      </c>
      <c r="M47" s="10">
        <f t="shared" si="6"/>
        <v>47.337327034077475</v>
      </c>
      <c r="O47">
        <v>1</v>
      </c>
      <c r="P47">
        <f t="shared" si="7"/>
        <v>0.72169400989870025</v>
      </c>
      <c r="Q47">
        <f t="shared" si="8"/>
        <v>91.454935164627429</v>
      </c>
    </row>
    <row r="48" spans="1:20" x14ac:dyDescent="0.2">
      <c r="C48">
        <v>30</v>
      </c>
      <c r="D48">
        <v>25.85</v>
      </c>
      <c r="E48">
        <v>25.92</v>
      </c>
      <c r="F48">
        <f t="shared" si="1"/>
        <v>25.885000000000002</v>
      </c>
      <c r="G48">
        <f t="shared" si="2"/>
        <v>0.31074212131480788</v>
      </c>
      <c r="H48">
        <f t="shared" si="3"/>
        <v>2.0452298439420424</v>
      </c>
      <c r="I48">
        <v>721.8</v>
      </c>
      <c r="J48" s="4">
        <v>500</v>
      </c>
      <c r="K48">
        <f t="shared" si="4"/>
        <v>360.9</v>
      </c>
      <c r="L48">
        <f t="shared" si="5"/>
        <v>5.6670264448380235E-3</v>
      </c>
      <c r="M48" s="10">
        <f t="shared" si="6"/>
        <v>201.46757379751944</v>
      </c>
      <c r="O48">
        <v>1.1060555508718575</v>
      </c>
      <c r="P48">
        <f t="shared" si="7"/>
        <v>1.8491203650032524</v>
      </c>
      <c r="Q48">
        <f t="shared" si="8"/>
        <v>234.32532454675874</v>
      </c>
    </row>
    <row r="49" spans="2:20" x14ac:dyDescent="0.2">
      <c r="B49" t="s">
        <v>11</v>
      </c>
      <c r="C49">
        <v>31</v>
      </c>
      <c r="D49">
        <v>26.2</v>
      </c>
      <c r="E49">
        <v>26.1</v>
      </c>
      <c r="F49">
        <f t="shared" si="1"/>
        <v>26.15</v>
      </c>
      <c r="G49">
        <f t="shared" si="2"/>
        <v>0.22094205354117283</v>
      </c>
      <c r="H49">
        <f t="shared" si="3"/>
        <v>1.6631907215947945</v>
      </c>
      <c r="I49">
        <v>873.4</v>
      </c>
      <c r="J49" s="4">
        <v>500</v>
      </c>
      <c r="K49">
        <f t="shared" si="4"/>
        <v>436.7</v>
      </c>
      <c r="L49">
        <f t="shared" si="5"/>
        <v>3.8085429851037202E-3</v>
      </c>
      <c r="M49" s="10">
        <f t="shared" si="6"/>
        <v>135.39691801003053</v>
      </c>
      <c r="O49">
        <v>1.3795881686679095</v>
      </c>
      <c r="P49">
        <f t="shared" si="7"/>
        <v>1.2055704444035089</v>
      </c>
      <c r="Q49">
        <f t="shared" si="8"/>
        <v>152.77301088419711</v>
      </c>
      <c r="T49" t="s">
        <v>11</v>
      </c>
    </row>
    <row r="50" spans="2:20" x14ac:dyDescent="0.2">
      <c r="C50">
        <v>32</v>
      </c>
      <c r="D50">
        <v>26.21</v>
      </c>
      <c r="E50">
        <v>26.14</v>
      </c>
      <c r="F50">
        <f t="shared" si="1"/>
        <v>26.175000000000001</v>
      </c>
      <c r="G50">
        <f t="shared" si="2"/>
        <v>0.21247034903422529</v>
      </c>
      <c r="H50">
        <f t="shared" si="3"/>
        <v>1.6310615465393976</v>
      </c>
      <c r="I50">
        <v>1032</v>
      </c>
      <c r="J50" s="4">
        <v>400</v>
      </c>
      <c r="K50">
        <f t="shared" si="4"/>
        <v>412.8</v>
      </c>
      <c r="L50">
        <f t="shared" si="5"/>
        <v>3.9512149867717969E-3</v>
      </c>
      <c r="M50" s="10">
        <f t="shared" si="6"/>
        <v>140.46902810245564</v>
      </c>
      <c r="O50">
        <v>1.3117799583651353</v>
      </c>
      <c r="P50">
        <f t="shared" si="7"/>
        <v>1.2433956900608403</v>
      </c>
      <c r="Q50">
        <f t="shared" si="8"/>
        <v>157.56632403593423</v>
      </c>
    </row>
    <row r="51" spans="2:20" x14ac:dyDescent="0.2">
      <c r="C51">
        <v>33</v>
      </c>
      <c r="D51">
        <v>26.04</v>
      </c>
      <c r="E51">
        <v>26.12</v>
      </c>
      <c r="F51">
        <f t="shared" si="1"/>
        <v>26.08</v>
      </c>
      <c r="G51">
        <f t="shared" si="2"/>
        <v>0.24466282616062396</v>
      </c>
      <c r="H51">
        <f t="shared" si="3"/>
        <v>1.7565593419019367</v>
      </c>
      <c r="I51">
        <v>915.4</v>
      </c>
      <c r="J51" s="4">
        <v>400</v>
      </c>
      <c r="K51">
        <f t="shared" si="4"/>
        <v>366.15999999999997</v>
      </c>
      <c r="L51">
        <f t="shared" si="5"/>
        <v>4.7972453077942349E-3</v>
      </c>
      <c r="M51" s="10">
        <f t="shared" si="6"/>
        <v>170.54612017086913</v>
      </c>
      <c r="O51">
        <v>1.3689324056117544</v>
      </c>
      <c r="P51">
        <f t="shared" si="7"/>
        <v>1.283160026529548</v>
      </c>
      <c r="Q51">
        <f t="shared" si="8"/>
        <v>162.60536380033597</v>
      </c>
    </row>
    <row r="52" spans="2:20" x14ac:dyDescent="0.2">
      <c r="C52">
        <v>34</v>
      </c>
      <c r="D52">
        <v>25.44</v>
      </c>
      <c r="E52">
        <v>25.5</v>
      </c>
      <c r="F52">
        <f t="shared" si="1"/>
        <v>25.47</v>
      </c>
      <c r="G52">
        <f t="shared" si="2"/>
        <v>0.45137241613012563</v>
      </c>
      <c r="H52">
        <f t="shared" si="3"/>
        <v>2.8273034044314165</v>
      </c>
      <c r="I52">
        <v>840.9</v>
      </c>
      <c r="J52" s="4">
        <v>500</v>
      </c>
      <c r="K52">
        <f t="shared" si="4"/>
        <v>420.45</v>
      </c>
      <c r="L52">
        <f t="shared" si="5"/>
        <v>6.7244699831880521E-3</v>
      </c>
      <c r="M52" s="10">
        <f t="shared" si="6"/>
        <v>239.06058420129099</v>
      </c>
      <c r="O52">
        <v>1.257013605722521</v>
      </c>
      <c r="P52">
        <f t="shared" si="7"/>
        <v>2.249222595173348</v>
      </c>
      <c r="Q52">
        <f t="shared" si="8"/>
        <v>285.02731599679862</v>
      </c>
    </row>
    <row r="53" spans="2:20" x14ac:dyDescent="0.2">
      <c r="C53">
        <v>35</v>
      </c>
      <c r="D53">
        <v>27.15</v>
      </c>
      <c r="E53">
        <v>27.27</v>
      </c>
      <c r="F53">
        <f t="shared" si="1"/>
        <v>27.21</v>
      </c>
      <c r="G53">
        <f t="shared" si="2"/>
        <v>-0.13825821755337217</v>
      </c>
      <c r="H53">
        <f t="shared" si="3"/>
        <v>0.7273472186482618</v>
      </c>
      <c r="I53">
        <v>1034</v>
      </c>
      <c r="J53" s="4">
        <v>400</v>
      </c>
      <c r="K53">
        <f t="shared" si="4"/>
        <v>413.6</v>
      </c>
      <c r="L53">
        <f t="shared" si="5"/>
        <v>1.7585764474087567E-3</v>
      </c>
      <c r="M53" s="10">
        <f t="shared" si="6"/>
        <v>62.518877165223785</v>
      </c>
      <c r="O53">
        <v>2.2398323724412945</v>
      </c>
      <c r="P53">
        <f t="shared" si="7"/>
        <v>0.32473288072691492</v>
      </c>
      <c r="Q53">
        <f t="shared" si="8"/>
        <v>41.150992173083552</v>
      </c>
    </row>
    <row r="54" spans="2:20" x14ac:dyDescent="0.2">
      <c r="C54">
        <v>36</v>
      </c>
      <c r="D54">
        <v>25.97</v>
      </c>
      <c r="E54">
        <v>26.22</v>
      </c>
      <c r="F54">
        <f t="shared" si="1"/>
        <v>26.094999999999999</v>
      </c>
      <c r="G54">
        <f t="shared" si="2"/>
        <v>0.23957980345645569</v>
      </c>
      <c r="H54">
        <f t="shared" si="3"/>
        <v>1.7361202530362785</v>
      </c>
      <c r="I54">
        <v>874.5</v>
      </c>
      <c r="J54" s="4">
        <v>400</v>
      </c>
      <c r="K54">
        <f t="shared" si="4"/>
        <v>349.8</v>
      </c>
      <c r="L54">
        <f t="shared" si="5"/>
        <v>4.9631796827795263E-3</v>
      </c>
      <c r="M54" s="10">
        <f t="shared" si="6"/>
        <v>176.44522727109194</v>
      </c>
      <c r="O54">
        <v>1.3742499592461594</v>
      </c>
      <c r="P54">
        <f t="shared" si="7"/>
        <v>1.2633220334884505</v>
      </c>
      <c r="Q54">
        <f t="shared" si="8"/>
        <v>160.09144191310213</v>
      </c>
    </row>
    <row r="55" spans="2:20" x14ac:dyDescent="0.2">
      <c r="B55" t="s">
        <v>12</v>
      </c>
      <c r="C55">
        <v>37</v>
      </c>
      <c r="D55">
        <v>26.95</v>
      </c>
      <c r="E55">
        <v>26.96</v>
      </c>
      <c r="F55">
        <f t="shared" si="1"/>
        <v>26.954999999999998</v>
      </c>
      <c r="G55">
        <f t="shared" si="2"/>
        <v>-5.1846831582513957E-2</v>
      </c>
      <c r="H55">
        <f t="shared" si="3"/>
        <v>0.88746895234221779</v>
      </c>
      <c r="I55">
        <v>786.6</v>
      </c>
      <c r="J55" s="4">
        <v>300</v>
      </c>
      <c r="K55">
        <f t="shared" si="4"/>
        <v>235.98000000000002</v>
      </c>
      <c r="L55">
        <f t="shared" si="5"/>
        <v>3.7607803726680978E-3</v>
      </c>
      <c r="M55" s="10">
        <f t="shared" si="6"/>
        <v>133.69891682028822</v>
      </c>
      <c r="O55">
        <v>1.4285749063200446</v>
      </c>
      <c r="P55">
        <f t="shared" si="7"/>
        <v>0.6212267543102129</v>
      </c>
      <c r="Q55">
        <f t="shared" si="8"/>
        <v>78.723464181096801</v>
      </c>
      <c r="T55" t="s">
        <v>12</v>
      </c>
    </row>
    <row r="56" spans="2:20" x14ac:dyDescent="0.2">
      <c r="C56">
        <v>38</v>
      </c>
      <c r="D56">
        <v>27.41</v>
      </c>
      <c r="E56">
        <v>27.33</v>
      </c>
      <c r="F56">
        <f t="shared" si="1"/>
        <v>27.369999999999997</v>
      </c>
      <c r="G56">
        <f t="shared" si="2"/>
        <v>-0.19247712639783052</v>
      </c>
      <c r="H56">
        <f t="shared" si="3"/>
        <v>0.64198203279400323</v>
      </c>
      <c r="I56">
        <v>1115</v>
      </c>
      <c r="J56" s="4">
        <v>400</v>
      </c>
      <c r="K56">
        <f t="shared" si="4"/>
        <v>446</v>
      </c>
      <c r="L56">
        <f t="shared" si="5"/>
        <v>1.4394215981928323E-3</v>
      </c>
      <c r="M56" s="10">
        <f t="shared" si="6"/>
        <v>51.172652868738567</v>
      </c>
      <c r="O56">
        <v>1.2915941746270867</v>
      </c>
      <c r="P56">
        <f t="shared" si="7"/>
        <v>0.49704624363094418</v>
      </c>
      <c r="Q56">
        <f t="shared" si="8"/>
        <v>62.986988060868313</v>
      </c>
    </row>
    <row r="57" spans="2:20" x14ac:dyDescent="0.2">
      <c r="C57">
        <v>39</v>
      </c>
      <c r="D57">
        <v>26.33</v>
      </c>
      <c r="E57">
        <v>26.37</v>
      </c>
      <c r="F57">
        <f t="shared" si="1"/>
        <v>26.35</v>
      </c>
      <c r="G57">
        <f t="shared" si="2"/>
        <v>0.15316841748559748</v>
      </c>
      <c r="H57">
        <f t="shared" si="3"/>
        <v>1.4228804669190485</v>
      </c>
      <c r="I57">
        <v>915.1</v>
      </c>
      <c r="J57" s="4">
        <v>500</v>
      </c>
      <c r="K57">
        <f t="shared" si="4"/>
        <v>457.55</v>
      </c>
      <c r="L57">
        <f t="shared" si="5"/>
        <v>3.1097813723506688E-3</v>
      </c>
      <c r="M57" s="10">
        <f t="shared" si="6"/>
        <v>110.55535283391764</v>
      </c>
      <c r="O57">
        <v>1.1017757547002685</v>
      </c>
      <c r="P57">
        <f t="shared" si="7"/>
        <v>1.2914428919395986</v>
      </c>
      <c r="Q57">
        <f t="shared" si="8"/>
        <v>163.65498996968694</v>
      </c>
    </row>
    <row r="58" spans="2:20" x14ac:dyDescent="0.2">
      <c r="C58">
        <v>40</v>
      </c>
      <c r="D58">
        <v>26.8</v>
      </c>
      <c r="E58">
        <v>27.09</v>
      </c>
      <c r="F58">
        <f t="shared" si="1"/>
        <v>26.945</v>
      </c>
      <c r="G58">
        <f t="shared" si="2"/>
        <v>-4.8458149779735914E-2</v>
      </c>
      <c r="H58">
        <f t="shared" si="3"/>
        <v>0.89442071746362917</v>
      </c>
      <c r="I58">
        <v>897.9</v>
      </c>
      <c r="J58" s="4">
        <v>300</v>
      </c>
      <c r="K58">
        <f t="shared" si="4"/>
        <v>269.37</v>
      </c>
      <c r="L58">
        <f t="shared" si="5"/>
        <v>3.3204169635209159E-3</v>
      </c>
      <c r="M58" s="10">
        <f t="shared" si="6"/>
        <v>118.04362590296785</v>
      </c>
      <c r="O58">
        <v>1.5024204526430289</v>
      </c>
      <c r="P58">
        <f t="shared" si="7"/>
        <v>0.59531984930728388</v>
      </c>
      <c r="Q58">
        <f t="shared" si="8"/>
        <v>75.440474042808688</v>
      </c>
    </row>
    <row r="59" spans="2:20" x14ac:dyDescent="0.2">
      <c r="C59">
        <v>41</v>
      </c>
      <c r="D59">
        <v>25.42</v>
      </c>
      <c r="E59">
        <v>25.43</v>
      </c>
      <c r="F59">
        <f t="shared" si="1"/>
        <v>25.425000000000001</v>
      </c>
      <c r="G59">
        <f t="shared" si="2"/>
        <v>0.46662148424262923</v>
      </c>
      <c r="H59">
        <f t="shared" si="3"/>
        <v>2.9283398949066251</v>
      </c>
      <c r="I59">
        <v>1045</v>
      </c>
      <c r="J59" s="4">
        <v>300</v>
      </c>
      <c r="K59">
        <f t="shared" si="4"/>
        <v>313.5</v>
      </c>
      <c r="L59">
        <f t="shared" si="5"/>
        <v>9.3407971129397926E-3</v>
      </c>
      <c r="M59" s="10">
        <f t="shared" si="6"/>
        <v>332.07322217333359</v>
      </c>
      <c r="O59">
        <v>1.6298580599339807</v>
      </c>
      <c r="P59">
        <f t="shared" si="7"/>
        <v>1.7966839977618916</v>
      </c>
      <c r="Q59">
        <f t="shared" si="8"/>
        <v>227.68045220397681</v>
      </c>
    </row>
    <row r="60" spans="2:20" x14ac:dyDescent="0.2">
      <c r="C60">
        <v>42</v>
      </c>
      <c r="D60">
        <v>25.03</v>
      </c>
      <c r="E60">
        <v>25.19</v>
      </c>
      <c r="F60">
        <f t="shared" si="1"/>
        <v>25.11</v>
      </c>
      <c r="G60">
        <f t="shared" si="2"/>
        <v>0.57336496103015933</v>
      </c>
      <c r="H60">
        <f t="shared" si="3"/>
        <v>3.7442510567128267</v>
      </c>
      <c r="I60">
        <v>886.2</v>
      </c>
      <c r="J60" s="4">
        <v>300</v>
      </c>
      <c r="K60">
        <f t="shared" si="4"/>
        <v>265.86</v>
      </c>
      <c r="L60">
        <f t="shared" si="5"/>
        <v>1.4083544183829183E-2</v>
      </c>
      <c r="M60" s="10">
        <f t="shared" si="6"/>
        <v>500.68188401886482</v>
      </c>
      <c r="O60">
        <v>1.2618964160352912</v>
      </c>
      <c r="P60">
        <f t="shared" si="7"/>
        <v>2.9671619707715471</v>
      </c>
      <c r="Q60">
        <f t="shared" si="8"/>
        <v>376.00645417293867</v>
      </c>
    </row>
    <row r="61" spans="2:20" x14ac:dyDescent="0.2">
      <c r="B61" t="s">
        <v>13</v>
      </c>
      <c r="C61">
        <v>43</v>
      </c>
      <c r="D61">
        <v>26.34</v>
      </c>
      <c r="E61">
        <v>26.27</v>
      </c>
      <c r="F61">
        <f t="shared" si="1"/>
        <v>26.305</v>
      </c>
      <c r="G61">
        <f t="shared" si="2"/>
        <v>0.1684174855981023</v>
      </c>
      <c r="H61">
        <f t="shared" si="3"/>
        <v>1.4737285112138026</v>
      </c>
      <c r="I61">
        <v>1028</v>
      </c>
      <c r="J61" s="4">
        <v>300</v>
      </c>
      <c r="K61">
        <f t="shared" si="4"/>
        <v>308.40000000000003</v>
      </c>
      <c r="L61">
        <f t="shared" si="5"/>
        <v>4.7786268197594108E-3</v>
      </c>
      <c r="M61" s="10">
        <f t="shared" si="6"/>
        <v>169.88421720488404</v>
      </c>
      <c r="O61">
        <v>1.3426516876402534</v>
      </c>
      <c r="P61">
        <f t="shared" si="7"/>
        <v>1.0976253370700484</v>
      </c>
      <c r="Q61">
        <f t="shared" si="8"/>
        <v>139.09392714910268</v>
      </c>
      <c r="T61" t="s">
        <v>13</v>
      </c>
    </row>
    <row r="62" spans="2:20" x14ac:dyDescent="0.2">
      <c r="C62">
        <v>44</v>
      </c>
      <c r="D62">
        <v>25.49</v>
      </c>
      <c r="E62">
        <v>24.37</v>
      </c>
      <c r="F62">
        <f t="shared" si="1"/>
        <v>24.93</v>
      </c>
      <c r="G62">
        <f t="shared" si="2"/>
        <v>0.63436123348017615</v>
      </c>
      <c r="H62">
        <f t="shared" si="3"/>
        <v>4.3088485893601653</v>
      </c>
      <c r="I62">
        <v>933.5</v>
      </c>
      <c r="J62" s="4">
        <v>300</v>
      </c>
      <c r="K62">
        <f t="shared" si="4"/>
        <v>280.05</v>
      </c>
      <c r="L62">
        <f t="shared" si="5"/>
        <v>1.5385997462453723E-2</v>
      </c>
      <c r="M62" s="10">
        <f t="shared" si="6"/>
        <v>546.98519750845117</v>
      </c>
      <c r="O62">
        <v>1.802713554323216</v>
      </c>
      <c r="P62">
        <f t="shared" si="7"/>
        <v>2.3902014710139659</v>
      </c>
      <c r="Q62">
        <f t="shared" si="8"/>
        <v>302.8925244823111</v>
      </c>
    </row>
    <row r="63" spans="2:20" x14ac:dyDescent="0.2">
      <c r="C63">
        <v>45</v>
      </c>
      <c r="D63">
        <v>26.24</v>
      </c>
      <c r="E63">
        <v>26.39</v>
      </c>
      <c r="F63">
        <f t="shared" si="1"/>
        <v>26.314999999999998</v>
      </c>
      <c r="G63">
        <f t="shared" si="2"/>
        <v>0.16502880379532425</v>
      </c>
      <c r="H63">
        <f t="shared" si="3"/>
        <v>1.4622741539268447</v>
      </c>
      <c r="I63">
        <v>893.5</v>
      </c>
      <c r="J63" s="4">
        <v>300</v>
      </c>
      <c r="K63">
        <f t="shared" si="4"/>
        <v>268.05</v>
      </c>
      <c r="L63">
        <f t="shared" si="5"/>
        <v>5.4552290763918848E-3</v>
      </c>
      <c r="M63" s="10">
        <f t="shared" si="6"/>
        <v>193.93799856562504</v>
      </c>
      <c r="O63">
        <v>1.271719011479417</v>
      </c>
      <c r="P63">
        <f t="shared" si="7"/>
        <v>1.1498406021513754</v>
      </c>
      <c r="Q63">
        <f t="shared" si="8"/>
        <v>145.71078085319104</v>
      </c>
    </row>
    <row r="64" spans="2:20" x14ac:dyDescent="0.2">
      <c r="C64">
        <v>46</v>
      </c>
      <c r="D64">
        <v>25.96</v>
      </c>
      <c r="E64">
        <v>25.95</v>
      </c>
      <c r="F64">
        <f t="shared" si="1"/>
        <v>25.954999999999998</v>
      </c>
      <c r="G64">
        <f t="shared" si="2"/>
        <v>0.28702134869535795</v>
      </c>
      <c r="H64">
        <f t="shared" si="3"/>
        <v>1.93651715534418</v>
      </c>
      <c r="I64">
        <v>943.7</v>
      </c>
      <c r="J64" s="4">
        <v>300</v>
      </c>
      <c r="K64">
        <f t="shared" si="4"/>
        <v>283.11</v>
      </c>
      <c r="L64">
        <f t="shared" si="5"/>
        <v>6.8401580846461797E-3</v>
      </c>
      <c r="M64" s="10">
        <f t="shared" si="6"/>
        <v>243.17339386344466</v>
      </c>
      <c r="O64">
        <v>1.3067041275541449</v>
      </c>
      <c r="P64">
        <f t="shared" si="7"/>
        <v>1.481985948088266</v>
      </c>
      <c r="Q64">
        <f t="shared" si="8"/>
        <v>187.8010998266779</v>
      </c>
    </row>
    <row r="65" spans="3:17" x14ac:dyDescent="0.2">
      <c r="C65">
        <v>47</v>
      </c>
      <c r="D65">
        <v>26.88</v>
      </c>
      <c r="E65">
        <v>26.76</v>
      </c>
      <c r="F65">
        <f t="shared" si="1"/>
        <v>26.82</v>
      </c>
      <c r="G65">
        <f t="shared" si="2"/>
        <v>-6.0996272450019257E-3</v>
      </c>
      <c r="H65">
        <f t="shared" si="3"/>
        <v>0.98605325886010586</v>
      </c>
      <c r="I65">
        <v>1097</v>
      </c>
      <c r="J65" s="4">
        <v>300</v>
      </c>
      <c r="K65">
        <f t="shared" si="4"/>
        <v>329.09999999999997</v>
      </c>
      <c r="L65">
        <f t="shared" si="5"/>
        <v>2.996211664722291E-3</v>
      </c>
      <c r="M65" s="10">
        <f t="shared" si="6"/>
        <v>106.51785386060256</v>
      </c>
      <c r="O65">
        <v>1.2521496890655595</v>
      </c>
      <c r="P65">
        <f t="shared" si="7"/>
        <v>0.78748832305821748</v>
      </c>
      <c r="Q65">
        <f t="shared" si="8"/>
        <v>99.792561030538991</v>
      </c>
    </row>
    <row r="66" spans="3:17" x14ac:dyDescent="0.2">
      <c r="C66">
        <v>48</v>
      </c>
      <c r="D66">
        <v>25.93</v>
      </c>
      <c r="E66">
        <v>26.04</v>
      </c>
      <c r="F66">
        <f t="shared" si="1"/>
        <v>25.984999999999999</v>
      </c>
      <c r="G66">
        <f t="shared" si="2"/>
        <v>0.2768553032870214</v>
      </c>
      <c r="H66">
        <f t="shared" si="3"/>
        <v>1.8917132392517155</v>
      </c>
      <c r="I66">
        <v>1166</v>
      </c>
      <c r="J66" s="4">
        <v>300</v>
      </c>
      <c r="K66">
        <f t="shared" si="4"/>
        <v>349.79999999999995</v>
      </c>
      <c r="L66">
        <f t="shared" si="5"/>
        <v>5.4079852465743735E-3</v>
      </c>
      <c r="M66" s="10">
        <f t="shared" si="6"/>
        <v>192.2584405358744</v>
      </c>
      <c r="O66">
        <v>2.2398323724412972</v>
      </c>
      <c r="P66">
        <f t="shared" si="7"/>
        <v>0.84457804187812924</v>
      </c>
      <c r="Q66">
        <f t="shared" si="8"/>
        <v>107.02711814425912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workbookViewId="0">
      <selection activeCell="L79" sqref="L79"/>
    </sheetView>
  </sheetViews>
  <sheetFormatPr baseColWidth="10" defaultColWidth="8.796875" defaultRowHeight="15" x14ac:dyDescent="0.2"/>
  <cols>
    <col min="1" max="1" width="10.3984375" bestFit="1" customWidth="1"/>
    <col min="3" max="3" width="10.3984375" bestFit="1" customWidth="1"/>
    <col min="8" max="8" width="11.3984375" bestFit="1" customWidth="1"/>
    <col min="12" max="12" width="17" bestFit="1" customWidth="1"/>
    <col min="13" max="13" width="23.3984375" bestFit="1" customWidth="1"/>
    <col min="14" max="14" width="13.3984375" bestFit="1" customWidth="1"/>
    <col min="15" max="15" width="13.3984375" customWidth="1"/>
    <col min="16" max="16" width="22.3984375" bestFit="1" customWidth="1"/>
    <col min="17" max="17" width="22.3984375" customWidth="1"/>
    <col min="18" max="18" width="13.3984375" customWidth="1"/>
    <col min="20" max="20" width="10.3984375" bestFit="1" customWidth="1"/>
  </cols>
  <sheetData>
    <row r="1" spans="2:14" x14ac:dyDescent="0.2">
      <c r="B1" s="2" t="s">
        <v>178</v>
      </c>
      <c r="C1" s="2"/>
      <c r="D1" s="2"/>
      <c r="E1" s="2"/>
      <c r="F1" s="2"/>
      <c r="G1" s="1"/>
    </row>
    <row r="2" spans="2:14" x14ac:dyDescent="0.2">
      <c r="B2" s="3" t="s">
        <v>169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</row>
    <row r="3" spans="2:14" x14ac:dyDescent="0.2">
      <c r="B3">
        <v>1</v>
      </c>
      <c r="C3">
        <f>LOG(B3)*(-1)</f>
        <v>0</v>
      </c>
      <c r="D3">
        <v>23.16</v>
      </c>
      <c r="E3">
        <v>21.33</v>
      </c>
      <c r="F3">
        <v>20.14</v>
      </c>
      <c r="G3">
        <f t="shared" ref="G3:G8" si="0">AVERAGE(D3:F3)</f>
        <v>21.543333333333333</v>
      </c>
    </row>
    <row r="4" spans="2:14" x14ac:dyDescent="0.2">
      <c r="B4">
        <f>1/4</f>
        <v>0.25</v>
      </c>
      <c r="C4">
        <f>LOG(B4)</f>
        <v>-0.6020599913279624</v>
      </c>
      <c r="D4">
        <v>25.56</v>
      </c>
      <c r="E4">
        <v>23.27</v>
      </c>
      <c r="F4">
        <v>22.5</v>
      </c>
      <c r="G4">
        <f t="shared" si="0"/>
        <v>23.776666666666667</v>
      </c>
    </row>
    <row r="5" spans="2:14" x14ac:dyDescent="0.2">
      <c r="B5">
        <f>1/16</f>
        <v>6.25E-2</v>
      </c>
      <c r="C5">
        <f>LOG(B5)</f>
        <v>-1.2041199826559248</v>
      </c>
      <c r="D5">
        <v>25.73</v>
      </c>
      <c r="E5">
        <v>24.64</v>
      </c>
      <c r="F5">
        <v>23.27</v>
      </c>
      <c r="G5">
        <f t="shared" si="0"/>
        <v>24.546666666666667</v>
      </c>
    </row>
    <row r="6" spans="2:14" x14ac:dyDescent="0.2">
      <c r="B6">
        <f>1/64</f>
        <v>1.5625E-2</v>
      </c>
      <c r="C6">
        <f>LOG(B6)</f>
        <v>-1.8061799739838871</v>
      </c>
      <c r="D6">
        <v>28.38</v>
      </c>
      <c r="E6">
        <v>27.08</v>
      </c>
      <c r="F6">
        <v>25.15</v>
      </c>
      <c r="G6">
        <f t="shared" si="0"/>
        <v>26.869999999999994</v>
      </c>
      <c r="N6">
        <f>10^(-1/-2.9285)</f>
        <v>2.1951881175289056</v>
      </c>
    </row>
    <row r="7" spans="2:14" x14ac:dyDescent="0.2">
      <c r="B7">
        <f>1/256</f>
        <v>3.90625E-3</v>
      </c>
      <c r="C7">
        <f>LOG(B7)</f>
        <v>-2.4082399653118496</v>
      </c>
      <c r="D7">
        <v>31.54</v>
      </c>
      <c r="E7">
        <v>29.05</v>
      </c>
      <c r="F7">
        <v>26.91</v>
      </c>
      <c r="G7">
        <f t="shared" si="0"/>
        <v>29.166666666666668</v>
      </c>
      <c r="N7">
        <f>10^(-1/-3.321928)</f>
        <v>2.0000000395980337</v>
      </c>
    </row>
    <row r="8" spans="2:14" x14ac:dyDescent="0.2">
      <c r="B8">
        <f>1/1024</f>
        <v>9.765625E-4</v>
      </c>
      <c r="C8">
        <f>LOG(B8)</f>
        <v>-3.0102999566398121</v>
      </c>
      <c r="D8">
        <v>32.159999999999997</v>
      </c>
      <c r="E8">
        <v>29.39</v>
      </c>
      <c r="F8">
        <v>29.01</v>
      </c>
      <c r="G8">
        <f t="shared" si="0"/>
        <v>30.186666666666667</v>
      </c>
    </row>
    <row r="10" spans="2:14" x14ac:dyDescent="0.2">
      <c r="B10" t="s">
        <v>175</v>
      </c>
      <c r="C10">
        <v>38.74</v>
      </c>
      <c r="D10" t="s">
        <v>176</v>
      </c>
      <c r="E10" t="s">
        <v>176</v>
      </c>
    </row>
    <row r="11" spans="2:14" x14ac:dyDescent="0.2">
      <c r="B11" t="s">
        <v>177</v>
      </c>
      <c r="C11" t="s">
        <v>176</v>
      </c>
      <c r="D11" t="s">
        <v>176</v>
      </c>
      <c r="E11" t="s">
        <v>176</v>
      </c>
    </row>
    <row r="14" spans="2:14" x14ac:dyDescent="0.2">
      <c r="B14" s="1" t="s">
        <v>198</v>
      </c>
    </row>
    <row r="18" spans="1:30" x14ac:dyDescent="0.2">
      <c r="I18" s="3" t="s">
        <v>203</v>
      </c>
      <c r="J18" s="3" t="s">
        <v>202</v>
      </c>
      <c r="K18" s="3" t="s">
        <v>191</v>
      </c>
    </row>
    <row r="19" spans="1:30" s="3" customFormat="1" x14ac:dyDescent="0.2">
      <c r="A19" s="3" t="s">
        <v>4</v>
      </c>
      <c r="B19" s="3" t="s">
        <v>5</v>
      </c>
      <c r="C19" s="3" t="s">
        <v>139</v>
      </c>
      <c r="D19" s="3" t="s">
        <v>171</v>
      </c>
      <c r="E19" s="3" t="s">
        <v>172</v>
      </c>
      <c r="F19" s="3" t="s">
        <v>182</v>
      </c>
      <c r="G19" s="3" t="s">
        <v>195</v>
      </c>
      <c r="H19" s="3" t="s">
        <v>196</v>
      </c>
      <c r="I19" s="3" t="s">
        <v>347</v>
      </c>
      <c r="J19" s="3" t="s">
        <v>205</v>
      </c>
      <c r="K19" s="3" t="s">
        <v>204</v>
      </c>
      <c r="L19" s="3" t="s">
        <v>197</v>
      </c>
      <c r="M19" s="3" t="s">
        <v>193</v>
      </c>
      <c r="N19" s="3" t="s">
        <v>194</v>
      </c>
      <c r="O19" s="3" t="s">
        <v>184</v>
      </c>
      <c r="P19" s="3" t="s">
        <v>214</v>
      </c>
      <c r="Q19" s="3" t="s">
        <v>213</v>
      </c>
      <c r="R19" s="3" t="s">
        <v>212</v>
      </c>
      <c r="S19" s="3" t="s">
        <v>5</v>
      </c>
    </row>
    <row r="20" spans="1:30" x14ac:dyDescent="0.2">
      <c r="A20" t="s">
        <v>18</v>
      </c>
      <c r="B20" t="s">
        <v>10</v>
      </c>
      <c r="C20">
        <v>1</v>
      </c>
      <c r="D20">
        <v>23.33</v>
      </c>
      <c r="E20">
        <v>22.04</v>
      </c>
      <c r="F20">
        <f>AVERAGE(D20:E20)</f>
        <v>22.684999999999999</v>
      </c>
      <c r="G20">
        <f>(F20-21.607)/(-2.9285)</f>
        <v>-0.36810653918388231</v>
      </c>
      <c r="H20">
        <f>10^G20</f>
        <v>0.4284434036810964</v>
      </c>
      <c r="I20">
        <v>929.4</v>
      </c>
      <c r="J20">
        <v>350</v>
      </c>
      <c r="K20">
        <f>(I20/1000)*J20</f>
        <v>325.29000000000002</v>
      </c>
      <c r="L20">
        <f>H20/K20</f>
        <v>1.317112126659585E-3</v>
      </c>
      <c r="M20" s="10">
        <f>L20/N$20*100</f>
        <v>57.217794989226356</v>
      </c>
      <c r="N20">
        <f>AVERAGE(L20:L25)</f>
        <v>2.3019274456619423E-3</v>
      </c>
      <c r="O20">
        <v>0.95454247572596496</v>
      </c>
      <c r="P20">
        <f>H20/O20</f>
        <v>0.44884687122513778</v>
      </c>
      <c r="Q20">
        <f>P20/R$20*100</f>
        <v>69.634097018605374</v>
      </c>
      <c r="R20">
        <f>AVERAGE(P20:P25)</f>
        <v>0.64457915079334105</v>
      </c>
      <c r="S20" t="s">
        <v>10</v>
      </c>
      <c r="T20" s="3" t="s">
        <v>4</v>
      </c>
      <c r="U20" s="3" t="s">
        <v>5</v>
      </c>
      <c r="V20" s="3" t="s">
        <v>178</v>
      </c>
      <c r="W20" s="3" t="s">
        <v>65</v>
      </c>
      <c r="X20" s="3" t="s">
        <v>66</v>
      </c>
      <c r="Z20" s="3" t="s">
        <v>178</v>
      </c>
      <c r="AA20" s="3" t="s">
        <v>65</v>
      </c>
      <c r="AB20" s="3" t="s">
        <v>66</v>
      </c>
      <c r="AC20" s="3"/>
      <c r="AD20" s="3"/>
    </row>
    <row r="21" spans="1:30" x14ac:dyDescent="0.2">
      <c r="C21">
        <v>2</v>
      </c>
      <c r="D21">
        <v>23.22</v>
      </c>
      <c r="E21">
        <v>23</v>
      </c>
      <c r="F21">
        <f t="shared" ref="F21:F67" si="1">AVERAGE(D21:E21)</f>
        <v>23.11</v>
      </c>
      <c r="G21">
        <f t="shared" ref="G21:G67" si="2">(F21-21.607)/(-2.9285)</f>
        <v>-0.51323203004951345</v>
      </c>
      <c r="H21">
        <f t="shared" ref="H21:H67" si="3">10^G21</f>
        <v>0.3067382743225523</v>
      </c>
      <c r="I21">
        <v>752.8</v>
      </c>
      <c r="J21">
        <v>175</v>
      </c>
      <c r="K21">
        <f t="shared" ref="K21:K67" si="4">(I21/1000)*J21</f>
        <v>131.73999999999998</v>
      </c>
      <c r="L21">
        <f t="shared" ref="L21:L67" si="5">H21/K21</f>
        <v>2.3283609710228657E-3</v>
      </c>
      <c r="M21" s="10">
        <f t="shared" ref="M21:M67" si="6">L21/N$20*100</f>
        <v>101.14832139521765</v>
      </c>
      <c r="O21">
        <v>0.58113631774063701</v>
      </c>
      <c r="P21">
        <f t="shared" ref="P21:P67" si="7">H21/O21</f>
        <v>0.5278249955451082</v>
      </c>
      <c r="Q21">
        <f t="shared" ref="Q21:Q67" si="8">P21/R$20*100</f>
        <v>81.886762067228972</v>
      </c>
      <c r="T21" t="s">
        <v>18</v>
      </c>
      <c r="U21" t="s">
        <v>10</v>
      </c>
      <c r="V21" s="9">
        <f>AVERAGE(M20:M25)</f>
        <v>100</v>
      </c>
      <c r="W21">
        <v>6</v>
      </c>
      <c r="X21">
        <f>STDEV(M20:M25)/SQRT(W21)</f>
        <v>27.691042083962106</v>
      </c>
      <c r="Z21" s="9">
        <f>AVERAGE(Q20:Q25)</f>
        <v>100</v>
      </c>
      <c r="AA21">
        <v>6</v>
      </c>
      <c r="AB21">
        <f>STDEV(Q20:Q25)/SQRT(AA21)</f>
        <v>29.908290070586183</v>
      </c>
      <c r="AC21" s="3"/>
      <c r="AD21" s="3"/>
    </row>
    <row r="22" spans="1:30" x14ac:dyDescent="0.2">
      <c r="C22">
        <v>3</v>
      </c>
      <c r="D22">
        <v>22.58</v>
      </c>
      <c r="E22">
        <v>21.33</v>
      </c>
      <c r="F22">
        <f t="shared" si="1"/>
        <v>21.954999999999998</v>
      </c>
      <c r="G22">
        <f t="shared" si="2"/>
        <v>-0.11883216663821033</v>
      </c>
      <c r="H22">
        <f t="shared" si="3"/>
        <v>0.76062016226621509</v>
      </c>
      <c r="I22">
        <v>1329</v>
      </c>
      <c r="J22">
        <v>225</v>
      </c>
      <c r="K22">
        <f t="shared" si="4"/>
        <v>299.02499999999998</v>
      </c>
      <c r="L22">
        <f t="shared" si="5"/>
        <v>2.5436674601328154E-3</v>
      </c>
      <c r="M22" s="10">
        <f t="shared" si="6"/>
        <v>110.50163483329764</v>
      </c>
      <c r="O22">
        <v>1.1277051970614604</v>
      </c>
      <c r="P22">
        <f t="shared" si="7"/>
        <v>0.67448493121093678</v>
      </c>
      <c r="Q22">
        <f t="shared" si="8"/>
        <v>104.63958233535602</v>
      </c>
      <c r="U22" t="s">
        <v>11</v>
      </c>
      <c r="V22" s="9">
        <f>AVERAGE(M26:M31)</f>
        <v>116.45971040830212</v>
      </c>
      <c r="W22">
        <v>6</v>
      </c>
      <c r="X22">
        <f>STDEV(M26:M31)/SQRT(W22)</f>
        <v>27.531062752382699</v>
      </c>
      <c r="Z22" s="9">
        <f>AVERAGE(Q26:Q31)</f>
        <v>118.90920733520171</v>
      </c>
      <c r="AA22">
        <v>6</v>
      </c>
      <c r="AB22">
        <f>STDEV(Q26:Q31)/SQRT(AA22)</f>
        <v>35.284590423334762</v>
      </c>
    </row>
    <row r="23" spans="1:30" x14ac:dyDescent="0.2">
      <c r="C23">
        <v>4</v>
      </c>
      <c r="D23">
        <v>23.37</v>
      </c>
      <c r="E23">
        <v>23.36</v>
      </c>
      <c r="F23">
        <f t="shared" si="1"/>
        <v>23.365000000000002</v>
      </c>
      <c r="G23">
        <f t="shared" si="2"/>
        <v>-0.6003073245688928</v>
      </c>
      <c r="H23">
        <f t="shared" si="3"/>
        <v>0.25101095465284912</v>
      </c>
      <c r="I23">
        <v>884.9</v>
      </c>
      <c r="J23">
        <v>225</v>
      </c>
      <c r="K23">
        <f t="shared" si="4"/>
        <v>199.10249999999999</v>
      </c>
      <c r="L23">
        <f t="shared" si="5"/>
        <v>1.2607122193485723E-3</v>
      </c>
      <c r="M23" s="10">
        <f t="shared" si="6"/>
        <v>54.767678352522609</v>
      </c>
      <c r="O23">
        <v>0.69190393003126893</v>
      </c>
      <c r="P23">
        <f t="shared" si="7"/>
        <v>0.36278295838196101</v>
      </c>
      <c r="Q23">
        <f t="shared" si="8"/>
        <v>56.282142842419226</v>
      </c>
      <c r="U23" t="s">
        <v>12</v>
      </c>
      <c r="V23" s="9">
        <f>AVERAGE(M32:M35,M37)</f>
        <v>348.933364578066</v>
      </c>
      <c r="W23">
        <v>5</v>
      </c>
      <c r="X23">
        <f>STDEV(M32:M35,M37)/SQRT(W23)</f>
        <v>126.99060465073002</v>
      </c>
      <c r="Z23" s="9">
        <f>AVERAGE(Q32:Q36,Q37)</f>
        <v>245.98605306798368</v>
      </c>
      <c r="AA23">
        <v>5</v>
      </c>
      <c r="AB23">
        <f>STDEV(Q32:Q35,Q37)/SQRT(AA23)</f>
        <v>73.092226616913592</v>
      </c>
    </row>
    <row r="24" spans="1:30" x14ac:dyDescent="0.2">
      <c r="C24">
        <v>5</v>
      </c>
      <c r="D24">
        <v>20.95</v>
      </c>
      <c r="E24">
        <v>21.06</v>
      </c>
      <c r="F24">
        <f t="shared" si="1"/>
        <v>21.004999999999999</v>
      </c>
      <c r="G24">
        <f t="shared" si="2"/>
        <v>0.20556598941437607</v>
      </c>
      <c r="H24">
        <f t="shared" si="3"/>
        <v>1.6053361643631623</v>
      </c>
      <c r="I24">
        <v>1224</v>
      </c>
      <c r="J24">
        <v>250</v>
      </c>
      <c r="K24">
        <f t="shared" si="4"/>
        <v>306</v>
      </c>
      <c r="L24">
        <f t="shared" si="5"/>
        <v>5.2461966155658898E-3</v>
      </c>
      <c r="M24" s="10">
        <f t="shared" si="6"/>
        <v>227.90451651517162</v>
      </c>
      <c r="O24">
        <v>1.023534228494841</v>
      </c>
      <c r="P24">
        <f t="shared" si="7"/>
        <v>1.5684245037158069</v>
      </c>
      <c r="Q24">
        <f t="shared" si="8"/>
        <v>243.32535450229921</v>
      </c>
      <c r="U24" t="s">
        <v>13</v>
      </c>
      <c r="V24" s="9">
        <f>AVERAGE(M38:M41,M42:M43)</f>
        <v>277.84946594090894</v>
      </c>
      <c r="W24">
        <v>6</v>
      </c>
      <c r="X24">
        <f>STDEV(M38:M43)/SQRT(W24)</f>
        <v>75.758610631764427</v>
      </c>
      <c r="Z24" s="9">
        <f>AVERAGE(Q38:Q41,Q42:Q43)</f>
        <v>131.2881799627884</v>
      </c>
      <c r="AA24">
        <v>6</v>
      </c>
      <c r="AB24">
        <f>STDEV(Q38:Q43)/SQRT(AA24)</f>
        <v>30.074881459382098</v>
      </c>
    </row>
    <row r="25" spans="1:30" x14ac:dyDescent="0.2">
      <c r="C25">
        <v>6</v>
      </c>
      <c r="D25">
        <v>23.11</v>
      </c>
      <c r="E25">
        <v>23.01</v>
      </c>
      <c r="F25">
        <f t="shared" si="1"/>
        <v>23.060000000000002</v>
      </c>
      <c r="G25">
        <f t="shared" si="2"/>
        <v>-0.49615844288885191</v>
      </c>
      <c r="H25">
        <f t="shared" si="3"/>
        <v>0.31903737043519076</v>
      </c>
      <c r="I25">
        <v>1040</v>
      </c>
      <c r="J25">
        <v>275</v>
      </c>
      <c r="K25">
        <f t="shared" si="4"/>
        <v>286</v>
      </c>
      <c r="L25">
        <f t="shared" si="5"/>
        <v>1.1155152812419257E-3</v>
      </c>
      <c r="M25" s="10">
        <f t="shared" si="6"/>
        <v>48.460053914564114</v>
      </c>
      <c r="O25">
        <v>1.1189949459517483</v>
      </c>
      <c r="P25">
        <f t="shared" si="7"/>
        <v>0.28511064468109565</v>
      </c>
      <c r="Q25">
        <f t="shared" si="8"/>
        <v>44.232061234091198</v>
      </c>
    </row>
    <row r="26" spans="1:30" x14ac:dyDescent="0.2">
      <c r="B26" t="s">
        <v>11</v>
      </c>
      <c r="C26">
        <v>7</v>
      </c>
      <c r="D26">
        <v>23.71</v>
      </c>
      <c r="E26">
        <v>23.41</v>
      </c>
      <c r="F26">
        <f t="shared" si="1"/>
        <v>23.560000000000002</v>
      </c>
      <c r="G26">
        <f t="shared" si="2"/>
        <v>-0.66689431449547654</v>
      </c>
      <c r="H26">
        <f t="shared" si="3"/>
        <v>0.2153305677621892</v>
      </c>
      <c r="I26">
        <v>942.6</v>
      </c>
      <c r="J26">
        <v>275</v>
      </c>
      <c r="K26">
        <f t="shared" si="4"/>
        <v>259.21499999999997</v>
      </c>
      <c r="L26">
        <f t="shared" si="5"/>
        <v>8.3070257416503377E-4</v>
      </c>
      <c r="M26" s="10">
        <f t="shared" si="6"/>
        <v>36.087261383086592</v>
      </c>
      <c r="O26">
        <v>0.82059685683385919</v>
      </c>
      <c r="P26">
        <f t="shared" si="7"/>
        <v>0.26240725390176062</v>
      </c>
      <c r="Q26">
        <f t="shared" si="8"/>
        <v>40.709857521577078</v>
      </c>
      <c r="S26" t="s">
        <v>11</v>
      </c>
      <c r="T26" t="s">
        <v>9</v>
      </c>
      <c r="U26" t="s">
        <v>10</v>
      </c>
      <c r="V26" s="9">
        <f>AVERAGE(M44:M49)</f>
        <v>127.0411542764971</v>
      </c>
      <c r="W26">
        <v>6</v>
      </c>
      <c r="X26">
        <f>STDEV(M44:M49)/SQRT(W26)</f>
        <v>24.744080007869986</v>
      </c>
      <c r="Z26" s="9">
        <f>AVERAGE(Q44:Q49)</f>
        <v>132.7932170929717</v>
      </c>
      <c r="AA26">
        <v>6</v>
      </c>
      <c r="AB26">
        <f>STDEV(Q44:Q49)/SQRT(AA26)</f>
        <v>18.95738532249322</v>
      </c>
    </row>
    <row r="27" spans="1:30" x14ac:dyDescent="0.2">
      <c r="C27">
        <v>8</v>
      </c>
      <c r="D27">
        <v>21.65</v>
      </c>
      <c r="E27">
        <v>21.47</v>
      </c>
      <c r="F27">
        <f t="shared" si="1"/>
        <v>21.56</v>
      </c>
      <c r="G27">
        <f t="shared" si="2"/>
        <v>1.6049171931022913E-2</v>
      </c>
      <c r="H27">
        <f t="shared" si="3"/>
        <v>1.0376458940869868</v>
      </c>
      <c r="I27">
        <v>1035</v>
      </c>
      <c r="J27">
        <v>275</v>
      </c>
      <c r="K27">
        <f t="shared" si="4"/>
        <v>284.625</v>
      </c>
      <c r="L27">
        <f t="shared" si="5"/>
        <v>3.6456597069371519E-3</v>
      </c>
      <c r="M27" s="10">
        <f t="shared" si="6"/>
        <v>158.37422303676502</v>
      </c>
      <c r="O27">
        <v>1.4120557118581174</v>
      </c>
      <c r="P27">
        <f t="shared" si="7"/>
        <v>0.73484770138534661</v>
      </c>
      <c r="Q27">
        <f t="shared" si="8"/>
        <v>114.0042616148698</v>
      </c>
      <c r="U27" t="s">
        <v>11</v>
      </c>
      <c r="V27" s="9">
        <f>AVERAGE(M50:M55)</f>
        <v>164.65555270045826</v>
      </c>
      <c r="W27">
        <v>6</v>
      </c>
      <c r="X27">
        <f>STDEV(M50:M55)/SQRT(W27)</f>
        <v>23.02975184740459</v>
      </c>
      <c r="Z27" s="9">
        <f>AVERAGE(Q50:Q55)</f>
        <v>167.46931578755468</v>
      </c>
      <c r="AA27">
        <v>6</v>
      </c>
      <c r="AB27">
        <f>STDEV(Q50:Q55)/SQRT(AA27)</f>
        <v>27.680426091405636</v>
      </c>
    </row>
    <row r="28" spans="1:30" x14ac:dyDescent="0.2">
      <c r="C28">
        <v>9</v>
      </c>
      <c r="D28">
        <v>20.9</v>
      </c>
      <c r="E28">
        <v>20.86</v>
      </c>
      <c r="F28">
        <f t="shared" si="1"/>
        <v>20.88</v>
      </c>
      <c r="G28">
        <f t="shared" si="2"/>
        <v>0.24824995731603219</v>
      </c>
      <c r="H28">
        <f t="shared" si="3"/>
        <v>1.7711280342054814</v>
      </c>
      <c r="I28">
        <v>796.2</v>
      </c>
      <c r="J28">
        <v>425</v>
      </c>
      <c r="K28">
        <f t="shared" si="4"/>
        <v>338.38499999999999</v>
      </c>
      <c r="L28">
        <f t="shared" si="5"/>
        <v>5.2340618946037252E-3</v>
      </c>
      <c r="M28" s="10">
        <f t="shared" si="6"/>
        <v>227.37736171778508</v>
      </c>
      <c r="O28">
        <v>0.95825035114054813</v>
      </c>
      <c r="P28">
        <f t="shared" si="7"/>
        <v>1.8482936448678715</v>
      </c>
      <c r="Q28">
        <f t="shared" si="8"/>
        <v>286.74424895577397</v>
      </c>
      <c r="U28" t="s">
        <v>12</v>
      </c>
      <c r="V28" s="9">
        <f>AVERAGE(M56:M61)</f>
        <v>183.50239288437567</v>
      </c>
      <c r="W28">
        <v>6</v>
      </c>
      <c r="X28">
        <f>STDEV(M56:M61)/SQRT(W28)</f>
        <v>39.895339906586628</v>
      </c>
      <c r="Z28" s="9">
        <f>AVERAGE(Q56:Q61)</f>
        <v>147.1613557482199</v>
      </c>
      <c r="AA28">
        <v>6</v>
      </c>
      <c r="AB28">
        <f>STDEV(Q56:Q61)/SQRT(AA28)</f>
        <v>25.32313351866858</v>
      </c>
    </row>
    <row r="29" spans="1:30" x14ac:dyDescent="0.2">
      <c r="C29">
        <v>10</v>
      </c>
      <c r="D29">
        <v>22.33</v>
      </c>
      <c r="E29">
        <v>22.27</v>
      </c>
      <c r="F29">
        <f t="shared" si="1"/>
        <v>22.299999999999997</v>
      </c>
      <c r="G29">
        <f t="shared" si="2"/>
        <v>-0.23663991804678089</v>
      </c>
      <c r="H29">
        <f t="shared" si="3"/>
        <v>0.57990931117988931</v>
      </c>
      <c r="I29">
        <v>1071</v>
      </c>
      <c r="J29">
        <v>225</v>
      </c>
      <c r="K29">
        <f t="shared" si="4"/>
        <v>240.97499999999999</v>
      </c>
      <c r="L29">
        <f t="shared" si="5"/>
        <v>2.4065123402008063E-3</v>
      </c>
      <c r="M29" s="10">
        <f t="shared" si="6"/>
        <v>104.5433619003048</v>
      </c>
      <c r="O29">
        <v>1.2186251893022586</v>
      </c>
      <c r="P29">
        <f t="shared" si="7"/>
        <v>0.47587175800290549</v>
      </c>
      <c r="Q29">
        <f t="shared" si="8"/>
        <v>73.826737556932727</v>
      </c>
      <c r="U29" t="s">
        <v>13</v>
      </c>
      <c r="V29" s="9">
        <f>AVERAGE(M62:M67)</f>
        <v>213.78268585786842</v>
      </c>
      <c r="W29">
        <v>6</v>
      </c>
      <c r="X29">
        <f>STDEV(M62:M67)/SQRT(W29)</f>
        <v>31.169528482690144</v>
      </c>
      <c r="Z29" s="9">
        <f>AVERAGE(Q62:Q67)</f>
        <v>152.18314270232443</v>
      </c>
      <c r="AA29">
        <v>6</v>
      </c>
      <c r="AB29">
        <f>STDEV(Q62:Q67)/SQRT(AA29)</f>
        <v>22.140242447105653</v>
      </c>
    </row>
    <row r="30" spans="1:30" x14ac:dyDescent="0.2">
      <c r="C30">
        <v>11</v>
      </c>
      <c r="D30">
        <v>22.43</v>
      </c>
      <c r="E30">
        <v>22.33</v>
      </c>
      <c r="F30">
        <f t="shared" si="1"/>
        <v>22.38</v>
      </c>
      <c r="G30">
        <f t="shared" si="2"/>
        <v>-0.26395765750384143</v>
      </c>
      <c r="H30">
        <f t="shared" si="3"/>
        <v>0.54455574291473818</v>
      </c>
      <c r="I30">
        <v>968.9</v>
      </c>
      <c r="J30">
        <v>325</v>
      </c>
      <c r="K30">
        <f t="shared" si="4"/>
        <v>314.89249999999998</v>
      </c>
      <c r="L30">
        <f t="shared" si="5"/>
        <v>1.7293385613018355E-3</v>
      </c>
      <c r="M30" s="10">
        <f t="shared" si="6"/>
        <v>75.125676291875777</v>
      </c>
      <c r="O30">
        <v>0.95454247572596496</v>
      </c>
      <c r="P30">
        <f t="shared" si="7"/>
        <v>0.57048874907382552</v>
      </c>
      <c r="Q30">
        <f t="shared" si="8"/>
        <v>88.505616163922483</v>
      </c>
      <c r="AB30" s="9"/>
    </row>
    <row r="31" spans="1:30" x14ac:dyDescent="0.2">
      <c r="C31">
        <v>12</v>
      </c>
      <c r="D31">
        <v>21.83</v>
      </c>
      <c r="E31">
        <v>22.01</v>
      </c>
      <c r="F31">
        <f t="shared" si="1"/>
        <v>21.92</v>
      </c>
      <c r="G31">
        <f t="shared" si="2"/>
        <v>-0.10688065562574778</v>
      </c>
      <c r="H31">
        <f t="shared" si="3"/>
        <v>0.78184262587525177</v>
      </c>
      <c r="I31">
        <v>1270</v>
      </c>
      <c r="J31">
        <v>275</v>
      </c>
      <c r="K31">
        <f t="shared" si="4"/>
        <v>349.25</v>
      </c>
      <c r="L31">
        <f t="shared" si="5"/>
        <v>2.2386331449541926E-3</v>
      </c>
      <c r="M31" s="10">
        <f t="shared" si="6"/>
        <v>97.250378119995489</v>
      </c>
      <c r="O31">
        <v>1.1060555508718575</v>
      </c>
      <c r="P31">
        <f t="shared" si="7"/>
        <v>0.706874645906309</v>
      </c>
      <c r="Q31">
        <f t="shared" si="8"/>
        <v>109.66452219813429</v>
      </c>
    </row>
    <row r="32" spans="1:30" x14ac:dyDescent="0.2">
      <c r="B32" t="s">
        <v>12</v>
      </c>
      <c r="C32">
        <v>13</v>
      </c>
      <c r="D32">
        <v>22.46</v>
      </c>
      <c r="E32">
        <v>21.65</v>
      </c>
      <c r="F32">
        <f t="shared" si="1"/>
        <v>22.055</v>
      </c>
      <c r="G32">
        <f t="shared" si="2"/>
        <v>-0.15297934095953572</v>
      </c>
      <c r="H32">
        <f t="shared" si="3"/>
        <v>0.703105765266133</v>
      </c>
      <c r="I32">
        <v>1046</v>
      </c>
      <c r="J32">
        <v>275</v>
      </c>
      <c r="K32">
        <f t="shared" si="4"/>
        <v>287.65000000000003</v>
      </c>
      <c r="L32">
        <f t="shared" si="5"/>
        <v>2.4443099783282912E-3</v>
      </c>
      <c r="M32" s="10">
        <f t="shared" si="6"/>
        <v>106.18536144284971</v>
      </c>
      <c r="O32">
        <v>1.1060555508718575</v>
      </c>
      <c r="P32">
        <f t="shared" si="7"/>
        <v>0.63568756986202368</v>
      </c>
      <c r="Q32">
        <f t="shared" si="8"/>
        <v>98.620560264728738</v>
      </c>
      <c r="S32" t="s">
        <v>12</v>
      </c>
    </row>
    <row r="33" spans="1:19" x14ac:dyDescent="0.2">
      <c r="C33">
        <v>14</v>
      </c>
      <c r="D33">
        <v>20.98</v>
      </c>
      <c r="E33">
        <v>20.36</v>
      </c>
      <c r="F33">
        <f t="shared" si="1"/>
        <v>20.67</v>
      </c>
      <c r="G33">
        <f t="shared" si="2"/>
        <v>0.31995902339081356</v>
      </c>
      <c r="H33">
        <f t="shared" si="3"/>
        <v>2.0890990106144947</v>
      </c>
      <c r="I33">
        <v>943.7</v>
      </c>
      <c r="J33">
        <v>375</v>
      </c>
      <c r="K33">
        <f t="shared" si="4"/>
        <v>353.88750000000005</v>
      </c>
      <c r="L33">
        <f t="shared" si="5"/>
        <v>5.9032856786817682E-3</v>
      </c>
      <c r="M33" s="10">
        <f t="shared" si="6"/>
        <v>256.44968479813309</v>
      </c>
      <c r="O33">
        <v>1.2424782445717988</v>
      </c>
      <c r="P33">
        <f t="shared" si="7"/>
        <v>1.6813968532177164</v>
      </c>
      <c r="Q33">
        <f t="shared" si="8"/>
        <v>260.85188314705363</v>
      </c>
    </row>
    <row r="34" spans="1:19" x14ac:dyDescent="0.2">
      <c r="C34">
        <v>15</v>
      </c>
      <c r="D34">
        <v>20.89</v>
      </c>
      <c r="E34">
        <v>20.69</v>
      </c>
      <c r="F34">
        <f t="shared" si="1"/>
        <v>20.79</v>
      </c>
      <c r="G34">
        <f t="shared" si="2"/>
        <v>0.27898241420522457</v>
      </c>
      <c r="H34">
        <f t="shared" si="3"/>
        <v>1.9010013015203775</v>
      </c>
      <c r="I34">
        <v>1156</v>
      </c>
      <c r="J34">
        <v>275</v>
      </c>
      <c r="K34">
        <f t="shared" si="4"/>
        <v>317.89999999999998</v>
      </c>
      <c r="L34">
        <f t="shared" si="5"/>
        <v>5.9798719771009048E-3</v>
      </c>
      <c r="M34" s="10">
        <f t="shared" si="6"/>
        <v>259.77673572510594</v>
      </c>
      <c r="O34">
        <v>1.7544485021070528</v>
      </c>
      <c r="P34">
        <f t="shared" si="7"/>
        <v>1.0835321180629229</v>
      </c>
      <c r="Q34">
        <f t="shared" si="8"/>
        <v>168.09915690405489</v>
      </c>
    </row>
    <row r="35" spans="1:19" x14ac:dyDescent="0.2">
      <c r="C35">
        <v>16</v>
      </c>
      <c r="D35">
        <v>20.74</v>
      </c>
      <c r="E35">
        <v>20.32</v>
      </c>
      <c r="F35">
        <f t="shared" si="1"/>
        <v>20.53</v>
      </c>
      <c r="G35">
        <f t="shared" si="2"/>
        <v>0.36776506744066867</v>
      </c>
      <c r="H35">
        <f t="shared" si="3"/>
        <v>2.3321961143451961</v>
      </c>
      <c r="I35">
        <v>961.8</v>
      </c>
      <c r="J35">
        <v>375</v>
      </c>
      <c r="K35">
        <f t="shared" si="4"/>
        <v>360.67500000000001</v>
      </c>
      <c r="L35">
        <f t="shared" si="5"/>
        <v>6.466198417814365E-3</v>
      </c>
      <c r="M35" s="10">
        <f t="shared" si="6"/>
        <v>280.90365880124187</v>
      </c>
      <c r="O35">
        <v>2.0016465494723308</v>
      </c>
      <c r="P35">
        <f t="shared" si="7"/>
        <v>1.1651388278115355</v>
      </c>
      <c r="Q35">
        <f t="shared" si="8"/>
        <v>180.75962065752441</v>
      </c>
    </row>
    <row r="36" spans="1:19" x14ac:dyDescent="0.2">
      <c r="C36" s="4">
        <v>17</v>
      </c>
      <c r="D36" s="4">
        <v>19.93</v>
      </c>
      <c r="E36" s="4">
        <v>19.649999999999999</v>
      </c>
      <c r="F36" s="4">
        <f t="shared" si="1"/>
        <v>19.79</v>
      </c>
      <c r="G36" s="4">
        <f t="shared" si="2"/>
        <v>0.62045415741847365</v>
      </c>
      <c r="H36" s="4">
        <f t="shared" si="3"/>
        <v>4.1730554685045167</v>
      </c>
      <c r="I36" s="4">
        <v>581.79999999999995</v>
      </c>
      <c r="J36" s="4">
        <v>250</v>
      </c>
      <c r="K36" s="4">
        <f t="shared" si="4"/>
        <v>145.44999999999999</v>
      </c>
      <c r="L36" s="4">
        <f t="shared" si="5"/>
        <v>2.869065292887258E-2</v>
      </c>
      <c r="M36" s="13">
        <f t="shared" si="6"/>
        <v>1246.3752053932478</v>
      </c>
      <c r="N36" s="4"/>
      <c r="O36" s="4">
        <v>2.6054391022778978</v>
      </c>
      <c r="P36" s="4">
        <f t="shared" si="7"/>
        <v>1.6016706991370762</v>
      </c>
      <c r="Q36" s="4">
        <f t="shared" si="8"/>
        <v>248.48316877233111</v>
      </c>
    </row>
    <row r="37" spans="1:19" x14ac:dyDescent="0.2">
      <c r="C37" s="1">
        <v>18</v>
      </c>
      <c r="D37" s="1">
        <v>19.75</v>
      </c>
      <c r="E37" s="1">
        <v>19.809999999999999</v>
      </c>
      <c r="F37" s="1">
        <f t="shared" si="1"/>
        <v>19.78</v>
      </c>
      <c r="G37" s="1">
        <f t="shared" si="2"/>
        <v>0.62386887485060549</v>
      </c>
      <c r="H37" s="1">
        <f t="shared" si="3"/>
        <v>4.2059961890858766</v>
      </c>
      <c r="I37" s="1">
        <v>965.2</v>
      </c>
      <c r="J37" s="1">
        <v>225</v>
      </c>
      <c r="K37" s="1">
        <f t="shared" si="4"/>
        <v>217.17000000000002</v>
      </c>
      <c r="L37" s="1">
        <f t="shared" si="5"/>
        <v>1.9367298379545407E-2</v>
      </c>
      <c r="M37" s="11">
        <f t="shared" si="6"/>
        <v>841.35138212299944</v>
      </c>
      <c r="N37" s="1"/>
      <c r="O37" s="1">
        <v>1.257013605722521</v>
      </c>
      <c r="P37" s="1">
        <f t="shared" si="7"/>
        <v>3.3460228035227231</v>
      </c>
      <c r="Q37" s="1">
        <f t="shared" si="8"/>
        <v>519.10192866220916</v>
      </c>
    </row>
    <row r="38" spans="1:19" x14ac:dyDescent="0.2">
      <c r="B38" t="s">
        <v>13</v>
      </c>
      <c r="C38" s="4">
        <v>19</v>
      </c>
      <c r="D38" s="4">
        <v>19.649999999999999</v>
      </c>
      <c r="E38" s="4">
        <v>19.489999999999998</v>
      </c>
      <c r="F38" s="4">
        <f t="shared" si="1"/>
        <v>19.57</v>
      </c>
      <c r="G38" s="4">
        <f t="shared" si="2"/>
        <v>0.69557794092538805</v>
      </c>
      <c r="H38" s="4">
        <f t="shared" si="3"/>
        <v>4.9610995408411283</v>
      </c>
      <c r="I38" s="4">
        <v>1847.7</v>
      </c>
      <c r="J38" s="4">
        <v>225</v>
      </c>
      <c r="K38" s="4">
        <f t="shared" si="4"/>
        <v>415.73250000000002</v>
      </c>
      <c r="L38" s="4">
        <f t="shared" si="5"/>
        <v>1.1933393566394564E-2</v>
      </c>
      <c r="M38" s="12">
        <f t="shared" si="6"/>
        <v>518.40876170460695</v>
      </c>
      <c r="N38" s="4"/>
      <c r="O38" s="4">
        <v>2.9154731874340318</v>
      </c>
      <c r="P38" s="4">
        <f t="shared" si="7"/>
        <v>1.7016447149038934</v>
      </c>
      <c r="Q38" s="4">
        <f t="shared" si="8"/>
        <v>263.99313611207054</v>
      </c>
      <c r="S38" t="s">
        <v>13</v>
      </c>
    </row>
    <row r="39" spans="1:19" x14ac:dyDescent="0.2">
      <c r="C39" s="4">
        <v>20</v>
      </c>
      <c r="D39" s="4">
        <v>20.88</v>
      </c>
      <c r="E39" s="4">
        <v>20.77</v>
      </c>
      <c r="F39" s="4">
        <f t="shared" si="1"/>
        <v>20.824999999999999</v>
      </c>
      <c r="G39" s="4">
        <f t="shared" si="2"/>
        <v>0.26703090319276079</v>
      </c>
      <c r="H39" s="4">
        <f t="shared" si="3"/>
        <v>1.8494002124941968</v>
      </c>
      <c r="I39" s="4">
        <v>961.2</v>
      </c>
      <c r="J39" s="4">
        <v>325</v>
      </c>
      <c r="K39" s="4">
        <f t="shared" si="4"/>
        <v>312.39000000000004</v>
      </c>
      <c r="L39" s="4">
        <f t="shared" si="5"/>
        <v>5.9201645779128542E-3</v>
      </c>
      <c r="M39" s="12">
        <f t="shared" si="6"/>
        <v>257.18293550344509</v>
      </c>
      <c r="N39" s="4"/>
      <c r="O39" s="4">
        <v>1.9255291947717545</v>
      </c>
      <c r="P39" s="4">
        <f t="shared" si="7"/>
        <v>0.96046334561726454</v>
      </c>
      <c r="Q39" s="4">
        <f t="shared" si="8"/>
        <v>149.00626935189209</v>
      </c>
    </row>
    <row r="40" spans="1:19" x14ac:dyDescent="0.2">
      <c r="C40" s="4">
        <v>21</v>
      </c>
      <c r="D40" s="4">
        <v>21.77</v>
      </c>
      <c r="E40" s="4">
        <v>21.74</v>
      </c>
      <c r="F40" s="4">
        <f t="shared" si="1"/>
        <v>21.754999999999999</v>
      </c>
      <c r="G40" s="4">
        <f t="shared" si="2"/>
        <v>-5.0537817995560758E-2</v>
      </c>
      <c r="H40" s="4">
        <f t="shared" si="3"/>
        <v>0.89014792130833897</v>
      </c>
      <c r="I40" s="4">
        <v>1005</v>
      </c>
      <c r="J40" s="4">
        <v>325</v>
      </c>
      <c r="K40" s="4">
        <f t="shared" si="4"/>
        <v>326.62499999999994</v>
      </c>
      <c r="L40" s="4">
        <f t="shared" si="5"/>
        <v>2.725290229799737E-3</v>
      </c>
      <c r="M40" s="12">
        <f t="shared" si="6"/>
        <v>118.39166499081611</v>
      </c>
      <c r="N40" s="4"/>
      <c r="O40" s="4">
        <v>1.5141152859952485</v>
      </c>
      <c r="P40" s="4">
        <f t="shared" si="7"/>
        <v>0.58789969927767605</v>
      </c>
      <c r="Q40" s="4">
        <f t="shared" si="8"/>
        <v>91.206750723180463</v>
      </c>
    </row>
    <row r="41" spans="1:19" x14ac:dyDescent="0.2">
      <c r="C41" s="4">
        <v>22</v>
      </c>
      <c r="D41" s="4">
        <v>21.17</v>
      </c>
      <c r="E41" s="4">
        <v>21.03</v>
      </c>
      <c r="F41" s="4">
        <f t="shared" si="1"/>
        <v>21.1</v>
      </c>
      <c r="G41" s="4">
        <f t="shared" si="2"/>
        <v>0.17312617380911657</v>
      </c>
      <c r="H41" s="4">
        <f t="shared" si="3"/>
        <v>1.4897938385871834</v>
      </c>
      <c r="I41" s="4">
        <v>576.6</v>
      </c>
      <c r="J41" s="4">
        <v>225</v>
      </c>
      <c r="K41" s="4">
        <f t="shared" si="4"/>
        <v>129.73500000000001</v>
      </c>
      <c r="L41" s="4">
        <f t="shared" si="5"/>
        <v>1.1483360994235813E-2</v>
      </c>
      <c r="M41" s="12">
        <f t="shared" si="6"/>
        <v>498.85851163018123</v>
      </c>
      <c r="N41" s="4"/>
      <c r="O41" s="4">
        <v>4.1168105670854098</v>
      </c>
      <c r="P41" s="4">
        <f t="shared" si="7"/>
        <v>0.36188059040130111</v>
      </c>
      <c r="Q41" s="4">
        <f t="shared" si="8"/>
        <v>56.142149487134731</v>
      </c>
    </row>
    <row r="42" spans="1:19" x14ac:dyDescent="0.2">
      <c r="C42">
        <v>23</v>
      </c>
      <c r="D42">
        <v>21.65</v>
      </c>
      <c r="E42">
        <v>21.67</v>
      </c>
      <c r="F42">
        <f t="shared" si="1"/>
        <v>21.66</v>
      </c>
      <c r="G42">
        <f t="shared" si="2"/>
        <v>-1.8098002390302483E-2</v>
      </c>
      <c r="H42">
        <f t="shared" si="3"/>
        <v>0.95918415870488372</v>
      </c>
      <c r="I42">
        <v>948.8</v>
      </c>
      <c r="J42" s="4">
        <v>325</v>
      </c>
      <c r="K42">
        <f t="shared" si="4"/>
        <v>308.36</v>
      </c>
      <c r="L42">
        <f t="shared" si="5"/>
        <v>3.1105985170089626E-3</v>
      </c>
      <c r="M42" s="10">
        <f t="shared" si="6"/>
        <v>135.13017201610708</v>
      </c>
      <c r="O42">
        <v>1.6942873526169688</v>
      </c>
      <c r="P42">
        <f t="shared" si="7"/>
        <v>0.56612838266386356</v>
      </c>
      <c r="Q42">
        <f t="shared" si="8"/>
        <v>87.829148983034727</v>
      </c>
    </row>
    <row r="43" spans="1:19" x14ac:dyDescent="0.2">
      <c r="C43">
        <v>24</v>
      </c>
      <c r="D43">
        <v>21.49</v>
      </c>
      <c r="E43">
        <v>21.52</v>
      </c>
      <c r="F43">
        <f t="shared" si="1"/>
        <v>21.504999999999999</v>
      </c>
      <c r="G43">
        <f t="shared" si="2"/>
        <v>3.4830117807751512E-2</v>
      </c>
      <c r="H43">
        <f t="shared" si="3"/>
        <v>1.0835029991939955</v>
      </c>
      <c r="I43">
        <v>1041</v>
      </c>
      <c r="J43" s="4">
        <v>325</v>
      </c>
      <c r="K43">
        <f t="shared" si="4"/>
        <v>338.32499999999999</v>
      </c>
      <c r="L43">
        <f t="shared" si="5"/>
        <v>3.2025507993615476E-3</v>
      </c>
      <c r="M43" s="10">
        <f t="shared" si="6"/>
        <v>139.12474980029711</v>
      </c>
      <c r="O43">
        <v>1.2045337290720455</v>
      </c>
      <c r="P43">
        <f t="shared" si="7"/>
        <v>0.89952068011305075</v>
      </c>
      <c r="Q43">
        <f t="shared" si="8"/>
        <v>139.55162511941791</v>
      </c>
    </row>
    <row r="44" spans="1:19" x14ac:dyDescent="0.2">
      <c r="A44" t="s">
        <v>9</v>
      </c>
      <c r="B44" t="s">
        <v>10</v>
      </c>
      <c r="C44">
        <v>25</v>
      </c>
      <c r="D44">
        <v>22.89</v>
      </c>
      <c r="E44">
        <v>22.1</v>
      </c>
      <c r="F44">
        <f t="shared" si="1"/>
        <v>22.495000000000001</v>
      </c>
      <c r="G44">
        <f t="shared" si="2"/>
        <v>-0.30322690797336577</v>
      </c>
      <c r="H44">
        <f t="shared" si="3"/>
        <v>0.49747709776111115</v>
      </c>
      <c r="I44">
        <v>1245</v>
      </c>
      <c r="J44" s="4">
        <v>400</v>
      </c>
      <c r="K44">
        <f t="shared" si="4"/>
        <v>498.00000000000006</v>
      </c>
      <c r="L44">
        <f t="shared" si="5"/>
        <v>9.9894999550423922E-4</v>
      </c>
      <c r="M44" s="10">
        <f t="shared" si="6"/>
        <v>43.396241588187031</v>
      </c>
      <c r="O44">
        <v>1.2865964511407153</v>
      </c>
      <c r="P44">
        <f t="shared" si="7"/>
        <v>0.38666133216832727</v>
      </c>
      <c r="Q44">
        <f t="shared" si="8"/>
        <v>59.986633401410629</v>
      </c>
      <c r="S44" t="s">
        <v>10</v>
      </c>
    </row>
    <row r="45" spans="1:19" x14ac:dyDescent="0.2">
      <c r="C45">
        <v>26</v>
      </c>
      <c r="D45">
        <v>21.8</v>
      </c>
      <c r="E45">
        <v>21.44</v>
      </c>
      <c r="F45">
        <f t="shared" si="1"/>
        <v>21.62</v>
      </c>
      <c r="G45">
        <f t="shared" si="2"/>
        <v>-4.4391326617728112E-3</v>
      </c>
      <c r="H45">
        <f t="shared" si="3"/>
        <v>0.98983058110707167</v>
      </c>
      <c r="I45">
        <v>935.2</v>
      </c>
      <c r="J45" s="4">
        <v>300</v>
      </c>
      <c r="K45">
        <f t="shared" si="4"/>
        <v>280.56</v>
      </c>
      <c r="L45">
        <f t="shared" si="5"/>
        <v>3.5280531120155108E-3</v>
      </c>
      <c r="M45" s="10">
        <f t="shared" si="6"/>
        <v>153.26517430704612</v>
      </c>
      <c r="O45">
        <v>1.3478671550600352</v>
      </c>
      <c r="P45">
        <f t="shared" si="7"/>
        <v>0.73436805503505553</v>
      </c>
      <c r="Q45">
        <f t="shared" si="8"/>
        <v>113.92984928712065</v>
      </c>
    </row>
    <row r="46" spans="1:19" x14ac:dyDescent="0.2">
      <c r="C46">
        <v>27</v>
      </c>
      <c r="D46">
        <v>21.45</v>
      </c>
      <c r="E46">
        <v>21.33</v>
      </c>
      <c r="F46">
        <f t="shared" si="1"/>
        <v>21.39</v>
      </c>
      <c r="G46">
        <f t="shared" si="2"/>
        <v>7.4099368277274633E-2</v>
      </c>
      <c r="H46">
        <f t="shared" si="3"/>
        <v>1.1860400877383972</v>
      </c>
      <c r="I46">
        <v>1189</v>
      </c>
      <c r="J46" s="4">
        <v>300</v>
      </c>
      <c r="K46">
        <f t="shared" si="4"/>
        <v>356.70000000000005</v>
      </c>
      <c r="L46">
        <f t="shared" si="5"/>
        <v>3.3250352894264004E-3</v>
      </c>
      <c r="M46" s="10">
        <f t="shared" si="6"/>
        <v>144.44570334710326</v>
      </c>
      <c r="O46">
        <v>1.4285749063200446</v>
      </c>
      <c r="P46">
        <f t="shared" si="7"/>
        <v>0.83022604029465419</v>
      </c>
      <c r="Q46">
        <f t="shared" si="8"/>
        <v>128.80125571434027</v>
      </c>
    </row>
    <row r="47" spans="1:19" x14ac:dyDescent="0.2">
      <c r="C47">
        <v>28</v>
      </c>
      <c r="D47">
        <v>21.08</v>
      </c>
      <c r="E47">
        <v>21.06</v>
      </c>
      <c r="F47">
        <f t="shared" si="1"/>
        <v>21.07</v>
      </c>
      <c r="G47">
        <f t="shared" si="2"/>
        <v>0.18337032610551443</v>
      </c>
      <c r="H47">
        <f t="shared" si="3"/>
        <v>1.5253528790472952</v>
      </c>
      <c r="I47">
        <v>1068</v>
      </c>
      <c r="J47" s="4">
        <v>300</v>
      </c>
      <c r="K47">
        <f t="shared" si="4"/>
        <v>320.40000000000003</v>
      </c>
      <c r="L47">
        <f t="shared" si="5"/>
        <v>4.7607767760527312E-3</v>
      </c>
      <c r="M47" s="10">
        <f t="shared" si="6"/>
        <v>206.81697787758563</v>
      </c>
      <c r="O47">
        <v>1.2281109617320989</v>
      </c>
      <c r="P47">
        <f t="shared" si="7"/>
        <v>1.2420318086697746</v>
      </c>
      <c r="Q47">
        <f t="shared" si="8"/>
        <v>192.68879658007791</v>
      </c>
    </row>
    <row r="48" spans="1:19" x14ac:dyDescent="0.2">
      <c r="C48">
        <v>29</v>
      </c>
      <c r="D48">
        <v>21.82</v>
      </c>
      <c r="E48">
        <v>21.85</v>
      </c>
      <c r="F48">
        <f t="shared" si="1"/>
        <v>21.835000000000001</v>
      </c>
      <c r="G48">
        <f t="shared" si="2"/>
        <v>-7.7855557452621321E-2</v>
      </c>
      <c r="H48">
        <f t="shared" si="3"/>
        <v>0.83588097870997347</v>
      </c>
      <c r="I48">
        <v>1355</v>
      </c>
      <c r="J48" s="4">
        <v>400</v>
      </c>
      <c r="K48">
        <f t="shared" si="4"/>
        <v>542</v>
      </c>
      <c r="L48">
        <f t="shared" si="5"/>
        <v>1.5422158278781798E-3</v>
      </c>
      <c r="M48" s="10">
        <f t="shared" si="6"/>
        <v>66.996717502305998</v>
      </c>
      <c r="O48">
        <v>1</v>
      </c>
      <c r="P48">
        <f t="shared" si="7"/>
        <v>0.83588097870997347</v>
      </c>
      <c r="Q48">
        <f t="shared" si="8"/>
        <v>129.6785627771516</v>
      </c>
    </row>
    <row r="49" spans="2:19" x14ac:dyDescent="0.2">
      <c r="C49">
        <v>30</v>
      </c>
      <c r="D49">
        <v>21.34</v>
      </c>
      <c r="E49">
        <v>21.36</v>
      </c>
      <c r="F49">
        <f t="shared" si="1"/>
        <v>21.35</v>
      </c>
      <c r="G49">
        <f t="shared" si="2"/>
        <v>8.7758238005804304E-2</v>
      </c>
      <c r="H49">
        <f t="shared" si="3"/>
        <v>1.2239346726154421</v>
      </c>
      <c r="I49">
        <v>721.8</v>
      </c>
      <c r="J49" s="4">
        <v>500</v>
      </c>
      <c r="K49">
        <f t="shared" si="4"/>
        <v>360.9</v>
      </c>
      <c r="L49">
        <f t="shared" si="5"/>
        <v>3.3913401845814413E-3</v>
      </c>
      <c r="M49" s="10">
        <f t="shared" si="6"/>
        <v>147.32611103675458</v>
      </c>
      <c r="O49">
        <v>1.1060555508718575</v>
      </c>
      <c r="P49">
        <f t="shared" si="7"/>
        <v>1.1065761314164242</v>
      </c>
      <c r="Q49">
        <f t="shared" si="8"/>
        <v>171.67420479772923</v>
      </c>
    </row>
    <row r="50" spans="2:19" x14ac:dyDescent="0.2">
      <c r="B50" t="s">
        <v>11</v>
      </c>
      <c r="C50">
        <v>31</v>
      </c>
      <c r="D50">
        <v>20.75</v>
      </c>
      <c r="E50">
        <v>20.47</v>
      </c>
      <c r="F50">
        <f t="shared" si="1"/>
        <v>20.61</v>
      </c>
      <c r="G50">
        <f t="shared" si="2"/>
        <v>0.34044732798360933</v>
      </c>
      <c r="H50">
        <f t="shared" si="3"/>
        <v>2.1900162028544448</v>
      </c>
      <c r="I50">
        <v>873.4</v>
      </c>
      <c r="J50" s="4">
        <v>500</v>
      </c>
      <c r="K50">
        <f t="shared" si="4"/>
        <v>436.7</v>
      </c>
      <c r="L50">
        <f t="shared" si="5"/>
        <v>5.0149214629137736E-3</v>
      </c>
      <c r="M50" s="10">
        <f t="shared" si="6"/>
        <v>217.85749469925983</v>
      </c>
      <c r="O50">
        <v>1.3795881686679095</v>
      </c>
      <c r="P50">
        <f t="shared" si="7"/>
        <v>1.5874420008755665</v>
      </c>
      <c r="Q50">
        <f t="shared" si="8"/>
        <v>246.2757287327336</v>
      </c>
      <c r="S50" t="s">
        <v>11</v>
      </c>
    </row>
    <row r="51" spans="2:19" x14ac:dyDescent="0.2">
      <c r="C51">
        <v>32</v>
      </c>
      <c r="D51">
        <v>21.57</v>
      </c>
      <c r="E51">
        <v>21.51</v>
      </c>
      <c r="F51">
        <f t="shared" si="1"/>
        <v>21.54</v>
      </c>
      <c r="G51">
        <f t="shared" si="2"/>
        <v>2.2878606795287748E-2</v>
      </c>
      <c r="H51">
        <f t="shared" si="3"/>
        <v>1.0540922172672142</v>
      </c>
      <c r="I51">
        <v>1032</v>
      </c>
      <c r="J51" s="4">
        <v>400</v>
      </c>
      <c r="K51">
        <f t="shared" si="4"/>
        <v>412.8</v>
      </c>
      <c r="L51">
        <f t="shared" si="5"/>
        <v>2.5535179681860812E-3</v>
      </c>
      <c r="M51" s="10">
        <f t="shared" si="6"/>
        <v>110.92955918303463</v>
      </c>
      <c r="O51">
        <v>1.3117799583651353</v>
      </c>
      <c r="P51">
        <f t="shared" si="7"/>
        <v>0.80355871466501438</v>
      </c>
      <c r="Q51">
        <f t="shared" si="8"/>
        <v>124.66408720728911</v>
      </c>
    </row>
    <row r="52" spans="2:19" x14ac:dyDescent="0.2">
      <c r="C52">
        <v>33</v>
      </c>
      <c r="D52">
        <v>21.01</v>
      </c>
      <c r="E52">
        <v>20.6</v>
      </c>
      <c r="F52">
        <f t="shared" si="1"/>
        <v>20.805</v>
      </c>
      <c r="G52">
        <f t="shared" si="2"/>
        <v>0.27386033805702564</v>
      </c>
      <c r="H52">
        <f t="shared" si="3"/>
        <v>1.8787125566740226</v>
      </c>
      <c r="I52">
        <v>915.4</v>
      </c>
      <c r="J52" s="4">
        <v>400</v>
      </c>
      <c r="K52">
        <f t="shared" si="4"/>
        <v>366.15999999999997</v>
      </c>
      <c r="L52">
        <f t="shared" si="5"/>
        <v>5.1308514219849865E-3</v>
      </c>
      <c r="M52" s="10">
        <f t="shared" si="6"/>
        <v>222.89370725624931</v>
      </c>
      <c r="O52">
        <v>1.3689324056117544</v>
      </c>
      <c r="P52">
        <f t="shared" si="7"/>
        <v>1.3723924928451492</v>
      </c>
      <c r="Q52">
        <f t="shared" si="8"/>
        <v>212.91295121103798</v>
      </c>
    </row>
    <row r="53" spans="2:19" x14ac:dyDescent="0.2">
      <c r="C53">
        <v>34</v>
      </c>
      <c r="D53">
        <v>21.05</v>
      </c>
      <c r="E53">
        <v>21.04</v>
      </c>
      <c r="F53">
        <f t="shared" si="1"/>
        <v>21.045000000000002</v>
      </c>
      <c r="G53">
        <f t="shared" si="2"/>
        <v>0.19190711968584517</v>
      </c>
      <c r="H53">
        <f t="shared" si="3"/>
        <v>1.555632900865725</v>
      </c>
      <c r="I53">
        <v>840.9</v>
      </c>
      <c r="J53" s="4">
        <v>500</v>
      </c>
      <c r="K53">
        <f t="shared" si="4"/>
        <v>420.45</v>
      </c>
      <c r="L53">
        <f t="shared" si="5"/>
        <v>3.6999236552877277E-3</v>
      </c>
      <c r="M53" s="10">
        <f t="shared" si="6"/>
        <v>160.73154965245996</v>
      </c>
      <c r="O53">
        <v>1.257013605722521</v>
      </c>
      <c r="P53">
        <f t="shared" si="7"/>
        <v>1.2375625003450621</v>
      </c>
      <c r="Q53">
        <f t="shared" si="8"/>
        <v>191.99542815213363</v>
      </c>
    </row>
    <row r="54" spans="2:19" x14ac:dyDescent="0.2">
      <c r="C54">
        <v>35</v>
      </c>
      <c r="D54">
        <v>22.03</v>
      </c>
      <c r="E54">
        <v>21.69</v>
      </c>
      <c r="F54">
        <f t="shared" si="1"/>
        <v>21.86</v>
      </c>
      <c r="G54">
        <f t="shared" si="2"/>
        <v>-8.6392351032952064E-2</v>
      </c>
      <c r="H54">
        <f t="shared" si="3"/>
        <v>0.81961075566515174</v>
      </c>
      <c r="I54">
        <v>1034</v>
      </c>
      <c r="J54" s="4">
        <v>400</v>
      </c>
      <c r="K54">
        <f t="shared" si="4"/>
        <v>413.6</v>
      </c>
      <c r="L54">
        <f t="shared" si="5"/>
        <v>1.9816507632136162E-3</v>
      </c>
      <c r="M54" s="10">
        <f t="shared" si="6"/>
        <v>86.086586566753084</v>
      </c>
      <c r="O54">
        <v>2.2398323724412945</v>
      </c>
      <c r="P54">
        <f t="shared" si="7"/>
        <v>0.36592504231547512</v>
      </c>
      <c r="Q54">
        <f t="shared" si="8"/>
        <v>56.769605697779483</v>
      </c>
    </row>
    <row r="55" spans="2:19" x14ac:dyDescent="0.2">
      <c r="C55">
        <v>36</v>
      </c>
      <c r="D55">
        <v>21.06</v>
      </c>
      <c r="E55">
        <v>21.08</v>
      </c>
      <c r="F55">
        <f t="shared" si="1"/>
        <v>21.07</v>
      </c>
      <c r="G55">
        <f t="shared" si="2"/>
        <v>0.18337032610551443</v>
      </c>
      <c r="H55">
        <f t="shared" si="3"/>
        <v>1.5253528790472952</v>
      </c>
      <c r="I55">
        <v>874.5</v>
      </c>
      <c r="J55" s="4">
        <v>400</v>
      </c>
      <c r="K55">
        <f t="shared" si="4"/>
        <v>349.8</v>
      </c>
      <c r="L55">
        <f t="shared" si="5"/>
        <v>4.360642878923085E-3</v>
      </c>
      <c r="M55" s="10">
        <f t="shared" si="6"/>
        <v>189.43441884499268</v>
      </c>
      <c r="O55">
        <v>1.3742499592461594</v>
      </c>
      <c r="P55">
        <f t="shared" si="7"/>
        <v>1.1099530102107646</v>
      </c>
      <c r="Q55">
        <f t="shared" si="8"/>
        <v>172.19809372435432</v>
      </c>
    </row>
    <row r="56" spans="2:19" x14ac:dyDescent="0.2">
      <c r="B56" t="s">
        <v>12</v>
      </c>
      <c r="C56">
        <v>37</v>
      </c>
      <c r="D56">
        <v>21.46</v>
      </c>
      <c r="E56">
        <v>21.34</v>
      </c>
      <c r="F56">
        <f t="shared" si="1"/>
        <v>21.4</v>
      </c>
      <c r="G56">
        <f t="shared" si="2"/>
        <v>7.0684650845142818E-2</v>
      </c>
      <c r="H56">
        <f t="shared" si="3"/>
        <v>1.1767512026866556</v>
      </c>
      <c r="I56">
        <v>786.6</v>
      </c>
      <c r="J56" s="4">
        <v>300</v>
      </c>
      <c r="K56">
        <f t="shared" si="4"/>
        <v>235.98000000000002</v>
      </c>
      <c r="L56">
        <f t="shared" si="5"/>
        <v>4.9866565076983451E-3</v>
      </c>
      <c r="M56" s="10">
        <f t="shared" si="6"/>
        <v>216.62961259251946</v>
      </c>
      <c r="O56">
        <v>1.4285749063200446</v>
      </c>
      <c r="P56">
        <f t="shared" si="7"/>
        <v>0.82372383658755599</v>
      </c>
      <c r="Q56">
        <f t="shared" si="8"/>
        <v>127.79250392658925</v>
      </c>
      <c r="S56" t="s">
        <v>12</v>
      </c>
    </row>
    <row r="57" spans="2:19" x14ac:dyDescent="0.2">
      <c r="C57">
        <v>38</v>
      </c>
      <c r="D57">
        <v>22.07</v>
      </c>
      <c r="E57">
        <v>21.83</v>
      </c>
      <c r="F57">
        <f t="shared" si="1"/>
        <v>21.95</v>
      </c>
      <c r="G57">
        <f t="shared" si="2"/>
        <v>-0.11712480792214443</v>
      </c>
      <c r="H57">
        <f t="shared" si="3"/>
        <v>0.76361630333125186</v>
      </c>
      <c r="I57">
        <v>1115</v>
      </c>
      <c r="J57" s="4">
        <v>400</v>
      </c>
      <c r="K57">
        <f t="shared" si="4"/>
        <v>446</v>
      </c>
      <c r="L57">
        <f t="shared" si="5"/>
        <v>1.712144177872762E-3</v>
      </c>
      <c r="M57" s="10">
        <f t="shared" si="6"/>
        <v>74.378720367549107</v>
      </c>
      <c r="O57">
        <v>1.2915941746270867</v>
      </c>
      <c r="P57">
        <f t="shared" si="7"/>
        <v>0.59121999644487844</v>
      </c>
      <c r="Q57">
        <f t="shared" si="8"/>
        <v>91.721861577001249</v>
      </c>
    </row>
    <row r="58" spans="2:19" x14ac:dyDescent="0.2">
      <c r="C58">
        <v>39</v>
      </c>
      <c r="D58">
        <v>21.4</v>
      </c>
      <c r="E58">
        <v>21.32</v>
      </c>
      <c r="F58">
        <f t="shared" si="1"/>
        <v>21.36</v>
      </c>
      <c r="G58">
        <f t="shared" si="2"/>
        <v>8.434352057367249E-2</v>
      </c>
      <c r="H58">
        <f t="shared" si="3"/>
        <v>1.2143490029552835</v>
      </c>
      <c r="I58">
        <v>915.1</v>
      </c>
      <c r="J58" s="4">
        <v>500</v>
      </c>
      <c r="K58">
        <f t="shared" si="4"/>
        <v>457.55</v>
      </c>
      <c r="L58">
        <f t="shared" si="5"/>
        <v>2.654024703213383E-3</v>
      </c>
      <c r="M58" s="10">
        <f t="shared" si="6"/>
        <v>115.29575826618598</v>
      </c>
      <c r="O58">
        <v>1.1017757547002685</v>
      </c>
      <c r="P58">
        <f t="shared" si="7"/>
        <v>1.1021743742088788</v>
      </c>
      <c r="Q58">
        <f t="shared" si="8"/>
        <v>170.99131624911146</v>
      </c>
    </row>
    <row r="59" spans="2:19" x14ac:dyDescent="0.2">
      <c r="C59">
        <v>40</v>
      </c>
      <c r="D59">
        <v>22.14</v>
      </c>
      <c r="E59">
        <v>22.07</v>
      </c>
      <c r="F59">
        <f t="shared" si="1"/>
        <v>22.105</v>
      </c>
      <c r="G59">
        <f t="shared" si="2"/>
        <v>-0.17005292812019843</v>
      </c>
      <c r="H59">
        <f t="shared" si="3"/>
        <v>0.6760005851658738</v>
      </c>
      <c r="I59">
        <v>897.9</v>
      </c>
      <c r="J59" s="4">
        <v>300</v>
      </c>
      <c r="K59">
        <f t="shared" si="4"/>
        <v>269.37</v>
      </c>
      <c r="L59">
        <f t="shared" si="5"/>
        <v>2.5095615145185944E-3</v>
      </c>
      <c r="M59" s="10">
        <f t="shared" si="6"/>
        <v>109.02000926432088</v>
      </c>
      <c r="O59">
        <v>1.5024204526430289</v>
      </c>
      <c r="P59">
        <f t="shared" si="7"/>
        <v>0.44994101616273041</v>
      </c>
      <c r="Q59">
        <f t="shared" si="8"/>
        <v>69.803842648175618</v>
      </c>
    </row>
    <row r="60" spans="2:19" x14ac:dyDescent="0.2">
      <c r="C60">
        <v>41</v>
      </c>
      <c r="D60">
        <v>20.76</v>
      </c>
      <c r="E60">
        <v>20.71</v>
      </c>
      <c r="F60">
        <f t="shared" si="1"/>
        <v>20.734999999999999</v>
      </c>
      <c r="G60">
        <f t="shared" si="2"/>
        <v>0.29776336008195314</v>
      </c>
      <c r="H60">
        <f t="shared" si="3"/>
        <v>1.9850130216930706</v>
      </c>
      <c r="I60">
        <v>1045</v>
      </c>
      <c r="J60" s="4">
        <v>300</v>
      </c>
      <c r="K60">
        <f t="shared" si="4"/>
        <v>313.5</v>
      </c>
      <c r="L60">
        <f t="shared" si="5"/>
        <v>6.3317799735026171E-3</v>
      </c>
      <c r="M60" s="10">
        <f t="shared" si="6"/>
        <v>275.06427213572977</v>
      </c>
      <c r="O60">
        <v>1.6298580599339807</v>
      </c>
      <c r="P60">
        <f t="shared" si="7"/>
        <v>1.217905454769157</v>
      </c>
      <c r="Q60">
        <f t="shared" si="8"/>
        <v>188.9458343897987</v>
      </c>
    </row>
    <row r="61" spans="2:19" x14ac:dyDescent="0.2">
      <c r="C61">
        <v>42</v>
      </c>
      <c r="D61">
        <v>20.79</v>
      </c>
      <c r="E61">
        <v>20.79</v>
      </c>
      <c r="F61">
        <f t="shared" si="1"/>
        <v>20.79</v>
      </c>
      <c r="G61">
        <f t="shared" si="2"/>
        <v>0.27898241420522457</v>
      </c>
      <c r="H61">
        <f t="shared" si="3"/>
        <v>1.9010013015203775</v>
      </c>
      <c r="I61">
        <v>886.2</v>
      </c>
      <c r="J61" s="4">
        <v>300</v>
      </c>
      <c r="K61">
        <f t="shared" si="4"/>
        <v>265.86</v>
      </c>
      <c r="L61">
        <f t="shared" si="5"/>
        <v>7.1503847947053988E-3</v>
      </c>
      <c r="M61" s="10">
        <f t="shared" si="6"/>
        <v>310.62598467994866</v>
      </c>
      <c r="O61">
        <v>1.2618964160352912</v>
      </c>
      <c r="P61">
        <f t="shared" si="7"/>
        <v>1.5064638248938593</v>
      </c>
      <c r="Q61">
        <f t="shared" si="8"/>
        <v>233.71277569864307</v>
      </c>
    </row>
    <row r="62" spans="2:19" x14ac:dyDescent="0.2">
      <c r="B62" t="s">
        <v>13</v>
      </c>
      <c r="C62">
        <v>43</v>
      </c>
      <c r="D62">
        <v>21.92</v>
      </c>
      <c r="E62">
        <v>21.85</v>
      </c>
      <c r="F62">
        <f t="shared" si="1"/>
        <v>21.885000000000002</v>
      </c>
      <c r="G62">
        <f t="shared" si="2"/>
        <v>-9.4929144613284014E-2</v>
      </c>
      <c r="H62">
        <f t="shared" si="3"/>
        <v>0.80365722861493782</v>
      </c>
      <c r="I62">
        <v>1028</v>
      </c>
      <c r="J62" s="4">
        <v>300</v>
      </c>
      <c r="K62">
        <f t="shared" si="4"/>
        <v>308.40000000000003</v>
      </c>
      <c r="L62">
        <f t="shared" si="5"/>
        <v>2.6058924403856605E-3</v>
      </c>
      <c r="M62" s="10">
        <f t="shared" si="6"/>
        <v>113.20480344836889</v>
      </c>
      <c r="O62">
        <v>1.3426516876402534</v>
      </c>
      <c r="P62">
        <f t="shared" si="7"/>
        <v>0.59855972774844313</v>
      </c>
      <c r="Q62">
        <f t="shared" si="8"/>
        <v>92.860547383784024</v>
      </c>
      <c r="S62" t="s">
        <v>13</v>
      </c>
    </row>
    <row r="63" spans="2:19" x14ac:dyDescent="0.2">
      <c r="C63">
        <v>44</v>
      </c>
      <c r="D63">
        <v>21.6</v>
      </c>
      <c r="E63">
        <v>20.72</v>
      </c>
      <c r="F63">
        <f t="shared" si="1"/>
        <v>21.16</v>
      </c>
      <c r="G63">
        <f t="shared" si="2"/>
        <v>0.15263786921632205</v>
      </c>
      <c r="H63">
        <f t="shared" si="3"/>
        <v>1.4211432911571567</v>
      </c>
      <c r="I63">
        <v>933.5</v>
      </c>
      <c r="J63" s="4">
        <v>300</v>
      </c>
      <c r="K63">
        <f t="shared" si="4"/>
        <v>280.05</v>
      </c>
      <c r="L63">
        <f t="shared" si="5"/>
        <v>5.0746055745658153E-3</v>
      </c>
      <c r="M63" s="10">
        <f t="shared" si="6"/>
        <v>220.45028326714103</v>
      </c>
      <c r="O63">
        <v>1.802713554323216</v>
      </c>
      <c r="P63">
        <f t="shared" si="7"/>
        <v>0.78833561091778093</v>
      </c>
      <c r="Q63">
        <f t="shared" si="8"/>
        <v>122.30237511522147</v>
      </c>
    </row>
    <row r="64" spans="2:19" x14ac:dyDescent="0.2">
      <c r="C64">
        <v>45</v>
      </c>
      <c r="D64">
        <v>20.85</v>
      </c>
      <c r="E64">
        <v>20.66</v>
      </c>
      <c r="F64">
        <f t="shared" si="1"/>
        <v>20.755000000000003</v>
      </c>
      <c r="G64">
        <f t="shared" si="2"/>
        <v>0.29093392521768713</v>
      </c>
      <c r="H64">
        <f t="shared" si="3"/>
        <v>1.9540421396991154</v>
      </c>
      <c r="I64">
        <v>893.5</v>
      </c>
      <c r="J64" s="4">
        <v>300</v>
      </c>
      <c r="K64">
        <f t="shared" si="4"/>
        <v>268.05</v>
      </c>
      <c r="L64">
        <f t="shared" si="5"/>
        <v>7.2898419686592631E-3</v>
      </c>
      <c r="M64" s="10">
        <f t="shared" si="6"/>
        <v>316.68426311164626</v>
      </c>
      <c r="O64">
        <v>1.271719011479417</v>
      </c>
      <c r="P64">
        <f t="shared" si="7"/>
        <v>1.5365360760203921</v>
      </c>
      <c r="Q64">
        <f t="shared" si="8"/>
        <v>238.37818429734193</v>
      </c>
    </row>
    <row r="65" spans="3:17" x14ac:dyDescent="0.2">
      <c r="C65">
        <v>46</v>
      </c>
      <c r="D65">
        <v>21.02</v>
      </c>
      <c r="E65">
        <v>20.91</v>
      </c>
      <c r="F65">
        <f t="shared" si="1"/>
        <v>20.965</v>
      </c>
      <c r="G65">
        <f t="shared" si="2"/>
        <v>0.21922485914290574</v>
      </c>
      <c r="H65">
        <f t="shared" si="3"/>
        <v>1.6566274724441987</v>
      </c>
      <c r="I65">
        <v>943.7</v>
      </c>
      <c r="J65" s="4">
        <v>300</v>
      </c>
      <c r="K65">
        <f t="shared" si="4"/>
        <v>283.11</v>
      </c>
      <c r="L65">
        <f t="shared" si="5"/>
        <v>5.8515328757168545E-3</v>
      </c>
      <c r="M65" s="10">
        <f t="shared" si="6"/>
        <v>254.2014469980042</v>
      </c>
      <c r="O65">
        <v>1.3067041275541449</v>
      </c>
      <c r="P65">
        <f t="shared" si="7"/>
        <v>1.2677908009252494</v>
      </c>
      <c r="Q65">
        <f t="shared" si="8"/>
        <v>196.68504626078368</v>
      </c>
    </row>
    <row r="66" spans="3:17" x14ac:dyDescent="0.2">
      <c r="C66">
        <v>47</v>
      </c>
      <c r="D66">
        <v>21.55</v>
      </c>
      <c r="E66">
        <v>21.58</v>
      </c>
      <c r="F66">
        <f t="shared" si="1"/>
        <v>21.564999999999998</v>
      </c>
      <c r="G66">
        <f t="shared" si="2"/>
        <v>1.4341813214957005E-2</v>
      </c>
      <c r="H66">
        <f t="shared" si="3"/>
        <v>1.0335745647286714</v>
      </c>
      <c r="I66">
        <v>1097</v>
      </c>
      <c r="J66" s="4">
        <v>300</v>
      </c>
      <c r="K66">
        <f t="shared" si="4"/>
        <v>329.09999999999997</v>
      </c>
      <c r="L66">
        <f t="shared" si="5"/>
        <v>3.1406094339977864E-3</v>
      </c>
      <c r="M66" s="10">
        <f t="shared" si="6"/>
        <v>136.43390194232092</v>
      </c>
      <c r="O66">
        <v>1.2521496890655595</v>
      </c>
      <c r="P66">
        <f t="shared" si="7"/>
        <v>0.82544010013690616</v>
      </c>
      <c r="Q66">
        <f t="shared" si="8"/>
        <v>128.05876502846289</v>
      </c>
    </row>
    <row r="67" spans="3:17" x14ac:dyDescent="0.2">
      <c r="C67">
        <v>48</v>
      </c>
      <c r="D67">
        <v>20.71</v>
      </c>
      <c r="E67">
        <v>20.81</v>
      </c>
      <c r="F67">
        <f t="shared" si="1"/>
        <v>20.759999999999998</v>
      </c>
      <c r="G67">
        <f t="shared" si="2"/>
        <v>0.28922656650162243</v>
      </c>
      <c r="H67">
        <f t="shared" si="3"/>
        <v>1.9463752186655801</v>
      </c>
      <c r="I67">
        <v>1166</v>
      </c>
      <c r="J67" s="4">
        <v>300</v>
      </c>
      <c r="K67">
        <f t="shared" si="4"/>
        <v>349.79999999999995</v>
      </c>
      <c r="L67">
        <f t="shared" si="5"/>
        <v>5.5642516256877656E-3</v>
      </c>
      <c r="M67" s="10">
        <f t="shared" si="6"/>
        <v>241.72141637972908</v>
      </c>
      <c r="O67">
        <v>2.2398323724412972</v>
      </c>
      <c r="P67">
        <f t="shared" si="7"/>
        <v>0.86898253753879606</v>
      </c>
      <c r="Q67">
        <f t="shared" si="8"/>
        <v>134.8139381283527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opLeftCell="C1" workbookViewId="0">
      <selection activeCell="H18" sqref="H18:H66"/>
    </sheetView>
  </sheetViews>
  <sheetFormatPr baseColWidth="10" defaultColWidth="8.796875" defaultRowHeight="15" x14ac:dyDescent="0.2"/>
  <cols>
    <col min="1" max="1" width="10.3984375" bestFit="1" customWidth="1"/>
    <col min="3" max="3" width="12.3984375" bestFit="1" customWidth="1"/>
    <col min="7" max="7" width="12" bestFit="1" customWidth="1"/>
    <col min="8" max="8" width="14.3984375" bestFit="1" customWidth="1"/>
    <col min="9" max="9" width="9.3984375" bestFit="1" customWidth="1"/>
    <col min="10" max="11" width="9.3984375" customWidth="1"/>
    <col min="12" max="12" width="16" bestFit="1" customWidth="1"/>
    <col min="13" max="13" width="23.3984375" bestFit="1" customWidth="1"/>
    <col min="14" max="14" width="13.3984375" bestFit="1" customWidth="1"/>
    <col min="15" max="15" width="13.3984375" customWidth="1"/>
    <col min="16" max="16" width="22.3984375" bestFit="1" customWidth="1"/>
    <col min="17" max="17" width="22.3984375" customWidth="1"/>
    <col min="18" max="18" width="13.3984375" customWidth="1"/>
    <col min="26" max="26" width="18.19921875" bestFit="1" customWidth="1"/>
  </cols>
  <sheetData>
    <row r="1" spans="2:14" x14ac:dyDescent="0.2">
      <c r="B1" s="2" t="s">
        <v>179</v>
      </c>
      <c r="C1" s="2"/>
      <c r="D1" s="2"/>
      <c r="E1" s="2"/>
      <c r="F1" s="2"/>
      <c r="G1" s="1"/>
    </row>
    <row r="2" spans="2:14" x14ac:dyDescent="0.2">
      <c r="B2" s="3" t="s">
        <v>169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</row>
    <row r="3" spans="2:14" x14ac:dyDescent="0.2">
      <c r="B3">
        <v>1</v>
      </c>
      <c r="C3">
        <f>LOG(B3)*(-1)</f>
        <v>0</v>
      </c>
      <c r="D3">
        <v>27.09</v>
      </c>
      <c r="E3">
        <v>26.33</v>
      </c>
      <c r="F3">
        <v>24.28</v>
      </c>
      <c r="G3">
        <f t="shared" ref="G3:G8" si="0">AVERAGE(D3:F3)</f>
        <v>25.900000000000002</v>
      </c>
    </row>
    <row r="4" spans="2:14" x14ac:dyDescent="0.2">
      <c r="B4">
        <f>1/4</f>
        <v>0.25</v>
      </c>
      <c r="C4">
        <f>LOG(B4)</f>
        <v>-0.6020599913279624</v>
      </c>
      <c r="D4">
        <v>29.98</v>
      </c>
      <c r="E4">
        <v>28.54</v>
      </c>
      <c r="F4">
        <v>26.98</v>
      </c>
      <c r="G4">
        <f t="shared" si="0"/>
        <v>28.5</v>
      </c>
    </row>
    <row r="5" spans="2:14" x14ac:dyDescent="0.2">
      <c r="B5">
        <f>1/16</f>
        <v>6.25E-2</v>
      </c>
      <c r="C5">
        <f>LOG(B5)</f>
        <v>-1.2041199826559248</v>
      </c>
      <c r="D5">
        <v>30.67</v>
      </c>
      <c r="E5">
        <v>29.71</v>
      </c>
      <c r="F5">
        <v>27.64</v>
      </c>
      <c r="G5">
        <f t="shared" si="0"/>
        <v>29.340000000000003</v>
      </c>
    </row>
    <row r="6" spans="2:14" x14ac:dyDescent="0.2">
      <c r="B6">
        <f>1/64</f>
        <v>1.5625E-2</v>
      </c>
      <c r="C6">
        <f>LOG(B6)</f>
        <v>-1.8061799739838871</v>
      </c>
      <c r="D6">
        <v>33.200000000000003</v>
      </c>
      <c r="E6">
        <v>31.61</v>
      </c>
      <c r="F6">
        <v>30.12</v>
      </c>
      <c r="G6">
        <f t="shared" si="0"/>
        <v>31.643333333333334</v>
      </c>
      <c r="N6">
        <f>10^(-1/-2.9448)</f>
        <v>2.1856551241283797</v>
      </c>
    </row>
    <row r="7" spans="2:14" x14ac:dyDescent="0.2">
      <c r="B7">
        <f>1/256</f>
        <v>3.90625E-3</v>
      </c>
      <c r="C7">
        <f>LOG(B7)</f>
        <v>-2.4082399653118496</v>
      </c>
      <c r="D7">
        <v>34.68</v>
      </c>
      <c r="E7">
        <v>35.07</v>
      </c>
      <c r="F7">
        <v>32.4</v>
      </c>
      <c r="G7">
        <f t="shared" si="0"/>
        <v>34.050000000000004</v>
      </c>
    </row>
    <row r="8" spans="2:14" x14ac:dyDescent="0.2">
      <c r="B8">
        <f>1/1024</f>
        <v>9.765625E-4</v>
      </c>
      <c r="C8">
        <f>LOG(B8)</f>
        <v>-3.0102999566398121</v>
      </c>
      <c r="D8" t="s">
        <v>180</v>
      </c>
      <c r="E8">
        <v>35.39</v>
      </c>
      <c r="F8">
        <v>33.65</v>
      </c>
      <c r="G8">
        <f t="shared" si="0"/>
        <v>34.519999999999996</v>
      </c>
    </row>
    <row r="10" spans="2:14" x14ac:dyDescent="0.2">
      <c r="B10" t="s">
        <v>175</v>
      </c>
      <c r="C10" t="s">
        <v>176</v>
      </c>
      <c r="D10" t="s">
        <v>176</v>
      </c>
      <c r="E10" t="s">
        <v>176</v>
      </c>
    </row>
    <row r="11" spans="2:14" x14ac:dyDescent="0.2">
      <c r="B11" t="s">
        <v>177</v>
      </c>
      <c r="C11" t="s">
        <v>176</v>
      </c>
      <c r="D11" t="s">
        <v>176</v>
      </c>
      <c r="E11" t="s">
        <v>176</v>
      </c>
    </row>
    <row r="17" spans="1:30" x14ac:dyDescent="0.2">
      <c r="I17" s="3" t="s">
        <v>203</v>
      </c>
      <c r="J17" s="3" t="s">
        <v>202</v>
      </c>
      <c r="K17" s="3" t="s">
        <v>191</v>
      </c>
    </row>
    <row r="18" spans="1:30" s="3" customFormat="1" x14ac:dyDescent="0.2">
      <c r="A18" s="3" t="s">
        <v>4</v>
      </c>
      <c r="B18" s="3" t="s">
        <v>5</v>
      </c>
      <c r="C18" s="3" t="s">
        <v>139</v>
      </c>
      <c r="D18" s="3" t="s">
        <v>171</v>
      </c>
      <c r="E18" s="3" t="s">
        <v>172</v>
      </c>
      <c r="F18" s="3" t="s">
        <v>182</v>
      </c>
      <c r="G18" s="3" t="s">
        <v>199</v>
      </c>
      <c r="H18" s="3" t="s">
        <v>200</v>
      </c>
      <c r="I18" s="3" t="s">
        <v>347</v>
      </c>
      <c r="J18" s="3" t="s">
        <v>205</v>
      </c>
      <c r="K18" s="3" t="s">
        <v>204</v>
      </c>
      <c r="L18" s="3" t="s">
        <v>201</v>
      </c>
      <c r="M18" s="3" t="s">
        <v>193</v>
      </c>
      <c r="N18" s="3" t="s">
        <v>194</v>
      </c>
      <c r="O18" s="3" t="s">
        <v>181</v>
      </c>
      <c r="P18" s="3" t="s">
        <v>211</v>
      </c>
      <c r="Q18" s="3" t="s">
        <v>213</v>
      </c>
      <c r="R18" s="3" t="s">
        <v>212</v>
      </c>
      <c r="S18" s="3" t="s">
        <v>5</v>
      </c>
      <c r="U18" s="3" t="s">
        <v>215</v>
      </c>
      <c r="Z18" s="3" t="s">
        <v>206</v>
      </c>
    </row>
    <row r="19" spans="1:30" x14ac:dyDescent="0.2">
      <c r="A19" t="s">
        <v>18</v>
      </c>
      <c r="B19" t="s">
        <v>10</v>
      </c>
      <c r="C19">
        <v>1</v>
      </c>
      <c r="D19">
        <v>28.19</v>
      </c>
      <c r="E19">
        <v>26.24</v>
      </c>
      <c r="F19">
        <f>AVERAGE(D19:E19)</f>
        <v>27.215</v>
      </c>
      <c r="G19">
        <f>(F19-26.227)/(-2.9448)</f>
        <v>-0.33550665580005418</v>
      </c>
      <c r="H19">
        <f>10^G19</f>
        <v>0.46184191386152218</v>
      </c>
      <c r="I19">
        <v>929.4</v>
      </c>
      <c r="J19">
        <v>350</v>
      </c>
      <c r="K19">
        <f>(I19/1000)*J19</f>
        <v>325.29000000000002</v>
      </c>
      <c r="L19">
        <f>H19/K19</f>
        <v>1.4197851574334352E-3</v>
      </c>
      <c r="M19">
        <f>L19/N$19*100</f>
        <v>70.227335693833993</v>
      </c>
      <c r="N19">
        <f>AVERAGE(L19:L24)</f>
        <v>2.0216987351238691E-3</v>
      </c>
      <c r="O19">
        <v>0.95454247572596496</v>
      </c>
      <c r="P19">
        <f>H19/O19</f>
        <v>0.48383589584138126</v>
      </c>
      <c r="Q19">
        <f>P19/R$19*100</f>
        <v>85.455174871754537</v>
      </c>
      <c r="R19">
        <f>AVERAGE(P19:P24)</f>
        <v>0.56618677168175024</v>
      </c>
      <c r="S19" t="s">
        <v>10</v>
      </c>
      <c r="T19" s="3" t="s">
        <v>4</v>
      </c>
      <c r="U19" s="3" t="s">
        <v>5</v>
      </c>
      <c r="V19" s="3" t="s">
        <v>178</v>
      </c>
      <c r="W19" s="3" t="s">
        <v>65</v>
      </c>
      <c r="X19" s="3" t="s">
        <v>66</v>
      </c>
      <c r="Z19" s="3" t="s">
        <v>4</v>
      </c>
      <c r="AA19" s="3" t="s">
        <v>5</v>
      </c>
      <c r="AB19" s="3" t="s">
        <v>178</v>
      </c>
      <c r="AC19" s="3" t="s">
        <v>65</v>
      </c>
      <c r="AD19" s="3" t="s">
        <v>66</v>
      </c>
    </row>
    <row r="20" spans="1:30" x14ac:dyDescent="0.2">
      <c r="C20">
        <v>2</v>
      </c>
      <c r="D20">
        <v>28.12</v>
      </c>
      <c r="E20">
        <v>27.34</v>
      </c>
      <c r="F20">
        <f t="shared" ref="F20:F66" si="1">AVERAGE(D20:E20)</f>
        <v>27.73</v>
      </c>
      <c r="G20">
        <f t="shared" ref="G20:G66" si="2">(F20-26.227)/(-2.9448)</f>
        <v>-0.5103911980440099</v>
      </c>
      <c r="H20">
        <f t="shared" ref="H20:H66" si="3">10^G20</f>
        <v>0.3087513050360392</v>
      </c>
      <c r="I20">
        <v>752.8</v>
      </c>
      <c r="J20">
        <v>175</v>
      </c>
      <c r="K20">
        <f t="shared" ref="K20:K66" si="4">(I20/1000)*J20</f>
        <v>131.73999999999998</v>
      </c>
      <c r="L20">
        <f t="shared" ref="L20:L66" si="5">H20/K20</f>
        <v>2.3436413013210814E-3</v>
      </c>
      <c r="M20">
        <f t="shared" ref="M20:M66" si="6">L20/N$19*100</f>
        <v>115.92435908495966</v>
      </c>
      <c r="O20">
        <v>0.58113631774063701</v>
      </c>
      <c r="P20">
        <f t="shared" ref="P20:P66" si="7">H20/O20</f>
        <v>0.53128895168075851</v>
      </c>
      <c r="Q20">
        <f t="shared" ref="Q20:Q66" si="8">P20/R$19*100</f>
        <v>93.8363413370937</v>
      </c>
      <c r="T20" t="s">
        <v>18</v>
      </c>
      <c r="U20" t="s">
        <v>10</v>
      </c>
      <c r="V20">
        <f>AVERAGE(Q19:Q24)</f>
        <v>100</v>
      </c>
      <c r="W20">
        <v>6</v>
      </c>
      <c r="X20">
        <f>STDEV(Q19:Q24)/SQRT(W20)</f>
        <v>29.760012853054835</v>
      </c>
      <c r="Z20" t="s">
        <v>18</v>
      </c>
      <c r="AA20" t="s">
        <v>10</v>
      </c>
      <c r="AB20">
        <f>AVERAGE(M19:M24)</f>
        <v>100</v>
      </c>
      <c r="AC20">
        <v>6</v>
      </c>
      <c r="AD20">
        <f>STDEV(M19:M24)/SQRT(AC20)</f>
        <v>28.016656358366724</v>
      </c>
    </row>
    <row r="21" spans="1:30" x14ac:dyDescent="0.2">
      <c r="C21">
        <v>3</v>
      </c>
      <c r="D21">
        <v>27.03</v>
      </c>
      <c r="E21">
        <v>26.32</v>
      </c>
      <c r="F21">
        <f t="shared" si="1"/>
        <v>26.675000000000001</v>
      </c>
      <c r="G21">
        <f t="shared" si="2"/>
        <v>-0.15213257267047012</v>
      </c>
      <c r="H21">
        <f t="shared" si="3"/>
        <v>0.70447798729283206</v>
      </c>
      <c r="I21">
        <v>1329</v>
      </c>
      <c r="J21">
        <v>225</v>
      </c>
      <c r="K21">
        <f t="shared" si="4"/>
        <v>299.02499999999998</v>
      </c>
      <c r="L21">
        <f t="shared" si="5"/>
        <v>2.355916686875118E-3</v>
      </c>
      <c r="M21">
        <f t="shared" si="6"/>
        <v>116.53154082478918</v>
      </c>
      <c r="O21">
        <v>1.1277051970614604</v>
      </c>
      <c r="P21">
        <f t="shared" si="7"/>
        <v>0.62470048832668246</v>
      </c>
      <c r="Q21">
        <f t="shared" si="8"/>
        <v>110.33470218160137</v>
      </c>
      <c r="U21" t="s">
        <v>11</v>
      </c>
      <c r="V21">
        <f>AVERAGE(Q25:Q30)</f>
        <v>101.04806702864879</v>
      </c>
      <c r="W21">
        <v>6</v>
      </c>
      <c r="X21">
        <f>STDEV(Q25:Q30)/SQRT(W21)</f>
        <v>42.47411881982093</v>
      </c>
      <c r="AA21" t="s">
        <v>11</v>
      </c>
      <c r="AB21">
        <f>AVERAGE(M25:M30)</f>
        <v>95.273896002955397</v>
      </c>
      <c r="AC21">
        <v>6</v>
      </c>
      <c r="AD21">
        <f>STDEV(M25:M30)/SQRT(AC21)</f>
        <v>32.338194773618703</v>
      </c>
    </row>
    <row r="22" spans="1:30" x14ac:dyDescent="0.2">
      <c r="C22">
        <v>4</v>
      </c>
      <c r="D22">
        <v>28.61</v>
      </c>
      <c r="E22">
        <v>28.36</v>
      </c>
      <c r="F22">
        <f t="shared" si="1"/>
        <v>28.484999999999999</v>
      </c>
      <c r="G22">
        <f t="shared" si="2"/>
        <v>-0.76677533279000243</v>
      </c>
      <c r="H22">
        <f t="shared" si="3"/>
        <v>0.1710900161145866</v>
      </c>
      <c r="I22">
        <v>884.9</v>
      </c>
      <c r="J22">
        <v>225</v>
      </c>
      <c r="K22">
        <f t="shared" si="4"/>
        <v>199.10249999999999</v>
      </c>
      <c r="L22">
        <f t="shared" si="5"/>
        <v>8.5930621722271996E-4</v>
      </c>
      <c r="M22">
        <f t="shared" si="6"/>
        <v>42.504167524745988</v>
      </c>
      <c r="O22">
        <v>0.69190393003126893</v>
      </c>
      <c r="P22">
        <f t="shared" si="7"/>
        <v>0.24727423662249556</v>
      </c>
      <c r="Q22">
        <f t="shared" si="8"/>
        <v>43.673616020383946</v>
      </c>
      <c r="U22" t="s">
        <v>12</v>
      </c>
      <c r="V22" s="9">
        <f>AVERAGE(Q31:Q35,Q36)</f>
        <v>203.97125742463632</v>
      </c>
      <c r="W22">
        <v>6</v>
      </c>
      <c r="X22">
        <f>STDEV(Q31:Q35,Q36)/SQRT(W22)</f>
        <v>39.944610879849328</v>
      </c>
      <c r="AA22" t="s">
        <v>12</v>
      </c>
      <c r="AB22" s="9">
        <f>AVERAGE(M31:M35,M36)</f>
        <v>390.15597286755792</v>
      </c>
      <c r="AC22">
        <v>6</v>
      </c>
      <c r="AD22">
        <f>STDEV(M31:W35,M36)/SQRT(AC22)</f>
        <v>89.684424138796814</v>
      </c>
    </row>
    <row r="23" spans="1:30" x14ac:dyDescent="0.2">
      <c r="C23">
        <v>5</v>
      </c>
      <c r="D23">
        <v>26.05</v>
      </c>
      <c r="E23">
        <v>25.61</v>
      </c>
      <c r="F23">
        <f t="shared" si="1"/>
        <v>25.83</v>
      </c>
      <c r="G23">
        <f t="shared" si="2"/>
        <v>0.1348139092637877</v>
      </c>
      <c r="H23">
        <f t="shared" si="3"/>
        <v>1.3639985519480593</v>
      </c>
      <c r="I23">
        <v>1224</v>
      </c>
      <c r="J23">
        <v>250</v>
      </c>
      <c r="K23">
        <f t="shared" si="4"/>
        <v>306</v>
      </c>
      <c r="L23">
        <f t="shared" si="5"/>
        <v>4.4575116076733968E-3</v>
      </c>
      <c r="M23">
        <f t="shared" si="6"/>
        <v>220.48347413148508</v>
      </c>
      <c r="O23">
        <v>1.023534228494841</v>
      </c>
      <c r="P23">
        <f t="shared" si="7"/>
        <v>1.3326359920116091</v>
      </c>
      <c r="Q23">
        <f t="shared" si="8"/>
        <v>235.37038635736172</v>
      </c>
      <c r="U23" t="s">
        <v>13</v>
      </c>
      <c r="V23">
        <f>AVERAGE(Q37:Q40,Q41:Q42)</f>
        <v>167.31913569627878</v>
      </c>
      <c r="W23">
        <v>6</v>
      </c>
      <c r="X23">
        <f>STDEV(Q37:Q42)/SQRT(W23)</f>
        <v>38.467688714019673</v>
      </c>
      <c r="AA23" t="s">
        <v>13</v>
      </c>
      <c r="AB23">
        <f>AVERAGE(M37:M40,M41:M42)</f>
        <v>343.14055141756654</v>
      </c>
      <c r="AC23">
        <v>6</v>
      </c>
      <c r="AD23">
        <f>STDEV(M37:M42)/SQRT(AC23)</f>
        <v>87.260070447727571</v>
      </c>
    </row>
    <row r="24" spans="1:30" x14ac:dyDescent="0.2">
      <c r="C24">
        <v>6</v>
      </c>
      <c r="D24">
        <v>28.62</v>
      </c>
      <c r="E24">
        <v>27.97</v>
      </c>
      <c r="F24">
        <f t="shared" si="1"/>
        <v>28.295000000000002</v>
      </c>
      <c r="G24">
        <f t="shared" si="2"/>
        <v>-0.70225482205922352</v>
      </c>
      <c r="H24">
        <f t="shared" si="3"/>
        <v>0.19849299190219466</v>
      </c>
      <c r="I24">
        <v>1040</v>
      </c>
      <c r="J24">
        <v>275</v>
      </c>
      <c r="K24">
        <f t="shared" si="4"/>
        <v>286</v>
      </c>
      <c r="L24">
        <f t="shared" si="5"/>
        <v>6.9403144021746384E-4</v>
      </c>
      <c r="M24">
        <f t="shared" si="6"/>
        <v>34.329122740186143</v>
      </c>
      <c r="O24">
        <v>1.1189949459517483</v>
      </c>
      <c r="P24">
        <f t="shared" si="7"/>
        <v>0.17738506560757406</v>
      </c>
      <c r="Q24">
        <f t="shared" si="8"/>
        <v>31.329779231804622</v>
      </c>
    </row>
    <row r="25" spans="1:30" x14ac:dyDescent="0.2">
      <c r="B25" t="s">
        <v>11</v>
      </c>
      <c r="C25">
        <v>7</v>
      </c>
      <c r="D25">
        <v>29.52</v>
      </c>
      <c r="E25">
        <v>28.26</v>
      </c>
      <c r="F25">
        <f t="shared" si="1"/>
        <v>28.89</v>
      </c>
      <c r="G25">
        <f t="shared" si="2"/>
        <v>-0.90430589513719106</v>
      </c>
      <c r="H25">
        <f t="shared" si="3"/>
        <v>0.12465052295309959</v>
      </c>
      <c r="I25">
        <v>942.6</v>
      </c>
      <c r="J25">
        <v>275</v>
      </c>
      <c r="K25">
        <f t="shared" si="4"/>
        <v>259.21499999999997</v>
      </c>
      <c r="L25">
        <f t="shared" si="5"/>
        <v>4.8087696681557626E-4</v>
      </c>
      <c r="M25">
        <f t="shared" si="6"/>
        <v>23.785787588481281</v>
      </c>
      <c r="O25">
        <v>0.82059685683385919</v>
      </c>
      <c r="P25">
        <f t="shared" si="7"/>
        <v>0.15190226713034649</v>
      </c>
      <c r="Q25">
        <f t="shared" si="8"/>
        <v>26.829003206689141</v>
      </c>
      <c r="S25" t="s">
        <v>11</v>
      </c>
      <c r="T25" t="s">
        <v>9</v>
      </c>
      <c r="U25" t="s">
        <v>10</v>
      </c>
      <c r="V25">
        <f>AVERAGE(Q43:Q48)</f>
        <v>145.69971447790246</v>
      </c>
      <c r="W25">
        <v>6</v>
      </c>
      <c r="X25">
        <f>STDEV(Q43:Q48)/SQRT(W25)</f>
        <v>32.235466552464842</v>
      </c>
      <c r="Z25" t="s">
        <v>9</v>
      </c>
      <c r="AA25" t="s">
        <v>10</v>
      </c>
      <c r="AB25">
        <f>AVERAGE(M43:M48)</f>
        <v>146.93131234008953</v>
      </c>
      <c r="AC25">
        <v>6</v>
      </c>
      <c r="AD25">
        <f>STDEV(M43:M48)/SQRT(AC25)</f>
        <v>38.710142750823103</v>
      </c>
    </row>
    <row r="26" spans="1:30" x14ac:dyDescent="0.2">
      <c r="C26">
        <v>8</v>
      </c>
      <c r="D26">
        <v>27.99</v>
      </c>
      <c r="E26">
        <v>25.51</v>
      </c>
      <c r="F26">
        <f t="shared" si="1"/>
        <v>26.75</v>
      </c>
      <c r="G26">
        <f t="shared" si="2"/>
        <v>-0.1776011953273566</v>
      </c>
      <c r="H26">
        <f t="shared" si="3"/>
        <v>0.66435285344659512</v>
      </c>
      <c r="I26">
        <v>1035</v>
      </c>
      <c r="J26">
        <v>275</v>
      </c>
      <c r="K26">
        <f t="shared" si="4"/>
        <v>284.625</v>
      </c>
      <c r="L26">
        <f t="shared" si="5"/>
        <v>2.3341338724518052E-3</v>
      </c>
      <c r="M26">
        <f t="shared" si="6"/>
        <v>115.45408976618829</v>
      </c>
      <c r="O26">
        <v>1.4120557118581174</v>
      </c>
      <c r="P26">
        <f t="shared" si="7"/>
        <v>0.47048629021327804</v>
      </c>
      <c r="Q26">
        <f t="shared" si="8"/>
        <v>83.097365347443201</v>
      </c>
      <c r="U26" t="s">
        <v>11</v>
      </c>
      <c r="V26">
        <f>AVERAGE(Q49:Q54)</f>
        <v>148.41486401793495</v>
      </c>
      <c r="W26">
        <v>6</v>
      </c>
      <c r="X26">
        <f>STDEV(Q49:Q54)/SQRT(W26)</f>
        <v>35.159277752001124</v>
      </c>
      <c r="AA26" t="s">
        <v>11</v>
      </c>
      <c r="AB26">
        <f>AVERAGE(M49:M54)</f>
        <v>140.44766322328408</v>
      </c>
      <c r="AC26">
        <v>6</v>
      </c>
      <c r="AD26">
        <f>STDEV(M49:M54)/SQRT(AC26)</f>
        <v>28.650605719659445</v>
      </c>
    </row>
    <row r="27" spans="1:30" x14ac:dyDescent="0.2">
      <c r="C27">
        <v>9</v>
      </c>
      <c r="D27">
        <v>25.77</v>
      </c>
      <c r="E27">
        <v>25.37</v>
      </c>
      <c r="F27">
        <f t="shared" si="1"/>
        <v>25.57</v>
      </c>
      <c r="G27">
        <f t="shared" si="2"/>
        <v>0.22310513447432764</v>
      </c>
      <c r="H27">
        <f t="shared" si="3"/>
        <v>1.6714952026898982</v>
      </c>
      <c r="I27">
        <v>796.2</v>
      </c>
      <c r="J27">
        <v>425</v>
      </c>
      <c r="K27">
        <f t="shared" si="4"/>
        <v>338.38499999999999</v>
      </c>
      <c r="L27">
        <f t="shared" si="5"/>
        <v>4.939625582368894E-3</v>
      </c>
      <c r="M27">
        <f t="shared" si="6"/>
        <v>244.33044827849901</v>
      </c>
      <c r="O27">
        <v>0.95825035114054813</v>
      </c>
      <c r="P27">
        <f t="shared" si="7"/>
        <v>1.7443199480181952</v>
      </c>
      <c r="Q27">
        <f t="shared" si="8"/>
        <v>308.08207384235141</v>
      </c>
      <c r="U27" t="s">
        <v>12</v>
      </c>
      <c r="V27">
        <f>AVERAGE(Q55:Q60)</f>
        <v>180.74909038909587</v>
      </c>
      <c r="W27">
        <v>6</v>
      </c>
      <c r="X27">
        <f>STDEV(Q55:Q60)/SQRT(W27)</f>
        <v>45.827892443143277</v>
      </c>
      <c r="AA27" t="s">
        <v>12</v>
      </c>
      <c r="AB27">
        <f>AVERAGE(M55:M60)</f>
        <v>229.44829842108368</v>
      </c>
      <c r="AC27">
        <v>6</v>
      </c>
      <c r="AD27">
        <f>STDEV(M55:M60)/SQRT(AC27)</f>
        <v>65.83159980760432</v>
      </c>
    </row>
    <row r="28" spans="1:30" x14ac:dyDescent="0.2">
      <c r="C28">
        <v>10</v>
      </c>
      <c r="D28">
        <v>28.11</v>
      </c>
      <c r="E28">
        <v>27.4</v>
      </c>
      <c r="F28">
        <f t="shared" si="1"/>
        <v>27.754999999999999</v>
      </c>
      <c r="G28">
        <f t="shared" si="2"/>
        <v>-0.51888073892963826</v>
      </c>
      <c r="H28">
        <f t="shared" si="3"/>
        <v>0.3027744759193044</v>
      </c>
      <c r="I28">
        <v>1071</v>
      </c>
      <c r="J28">
        <v>225</v>
      </c>
      <c r="K28">
        <f t="shared" si="4"/>
        <v>240.97499999999999</v>
      </c>
      <c r="L28">
        <f t="shared" si="5"/>
        <v>1.2564559639767793E-3</v>
      </c>
      <c r="M28">
        <f t="shared" si="6"/>
        <v>62.148525996866525</v>
      </c>
      <c r="O28">
        <v>1.2186251893022586</v>
      </c>
      <c r="P28">
        <f t="shared" si="7"/>
        <v>0.24845578326890017</v>
      </c>
      <c r="Q28">
        <f t="shared" si="8"/>
        <v>43.88230098186672</v>
      </c>
      <c r="U28" t="s">
        <v>13</v>
      </c>
      <c r="V28" s="9">
        <f>AVERAGE(Q61:Q66)</f>
        <v>179.35413021561996</v>
      </c>
      <c r="W28">
        <v>6</v>
      </c>
      <c r="X28">
        <f>STDEV(Q61:Q66)/SQRT(W28)</f>
        <v>22.50268092212545</v>
      </c>
      <c r="AA28" t="s">
        <v>13</v>
      </c>
      <c r="AB28" s="9">
        <f>AVERAGE(M61:M66)</f>
        <v>260.66327241543866</v>
      </c>
      <c r="AC28">
        <v>6</v>
      </c>
      <c r="AD28">
        <f>STDEV(M61:M66)/SQRT(AC28)</f>
        <v>44.522883877712538</v>
      </c>
    </row>
    <row r="29" spans="1:30" x14ac:dyDescent="0.2">
      <c r="C29">
        <v>11</v>
      </c>
      <c r="D29">
        <v>28.35</v>
      </c>
      <c r="E29">
        <v>27.14</v>
      </c>
      <c r="F29">
        <f t="shared" si="1"/>
        <v>27.745000000000001</v>
      </c>
      <c r="G29">
        <f t="shared" si="2"/>
        <v>-0.51548492257538736</v>
      </c>
      <c r="H29">
        <f t="shared" si="3"/>
        <v>0.30515119668052609</v>
      </c>
      <c r="I29">
        <v>968.9</v>
      </c>
      <c r="J29">
        <v>325</v>
      </c>
      <c r="K29">
        <f t="shared" si="4"/>
        <v>314.89249999999998</v>
      </c>
      <c r="L29">
        <f t="shared" si="5"/>
        <v>9.6906467026215649E-4</v>
      </c>
      <c r="M29">
        <f t="shared" si="6"/>
        <v>47.933188730158754</v>
      </c>
      <c r="O29">
        <v>0.95454247572596496</v>
      </c>
      <c r="P29">
        <f t="shared" si="7"/>
        <v>0.319683203671421</v>
      </c>
      <c r="Q29">
        <f t="shared" si="8"/>
        <v>56.462499595648055</v>
      </c>
    </row>
    <row r="30" spans="1:30" x14ac:dyDescent="0.2">
      <c r="C30">
        <v>12</v>
      </c>
      <c r="D30">
        <v>27.34</v>
      </c>
      <c r="E30">
        <v>26.64</v>
      </c>
      <c r="F30">
        <f t="shared" si="1"/>
        <v>26.990000000000002</v>
      </c>
      <c r="G30">
        <f t="shared" si="2"/>
        <v>-0.25910078782939477</v>
      </c>
      <c r="H30">
        <f t="shared" si="3"/>
        <v>0.5506798838882625</v>
      </c>
      <c r="I30">
        <v>1270</v>
      </c>
      <c r="J30">
        <v>275</v>
      </c>
      <c r="K30">
        <f t="shared" si="4"/>
        <v>349.25</v>
      </c>
      <c r="L30">
        <f t="shared" si="5"/>
        <v>1.5767498464946672E-3</v>
      </c>
      <c r="M30">
        <f t="shared" si="6"/>
        <v>77.991335657538514</v>
      </c>
      <c r="O30">
        <v>1.1060555508718575</v>
      </c>
      <c r="P30">
        <f t="shared" si="7"/>
        <v>0.49787723903576497</v>
      </c>
      <c r="Q30">
        <f t="shared" si="8"/>
        <v>87.935159197894222</v>
      </c>
    </row>
    <row r="31" spans="1:30" x14ac:dyDescent="0.2">
      <c r="B31" t="s">
        <v>12</v>
      </c>
      <c r="C31">
        <v>13</v>
      </c>
      <c r="D31">
        <v>27.21</v>
      </c>
      <c r="E31">
        <v>26.52</v>
      </c>
      <c r="F31">
        <f t="shared" si="1"/>
        <v>26.865000000000002</v>
      </c>
      <c r="G31">
        <f t="shared" si="2"/>
        <v>-0.21665308340125025</v>
      </c>
      <c r="H31">
        <f t="shared" si="3"/>
        <v>0.60722118722302953</v>
      </c>
      <c r="I31">
        <v>1046</v>
      </c>
      <c r="J31">
        <v>275</v>
      </c>
      <c r="K31">
        <f t="shared" si="4"/>
        <v>287.65000000000003</v>
      </c>
      <c r="L31">
        <f t="shared" si="5"/>
        <v>2.1109723178273231E-3</v>
      </c>
      <c r="M31">
        <f t="shared" si="6"/>
        <v>104.41577081453653</v>
      </c>
      <c r="O31">
        <v>1.1060555508718575</v>
      </c>
      <c r="P31">
        <f t="shared" si="7"/>
        <v>0.54899700719767863</v>
      </c>
      <c r="Q31">
        <f t="shared" si="8"/>
        <v>96.963940991942877</v>
      </c>
      <c r="S31" t="s">
        <v>12</v>
      </c>
    </row>
    <row r="32" spans="1:30" x14ac:dyDescent="0.2">
      <c r="C32">
        <v>14</v>
      </c>
      <c r="D32">
        <v>26.24</v>
      </c>
      <c r="E32">
        <v>25.43</v>
      </c>
      <c r="F32">
        <f t="shared" si="1"/>
        <v>25.835000000000001</v>
      </c>
      <c r="G32">
        <f t="shared" si="2"/>
        <v>0.13311600108666105</v>
      </c>
      <c r="H32">
        <f t="shared" si="3"/>
        <v>1.3586763037897551</v>
      </c>
      <c r="I32">
        <v>943.7</v>
      </c>
      <c r="J32">
        <v>375</v>
      </c>
      <c r="K32">
        <f t="shared" si="4"/>
        <v>353.88750000000005</v>
      </c>
      <c r="L32">
        <f t="shared" si="5"/>
        <v>3.8392887677291651E-3</v>
      </c>
      <c r="M32">
        <f t="shared" si="6"/>
        <v>189.90409901472944</v>
      </c>
      <c r="O32">
        <v>1.2424782445717988</v>
      </c>
      <c r="P32">
        <f t="shared" si="7"/>
        <v>1.0935212022629839</v>
      </c>
      <c r="Q32">
        <f t="shared" si="8"/>
        <v>193.13789317523032</v>
      </c>
    </row>
    <row r="33" spans="1:19" x14ac:dyDescent="0.2">
      <c r="C33">
        <v>15</v>
      </c>
      <c r="D33">
        <v>25.97</v>
      </c>
      <c r="E33">
        <v>25.13</v>
      </c>
      <c r="F33">
        <f t="shared" si="1"/>
        <v>25.549999999999997</v>
      </c>
      <c r="G33">
        <f t="shared" si="2"/>
        <v>0.22989676718283183</v>
      </c>
      <c r="H33">
        <f t="shared" si="3"/>
        <v>1.6978400239352363</v>
      </c>
      <c r="I33">
        <v>1156</v>
      </c>
      <c r="J33">
        <v>275</v>
      </c>
      <c r="K33">
        <f t="shared" si="4"/>
        <v>317.89999999999998</v>
      </c>
      <c r="L33">
        <f t="shared" si="5"/>
        <v>5.3407990686858645E-3</v>
      </c>
      <c r="M33">
        <f t="shared" si="6"/>
        <v>264.17383440459218</v>
      </c>
      <c r="O33">
        <v>1.7544485021070528</v>
      </c>
      <c r="P33">
        <f t="shared" si="7"/>
        <v>0.96773431759106576</v>
      </c>
      <c r="Q33">
        <f t="shared" si="8"/>
        <v>170.92139307963603</v>
      </c>
    </row>
    <row r="34" spans="1:19" x14ac:dyDescent="0.2">
      <c r="C34">
        <v>16</v>
      </c>
      <c r="D34">
        <v>25.25</v>
      </c>
      <c r="E34">
        <v>24.98</v>
      </c>
      <c r="F34">
        <f t="shared" si="1"/>
        <v>25.115000000000002</v>
      </c>
      <c r="G34">
        <f t="shared" si="2"/>
        <v>0.37761477859277315</v>
      </c>
      <c r="H34">
        <f t="shared" si="3"/>
        <v>2.3856942212605636</v>
      </c>
      <c r="I34">
        <v>961.8</v>
      </c>
      <c r="J34">
        <v>375</v>
      </c>
      <c r="K34">
        <f t="shared" si="4"/>
        <v>360.67500000000001</v>
      </c>
      <c r="L34">
        <f t="shared" si="5"/>
        <v>6.6145261558482387E-3</v>
      </c>
      <c r="M34">
        <f t="shared" si="6"/>
        <v>327.1766480797134</v>
      </c>
      <c r="O34">
        <v>2.0016465494723308</v>
      </c>
      <c r="P34">
        <f t="shared" si="7"/>
        <v>1.1918658775643856</v>
      </c>
      <c r="Q34">
        <f t="shared" si="8"/>
        <v>210.50754577401628</v>
      </c>
    </row>
    <row r="35" spans="1:19" s="4" customFormat="1" x14ac:dyDescent="0.2">
      <c r="C35" s="4">
        <v>17</v>
      </c>
      <c r="D35" s="4">
        <v>25.13</v>
      </c>
      <c r="E35" s="4">
        <v>25.05</v>
      </c>
      <c r="F35" s="4">
        <f t="shared" si="1"/>
        <v>25.09</v>
      </c>
      <c r="G35" s="4">
        <f t="shared" si="2"/>
        <v>0.38610431947840279</v>
      </c>
      <c r="H35" s="4">
        <f t="shared" si="3"/>
        <v>2.4327883055355497</v>
      </c>
      <c r="I35" s="4">
        <v>581.79999999999995</v>
      </c>
      <c r="J35" s="4">
        <v>250</v>
      </c>
      <c r="K35" s="4">
        <f t="shared" si="4"/>
        <v>145.44999999999999</v>
      </c>
      <c r="L35" s="4">
        <f t="shared" si="5"/>
        <v>1.6725942286253351E-2</v>
      </c>
      <c r="M35" s="4">
        <f t="shared" si="6"/>
        <v>827.32120249501747</v>
      </c>
      <c r="O35" s="4">
        <v>2.6054391022778978</v>
      </c>
      <c r="P35" s="4">
        <f t="shared" si="7"/>
        <v>0.9337344723999107</v>
      </c>
      <c r="Q35" s="4">
        <f t="shared" si="8"/>
        <v>164.91633487416701</v>
      </c>
    </row>
    <row r="36" spans="1:19" x14ac:dyDescent="0.2">
      <c r="C36">
        <v>18</v>
      </c>
      <c r="D36">
        <v>24.92</v>
      </c>
      <c r="E36">
        <v>24.94</v>
      </c>
      <c r="F36">
        <f t="shared" si="1"/>
        <v>24.93</v>
      </c>
      <c r="G36">
        <f t="shared" si="2"/>
        <v>0.44043738114642783</v>
      </c>
      <c r="H36">
        <f t="shared" si="3"/>
        <v>2.7570039044205137</v>
      </c>
      <c r="I36">
        <v>965.2</v>
      </c>
      <c r="J36" s="4">
        <v>225</v>
      </c>
      <c r="K36">
        <f t="shared" si="4"/>
        <v>217.17000000000002</v>
      </c>
      <c r="L36">
        <f t="shared" si="5"/>
        <v>1.2695141614497921E-2</v>
      </c>
      <c r="M36">
        <f t="shared" si="6"/>
        <v>627.94428239675847</v>
      </c>
      <c r="O36">
        <v>1.257013605722521</v>
      </c>
      <c r="P36">
        <f t="shared" si="7"/>
        <v>2.1932967884113004</v>
      </c>
      <c r="Q36">
        <f t="shared" si="8"/>
        <v>387.38043665282549</v>
      </c>
    </row>
    <row r="37" spans="1:19" x14ac:dyDescent="0.2">
      <c r="B37" t="s">
        <v>13</v>
      </c>
      <c r="C37">
        <v>19</v>
      </c>
      <c r="D37">
        <v>24.6</v>
      </c>
      <c r="E37">
        <v>23.58</v>
      </c>
      <c r="F37">
        <f t="shared" si="1"/>
        <v>24.09</v>
      </c>
      <c r="G37">
        <f t="shared" si="2"/>
        <v>0.72568595490355903</v>
      </c>
      <c r="H37">
        <f t="shared" si="3"/>
        <v>5.3172362259133727</v>
      </c>
      <c r="I37">
        <v>1847.7</v>
      </c>
      <c r="J37" s="4">
        <v>225</v>
      </c>
      <c r="K37">
        <f t="shared" si="4"/>
        <v>415.73250000000002</v>
      </c>
      <c r="L37">
        <f t="shared" si="5"/>
        <v>1.2790042216842254E-2</v>
      </c>
      <c r="M37">
        <f t="shared" si="6"/>
        <v>632.63838447515332</v>
      </c>
      <c r="O37">
        <v>2.9154731874340318</v>
      </c>
      <c r="P37">
        <f t="shared" si="7"/>
        <v>1.8237987057576688</v>
      </c>
      <c r="Q37">
        <f t="shared" si="8"/>
        <v>322.11962500296875</v>
      </c>
      <c r="S37" t="s">
        <v>13</v>
      </c>
    </row>
    <row r="38" spans="1:19" x14ac:dyDescent="0.2">
      <c r="C38">
        <v>20</v>
      </c>
      <c r="D38">
        <v>25.39</v>
      </c>
      <c r="E38">
        <v>24.96</v>
      </c>
      <c r="F38">
        <f t="shared" si="1"/>
        <v>25.175000000000001</v>
      </c>
      <c r="G38">
        <f t="shared" si="2"/>
        <v>0.35723988046726424</v>
      </c>
      <c r="H38">
        <f t="shared" si="3"/>
        <v>2.2763544170034322</v>
      </c>
      <c r="I38">
        <v>961.2</v>
      </c>
      <c r="J38" s="4">
        <v>325</v>
      </c>
      <c r="K38">
        <f t="shared" si="4"/>
        <v>312.39000000000004</v>
      </c>
      <c r="L38">
        <f t="shared" si="5"/>
        <v>7.2868991229022434E-3</v>
      </c>
      <c r="M38">
        <f t="shared" si="6"/>
        <v>360.43447009703829</v>
      </c>
      <c r="O38">
        <v>1.9255291947717545</v>
      </c>
      <c r="P38">
        <f t="shared" si="7"/>
        <v>1.1821967816350161</v>
      </c>
      <c r="Q38">
        <f t="shared" si="8"/>
        <v>208.79978847324975</v>
      </c>
    </row>
    <row r="39" spans="1:19" x14ac:dyDescent="0.2">
      <c r="C39">
        <v>21</v>
      </c>
      <c r="D39">
        <v>26.5</v>
      </c>
      <c r="E39">
        <v>26.37</v>
      </c>
      <c r="F39">
        <f t="shared" si="1"/>
        <v>26.435000000000002</v>
      </c>
      <c r="G39">
        <f t="shared" si="2"/>
        <v>-7.0632980168433154E-2</v>
      </c>
      <c r="H39">
        <f t="shared" si="3"/>
        <v>0.84989841601563065</v>
      </c>
      <c r="I39">
        <v>1005</v>
      </c>
      <c r="J39" s="4">
        <v>325</v>
      </c>
      <c r="K39">
        <f t="shared" si="4"/>
        <v>326.62499999999994</v>
      </c>
      <c r="L39">
        <f t="shared" si="5"/>
        <v>2.6020617405759839E-3</v>
      </c>
      <c r="M39">
        <f t="shared" si="6"/>
        <v>128.70670072495031</v>
      </c>
      <c r="O39">
        <v>1.5141152859952485</v>
      </c>
      <c r="P39">
        <f t="shared" si="7"/>
        <v>0.56131684547189609</v>
      </c>
      <c r="Q39">
        <f t="shared" si="8"/>
        <v>99.139872838182185</v>
      </c>
    </row>
    <row r="40" spans="1:19" s="1" customFormat="1" x14ac:dyDescent="0.2">
      <c r="C40" s="1">
        <v>22</v>
      </c>
      <c r="D40" s="1">
        <v>25.92</v>
      </c>
      <c r="E40" s="1">
        <v>25.53</v>
      </c>
      <c r="F40" s="1">
        <f t="shared" si="1"/>
        <v>25.725000000000001</v>
      </c>
      <c r="G40" s="1">
        <f t="shared" si="2"/>
        <v>0.17046998098342805</v>
      </c>
      <c r="H40" s="1">
        <f t="shared" si="3"/>
        <v>1.4807099030774422</v>
      </c>
      <c r="I40" s="1">
        <v>576.6</v>
      </c>
      <c r="J40" s="1">
        <v>225</v>
      </c>
      <c r="K40" s="1">
        <f t="shared" si="4"/>
        <v>129.73500000000001</v>
      </c>
      <c r="L40" s="1">
        <f t="shared" si="5"/>
        <v>1.1413341835876533E-2</v>
      </c>
      <c r="M40" s="1">
        <f t="shared" si="6"/>
        <v>564.5421663271328</v>
      </c>
      <c r="O40" s="1">
        <v>4.1168105670854098</v>
      </c>
      <c r="P40" s="1">
        <f t="shared" si="7"/>
        <v>0.35967404352193566</v>
      </c>
      <c r="Q40" s="1">
        <f t="shared" si="8"/>
        <v>63.525688255413002</v>
      </c>
    </row>
    <row r="41" spans="1:19" x14ac:dyDescent="0.2">
      <c r="C41">
        <v>23</v>
      </c>
      <c r="D41">
        <v>26.09</v>
      </c>
      <c r="E41">
        <v>26.08</v>
      </c>
      <c r="F41">
        <f t="shared" si="1"/>
        <v>26.085000000000001</v>
      </c>
      <c r="G41">
        <f t="shared" si="2"/>
        <v>4.8220592230371999E-2</v>
      </c>
      <c r="H41">
        <f t="shared" si="3"/>
        <v>1.1174306828867087</v>
      </c>
      <c r="I41">
        <v>948.8</v>
      </c>
      <c r="J41" s="4">
        <v>325</v>
      </c>
      <c r="K41">
        <f t="shared" si="4"/>
        <v>308.36</v>
      </c>
      <c r="L41">
        <f t="shared" si="5"/>
        <v>3.6237861035371276E-3</v>
      </c>
      <c r="M41">
        <f t="shared" si="6"/>
        <v>179.24461447096365</v>
      </c>
      <c r="O41">
        <v>1.6942873526169688</v>
      </c>
      <c r="P41">
        <f t="shared" si="7"/>
        <v>0.65952843309651299</v>
      </c>
      <c r="Q41">
        <f t="shared" si="8"/>
        <v>116.48601946977833</v>
      </c>
    </row>
    <row r="42" spans="1:19" x14ac:dyDescent="0.2">
      <c r="C42">
        <v>24</v>
      </c>
      <c r="D42">
        <v>26.12</v>
      </c>
      <c r="E42">
        <v>25.62</v>
      </c>
      <c r="F42">
        <f t="shared" si="1"/>
        <v>25.87</v>
      </c>
      <c r="G42">
        <f t="shared" si="2"/>
        <v>0.12123064384678053</v>
      </c>
      <c r="H42">
        <f t="shared" si="3"/>
        <v>1.3219975303822671</v>
      </c>
      <c r="I42">
        <v>1041</v>
      </c>
      <c r="J42" s="4">
        <v>325</v>
      </c>
      <c r="K42">
        <f t="shared" si="4"/>
        <v>338.32499999999999</v>
      </c>
      <c r="L42">
        <f t="shared" si="5"/>
        <v>3.9074781065019347E-3</v>
      </c>
      <c r="M42">
        <f t="shared" si="6"/>
        <v>193.27697241016102</v>
      </c>
      <c r="O42">
        <v>1.2045337290720455</v>
      </c>
      <c r="P42">
        <f t="shared" si="7"/>
        <v>1.0975180673443772</v>
      </c>
      <c r="Q42">
        <f t="shared" si="8"/>
        <v>193.84382013808064</v>
      </c>
    </row>
    <row r="43" spans="1:19" x14ac:dyDescent="0.2">
      <c r="A43" t="s">
        <v>9</v>
      </c>
      <c r="B43" t="s">
        <v>10</v>
      </c>
      <c r="C43">
        <v>25</v>
      </c>
      <c r="D43">
        <v>27.64</v>
      </c>
      <c r="E43">
        <v>27.34</v>
      </c>
      <c r="F43">
        <f t="shared" si="1"/>
        <v>27.490000000000002</v>
      </c>
      <c r="G43">
        <f t="shared" si="2"/>
        <v>-0.42889160554197286</v>
      </c>
      <c r="H43">
        <f t="shared" si="3"/>
        <v>0.37248466215568665</v>
      </c>
      <c r="I43">
        <v>1245</v>
      </c>
      <c r="J43" s="4">
        <v>400</v>
      </c>
      <c r="K43">
        <f t="shared" si="4"/>
        <v>498.00000000000006</v>
      </c>
      <c r="L43">
        <f t="shared" si="5"/>
        <v>7.4796116898732251E-4</v>
      </c>
      <c r="M43">
        <f t="shared" si="6"/>
        <v>36.996667999670834</v>
      </c>
      <c r="O43">
        <v>1.2865964511407153</v>
      </c>
      <c r="P43">
        <f t="shared" si="7"/>
        <v>0.28951165054546535</v>
      </c>
      <c r="Q43">
        <f t="shared" si="8"/>
        <v>51.133594959402885</v>
      </c>
      <c r="S43" t="s">
        <v>10</v>
      </c>
    </row>
    <row r="44" spans="1:19" x14ac:dyDescent="0.2">
      <c r="C44">
        <v>26</v>
      </c>
      <c r="D44">
        <v>26.58</v>
      </c>
      <c r="E44">
        <v>25.67</v>
      </c>
      <c r="F44">
        <f t="shared" si="1"/>
        <v>26.125</v>
      </c>
      <c r="G44">
        <f t="shared" si="2"/>
        <v>3.4637326813366044E-2</v>
      </c>
      <c r="H44">
        <f t="shared" si="3"/>
        <v>1.0830221198107663</v>
      </c>
      <c r="I44">
        <v>935.2</v>
      </c>
      <c r="J44" s="4">
        <v>300</v>
      </c>
      <c r="K44">
        <f t="shared" si="4"/>
        <v>280.56</v>
      </c>
      <c r="L44">
        <f t="shared" si="5"/>
        <v>3.8602157107597889E-3</v>
      </c>
      <c r="M44">
        <f t="shared" si="6"/>
        <v>190.93921580374706</v>
      </c>
      <c r="O44">
        <v>1.3478671550600352</v>
      </c>
      <c r="P44">
        <f t="shared" si="7"/>
        <v>0.80350805770805178</v>
      </c>
      <c r="Q44">
        <f t="shared" si="8"/>
        <v>141.91572426204587</v>
      </c>
    </row>
    <row r="45" spans="1:19" x14ac:dyDescent="0.2">
      <c r="C45">
        <v>27</v>
      </c>
      <c r="D45">
        <v>26.3</v>
      </c>
      <c r="E45">
        <v>25.79</v>
      </c>
      <c r="F45">
        <f t="shared" si="1"/>
        <v>26.045000000000002</v>
      </c>
      <c r="G45">
        <f t="shared" si="2"/>
        <v>6.1803857647377961E-2</v>
      </c>
      <c r="H45">
        <f t="shared" si="3"/>
        <v>1.1529324362043774</v>
      </c>
      <c r="I45">
        <v>1189</v>
      </c>
      <c r="J45" s="4">
        <v>300</v>
      </c>
      <c r="K45">
        <f t="shared" si="4"/>
        <v>356.70000000000005</v>
      </c>
      <c r="L45">
        <f t="shared" si="5"/>
        <v>3.2322187726503424E-3</v>
      </c>
      <c r="M45">
        <f t="shared" si="6"/>
        <v>159.87638101046272</v>
      </c>
      <c r="O45">
        <v>1.4285749063200446</v>
      </c>
      <c r="P45">
        <f t="shared" si="7"/>
        <v>0.80705074063934679</v>
      </c>
      <c r="Q45">
        <f t="shared" si="8"/>
        <v>142.54143349943621</v>
      </c>
    </row>
    <row r="46" spans="1:19" x14ac:dyDescent="0.2">
      <c r="C46">
        <v>28</v>
      </c>
      <c r="D46">
        <v>25.73</v>
      </c>
      <c r="E46">
        <v>25.19</v>
      </c>
      <c r="F46">
        <f t="shared" si="1"/>
        <v>25.46</v>
      </c>
      <c r="G46">
        <f t="shared" si="2"/>
        <v>0.26045911437109465</v>
      </c>
      <c r="H46">
        <f t="shared" si="3"/>
        <v>1.8216255723794212</v>
      </c>
      <c r="I46">
        <v>1068</v>
      </c>
      <c r="J46" s="4">
        <v>300</v>
      </c>
      <c r="K46">
        <f t="shared" si="4"/>
        <v>320.40000000000003</v>
      </c>
      <c r="L46">
        <f t="shared" si="5"/>
        <v>5.685473072345259E-3</v>
      </c>
      <c r="M46">
        <f t="shared" si="6"/>
        <v>281.22256662523517</v>
      </c>
      <c r="O46">
        <v>1.2281109617320989</v>
      </c>
      <c r="P46">
        <f t="shared" si="7"/>
        <v>1.4832744183068305</v>
      </c>
      <c r="Q46">
        <f t="shared" si="8"/>
        <v>261.97616978952823</v>
      </c>
    </row>
    <row r="47" spans="1:19" x14ac:dyDescent="0.2">
      <c r="C47">
        <v>29</v>
      </c>
      <c r="D47">
        <v>27.47</v>
      </c>
      <c r="E47">
        <v>27.25</v>
      </c>
      <c r="F47">
        <f t="shared" si="1"/>
        <v>27.36</v>
      </c>
      <c r="G47">
        <f t="shared" si="2"/>
        <v>-0.3847459929367017</v>
      </c>
      <c r="H47">
        <f t="shared" si="3"/>
        <v>0.41233861425725843</v>
      </c>
      <c r="I47">
        <v>1355</v>
      </c>
      <c r="J47" s="4">
        <v>400</v>
      </c>
      <c r="K47">
        <f t="shared" si="4"/>
        <v>542</v>
      </c>
      <c r="L47">
        <f t="shared" si="5"/>
        <v>7.6077235102815213E-4</v>
      </c>
      <c r="M47">
        <f t="shared" si="6"/>
        <v>37.630352030741108</v>
      </c>
      <c r="O47">
        <v>1</v>
      </c>
      <c r="P47">
        <f t="shared" si="7"/>
        <v>0.41233861425725843</v>
      </c>
      <c r="Q47">
        <f t="shared" si="8"/>
        <v>72.827313332044994</v>
      </c>
    </row>
    <row r="48" spans="1:19" x14ac:dyDescent="0.2">
      <c r="C48">
        <v>30</v>
      </c>
      <c r="D48">
        <v>26.03</v>
      </c>
      <c r="E48">
        <v>25.8</v>
      </c>
      <c r="F48">
        <f t="shared" si="1"/>
        <v>25.914999999999999</v>
      </c>
      <c r="G48">
        <f t="shared" si="2"/>
        <v>0.10594947025264914</v>
      </c>
      <c r="H48">
        <f t="shared" si="3"/>
        <v>1.2762903050167917</v>
      </c>
      <c r="I48">
        <v>721.8</v>
      </c>
      <c r="J48" s="4">
        <v>500</v>
      </c>
      <c r="K48">
        <f t="shared" si="4"/>
        <v>360.9</v>
      </c>
      <c r="L48">
        <f t="shared" si="5"/>
        <v>3.5364098227120859E-3</v>
      </c>
      <c r="M48">
        <f t="shared" si="6"/>
        <v>174.92269057068043</v>
      </c>
      <c r="O48">
        <v>1.1060555508718575</v>
      </c>
      <c r="P48">
        <f t="shared" si="7"/>
        <v>1.1539115770548281</v>
      </c>
      <c r="Q48">
        <f t="shared" si="8"/>
        <v>203.80405102495649</v>
      </c>
    </row>
    <row r="49" spans="2:19" x14ac:dyDescent="0.2">
      <c r="B49" t="s">
        <v>11</v>
      </c>
      <c r="C49">
        <v>31</v>
      </c>
      <c r="D49">
        <v>25.35</v>
      </c>
      <c r="E49">
        <v>25.17</v>
      </c>
      <c r="F49">
        <f t="shared" si="1"/>
        <v>25.26</v>
      </c>
      <c r="G49">
        <f t="shared" si="2"/>
        <v>0.32837544145612563</v>
      </c>
      <c r="H49">
        <f t="shared" si="3"/>
        <v>2.129979587628084</v>
      </c>
      <c r="I49">
        <v>873.4</v>
      </c>
      <c r="J49" s="4">
        <v>500</v>
      </c>
      <c r="K49">
        <f t="shared" si="4"/>
        <v>436.7</v>
      </c>
      <c r="L49">
        <f t="shared" si="5"/>
        <v>4.8774435255967115E-3</v>
      </c>
      <c r="M49">
        <f t="shared" si="6"/>
        <v>241.25471519859616</v>
      </c>
      <c r="O49">
        <v>1.3795881686679095</v>
      </c>
      <c r="P49">
        <f t="shared" si="7"/>
        <v>1.5439242202872259</v>
      </c>
      <c r="Q49">
        <f t="shared" si="8"/>
        <v>272.68814771162744</v>
      </c>
      <c r="S49" t="s">
        <v>11</v>
      </c>
    </row>
    <row r="50" spans="2:19" x14ac:dyDescent="0.2">
      <c r="C50">
        <v>32</v>
      </c>
      <c r="D50">
        <v>26.27</v>
      </c>
      <c r="E50">
        <v>26.24</v>
      </c>
      <c r="F50">
        <f t="shared" si="1"/>
        <v>26.254999999999999</v>
      </c>
      <c r="G50">
        <f t="shared" si="2"/>
        <v>-9.5082857919039296E-3</v>
      </c>
      <c r="H50">
        <f t="shared" si="3"/>
        <v>0.97834428902931403</v>
      </c>
      <c r="I50">
        <v>1032</v>
      </c>
      <c r="J50" s="4">
        <v>400</v>
      </c>
      <c r="K50">
        <f t="shared" si="4"/>
        <v>412.8</v>
      </c>
      <c r="L50">
        <f t="shared" si="5"/>
        <v>2.3700200800128731E-3</v>
      </c>
      <c r="M50">
        <f t="shared" si="6"/>
        <v>117.22914195065084</v>
      </c>
      <c r="O50">
        <v>1.3117799583651353</v>
      </c>
      <c r="P50">
        <f t="shared" si="7"/>
        <v>0.7458143286840726</v>
      </c>
      <c r="Q50">
        <f t="shared" si="8"/>
        <v>131.72584842785585</v>
      </c>
    </row>
    <row r="51" spans="2:19" x14ac:dyDescent="0.2">
      <c r="C51">
        <v>33</v>
      </c>
      <c r="D51">
        <v>26.67</v>
      </c>
      <c r="E51">
        <v>26.37</v>
      </c>
      <c r="F51">
        <f t="shared" si="1"/>
        <v>26.520000000000003</v>
      </c>
      <c r="G51">
        <f t="shared" si="2"/>
        <v>-9.9497419179571722E-2</v>
      </c>
      <c r="H51">
        <f t="shared" si="3"/>
        <v>0.79524799132718083</v>
      </c>
      <c r="I51">
        <v>915.4</v>
      </c>
      <c r="J51" s="4">
        <v>400</v>
      </c>
      <c r="K51">
        <f t="shared" si="4"/>
        <v>366.15999999999997</v>
      </c>
      <c r="L51">
        <f t="shared" si="5"/>
        <v>2.1718592727965396E-3</v>
      </c>
      <c r="M51">
        <f t="shared" si="6"/>
        <v>107.42744381563212</v>
      </c>
      <c r="O51">
        <v>1.3689324056117544</v>
      </c>
      <c r="P51">
        <f t="shared" si="7"/>
        <v>0.58092568198924111</v>
      </c>
      <c r="Q51">
        <f t="shared" si="8"/>
        <v>102.60318874347978</v>
      </c>
    </row>
    <row r="52" spans="2:19" x14ac:dyDescent="0.2">
      <c r="C52">
        <v>34</v>
      </c>
      <c r="D52">
        <v>26.04</v>
      </c>
      <c r="E52">
        <v>25.4</v>
      </c>
      <c r="F52">
        <f t="shared" si="1"/>
        <v>25.72</v>
      </c>
      <c r="G52">
        <f t="shared" si="2"/>
        <v>0.1721678891605547</v>
      </c>
      <c r="H52">
        <f t="shared" si="3"/>
        <v>1.4865101849640514</v>
      </c>
      <c r="I52">
        <v>840.9</v>
      </c>
      <c r="J52" s="4">
        <v>500</v>
      </c>
      <c r="K52">
        <f t="shared" si="4"/>
        <v>420.45</v>
      </c>
      <c r="L52">
        <f t="shared" si="5"/>
        <v>3.5355219050161764E-3</v>
      </c>
      <c r="M52">
        <f t="shared" si="6"/>
        <v>174.87877118346003</v>
      </c>
      <c r="O52">
        <v>1.257013605722521</v>
      </c>
      <c r="P52">
        <f t="shared" si="7"/>
        <v>1.1825728681032197</v>
      </c>
      <c r="Q52">
        <f t="shared" si="8"/>
        <v>208.86621292663051</v>
      </c>
    </row>
    <row r="53" spans="2:19" x14ac:dyDescent="0.2">
      <c r="C53">
        <v>35</v>
      </c>
      <c r="D53">
        <v>27.95</v>
      </c>
      <c r="E53">
        <v>27.6</v>
      </c>
      <c r="F53">
        <f t="shared" si="1"/>
        <v>27.774999999999999</v>
      </c>
      <c r="G53">
        <f t="shared" si="2"/>
        <v>-0.52567237163814129</v>
      </c>
      <c r="H53">
        <f t="shared" si="3"/>
        <v>0.29807642466989648</v>
      </c>
      <c r="I53">
        <v>1034</v>
      </c>
      <c r="J53" s="4">
        <v>400</v>
      </c>
      <c r="K53">
        <f t="shared" si="4"/>
        <v>413.6</v>
      </c>
      <c r="L53">
        <f t="shared" si="5"/>
        <v>7.2068768053650011E-4</v>
      </c>
      <c r="M53">
        <f t="shared" si="6"/>
        <v>35.647629788537401</v>
      </c>
      <c r="O53">
        <v>2.2398323724412945</v>
      </c>
      <c r="P53">
        <f t="shared" si="7"/>
        <v>0.13307979129929687</v>
      </c>
      <c r="Q53">
        <f t="shared" si="8"/>
        <v>23.504574454116728</v>
      </c>
    </row>
    <row r="54" spans="2:19" x14ac:dyDescent="0.2">
      <c r="C54">
        <v>36</v>
      </c>
      <c r="D54">
        <v>26.03</v>
      </c>
      <c r="E54">
        <v>26.01</v>
      </c>
      <c r="F54">
        <f t="shared" si="1"/>
        <v>26.020000000000003</v>
      </c>
      <c r="G54">
        <f t="shared" si="2"/>
        <v>7.0293398533006382E-2</v>
      </c>
      <c r="H54">
        <f t="shared" si="3"/>
        <v>1.1756915546320845</v>
      </c>
      <c r="I54">
        <v>874.5</v>
      </c>
      <c r="J54" s="4">
        <v>400</v>
      </c>
      <c r="K54">
        <f t="shared" si="4"/>
        <v>349.8</v>
      </c>
      <c r="L54">
        <f t="shared" si="5"/>
        <v>3.3610393214181947E-3</v>
      </c>
      <c r="M54">
        <f t="shared" si="6"/>
        <v>166.24827740282799</v>
      </c>
      <c r="O54">
        <v>1.3742499592461594</v>
      </c>
      <c r="P54">
        <f t="shared" si="7"/>
        <v>0.85551507331097643</v>
      </c>
      <c r="Q54">
        <f t="shared" si="8"/>
        <v>151.10121184389939</v>
      </c>
    </row>
    <row r="55" spans="2:19" x14ac:dyDescent="0.2">
      <c r="B55" t="s">
        <v>12</v>
      </c>
      <c r="C55">
        <v>37</v>
      </c>
      <c r="D55">
        <v>26.24</v>
      </c>
      <c r="E55">
        <v>26.04</v>
      </c>
      <c r="F55">
        <f t="shared" si="1"/>
        <v>26.14</v>
      </c>
      <c r="G55">
        <f t="shared" si="2"/>
        <v>2.9543602281988504E-2</v>
      </c>
      <c r="H55">
        <f t="shared" si="3"/>
        <v>1.0703938428799813</v>
      </c>
      <c r="I55">
        <v>786.6</v>
      </c>
      <c r="J55" s="4">
        <v>300</v>
      </c>
      <c r="K55">
        <f t="shared" si="4"/>
        <v>235.98000000000002</v>
      </c>
      <c r="L55">
        <f t="shared" si="5"/>
        <v>4.5359515335197101E-3</v>
      </c>
      <c r="M55">
        <f t="shared" si="6"/>
        <v>224.36337594294403</v>
      </c>
      <c r="O55">
        <v>1.4285749063200446</v>
      </c>
      <c r="P55">
        <f t="shared" si="7"/>
        <v>0.74927386596568168</v>
      </c>
      <c r="Q55">
        <f t="shared" si="8"/>
        <v>132.33687246703167</v>
      </c>
      <c r="S55" t="s">
        <v>12</v>
      </c>
    </row>
    <row r="56" spans="2:19" x14ac:dyDescent="0.2">
      <c r="C56">
        <v>38</v>
      </c>
      <c r="D56">
        <v>27.35</v>
      </c>
      <c r="E56">
        <v>27.2</v>
      </c>
      <c r="F56">
        <f t="shared" si="1"/>
        <v>27.274999999999999</v>
      </c>
      <c r="G56">
        <f t="shared" si="2"/>
        <v>-0.35588155392556314</v>
      </c>
      <c r="H56">
        <f t="shared" si="3"/>
        <v>0.44067503337476982</v>
      </c>
      <c r="I56">
        <v>1115</v>
      </c>
      <c r="J56" s="4">
        <v>400</v>
      </c>
      <c r="K56">
        <f t="shared" si="4"/>
        <v>446</v>
      </c>
      <c r="L56">
        <f t="shared" si="5"/>
        <v>9.8806061294791445E-4</v>
      </c>
      <c r="M56">
        <f t="shared" si="6"/>
        <v>48.872791765751202</v>
      </c>
      <c r="O56">
        <v>1.2915941746270867</v>
      </c>
      <c r="P56">
        <f t="shared" si="7"/>
        <v>0.34118691616273583</v>
      </c>
      <c r="Q56">
        <f t="shared" si="8"/>
        <v>60.260488804658031</v>
      </c>
    </row>
    <row r="57" spans="2:19" x14ac:dyDescent="0.2">
      <c r="C57">
        <v>39</v>
      </c>
      <c r="D57">
        <v>26.06</v>
      </c>
      <c r="E57">
        <v>25.79</v>
      </c>
      <c r="F57">
        <f t="shared" si="1"/>
        <v>25.924999999999997</v>
      </c>
      <c r="G57">
        <f t="shared" si="2"/>
        <v>0.10255365389839825</v>
      </c>
      <c r="H57">
        <f t="shared" si="3"/>
        <v>1.2663497060669042</v>
      </c>
      <c r="I57">
        <v>915.1</v>
      </c>
      <c r="J57" s="4">
        <v>500</v>
      </c>
      <c r="K57">
        <f t="shared" si="4"/>
        <v>457.55</v>
      </c>
      <c r="L57">
        <f t="shared" si="5"/>
        <v>2.7676750214553694E-3</v>
      </c>
      <c r="M57">
        <f t="shared" si="6"/>
        <v>136.89848904643029</v>
      </c>
      <c r="O57">
        <v>1.1017757547002685</v>
      </c>
      <c r="P57">
        <f t="shared" si="7"/>
        <v>1.1493715492145742</v>
      </c>
      <c r="Q57">
        <f t="shared" si="8"/>
        <v>203.00219056700749</v>
      </c>
    </row>
    <row r="58" spans="2:19" x14ac:dyDescent="0.2">
      <c r="C58">
        <v>40</v>
      </c>
      <c r="D58">
        <v>27.23</v>
      </c>
      <c r="E58">
        <v>26.18</v>
      </c>
      <c r="F58">
        <f t="shared" si="1"/>
        <v>26.704999999999998</v>
      </c>
      <c r="G58">
        <f t="shared" si="2"/>
        <v>-0.16232002173322399</v>
      </c>
      <c r="H58">
        <f t="shared" si="3"/>
        <v>0.68814503103763547</v>
      </c>
      <c r="I58">
        <v>897.9</v>
      </c>
      <c r="J58" s="4">
        <v>300</v>
      </c>
      <c r="K58">
        <f t="shared" si="4"/>
        <v>269.37</v>
      </c>
      <c r="L58">
        <f t="shared" si="5"/>
        <v>2.5546461411353732E-3</v>
      </c>
      <c r="M58">
        <f t="shared" si="6"/>
        <v>126.36136614978149</v>
      </c>
      <c r="O58">
        <v>1.5024204526430289</v>
      </c>
      <c r="P58">
        <f t="shared" si="7"/>
        <v>0.45802426998851359</v>
      </c>
      <c r="Q58">
        <f t="shared" si="8"/>
        <v>80.896321301898226</v>
      </c>
    </row>
    <row r="59" spans="2:19" x14ac:dyDescent="0.2">
      <c r="C59">
        <v>41</v>
      </c>
      <c r="D59">
        <v>25.1</v>
      </c>
      <c r="E59">
        <v>25.19</v>
      </c>
      <c r="F59">
        <f t="shared" si="1"/>
        <v>25.145000000000003</v>
      </c>
      <c r="G59">
        <f t="shared" si="2"/>
        <v>0.36742732953001805</v>
      </c>
      <c r="H59">
        <f t="shared" si="3"/>
        <v>2.3303831397832484</v>
      </c>
      <c r="I59">
        <v>1045</v>
      </c>
      <c r="J59" s="4">
        <v>300</v>
      </c>
      <c r="K59">
        <f t="shared" si="4"/>
        <v>313.5</v>
      </c>
      <c r="L59">
        <f t="shared" si="5"/>
        <v>7.4334390423708083E-3</v>
      </c>
      <c r="M59">
        <f t="shared" si="6"/>
        <v>367.68282599313011</v>
      </c>
      <c r="O59">
        <v>1.6298580599339807</v>
      </c>
      <c r="P59">
        <f t="shared" si="7"/>
        <v>1.4298074151792355</v>
      </c>
      <c r="Q59">
        <f t="shared" si="8"/>
        <v>252.53281897283898</v>
      </c>
    </row>
    <row r="60" spans="2:19" x14ac:dyDescent="0.2">
      <c r="C60">
        <v>42</v>
      </c>
      <c r="D60">
        <v>25.16</v>
      </c>
      <c r="E60">
        <v>24.91</v>
      </c>
      <c r="F60">
        <f t="shared" si="1"/>
        <v>25.035</v>
      </c>
      <c r="G60">
        <f t="shared" si="2"/>
        <v>0.40478130942678625</v>
      </c>
      <c r="H60">
        <f t="shared" si="3"/>
        <v>2.539693511557501</v>
      </c>
      <c r="I60">
        <v>886.2</v>
      </c>
      <c r="J60" s="4">
        <v>300</v>
      </c>
      <c r="K60">
        <f t="shared" si="4"/>
        <v>265.86</v>
      </c>
      <c r="L60">
        <f t="shared" si="5"/>
        <v>9.5527477302245582E-3</v>
      </c>
      <c r="M60">
        <f t="shared" si="6"/>
        <v>472.51094162846493</v>
      </c>
      <c r="O60">
        <v>1.2618964160352912</v>
      </c>
      <c r="P60">
        <f t="shared" si="7"/>
        <v>2.0126006217981636</v>
      </c>
      <c r="Q60">
        <f t="shared" si="8"/>
        <v>355.4658502211409</v>
      </c>
    </row>
    <row r="61" spans="2:19" x14ac:dyDescent="0.2">
      <c r="B61" t="s">
        <v>13</v>
      </c>
      <c r="C61">
        <v>43</v>
      </c>
      <c r="D61">
        <v>26.33</v>
      </c>
      <c r="E61">
        <v>25.39</v>
      </c>
      <c r="F61">
        <f t="shared" si="1"/>
        <v>25.86</v>
      </c>
      <c r="G61">
        <f t="shared" si="2"/>
        <v>0.12462646020103263</v>
      </c>
      <c r="H61">
        <f t="shared" si="3"/>
        <v>1.3323749539322687</v>
      </c>
      <c r="I61">
        <v>1028</v>
      </c>
      <c r="J61" s="4">
        <v>300</v>
      </c>
      <c r="K61">
        <f t="shared" si="4"/>
        <v>308.40000000000003</v>
      </c>
      <c r="L61">
        <f t="shared" si="5"/>
        <v>4.3202819517907543E-3</v>
      </c>
      <c r="M61">
        <f t="shared" si="6"/>
        <v>213.69563509797871</v>
      </c>
      <c r="O61">
        <v>1.3426516876402534</v>
      </c>
      <c r="P61">
        <f t="shared" si="7"/>
        <v>0.99234594213630611</v>
      </c>
      <c r="Q61">
        <f t="shared" si="8"/>
        <v>175.26830222273315</v>
      </c>
      <c r="S61" t="s">
        <v>13</v>
      </c>
    </row>
    <row r="62" spans="2:19" x14ac:dyDescent="0.2">
      <c r="C62">
        <v>44</v>
      </c>
      <c r="D62">
        <v>25.36</v>
      </c>
      <c r="E62">
        <v>24.93</v>
      </c>
      <c r="F62">
        <f t="shared" si="1"/>
        <v>25.145</v>
      </c>
      <c r="G62">
        <f t="shared" si="2"/>
        <v>0.36742732953001928</v>
      </c>
      <c r="H62">
        <f t="shared" si="3"/>
        <v>2.3303831397832551</v>
      </c>
      <c r="I62">
        <v>933.5</v>
      </c>
      <c r="J62" s="4">
        <v>300</v>
      </c>
      <c r="K62">
        <f t="shared" si="4"/>
        <v>280.05</v>
      </c>
      <c r="L62">
        <f t="shared" si="5"/>
        <v>8.3213109794081589E-3</v>
      </c>
      <c r="M62">
        <f t="shared" si="6"/>
        <v>411.59994982626893</v>
      </c>
      <c r="O62">
        <v>1.802713554323216</v>
      </c>
      <c r="P62">
        <f t="shared" si="7"/>
        <v>1.2927085027982381</v>
      </c>
      <c r="Q62">
        <f t="shared" si="8"/>
        <v>228.31838669746611</v>
      </c>
    </row>
    <row r="63" spans="2:19" x14ac:dyDescent="0.2">
      <c r="C63">
        <v>45</v>
      </c>
      <c r="D63">
        <v>25.65</v>
      </c>
      <c r="E63">
        <v>25.28</v>
      </c>
      <c r="F63">
        <f t="shared" si="1"/>
        <v>25.465</v>
      </c>
      <c r="G63">
        <f t="shared" si="2"/>
        <v>0.2587612061939692</v>
      </c>
      <c r="H63">
        <f t="shared" si="3"/>
        <v>1.8145176884789118</v>
      </c>
      <c r="I63">
        <v>893.5</v>
      </c>
      <c r="J63" s="4">
        <v>300</v>
      </c>
      <c r="K63">
        <f t="shared" si="4"/>
        <v>268.05</v>
      </c>
      <c r="L63">
        <f t="shared" si="5"/>
        <v>6.7693254559929557E-3</v>
      </c>
      <c r="M63">
        <f t="shared" si="6"/>
        <v>334.83354064512486</v>
      </c>
      <c r="O63">
        <v>1.271719011479417</v>
      </c>
      <c r="P63">
        <f t="shared" si="7"/>
        <v>1.4268228060600006</v>
      </c>
      <c r="Q63">
        <f t="shared" si="8"/>
        <v>252.00567682319641</v>
      </c>
    </row>
    <row r="64" spans="2:19" x14ac:dyDescent="0.2">
      <c r="C64">
        <v>46</v>
      </c>
      <c r="D64">
        <v>26.08</v>
      </c>
      <c r="E64">
        <v>25.94</v>
      </c>
      <c r="F64">
        <f t="shared" si="1"/>
        <v>26.009999999999998</v>
      </c>
      <c r="G64">
        <f t="shared" si="2"/>
        <v>7.3689214887259685E-2</v>
      </c>
      <c r="H64">
        <f t="shared" si="3"/>
        <v>1.184920504721767</v>
      </c>
      <c r="I64">
        <v>943.7</v>
      </c>
      <c r="J64" s="4">
        <v>300</v>
      </c>
      <c r="K64">
        <f t="shared" si="4"/>
        <v>283.11</v>
      </c>
      <c r="L64">
        <f t="shared" si="5"/>
        <v>4.1853714270840559E-3</v>
      </c>
      <c r="M64">
        <f t="shared" si="6"/>
        <v>207.02250807055179</v>
      </c>
      <c r="O64">
        <v>1.3067041275541449</v>
      </c>
      <c r="P64">
        <f t="shared" si="7"/>
        <v>0.90680091976113264</v>
      </c>
      <c r="Q64">
        <f t="shared" si="8"/>
        <v>160.15932641231669</v>
      </c>
    </row>
    <row r="65" spans="3:17" x14ac:dyDescent="0.2">
      <c r="C65">
        <v>47</v>
      </c>
      <c r="D65">
        <v>26.83</v>
      </c>
      <c r="E65">
        <v>26.6</v>
      </c>
      <c r="F65">
        <f t="shared" si="1"/>
        <v>26.715</v>
      </c>
      <c r="G65">
        <f t="shared" si="2"/>
        <v>-0.16571583808747609</v>
      </c>
      <c r="H65">
        <f t="shared" si="3"/>
        <v>0.68278529920701914</v>
      </c>
      <c r="I65">
        <v>1097</v>
      </c>
      <c r="J65" s="4">
        <v>300</v>
      </c>
      <c r="K65">
        <f t="shared" si="4"/>
        <v>329.09999999999997</v>
      </c>
      <c r="L65">
        <f t="shared" si="5"/>
        <v>2.0747046466333004E-3</v>
      </c>
      <c r="M65">
        <f t="shared" si="6"/>
        <v>102.62185015939993</v>
      </c>
      <c r="O65">
        <v>1.2521496890655595</v>
      </c>
      <c r="P65">
        <f t="shared" si="7"/>
        <v>0.54529047538761977</v>
      </c>
      <c r="Q65">
        <f t="shared" si="8"/>
        <v>96.309292738849763</v>
      </c>
    </row>
    <row r="66" spans="3:17" x14ac:dyDescent="0.2">
      <c r="C66">
        <v>48</v>
      </c>
      <c r="D66">
        <v>25.32</v>
      </c>
      <c r="E66">
        <v>25.26</v>
      </c>
      <c r="F66">
        <f t="shared" si="1"/>
        <v>25.29</v>
      </c>
      <c r="G66">
        <f t="shared" si="2"/>
        <v>0.31818799239337175</v>
      </c>
      <c r="H66">
        <f t="shared" si="3"/>
        <v>2.0805971171226849</v>
      </c>
      <c r="I66">
        <v>1166</v>
      </c>
      <c r="J66" s="4">
        <v>300</v>
      </c>
      <c r="K66">
        <f t="shared" si="4"/>
        <v>349.79999999999995</v>
      </c>
      <c r="L66">
        <f t="shared" si="5"/>
        <v>5.9479620272232282E-3</v>
      </c>
      <c r="M66">
        <f t="shared" si="6"/>
        <v>294.20615069330779</v>
      </c>
      <c r="O66">
        <v>2.2398323724412972</v>
      </c>
      <c r="P66">
        <f t="shared" si="7"/>
        <v>0.92890751233090962</v>
      </c>
      <c r="Q66">
        <f t="shared" si="8"/>
        <v>164.06379639915752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topLeftCell="C119" workbookViewId="0">
      <selection activeCell="W94" sqref="W94"/>
    </sheetView>
  </sheetViews>
  <sheetFormatPr baseColWidth="10" defaultColWidth="8.796875" defaultRowHeight="15" x14ac:dyDescent="0.2"/>
  <cols>
    <col min="14" max="14" width="10.796875" bestFit="1" customWidth="1"/>
  </cols>
  <sheetData>
    <row r="1" spans="2:19" s="3" customFormat="1" x14ac:dyDescent="0.2">
      <c r="B1" s="3" t="s">
        <v>348</v>
      </c>
      <c r="C1" s="3" t="s">
        <v>349</v>
      </c>
      <c r="D1" s="3" t="s">
        <v>350</v>
      </c>
      <c r="E1" s="3" t="s">
        <v>351</v>
      </c>
      <c r="F1" s="3" t="s">
        <v>144</v>
      </c>
      <c r="G1" s="3" t="s">
        <v>352</v>
      </c>
      <c r="H1" s="3" t="s">
        <v>353</v>
      </c>
      <c r="I1" s="3" t="s">
        <v>354</v>
      </c>
      <c r="J1" s="3" t="s">
        <v>355</v>
      </c>
      <c r="M1" s="3" t="s">
        <v>356</v>
      </c>
    </row>
    <row r="2" spans="2:19" x14ac:dyDescent="0.2">
      <c r="B2" t="s">
        <v>357</v>
      </c>
      <c r="C2" t="s">
        <v>358</v>
      </c>
      <c r="E2" t="s">
        <v>359</v>
      </c>
      <c r="G2">
        <v>9.77</v>
      </c>
      <c r="H2">
        <v>9.77</v>
      </c>
      <c r="I2">
        <v>0</v>
      </c>
      <c r="J2">
        <v>60</v>
      </c>
      <c r="M2" s="3" t="s">
        <v>360</v>
      </c>
      <c r="N2" s="3" t="s">
        <v>361</v>
      </c>
      <c r="O2" s="3" t="s">
        <v>171</v>
      </c>
      <c r="P2" s="3" t="s">
        <v>172</v>
      </c>
      <c r="Q2" s="3" t="s">
        <v>362</v>
      </c>
      <c r="S2" s="3" t="s">
        <v>363</v>
      </c>
    </row>
    <row r="3" spans="2:19" x14ac:dyDescent="0.2">
      <c r="B3" t="s">
        <v>364</v>
      </c>
      <c r="C3" t="s">
        <v>358</v>
      </c>
      <c r="E3" t="s">
        <v>359</v>
      </c>
      <c r="G3">
        <v>10</v>
      </c>
      <c r="H3">
        <v>10</v>
      </c>
      <c r="I3">
        <v>0</v>
      </c>
      <c r="J3">
        <v>60</v>
      </c>
      <c r="M3">
        <v>1</v>
      </c>
      <c r="N3">
        <f t="shared" ref="N3:N8" si="0">LOG(M3)</f>
        <v>0</v>
      </c>
      <c r="O3">
        <f>G2</f>
        <v>9.77</v>
      </c>
      <c r="P3">
        <f>G3</f>
        <v>10</v>
      </c>
      <c r="Q3">
        <f t="shared" ref="Q3:Q8" si="1">AVERAGE(O3:P3)</f>
        <v>9.8849999999999998</v>
      </c>
      <c r="S3">
        <v>107.14</v>
      </c>
    </row>
    <row r="4" spans="2:19" x14ac:dyDescent="0.2">
      <c r="B4" t="s">
        <v>365</v>
      </c>
      <c r="C4" t="s">
        <v>358</v>
      </c>
      <c r="E4" t="s">
        <v>359</v>
      </c>
      <c r="G4">
        <v>13.02</v>
      </c>
      <c r="H4">
        <v>13.02</v>
      </c>
      <c r="I4">
        <v>0</v>
      </c>
      <c r="J4">
        <v>60</v>
      </c>
      <c r="K4" s="3" t="s">
        <v>438</v>
      </c>
      <c r="M4">
        <f>1/4</f>
        <v>0.25</v>
      </c>
      <c r="N4">
        <f t="shared" si="0"/>
        <v>-0.6020599913279624</v>
      </c>
      <c r="O4">
        <f>G4</f>
        <v>13.02</v>
      </c>
      <c r="P4">
        <f>G5</f>
        <v>12.91</v>
      </c>
      <c r="Q4">
        <f t="shared" si="1"/>
        <v>12.965</v>
      </c>
    </row>
    <row r="5" spans="2:19" x14ac:dyDescent="0.2">
      <c r="B5" t="s">
        <v>366</v>
      </c>
      <c r="C5" t="s">
        <v>358</v>
      </c>
      <c r="E5" t="s">
        <v>359</v>
      </c>
      <c r="G5">
        <v>12.91</v>
      </c>
      <c r="H5">
        <v>12.91</v>
      </c>
      <c r="I5">
        <v>0</v>
      </c>
      <c r="J5">
        <v>60</v>
      </c>
      <c r="M5">
        <f>1/16</f>
        <v>6.25E-2</v>
      </c>
      <c r="N5">
        <f t="shared" si="0"/>
        <v>-1.2041199826559248</v>
      </c>
      <c r="O5">
        <f>G6</f>
        <v>14.01</v>
      </c>
      <c r="P5">
        <f>G7</f>
        <v>13.95</v>
      </c>
      <c r="Q5">
        <f t="shared" si="1"/>
        <v>13.98</v>
      </c>
    </row>
    <row r="6" spans="2:19" x14ac:dyDescent="0.2">
      <c r="B6" t="s">
        <v>367</v>
      </c>
      <c r="C6" t="s">
        <v>358</v>
      </c>
      <c r="E6" t="s">
        <v>359</v>
      </c>
      <c r="G6">
        <v>14.01</v>
      </c>
      <c r="H6">
        <v>14.01</v>
      </c>
      <c r="I6">
        <v>0</v>
      </c>
      <c r="J6">
        <v>60</v>
      </c>
      <c r="M6">
        <f>1/64</f>
        <v>1.5625E-2</v>
      </c>
      <c r="N6">
        <f t="shared" si="0"/>
        <v>-1.8061799739838871</v>
      </c>
      <c r="O6">
        <f>G8</f>
        <v>16.5</v>
      </c>
      <c r="P6">
        <f>G9</f>
        <v>16.350000000000001</v>
      </c>
      <c r="Q6">
        <f t="shared" si="1"/>
        <v>16.425000000000001</v>
      </c>
    </row>
    <row r="7" spans="2:19" x14ac:dyDescent="0.2">
      <c r="B7" t="s">
        <v>368</v>
      </c>
      <c r="C7" t="s">
        <v>358</v>
      </c>
      <c r="E7" t="s">
        <v>359</v>
      </c>
      <c r="G7">
        <v>13.95</v>
      </c>
      <c r="H7">
        <v>13.95</v>
      </c>
      <c r="I7">
        <v>0</v>
      </c>
      <c r="J7">
        <v>60</v>
      </c>
      <c r="M7">
        <f>1/256</f>
        <v>3.90625E-3</v>
      </c>
      <c r="N7">
        <f t="shared" si="0"/>
        <v>-2.4082399653118496</v>
      </c>
      <c r="O7">
        <f>G10</f>
        <v>18.53</v>
      </c>
      <c r="P7">
        <f>G11</f>
        <v>18.440000000000001</v>
      </c>
      <c r="Q7">
        <f t="shared" si="1"/>
        <v>18.484999999999999</v>
      </c>
    </row>
    <row r="8" spans="2:19" x14ac:dyDescent="0.2">
      <c r="B8" t="s">
        <v>369</v>
      </c>
      <c r="C8" t="s">
        <v>358</v>
      </c>
      <c r="E8" t="s">
        <v>359</v>
      </c>
      <c r="G8">
        <v>16.5</v>
      </c>
      <c r="H8">
        <v>16.5</v>
      </c>
      <c r="I8">
        <v>0</v>
      </c>
      <c r="J8">
        <v>60</v>
      </c>
      <c r="M8">
        <f>1/1024</f>
        <v>9.765625E-4</v>
      </c>
      <c r="N8">
        <f t="shared" si="0"/>
        <v>-3.0102999566398121</v>
      </c>
      <c r="O8">
        <f>G12</f>
        <v>19.440000000000001</v>
      </c>
      <c r="P8">
        <f>G13</f>
        <v>19.38</v>
      </c>
      <c r="Q8">
        <f t="shared" si="1"/>
        <v>19.41</v>
      </c>
    </row>
    <row r="9" spans="2:19" x14ac:dyDescent="0.2">
      <c r="B9" t="s">
        <v>370</v>
      </c>
      <c r="C9" t="s">
        <v>358</v>
      </c>
      <c r="E9" t="s">
        <v>359</v>
      </c>
      <c r="G9">
        <v>16.350000000000001</v>
      </c>
      <c r="H9">
        <v>16.350000000000001</v>
      </c>
      <c r="I9">
        <v>0</v>
      </c>
      <c r="J9">
        <v>60</v>
      </c>
    </row>
    <row r="10" spans="2:19" x14ac:dyDescent="0.2">
      <c r="B10" t="s">
        <v>371</v>
      </c>
      <c r="C10" t="s">
        <v>358</v>
      </c>
      <c r="E10" t="s">
        <v>359</v>
      </c>
      <c r="G10">
        <v>18.53</v>
      </c>
      <c r="H10">
        <v>18.53</v>
      </c>
      <c r="I10">
        <v>0</v>
      </c>
      <c r="J10">
        <v>60</v>
      </c>
    </row>
    <row r="11" spans="2:19" x14ac:dyDescent="0.2">
      <c r="B11" t="s">
        <v>280</v>
      </c>
      <c r="C11" t="s">
        <v>358</v>
      </c>
      <c r="E11" t="s">
        <v>359</v>
      </c>
      <c r="G11">
        <v>18.440000000000001</v>
      </c>
      <c r="H11">
        <v>18.440000000000001</v>
      </c>
      <c r="I11">
        <v>0</v>
      </c>
      <c r="J11">
        <v>60</v>
      </c>
    </row>
    <row r="12" spans="2:19" x14ac:dyDescent="0.2">
      <c r="B12" t="s">
        <v>294</v>
      </c>
      <c r="C12" t="s">
        <v>358</v>
      </c>
      <c r="E12" t="s">
        <v>359</v>
      </c>
      <c r="G12">
        <v>19.440000000000001</v>
      </c>
      <c r="H12">
        <v>19.440000000000001</v>
      </c>
      <c r="I12">
        <v>0</v>
      </c>
      <c r="J12">
        <v>60</v>
      </c>
    </row>
    <row r="13" spans="2:19" x14ac:dyDescent="0.2">
      <c r="B13" t="s">
        <v>295</v>
      </c>
      <c r="C13" t="s">
        <v>358</v>
      </c>
      <c r="E13" t="s">
        <v>359</v>
      </c>
      <c r="G13">
        <v>19.38</v>
      </c>
      <c r="H13">
        <v>19.38</v>
      </c>
      <c r="I13">
        <v>0</v>
      </c>
      <c r="J13">
        <v>60</v>
      </c>
    </row>
    <row r="14" spans="2:19" x14ac:dyDescent="0.2">
      <c r="B14" t="s">
        <v>372</v>
      </c>
      <c r="C14" t="s">
        <v>358</v>
      </c>
      <c r="E14" t="s">
        <v>359</v>
      </c>
      <c r="G14">
        <v>30.76</v>
      </c>
      <c r="H14">
        <v>30.76</v>
      </c>
      <c r="I14">
        <v>0</v>
      </c>
      <c r="J14">
        <v>59.6</v>
      </c>
    </row>
    <row r="15" spans="2:19" x14ac:dyDescent="0.2">
      <c r="B15" t="s">
        <v>373</v>
      </c>
      <c r="C15" t="s">
        <v>358</v>
      </c>
      <c r="E15" t="s">
        <v>359</v>
      </c>
      <c r="G15">
        <v>31</v>
      </c>
      <c r="H15">
        <v>31</v>
      </c>
      <c r="I15">
        <v>0</v>
      </c>
      <c r="J15">
        <v>59.6</v>
      </c>
    </row>
    <row r="16" spans="2:19" x14ac:dyDescent="0.2">
      <c r="B16" t="s">
        <v>374</v>
      </c>
      <c r="C16" t="s">
        <v>358</v>
      </c>
      <c r="E16" t="s">
        <v>359</v>
      </c>
      <c r="G16" t="s">
        <v>176</v>
      </c>
      <c r="H16">
        <v>0</v>
      </c>
      <c r="I16">
        <v>0</v>
      </c>
      <c r="J16">
        <v>59.6</v>
      </c>
    </row>
    <row r="17" spans="2:19" x14ac:dyDescent="0.2">
      <c r="B17" t="s">
        <v>375</v>
      </c>
      <c r="C17" t="s">
        <v>358</v>
      </c>
      <c r="E17" t="s">
        <v>359</v>
      </c>
      <c r="G17" t="s">
        <v>176</v>
      </c>
      <c r="H17">
        <v>0</v>
      </c>
      <c r="I17">
        <v>0</v>
      </c>
      <c r="J17">
        <v>59.6</v>
      </c>
    </row>
    <row r="18" spans="2:19" x14ac:dyDescent="0.2">
      <c r="B18" t="s">
        <v>376</v>
      </c>
      <c r="C18" t="s">
        <v>358</v>
      </c>
      <c r="E18" t="s">
        <v>359</v>
      </c>
      <c r="G18" t="s">
        <v>176</v>
      </c>
      <c r="H18">
        <v>0</v>
      </c>
      <c r="I18">
        <v>0</v>
      </c>
      <c r="J18">
        <v>59.6</v>
      </c>
    </row>
    <row r="19" spans="2:19" x14ac:dyDescent="0.2">
      <c r="B19" t="s">
        <v>377</v>
      </c>
      <c r="C19" t="s">
        <v>358</v>
      </c>
      <c r="E19" t="s">
        <v>359</v>
      </c>
      <c r="G19" t="s">
        <v>176</v>
      </c>
      <c r="H19">
        <v>0</v>
      </c>
      <c r="I19">
        <v>0</v>
      </c>
      <c r="J19">
        <v>59.6</v>
      </c>
    </row>
    <row r="20" spans="2:19" x14ac:dyDescent="0.2">
      <c r="B20" t="s">
        <v>378</v>
      </c>
      <c r="C20" t="s">
        <v>358</v>
      </c>
      <c r="E20" t="s">
        <v>359</v>
      </c>
      <c r="G20" t="s">
        <v>176</v>
      </c>
      <c r="H20">
        <v>0</v>
      </c>
      <c r="I20">
        <v>0</v>
      </c>
      <c r="J20">
        <v>59.6</v>
      </c>
    </row>
    <row r="21" spans="2:19" x14ac:dyDescent="0.2">
      <c r="B21" t="s">
        <v>379</v>
      </c>
      <c r="C21" t="s">
        <v>358</v>
      </c>
      <c r="E21" t="s">
        <v>359</v>
      </c>
      <c r="G21" t="s">
        <v>176</v>
      </c>
      <c r="H21">
        <v>0</v>
      </c>
      <c r="I21">
        <v>0</v>
      </c>
      <c r="J21">
        <v>59.6</v>
      </c>
    </row>
    <row r="22" spans="2:19" x14ac:dyDescent="0.2">
      <c r="B22" t="s">
        <v>380</v>
      </c>
      <c r="C22" t="s">
        <v>358</v>
      </c>
      <c r="E22" t="s">
        <v>359</v>
      </c>
      <c r="G22" t="s">
        <v>176</v>
      </c>
      <c r="H22">
        <v>0</v>
      </c>
      <c r="I22">
        <v>0</v>
      </c>
      <c r="J22">
        <v>59.6</v>
      </c>
    </row>
    <row r="23" spans="2:19" x14ac:dyDescent="0.2">
      <c r="B23" t="s">
        <v>282</v>
      </c>
      <c r="C23" t="s">
        <v>358</v>
      </c>
      <c r="E23" t="s">
        <v>359</v>
      </c>
      <c r="G23" t="s">
        <v>176</v>
      </c>
      <c r="H23">
        <v>0</v>
      </c>
      <c r="I23">
        <v>0</v>
      </c>
      <c r="J23">
        <v>59.6</v>
      </c>
    </row>
    <row r="24" spans="2:19" x14ac:dyDescent="0.2">
      <c r="B24" t="s">
        <v>296</v>
      </c>
      <c r="C24" t="s">
        <v>358</v>
      </c>
      <c r="E24" t="s">
        <v>359</v>
      </c>
      <c r="G24" t="s">
        <v>176</v>
      </c>
      <c r="H24">
        <v>0</v>
      </c>
      <c r="I24">
        <v>0</v>
      </c>
      <c r="J24">
        <v>59.6</v>
      </c>
    </row>
    <row r="25" spans="2:19" x14ac:dyDescent="0.2">
      <c r="B25" t="s">
        <v>297</v>
      </c>
      <c r="C25" t="s">
        <v>358</v>
      </c>
      <c r="E25" t="s">
        <v>359</v>
      </c>
      <c r="G25" t="s">
        <v>176</v>
      </c>
      <c r="H25">
        <v>0</v>
      </c>
      <c r="I25">
        <v>0</v>
      </c>
      <c r="J25">
        <v>59.6</v>
      </c>
      <c r="M25" t="s">
        <v>381</v>
      </c>
    </row>
    <row r="26" spans="2:19" x14ac:dyDescent="0.2">
      <c r="B26" t="s">
        <v>382</v>
      </c>
      <c r="C26" t="s">
        <v>358</v>
      </c>
      <c r="E26" t="s">
        <v>359</v>
      </c>
      <c r="G26">
        <v>9.76</v>
      </c>
      <c r="H26">
        <v>9.76</v>
      </c>
      <c r="I26">
        <v>0</v>
      </c>
      <c r="J26">
        <v>58.7</v>
      </c>
      <c r="M26" s="3" t="s">
        <v>360</v>
      </c>
      <c r="N26" s="3" t="s">
        <v>361</v>
      </c>
      <c r="O26" s="3" t="s">
        <v>171</v>
      </c>
      <c r="P26" s="3" t="s">
        <v>172</v>
      </c>
      <c r="Q26" s="3" t="s">
        <v>362</v>
      </c>
      <c r="S26" s="3" t="s">
        <v>383</v>
      </c>
    </row>
    <row r="27" spans="2:19" x14ac:dyDescent="0.2">
      <c r="B27" t="s">
        <v>384</v>
      </c>
      <c r="C27" t="s">
        <v>358</v>
      </c>
      <c r="E27" t="s">
        <v>359</v>
      </c>
      <c r="G27">
        <v>9.66</v>
      </c>
      <c r="H27">
        <v>9.66</v>
      </c>
      <c r="I27">
        <v>0</v>
      </c>
      <c r="J27">
        <v>58.7</v>
      </c>
      <c r="M27">
        <v>1</v>
      </c>
      <c r="N27">
        <f t="shared" ref="N27:N32" si="2">LOG(M27)</f>
        <v>0</v>
      </c>
      <c r="O27">
        <f>G26</f>
        <v>9.76</v>
      </c>
      <c r="P27">
        <f>G27</f>
        <v>9.66</v>
      </c>
      <c r="Q27">
        <f t="shared" ref="Q27:Q32" si="3">AVERAGE(O27:P27)</f>
        <v>9.7100000000000009</v>
      </c>
      <c r="S27">
        <v>108.89</v>
      </c>
    </row>
    <row r="28" spans="2:19" x14ac:dyDescent="0.2">
      <c r="B28" t="s">
        <v>385</v>
      </c>
      <c r="C28" t="s">
        <v>358</v>
      </c>
      <c r="E28" t="s">
        <v>359</v>
      </c>
      <c r="G28">
        <v>12.62</v>
      </c>
      <c r="H28">
        <v>12.62</v>
      </c>
      <c r="I28">
        <v>0</v>
      </c>
      <c r="J28">
        <v>58.7</v>
      </c>
      <c r="M28">
        <f>1/4</f>
        <v>0.25</v>
      </c>
      <c r="N28">
        <f t="shared" si="2"/>
        <v>-0.6020599913279624</v>
      </c>
      <c r="O28">
        <f>G28</f>
        <v>12.62</v>
      </c>
      <c r="P28">
        <f>G29</f>
        <v>12.97</v>
      </c>
      <c r="Q28">
        <f t="shared" si="3"/>
        <v>12.795</v>
      </c>
    </row>
    <row r="29" spans="2:19" x14ac:dyDescent="0.2">
      <c r="B29" t="s">
        <v>386</v>
      </c>
      <c r="C29" t="s">
        <v>358</v>
      </c>
      <c r="E29" t="s">
        <v>359</v>
      </c>
      <c r="G29">
        <v>12.97</v>
      </c>
      <c r="H29">
        <v>12.97</v>
      </c>
      <c r="I29">
        <v>0</v>
      </c>
      <c r="J29">
        <v>58.7</v>
      </c>
      <c r="M29">
        <f>1/16</f>
        <v>6.25E-2</v>
      </c>
      <c r="N29">
        <f t="shared" si="2"/>
        <v>-1.2041199826559248</v>
      </c>
      <c r="O29">
        <f>G30</f>
        <v>14.15</v>
      </c>
      <c r="P29">
        <f>G31</f>
        <v>14.12</v>
      </c>
      <c r="Q29">
        <f t="shared" si="3"/>
        <v>14.135</v>
      </c>
    </row>
    <row r="30" spans="2:19" x14ac:dyDescent="0.2">
      <c r="B30" t="s">
        <v>387</v>
      </c>
      <c r="C30" t="s">
        <v>358</v>
      </c>
      <c r="E30" t="s">
        <v>359</v>
      </c>
      <c r="G30">
        <v>14.15</v>
      </c>
      <c r="H30">
        <v>14.15</v>
      </c>
      <c r="I30">
        <v>0</v>
      </c>
      <c r="J30">
        <v>58.7</v>
      </c>
      <c r="M30">
        <f>1/64</f>
        <v>1.5625E-2</v>
      </c>
      <c r="N30">
        <f t="shared" si="2"/>
        <v>-1.8061799739838871</v>
      </c>
      <c r="O30">
        <f>G32</f>
        <v>16.18</v>
      </c>
      <c r="P30">
        <f>G33</f>
        <v>16.260000000000002</v>
      </c>
      <c r="Q30">
        <f t="shared" si="3"/>
        <v>16.22</v>
      </c>
    </row>
    <row r="31" spans="2:19" x14ac:dyDescent="0.2">
      <c r="B31" t="s">
        <v>388</v>
      </c>
      <c r="C31" t="s">
        <v>358</v>
      </c>
      <c r="E31" t="s">
        <v>359</v>
      </c>
      <c r="G31">
        <v>14.12</v>
      </c>
      <c r="H31">
        <v>14.12</v>
      </c>
      <c r="I31">
        <v>0</v>
      </c>
      <c r="J31">
        <v>58.7</v>
      </c>
      <c r="M31">
        <f>1/256</f>
        <v>3.90625E-3</v>
      </c>
      <c r="N31">
        <f t="shared" si="2"/>
        <v>-2.4082399653118496</v>
      </c>
      <c r="O31">
        <f>G34</f>
        <v>18.13</v>
      </c>
      <c r="P31">
        <f>G35</f>
        <v>18.3</v>
      </c>
      <c r="Q31">
        <f t="shared" si="3"/>
        <v>18.215</v>
      </c>
    </row>
    <row r="32" spans="2:19" x14ac:dyDescent="0.2">
      <c r="B32" t="s">
        <v>389</v>
      </c>
      <c r="C32" t="s">
        <v>358</v>
      </c>
      <c r="E32" t="s">
        <v>359</v>
      </c>
      <c r="G32">
        <v>16.18</v>
      </c>
      <c r="H32">
        <v>16.18</v>
      </c>
      <c r="I32">
        <v>0</v>
      </c>
      <c r="J32">
        <v>58.7</v>
      </c>
      <c r="M32">
        <f>1/1024</f>
        <v>9.765625E-4</v>
      </c>
      <c r="N32">
        <f t="shared" si="2"/>
        <v>-3.0102999566398121</v>
      </c>
      <c r="O32">
        <f>G36</f>
        <v>19.2</v>
      </c>
      <c r="P32">
        <f>G37</f>
        <v>19.23</v>
      </c>
      <c r="Q32">
        <f t="shared" si="3"/>
        <v>19.215</v>
      </c>
    </row>
    <row r="33" spans="2:10" x14ac:dyDescent="0.2">
      <c r="B33" t="s">
        <v>390</v>
      </c>
      <c r="C33" t="s">
        <v>358</v>
      </c>
      <c r="E33" t="s">
        <v>359</v>
      </c>
      <c r="G33">
        <v>16.260000000000002</v>
      </c>
      <c r="H33">
        <v>16.260000000000002</v>
      </c>
      <c r="I33">
        <v>0</v>
      </c>
      <c r="J33">
        <v>58.7</v>
      </c>
    </row>
    <row r="34" spans="2:10" x14ac:dyDescent="0.2">
      <c r="B34" t="s">
        <v>391</v>
      </c>
      <c r="C34" t="s">
        <v>358</v>
      </c>
      <c r="E34" t="s">
        <v>359</v>
      </c>
      <c r="G34">
        <v>18.13</v>
      </c>
      <c r="H34">
        <v>18.13</v>
      </c>
      <c r="I34">
        <v>0</v>
      </c>
      <c r="J34">
        <v>58.7</v>
      </c>
    </row>
    <row r="35" spans="2:10" x14ac:dyDescent="0.2">
      <c r="B35" t="s">
        <v>284</v>
      </c>
      <c r="C35" t="s">
        <v>358</v>
      </c>
      <c r="E35" t="s">
        <v>359</v>
      </c>
      <c r="G35">
        <v>18.3</v>
      </c>
      <c r="H35">
        <v>18.3</v>
      </c>
      <c r="I35">
        <v>0</v>
      </c>
      <c r="J35">
        <v>58.7</v>
      </c>
    </row>
    <row r="36" spans="2:10" x14ac:dyDescent="0.2">
      <c r="B36" t="s">
        <v>298</v>
      </c>
      <c r="C36" t="s">
        <v>358</v>
      </c>
      <c r="E36" t="s">
        <v>359</v>
      </c>
      <c r="G36">
        <v>19.2</v>
      </c>
      <c r="H36">
        <v>19.2</v>
      </c>
      <c r="I36">
        <v>0</v>
      </c>
      <c r="J36">
        <v>58.7</v>
      </c>
    </row>
    <row r="37" spans="2:10" x14ac:dyDescent="0.2">
      <c r="B37" t="s">
        <v>299</v>
      </c>
      <c r="C37" t="s">
        <v>358</v>
      </c>
      <c r="E37" t="s">
        <v>359</v>
      </c>
      <c r="G37">
        <v>19.23</v>
      </c>
      <c r="H37">
        <v>19.23</v>
      </c>
      <c r="I37">
        <v>0</v>
      </c>
      <c r="J37">
        <v>58.7</v>
      </c>
    </row>
    <row r="38" spans="2:10" x14ac:dyDescent="0.2">
      <c r="B38" t="s">
        <v>392</v>
      </c>
      <c r="C38" t="s">
        <v>358</v>
      </c>
      <c r="E38" t="s">
        <v>359</v>
      </c>
      <c r="G38">
        <v>30.52</v>
      </c>
      <c r="H38">
        <v>30.52</v>
      </c>
      <c r="I38">
        <v>0</v>
      </c>
      <c r="J38">
        <v>57.1</v>
      </c>
    </row>
    <row r="39" spans="2:10" x14ac:dyDescent="0.2">
      <c r="B39" t="s">
        <v>393</v>
      </c>
      <c r="C39" t="s">
        <v>358</v>
      </c>
      <c r="E39" t="s">
        <v>359</v>
      </c>
      <c r="G39">
        <v>30.53</v>
      </c>
      <c r="H39">
        <v>30.53</v>
      </c>
      <c r="I39">
        <v>0</v>
      </c>
      <c r="J39">
        <v>57.1</v>
      </c>
    </row>
    <row r="40" spans="2:10" x14ac:dyDescent="0.2">
      <c r="B40" t="s">
        <v>394</v>
      </c>
      <c r="C40" t="s">
        <v>358</v>
      </c>
      <c r="E40" t="s">
        <v>359</v>
      </c>
      <c r="G40" t="s">
        <v>176</v>
      </c>
      <c r="H40">
        <v>0</v>
      </c>
      <c r="I40">
        <v>0</v>
      </c>
      <c r="J40">
        <v>57.1</v>
      </c>
    </row>
    <row r="41" spans="2:10" x14ac:dyDescent="0.2">
      <c r="B41" t="s">
        <v>395</v>
      </c>
      <c r="C41" t="s">
        <v>358</v>
      </c>
      <c r="E41" t="s">
        <v>359</v>
      </c>
      <c r="G41" t="s">
        <v>176</v>
      </c>
      <c r="H41">
        <v>0</v>
      </c>
      <c r="I41">
        <v>0</v>
      </c>
      <c r="J41">
        <v>57.1</v>
      </c>
    </row>
    <row r="42" spans="2:10" x14ac:dyDescent="0.2">
      <c r="B42" t="s">
        <v>396</v>
      </c>
      <c r="C42" t="s">
        <v>358</v>
      </c>
      <c r="E42" t="s">
        <v>359</v>
      </c>
      <c r="G42" t="s">
        <v>176</v>
      </c>
      <c r="H42">
        <v>0</v>
      </c>
      <c r="I42">
        <v>0</v>
      </c>
      <c r="J42">
        <v>57.1</v>
      </c>
    </row>
    <row r="43" spans="2:10" x14ac:dyDescent="0.2">
      <c r="B43" t="s">
        <v>397</v>
      </c>
      <c r="C43" t="s">
        <v>358</v>
      </c>
      <c r="E43" t="s">
        <v>359</v>
      </c>
      <c r="G43" t="s">
        <v>176</v>
      </c>
      <c r="H43">
        <v>0</v>
      </c>
      <c r="I43">
        <v>0</v>
      </c>
      <c r="J43">
        <v>57.1</v>
      </c>
    </row>
    <row r="44" spans="2:10" x14ac:dyDescent="0.2">
      <c r="B44" t="s">
        <v>398</v>
      </c>
      <c r="C44" t="s">
        <v>358</v>
      </c>
      <c r="E44" t="s">
        <v>359</v>
      </c>
      <c r="G44" t="s">
        <v>176</v>
      </c>
      <c r="H44">
        <v>0</v>
      </c>
      <c r="I44">
        <v>0</v>
      </c>
      <c r="J44">
        <v>57.1</v>
      </c>
    </row>
    <row r="45" spans="2:10" x14ac:dyDescent="0.2">
      <c r="B45" t="s">
        <v>399</v>
      </c>
      <c r="C45" t="s">
        <v>358</v>
      </c>
      <c r="E45" t="s">
        <v>359</v>
      </c>
      <c r="G45" t="s">
        <v>176</v>
      </c>
      <c r="H45">
        <v>0</v>
      </c>
      <c r="I45">
        <v>0</v>
      </c>
      <c r="J45">
        <v>57.1</v>
      </c>
    </row>
    <row r="46" spans="2:10" x14ac:dyDescent="0.2">
      <c r="B46" t="s">
        <v>400</v>
      </c>
      <c r="C46" t="s">
        <v>358</v>
      </c>
      <c r="E46" t="s">
        <v>359</v>
      </c>
      <c r="G46" t="s">
        <v>176</v>
      </c>
      <c r="H46">
        <v>0</v>
      </c>
      <c r="I46">
        <v>0</v>
      </c>
      <c r="J46">
        <v>57.1</v>
      </c>
    </row>
    <row r="47" spans="2:10" x14ac:dyDescent="0.2">
      <c r="B47" t="s">
        <v>286</v>
      </c>
      <c r="C47" t="s">
        <v>358</v>
      </c>
      <c r="E47" t="s">
        <v>359</v>
      </c>
      <c r="G47" t="s">
        <v>176</v>
      </c>
      <c r="H47">
        <v>0</v>
      </c>
      <c r="I47">
        <v>0</v>
      </c>
      <c r="J47">
        <v>57.1</v>
      </c>
    </row>
    <row r="48" spans="2:10" x14ac:dyDescent="0.2">
      <c r="B48" t="s">
        <v>300</v>
      </c>
      <c r="C48" t="s">
        <v>358</v>
      </c>
      <c r="E48" t="s">
        <v>359</v>
      </c>
      <c r="G48" t="s">
        <v>176</v>
      </c>
      <c r="H48">
        <v>0</v>
      </c>
      <c r="I48">
        <v>0</v>
      </c>
      <c r="J48">
        <v>57.1</v>
      </c>
    </row>
    <row r="49" spans="2:19" x14ac:dyDescent="0.2">
      <c r="B49" t="s">
        <v>301</v>
      </c>
      <c r="C49" t="s">
        <v>358</v>
      </c>
      <c r="E49" t="s">
        <v>359</v>
      </c>
      <c r="G49" t="s">
        <v>176</v>
      </c>
      <c r="H49">
        <v>0</v>
      </c>
      <c r="I49">
        <v>0</v>
      </c>
      <c r="J49">
        <v>57.1</v>
      </c>
      <c r="M49" t="s">
        <v>401</v>
      </c>
    </row>
    <row r="50" spans="2:19" x14ac:dyDescent="0.2">
      <c r="B50" t="s">
        <v>402</v>
      </c>
      <c r="C50" t="s">
        <v>358</v>
      </c>
      <c r="E50" t="s">
        <v>359</v>
      </c>
      <c r="G50">
        <v>9.51</v>
      </c>
      <c r="H50">
        <v>9.51</v>
      </c>
      <c r="I50">
        <v>0</v>
      </c>
      <c r="J50">
        <v>55.2</v>
      </c>
      <c r="M50" s="3" t="s">
        <v>360</v>
      </c>
      <c r="N50" s="3" t="s">
        <v>361</v>
      </c>
      <c r="O50" s="3" t="s">
        <v>171</v>
      </c>
      <c r="P50" s="3" t="s">
        <v>172</v>
      </c>
      <c r="Q50" s="3" t="s">
        <v>362</v>
      </c>
      <c r="S50" s="3" t="s">
        <v>363</v>
      </c>
    </row>
    <row r="51" spans="2:19" x14ac:dyDescent="0.2">
      <c r="B51" t="s">
        <v>403</v>
      </c>
      <c r="C51" t="s">
        <v>358</v>
      </c>
      <c r="E51" t="s">
        <v>359</v>
      </c>
      <c r="G51">
        <v>9.66</v>
      </c>
      <c r="H51">
        <v>9.66</v>
      </c>
      <c r="I51">
        <v>0</v>
      </c>
      <c r="J51">
        <v>55.2</v>
      </c>
      <c r="M51">
        <v>1</v>
      </c>
      <c r="N51">
        <f t="shared" ref="N51:N56" si="4">LOG(M51)</f>
        <v>0</v>
      </c>
      <c r="O51">
        <f>G50</f>
        <v>9.51</v>
      </c>
      <c r="P51">
        <f>G51</f>
        <v>9.66</v>
      </c>
      <c r="Q51">
        <f t="shared" ref="Q51:Q56" si="5">AVERAGE(O51:P51)</f>
        <v>9.5850000000000009</v>
      </c>
      <c r="S51">
        <v>110.86</v>
      </c>
    </row>
    <row r="52" spans="2:19" x14ac:dyDescent="0.2">
      <c r="B52" t="s">
        <v>404</v>
      </c>
      <c r="C52" t="s">
        <v>358</v>
      </c>
      <c r="E52" t="s">
        <v>359</v>
      </c>
      <c r="G52">
        <v>13.14</v>
      </c>
      <c r="H52">
        <v>13.14</v>
      </c>
      <c r="I52">
        <v>0</v>
      </c>
      <c r="J52">
        <v>55.2</v>
      </c>
      <c r="M52">
        <f>1/4</f>
        <v>0.25</v>
      </c>
      <c r="N52">
        <f t="shared" si="4"/>
        <v>-0.6020599913279624</v>
      </c>
      <c r="O52">
        <f>G52</f>
        <v>13.14</v>
      </c>
      <c r="P52">
        <f>G53</f>
        <v>12.57</v>
      </c>
      <c r="Q52">
        <f t="shared" si="5"/>
        <v>12.855</v>
      </c>
    </row>
    <row r="53" spans="2:19" x14ac:dyDescent="0.2">
      <c r="B53" t="s">
        <v>405</v>
      </c>
      <c r="C53" t="s">
        <v>358</v>
      </c>
      <c r="E53" t="s">
        <v>359</v>
      </c>
      <c r="G53">
        <v>12.57</v>
      </c>
      <c r="H53">
        <v>12.57</v>
      </c>
      <c r="I53">
        <v>0</v>
      </c>
      <c r="J53">
        <v>55.2</v>
      </c>
      <c r="M53">
        <f>1/16</f>
        <v>6.25E-2</v>
      </c>
      <c r="N53">
        <f t="shared" si="4"/>
        <v>-1.2041199826559248</v>
      </c>
      <c r="O53">
        <f>G54</f>
        <v>13.94</v>
      </c>
      <c r="P53">
        <f>G55</f>
        <v>13.7</v>
      </c>
      <c r="Q53">
        <f t="shared" si="5"/>
        <v>13.82</v>
      </c>
    </row>
    <row r="54" spans="2:19" x14ac:dyDescent="0.2">
      <c r="B54" t="s">
        <v>406</v>
      </c>
      <c r="C54" t="s">
        <v>358</v>
      </c>
      <c r="E54" t="s">
        <v>359</v>
      </c>
      <c r="G54">
        <v>13.94</v>
      </c>
      <c r="H54">
        <v>13.94</v>
      </c>
      <c r="I54">
        <v>0</v>
      </c>
      <c r="J54">
        <v>55.2</v>
      </c>
      <c r="M54">
        <f>1/64</f>
        <v>1.5625E-2</v>
      </c>
      <c r="N54">
        <f t="shared" si="4"/>
        <v>-1.8061799739838871</v>
      </c>
      <c r="O54">
        <f>G56</f>
        <v>16.059999999999999</v>
      </c>
      <c r="P54">
        <f>G57</f>
        <v>15.84</v>
      </c>
      <c r="Q54">
        <f t="shared" si="5"/>
        <v>15.95</v>
      </c>
    </row>
    <row r="55" spans="2:19" x14ac:dyDescent="0.2">
      <c r="B55" t="s">
        <v>407</v>
      </c>
      <c r="C55" t="s">
        <v>358</v>
      </c>
      <c r="E55" t="s">
        <v>359</v>
      </c>
      <c r="G55">
        <v>13.7</v>
      </c>
      <c r="H55">
        <v>13.7</v>
      </c>
      <c r="I55">
        <v>0</v>
      </c>
      <c r="J55">
        <v>55.2</v>
      </c>
      <c r="M55">
        <f>1/256</f>
        <v>3.90625E-3</v>
      </c>
      <c r="N55">
        <f t="shared" si="4"/>
        <v>-2.4082399653118496</v>
      </c>
      <c r="O55">
        <f>G58</f>
        <v>17.84</v>
      </c>
      <c r="P55">
        <f>G59</f>
        <v>18.010000000000002</v>
      </c>
      <c r="Q55">
        <f t="shared" si="5"/>
        <v>17.925000000000001</v>
      </c>
    </row>
    <row r="56" spans="2:19" x14ac:dyDescent="0.2">
      <c r="B56" t="s">
        <v>408</v>
      </c>
      <c r="C56" t="s">
        <v>358</v>
      </c>
      <c r="E56" t="s">
        <v>359</v>
      </c>
      <c r="G56">
        <v>16.059999999999999</v>
      </c>
      <c r="H56">
        <v>16.059999999999999</v>
      </c>
      <c r="I56">
        <v>0</v>
      </c>
      <c r="J56">
        <v>55.2</v>
      </c>
      <c r="M56">
        <f>1/1024</f>
        <v>9.765625E-4</v>
      </c>
      <c r="N56">
        <f t="shared" si="4"/>
        <v>-3.0102999566398121</v>
      </c>
      <c r="O56">
        <f>G60</f>
        <v>19.079999999999998</v>
      </c>
      <c r="P56">
        <f>G61</f>
        <v>19.170000000000002</v>
      </c>
      <c r="Q56">
        <f t="shared" si="5"/>
        <v>19.125</v>
      </c>
    </row>
    <row r="57" spans="2:19" x14ac:dyDescent="0.2">
      <c r="B57" t="s">
        <v>409</v>
      </c>
      <c r="C57" t="s">
        <v>358</v>
      </c>
      <c r="E57" t="s">
        <v>359</v>
      </c>
      <c r="G57">
        <v>15.84</v>
      </c>
      <c r="H57">
        <v>15.84</v>
      </c>
      <c r="I57">
        <v>0</v>
      </c>
      <c r="J57">
        <v>55.2</v>
      </c>
    </row>
    <row r="58" spans="2:19" x14ac:dyDescent="0.2">
      <c r="B58" t="s">
        <v>410</v>
      </c>
      <c r="C58" t="s">
        <v>358</v>
      </c>
      <c r="E58" t="s">
        <v>359</v>
      </c>
      <c r="G58">
        <v>17.84</v>
      </c>
      <c r="H58">
        <v>17.84</v>
      </c>
      <c r="I58">
        <v>0</v>
      </c>
      <c r="J58">
        <v>55.2</v>
      </c>
    </row>
    <row r="59" spans="2:19" x14ac:dyDescent="0.2">
      <c r="B59" t="s">
        <v>288</v>
      </c>
      <c r="C59" t="s">
        <v>358</v>
      </c>
      <c r="E59" t="s">
        <v>359</v>
      </c>
      <c r="G59">
        <v>18.010000000000002</v>
      </c>
      <c r="H59">
        <v>18.010000000000002</v>
      </c>
      <c r="I59">
        <v>0</v>
      </c>
      <c r="J59">
        <v>55.2</v>
      </c>
    </row>
    <row r="60" spans="2:19" x14ac:dyDescent="0.2">
      <c r="B60" t="s">
        <v>302</v>
      </c>
      <c r="C60" t="s">
        <v>358</v>
      </c>
      <c r="E60" t="s">
        <v>359</v>
      </c>
      <c r="G60">
        <v>19.079999999999998</v>
      </c>
      <c r="H60">
        <v>19.079999999999998</v>
      </c>
      <c r="I60">
        <v>0</v>
      </c>
      <c r="J60">
        <v>55.2</v>
      </c>
    </row>
    <row r="61" spans="2:19" x14ac:dyDescent="0.2">
      <c r="B61" t="s">
        <v>303</v>
      </c>
      <c r="C61" t="s">
        <v>358</v>
      </c>
      <c r="E61" t="s">
        <v>359</v>
      </c>
      <c r="G61">
        <v>19.170000000000002</v>
      </c>
      <c r="H61">
        <v>19.170000000000002</v>
      </c>
      <c r="I61">
        <v>0</v>
      </c>
      <c r="J61">
        <v>55.2</v>
      </c>
    </row>
    <row r="62" spans="2:19" x14ac:dyDescent="0.2">
      <c r="B62" t="s">
        <v>411</v>
      </c>
      <c r="C62" t="s">
        <v>358</v>
      </c>
      <c r="E62" t="s">
        <v>359</v>
      </c>
      <c r="G62">
        <v>30.87</v>
      </c>
      <c r="H62">
        <v>30.87</v>
      </c>
      <c r="I62">
        <v>0</v>
      </c>
      <c r="J62">
        <v>53.6</v>
      </c>
    </row>
    <row r="63" spans="2:19" x14ac:dyDescent="0.2">
      <c r="B63" t="s">
        <v>412</v>
      </c>
      <c r="C63" t="s">
        <v>358</v>
      </c>
      <c r="E63" t="s">
        <v>359</v>
      </c>
      <c r="G63">
        <v>30.39</v>
      </c>
      <c r="H63">
        <v>30.39</v>
      </c>
      <c r="I63">
        <v>0</v>
      </c>
      <c r="J63">
        <v>53.6</v>
      </c>
    </row>
    <row r="64" spans="2:19" x14ac:dyDescent="0.2">
      <c r="B64" t="s">
        <v>413</v>
      </c>
      <c r="C64" t="s">
        <v>358</v>
      </c>
      <c r="E64" t="s">
        <v>359</v>
      </c>
      <c r="G64" t="s">
        <v>176</v>
      </c>
      <c r="H64">
        <v>0</v>
      </c>
      <c r="I64">
        <v>0</v>
      </c>
      <c r="J64">
        <v>53.6</v>
      </c>
    </row>
    <row r="65" spans="2:10" x14ac:dyDescent="0.2">
      <c r="B65" t="s">
        <v>414</v>
      </c>
      <c r="C65" t="s">
        <v>358</v>
      </c>
      <c r="E65" t="s">
        <v>359</v>
      </c>
      <c r="G65" t="s">
        <v>176</v>
      </c>
      <c r="H65">
        <v>0</v>
      </c>
      <c r="I65">
        <v>0</v>
      </c>
      <c r="J65">
        <v>53.6</v>
      </c>
    </row>
    <row r="66" spans="2:10" x14ac:dyDescent="0.2">
      <c r="B66" t="s">
        <v>415</v>
      </c>
      <c r="C66" t="s">
        <v>358</v>
      </c>
      <c r="E66" t="s">
        <v>359</v>
      </c>
      <c r="G66" t="s">
        <v>176</v>
      </c>
      <c r="H66">
        <v>0</v>
      </c>
      <c r="I66">
        <v>0</v>
      </c>
      <c r="J66">
        <v>53.6</v>
      </c>
    </row>
    <row r="67" spans="2:10" x14ac:dyDescent="0.2">
      <c r="B67" t="s">
        <v>416</v>
      </c>
      <c r="C67" t="s">
        <v>358</v>
      </c>
      <c r="E67" t="s">
        <v>359</v>
      </c>
      <c r="G67" t="s">
        <v>176</v>
      </c>
      <c r="H67">
        <v>0</v>
      </c>
      <c r="I67">
        <v>0</v>
      </c>
      <c r="J67">
        <v>53.6</v>
      </c>
    </row>
    <row r="68" spans="2:10" x14ac:dyDescent="0.2">
      <c r="B68" t="s">
        <v>417</v>
      </c>
      <c r="C68" t="s">
        <v>358</v>
      </c>
      <c r="E68" t="s">
        <v>359</v>
      </c>
      <c r="G68" t="s">
        <v>176</v>
      </c>
      <c r="H68">
        <v>0</v>
      </c>
      <c r="I68">
        <v>0</v>
      </c>
      <c r="J68">
        <v>53.6</v>
      </c>
    </row>
    <row r="69" spans="2:10" x14ac:dyDescent="0.2">
      <c r="B69" t="s">
        <v>418</v>
      </c>
      <c r="C69" t="s">
        <v>358</v>
      </c>
      <c r="E69" t="s">
        <v>359</v>
      </c>
      <c r="G69" t="s">
        <v>176</v>
      </c>
      <c r="H69">
        <v>0</v>
      </c>
      <c r="I69">
        <v>0</v>
      </c>
      <c r="J69">
        <v>53.6</v>
      </c>
    </row>
    <row r="70" spans="2:10" x14ac:dyDescent="0.2">
      <c r="B70" t="s">
        <v>419</v>
      </c>
      <c r="C70" t="s">
        <v>358</v>
      </c>
      <c r="E70" t="s">
        <v>359</v>
      </c>
      <c r="G70" t="s">
        <v>176</v>
      </c>
      <c r="H70">
        <v>0</v>
      </c>
      <c r="I70">
        <v>0</v>
      </c>
      <c r="J70">
        <v>53.6</v>
      </c>
    </row>
    <row r="71" spans="2:10" x14ac:dyDescent="0.2">
      <c r="B71" t="s">
        <v>289</v>
      </c>
      <c r="C71" t="s">
        <v>358</v>
      </c>
      <c r="E71" t="s">
        <v>359</v>
      </c>
      <c r="G71" t="s">
        <v>176</v>
      </c>
      <c r="H71">
        <v>0</v>
      </c>
      <c r="I71">
        <v>0</v>
      </c>
      <c r="J71">
        <v>53.6</v>
      </c>
    </row>
    <row r="72" spans="2:10" x14ac:dyDescent="0.2">
      <c r="B72" t="s">
        <v>70</v>
      </c>
      <c r="C72" t="s">
        <v>358</v>
      </c>
      <c r="E72" t="s">
        <v>359</v>
      </c>
      <c r="G72" t="s">
        <v>176</v>
      </c>
      <c r="H72">
        <v>0</v>
      </c>
      <c r="I72">
        <v>0</v>
      </c>
      <c r="J72">
        <v>53.6</v>
      </c>
    </row>
    <row r="73" spans="2:10" x14ac:dyDescent="0.2">
      <c r="B73" t="s">
        <v>71</v>
      </c>
      <c r="C73" t="s">
        <v>358</v>
      </c>
      <c r="E73" t="s">
        <v>359</v>
      </c>
      <c r="G73" t="s">
        <v>176</v>
      </c>
      <c r="H73">
        <v>0</v>
      </c>
      <c r="I73">
        <v>0</v>
      </c>
      <c r="J73">
        <v>53.6</v>
      </c>
    </row>
    <row r="74" spans="2:10" x14ac:dyDescent="0.2">
      <c r="B74" t="s">
        <v>420</v>
      </c>
      <c r="C74" t="s">
        <v>358</v>
      </c>
      <c r="E74" t="s">
        <v>359</v>
      </c>
      <c r="G74">
        <v>30.27</v>
      </c>
      <c r="H74">
        <v>30.27</v>
      </c>
      <c r="I74">
        <v>0</v>
      </c>
      <c r="J74">
        <v>52.5</v>
      </c>
    </row>
    <row r="75" spans="2:10" x14ac:dyDescent="0.2">
      <c r="B75" t="s">
        <v>421</v>
      </c>
      <c r="C75" t="s">
        <v>358</v>
      </c>
      <c r="E75" t="s">
        <v>359</v>
      </c>
      <c r="G75">
        <v>29.66</v>
      </c>
      <c r="H75">
        <v>29.66</v>
      </c>
      <c r="I75">
        <v>0</v>
      </c>
      <c r="J75">
        <v>52.5</v>
      </c>
    </row>
    <row r="76" spans="2:10" x14ac:dyDescent="0.2">
      <c r="B76" t="s">
        <v>422</v>
      </c>
      <c r="C76" t="s">
        <v>358</v>
      </c>
      <c r="E76" t="s">
        <v>359</v>
      </c>
      <c r="G76" t="s">
        <v>176</v>
      </c>
      <c r="H76">
        <v>0</v>
      </c>
      <c r="I76">
        <v>0</v>
      </c>
      <c r="J76">
        <v>52.5</v>
      </c>
    </row>
    <row r="77" spans="2:10" x14ac:dyDescent="0.2">
      <c r="B77" t="s">
        <v>423</v>
      </c>
      <c r="C77" t="s">
        <v>358</v>
      </c>
      <c r="E77" t="s">
        <v>359</v>
      </c>
      <c r="G77" t="s">
        <v>176</v>
      </c>
      <c r="H77">
        <v>0</v>
      </c>
      <c r="I77">
        <v>0</v>
      </c>
      <c r="J77">
        <v>52.5</v>
      </c>
    </row>
    <row r="78" spans="2:10" x14ac:dyDescent="0.2">
      <c r="B78" t="s">
        <v>424</v>
      </c>
      <c r="C78" t="s">
        <v>358</v>
      </c>
      <c r="E78" t="s">
        <v>359</v>
      </c>
      <c r="G78" t="s">
        <v>176</v>
      </c>
      <c r="H78">
        <v>0</v>
      </c>
      <c r="I78">
        <v>0</v>
      </c>
      <c r="J78">
        <v>52.5</v>
      </c>
    </row>
    <row r="79" spans="2:10" x14ac:dyDescent="0.2">
      <c r="B79" t="s">
        <v>425</v>
      </c>
      <c r="C79" t="s">
        <v>358</v>
      </c>
      <c r="E79" t="s">
        <v>359</v>
      </c>
      <c r="G79" t="s">
        <v>176</v>
      </c>
      <c r="H79">
        <v>0</v>
      </c>
      <c r="I79">
        <v>0</v>
      </c>
      <c r="J79">
        <v>52.5</v>
      </c>
    </row>
    <row r="80" spans="2:10" x14ac:dyDescent="0.2">
      <c r="B80" t="s">
        <v>426</v>
      </c>
      <c r="C80" t="s">
        <v>358</v>
      </c>
      <c r="E80" t="s">
        <v>359</v>
      </c>
      <c r="G80" t="s">
        <v>176</v>
      </c>
      <c r="H80">
        <v>0</v>
      </c>
      <c r="I80">
        <v>0</v>
      </c>
      <c r="J80">
        <v>52.5</v>
      </c>
    </row>
    <row r="81" spans="2:19" x14ac:dyDescent="0.2">
      <c r="B81" t="s">
        <v>427</v>
      </c>
      <c r="C81" t="s">
        <v>358</v>
      </c>
      <c r="E81" t="s">
        <v>359</v>
      </c>
      <c r="G81" t="s">
        <v>176</v>
      </c>
      <c r="H81">
        <v>0</v>
      </c>
      <c r="I81">
        <v>0</v>
      </c>
      <c r="J81">
        <v>52.5</v>
      </c>
    </row>
    <row r="82" spans="2:19" x14ac:dyDescent="0.2">
      <c r="B82" t="s">
        <v>428</v>
      </c>
      <c r="C82" t="s">
        <v>358</v>
      </c>
      <c r="E82" t="s">
        <v>359</v>
      </c>
      <c r="G82" t="s">
        <v>176</v>
      </c>
      <c r="H82">
        <v>0</v>
      </c>
      <c r="I82">
        <v>0</v>
      </c>
      <c r="J82">
        <v>52.5</v>
      </c>
    </row>
    <row r="83" spans="2:19" x14ac:dyDescent="0.2">
      <c r="B83" t="s">
        <v>291</v>
      </c>
      <c r="C83" t="s">
        <v>358</v>
      </c>
      <c r="E83" t="s">
        <v>359</v>
      </c>
      <c r="G83" t="s">
        <v>176</v>
      </c>
      <c r="H83">
        <v>0</v>
      </c>
      <c r="I83">
        <v>0</v>
      </c>
      <c r="J83">
        <v>52.5</v>
      </c>
    </row>
    <row r="84" spans="2:19" x14ac:dyDescent="0.2">
      <c r="B84" t="s">
        <v>304</v>
      </c>
      <c r="C84" t="s">
        <v>358</v>
      </c>
      <c r="E84" t="s">
        <v>359</v>
      </c>
      <c r="G84" t="s">
        <v>176</v>
      </c>
      <c r="H84">
        <v>0</v>
      </c>
      <c r="I84">
        <v>0</v>
      </c>
      <c r="J84">
        <v>52.5</v>
      </c>
    </row>
    <row r="85" spans="2:19" x14ac:dyDescent="0.2">
      <c r="B85" t="s">
        <v>305</v>
      </c>
      <c r="C85" t="s">
        <v>358</v>
      </c>
      <c r="E85" t="s">
        <v>359</v>
      </c>
      <c r="G85" t="s">
        <v>176</v>
      </c>
      <c r="H85">
        <v>0</v>
      </c>
      <c r="I85">
        <v>0</v>
      </c>
      <c r="J85">
        <v>52.5</v>
      </c>
      <c r="M85" t="s">
        <v>439</v>
      </c>
    </row>
    <row r="86" spans="2:19" x14ac:dyDescent="0.2">
      <c r="B86" t="s">
        <v>429</v>
      </c>
      <c r="C86" t="s">
        <v>358</v>
      </c>
      <c r="E86" t="s">
        <v>359</v>
      </c>
      <c r="G86">
        <v>8.77</v>
      </c>
      <c r="H86">
        <v>8.77</v>
      </c>
      <c r="I86">
        <v>0</v>
      </c>
      <c r="J86">
        <v>52</v>
      </c>
      <c r="M86" s="3" t="s">
        <v>360</v>
      </c>
      <c r="N86" s="3" t="s">
        <v>361</v>
      </c>
      <c r="O86" s="3" t="s">
        <v>171</v>
      </c>
      <c r="P86" s="3" t="s">
        <v>172</v>
      </c>
      <c r="Q86" s="3" t="s">
        <v>362</v>
      </c>
      <c r="S86" s="3" t="s">
        <v>363</v>
      </c>
    </row>
    <row r="87" spans="2:19" x14ac:dyDescent="0.2">
      <c r="B87" t="s">
        <v>430</v>
      </c>
      <c r="C87" t="s">
        <v>358</v>
      </c>
      <c r="E87" t="s">
        <v>359</v>
      </c>
      <c r="G87">
        <v>6.91</v>
      </c>
      <c r="H87">
        <v>6.91</v>
      </c>
      <c r="I87">
        <v>0</v>
      </c>
      <c r="J87">
        <v>52</v>
      </c>
      <c r="M87">
        <v>1</v>
      </c>
      <c r="N87">
        <f t="shared" ref="N87:N92" si="6">LOG(M87)</f>
        <v>0</v>
      </c>
      <c r="O87">
        <f>G86</f>
        <v>8.77</v>
      </c>
      <c r="P87">
        <f>G87</f>
        <v>6.91</v>
      </c>
      <c r="Q87">
        <f t="shared" ref="Q87:Q92" si="7">AVERAGE(O87:P87)</f>
        <v>7.84</v>
      </c>
      <c r="S87">
        <v>94.32</v>
      </c>
    </row>
    <row r="88" spans="2:19" x14ac:dyDescent="0.2">
      <c r="B88" t="s">
        <v>431</v>
      </c>
      <c r="C88" t="s">
        <v>358</v>
      </c>
      <c r="E88" t="s">
        <v>359</v>
      </c>
      <c r="G88">
        <v>10.7</v>
      </c>
      <c r="H88">
        <v>10.7</v>
      </c>
      <c r="I88">
        <v>0</v>
      </c>
      <c r="J88">
        <v>52</v>
      </c>
      <c r="M88">
        <f>1/4</f>
        <v>0.25</v>
      </c>
      <c r="N88">
        <f t="shared" si="6"/>
        <v>-0.6020599913279624</v>
      </c>
      <c r="O88">
        <f>G88</f>
        <v>10.7</v>
      </c>
      <c r="P88">
        <f>G89</f>
        <v>9.15</v>
      </c>
      <c r="Q88">
        <f t="shared" si="7"/>
        <v>9.9250000000000007</v>
      </c>
    </row>
    <row r="89" spans="2:19" x14ac:dyDescent="0.2">
      <c r="B89" t="s">
        <v>432</v>
      </c>
      <c r="C89" t="s">
        <v>358</v>
      </c>
      <c r="E89" t="s">
        <v>359</v>
      </c>
      <c r="G89">
        <v>9.15</v>
      </c>
      <c r="H89">
        <v>9.15</v>
      </c>
      <c r="I89">
        <v>0</v>
      </c>
      <c r="J89">
        <v>52</v>
      </c>
      <c r="M89">
        <f>1/16</f>
        <v>6.25E-2</v>
      </c>
      <c r="N89">
        <f t="shared" si="6"/>
        <v>-1.2041199826559248</v>
      </c>
      <c r="O89">
        <f>G90</f>
        <v>12.15</v>
      </c>
      <c r="P89">
        <f>G91</f>
        <v>10.44</v>
      </c>
      <c r="Q89">
        <f t="shared" si="7"/>
        <v>11.295</v>
      </c>
    </row>
    <row r="90" spans="2:19" x14ac:dyDescent="0.2">
      <c r="B90" t="s">
        <v>433</v>
      </c>
      <c r="C90" t="s">
        <v>358</v>
      </c>
      <c r="E90" t="s">
        <v>359</v>
      </c>
      <c r="G90">
        <v>12.15</v>
      </c>
      <c r="H90">
        <v>12.15</v>
      </c>
      <c r="I90">
        <v>0</v>
      </c>
      <c r="J90">
        <v>52</v>
      </c>
      <c r="M90">
        <f>1/64</f>
        <v>1.5625E-2</v>
      </c>
      <c r="N90">
        <f t="shared" si="6"/>
        <v>-1.8061799739838871</v>
      </c>
      <c r="O90">
        <f>G92</f>
        <v>14.05</v>
      </c>
      <c r="P90">
        <f>G93</f>
        <v>13.32</v>
      </c>
      <c r="Q90">
        <f t="shared" si="7"/>
        <v>13.685</v>
      </c>
    </row>
    <row r="91" spans="2:19" x14ac:dyDescent="0.2">
      <c r="B91" t="s">
        <v>434</v>
      </c>
      <c r="C91" t="s">
        <v>358</v>
      </c>
      <c r="E91" t="s">
        <v>359</v>
      </c>
      <c r="G91">
        <v>10.44</v>
      </c>
      <c r="H91">
        <v>10.44</v>
      </c>
      <c r="I91">
        <v>0</v>
      </c>
      <c r="J91">
        <v>52</v>
      </c>
      <c r="M91">
        <f>1/256</f>
        <v>3.90625E-3</v>
      </c>
      <c r="N91">
        <f t="shared" si="6"/>
        <v>-2.4082399653118496</v>
      </c>
      <c r="O91">
        <f>G94</f>
        <v>16.39</v>
      </c>
      <c r="P91">
        <f>G95</f>
        <v>15.39</v>
      </c>
      <c r="Q91">
        <f t="shared" si="7"/>
        <v>15.89</v>
      </c>
    </row>
    <row r="92" spans="2:19" x14ac:dyDescent="0.2">
      <c r="B92" t="s">
        <v>435</v>
      </c>
      <c r="C92" t="s">
        <v>358</v>
      </c>
      <c r="E92" t="s">
        <v>359</v>
      </c>
      <c r="G92">
        <v>14.05</v>
      </c>
      <c r="H92">
        <v>14.05</v>
      </c>
      <c r="I92">
        <v>0</v>
      </c>
      <c r="J92">
        <v>52</v>
      </c>
      <c r="M92">
        <f>1/1024</f>
        <v>9.765625E-4</v>
      </c>
      <c r="N92">
        <f t="shared" si="6"/>
        <v>-3.0102999566398121</v>
      </c>
      <c r="O92">
        <f>G96</f>
        <v>18.809999999999999</v>
      </c>
      <c r="P92">
        <f>G97</f>
        <v>17.97</v>
      </c>
      <c r="Q92">
        <f t="shared" si="7"/>
        <v>18.39</v>
      </c>
    </row>
    <row r="93" spans="2:19" x14ac:dyDescent="0.2">
      <c r="B93" t="s">
        <v>436</v>
      </c>
      <c r="C93" t="s">
        <v>358</v>
      </c>
      <c r="E93" t="s">
        <v>359</v>
      </c>
      <c r="G93">
        <v>13.32</v>
      </c>
      <c r="H93">
        <v>13.32</v>
      </c>
      <c r="I93">
        <v>0</v>
      </c>
      <c r="J93">
        <v>52</v>
      </c>
    </row>
    <row r="94" spans="2:19" x14ac:dyDescent="0.2">
      <c r="B94" t="s">
        <v>437</v>
      </c>
      <c r="C94" t="s">
        <v>358</v>
      </c>
      <c r="E94" t="s">
        <v>359</v>
      </c>
      <c r="G94">
        <v>16.39</v>
      </c>
      <c r="H94">
        <v>16.39</v>
      </c>
      <c r="I94">
        <v>0</v>
      </c>
      <c r="J94">
        <v>52</v>
      </c>
    </row>
    <row r="95" spans="2:19" x14ac:dyDescent="0.2">
      <c r="B95" t="s">
        <v>293</v>
      </c>
      <c r="C95" t="s">
        <v>358</v>
      </c>
      <c r="E95" t="s">
        <v>359</v>
      </c>
      <c r="G95">
        <v>15.39</v>
      </c>
      <c r="H95">
        <v>15.39</v>
      </c>
      <c r="I95">
        <v>0</v>
      </c>
      <c r="J95">
        <v>52</v>
      </c>
    </row>
    <row r="96" spans="2:19" x14ac:dyDescent="0.2">
      <c r="B96" t="s">
        <v>306</v>
      </c>
      <c r="C96" t="s">
        <v>358</v>
      </c>
      <c r="E96" t="s">
        <v>359</v>
      </c>
      <c r="G96">
        <v>18.809999999999999</v>
      </c>
      <c r="H96">
        <v>18.809999999999999</v>
      </c>
      <c r="I96">
        <v>0</v>
      </c>
      <c r="J96">
        <v>52</v>
      </c>
    </row>
    <row r="97" spans="2:10" x14ac:dyDescent="0.2">
      <c r="B97" t="s">
        <v>307</v>
      </c>
      <c r="C97" t="s">
        <v>358</v>
      </c>
      <c r="E97" t="s">
        <v>359</v>
      </c>
      <c r="G97">
        <v>17.97</v>
      </c>
      <c r="H97">
        <v>17.97</v>
      </c>
      <c r="I97">
        <v>0</v>
      </c>
      <c r="J97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Trial ELISA- March 13, 2015</vt:lpstr>
      <vt:lpstr>Plasma cortisol</vt:lpstr>
      <vt:lpstr>Plasma lactate</vt:lpstr>
      <vt:lpstr>Plasma glucose</vt:lpstr>
      <vt:lpstr>HK EF1a</vt:lpstr>
      <vt:lpstr>HK MC2R</vt:lpstr>
      <vt:lpstr>HK StAR</vt:lpstr>
      <vt:lpstr>HK P450scc</vt:lpstr>
      <vt:lpstr>HK 18sRNA gradient</vt:lpstr>
      <vt:lpstr>HK 18sRNA samples</vt:lpstr>
      <vt:lpstr>Normalization</vt:lpstr>
      <vt:lpstr>Morphometrics and water quality</vt:lpstr>
      <vt:lpstr>Liver LDH</vt:lpstr>
      <vt:lpstr>Liver HK</vt:lpstr>
      <vt:lpstr>Liver GK</vt:lpstr>
      <vt:lpstr>Liver PK</vt:lpstr>
      <vt:lpstr>Liver PEPCK</vt:lpstr>
      <vt:lpstr>Liver AlaAT</vt:lpstr>
      <vt:lpstr>Liver AspAT</vt:lpstr>
      <vt:lpstr>Liver protein-raw data</vt:lpstr>
      <vt:lpstr>Liver GLY and BG</vt:lpstr>
      <vt:lpstr>Liver glycogen on SPSS</vt:lpstr>
      <vt:lpstr>In vitro media cortisol</vt:lpstr>
      <vt:lpstr>In vitro media protein</vt:lpstr>
      <vt:lpstr>In vitro media cortisol on SPSS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</dc:creator>
  <cp:lastModifiedBy>Oana Birceanu</cp:lastModifiedBy>
  <dcterms:created xsi:type="dcterms:W3CDTF">2015-03-15T01:45:15Z</dcterms:created>
  <dcterms:modified xsi:type="dcterms:W3CDTF">2018-02-02T18:35:46Z</dcterms:modified>
</cp:coreProperties>
</file>