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Nathan Tipton\Google Drive\Spring 2017\Space Systems Engineering\"/>
    </mc:Choice>
  </mc:AlternateContent>
  <bookViews>
    <workbookView xWindow="0" yWindow="0" windowWidth="0" windowHeight="0" tabRatio="611" activeTab="3"/>
  </bookViews>
  <sheets>
    <sheet name="Link Analysis Example" sheetId="27" r:id="rId1"/>
    <sheet name="Link Analysis Blank" sheetId="28" r:id="rId2"/>
    <sheet name="Link Figures" sheetId="15" r:id="rId3"/>
    <sheet name="Telemetry " sheetId="25" r:id="rId4"/>
    <sheet name="Access" sheetId="26" r:id="rId5"/>
  </sheets>
  <calcPr calcId="162913"/>
</workbook>
</file>

<file path=xl/calcChain.xml><?xml version="1.0" encoding="utf-8"?>
<calcChain xmlns="http://schemas.openxmlformats.org/spreadsheetml/2006/main">
  <c r="R46" i="28" l="1"/>
  <c r="R45" i="28"/>
  <c r="R10" i="28"/>
  <c r="R9" i="28"/>
  <c r="R8" i="28"/>
  <c r="R7" i="28"/>
  <c r="R5" i="28"/>
  <c r="M33" i="28"/>
  <c r="M31" i="28"/>
  <c r="M32" i="28" s="1"/>
  <c r="M22" i="28"/>
  <c r="M20" i="28"/>
  <c r="M21" i="28" s="1"/>
  <c r="M12" i="28"/>
  <c r="M13" i="28" s="1"/>
  <c r="M70" i="28"/>
  <c r="M65" i="28"/>
  <c r="E92" i="28"/>
  <c r="E91" i="28"/>
  <c r="E89" i="28"/>
  <c r="E86" i="28"/>
  <c r="E85" i="28"/>
  <c r="E84" i="28"/>
  <c r="E82" i="28"/>
  <c r="E79" i="28"/>
  <c r="E78" i="28"/>
  <c r="E76" i="28"/>
  <c r="E73" i="28"/>
  <c r="E72" i="28"/>
  <c r="E69" i="28"/>
  <c r="E71" i="28" s="1"/>
  <c r="E66" i="28"/>
  <c r="E65" i="28"/>
  <c r="E63" i="28"/>
  <c r="E60" i="28"/>
  <c r="E58" i="28"/>
  <c r="E59" i="28"/>
  <c r="E56" i="28"/>
  <c r="F42" i="28"/>
  <c r="G42" i="28"/>
  <c r="H42" i="28"/>
  <c r="E42" i="28"/>
  <c r="F35" i="28"/>
  <c r="G35" i="28"/>
  <c r="H35" i="28"/>
  <c r="E35" i="28"/>
  <c r="F32" i="28"/>
  <c r="E32" i="28"/>
  <c r="E36" i="28" s="1"/>
  <c r="F31" i="28"/>
  <c r="G31" i="28"/>
  <c r="G32" i="28" s="1"/>
  <c r="G36" i="28" s="1"/>
  <c r="H31" i="28"/>
  <c r="H32" i="28" s="1"/>
  <c r="H36" i="28" s="1"/>
  <c r="E31" i="28"/>
  <c r="F22" i="28"/>
  <c r="F25" i="28" s="1"/>
  <c r="G22" i="28"/>
  <c r="G25" i="28" s="1"/>
  <c r="H22" i="28"/>
  <c r="H25" i="28" s="1"/>
  <c r="E22" i="28"/>
  <c r="E25" i="28" s="1"/>
  <c r="F18" i="28"/>
  <c r="G18" i="28"/>
  <c r="G19" i="28" s="1"/>
  <c r="G38" i="28" s="1"/>
  <c r="G39" i="28" s="1"/>
  <c r="H18" i="28"/>
  <c r="H19" i="28" s="1"/>
  <c r="H38" i="28" s="1"/>
  <c r="H39" i="28" s="1"/>
  <c r="E18" i="28"/>
  <c r="F12" i="28"/>
  <c r="G12" i="28"/>
  <c r="H12" i="28"/>
  <c r="E12" i="28"/>
  <c r="F36" i="28" l="1"/>
  <c r="E19" i="28"/>
  <c r="E38" i="28" s="1"/>
  <c r="E39" i="28" s="1"/>
  <c r="E41" i="28"/>
  <c r="E46" i="28" s="1"/>
  <c r="E49" i="28" s="1"/>
  <c r="F41" i="28"/>
  <c r="F43" i="28" s="1"/>
  <c r="F19" i="28"/>
  <c r="F38" i="28" s="1"/>
  <c r="F39" i="28" s="1"/>
  <c r="G41" i="28"/>
  <c r="G46" i="28" s="1"/>
  <c r="G49" i="28" s="1"/>
  <c r="H41" i="28"/>
  <c r="H43" i="28" s="1"/>
  <c r="E96" i="28"/>
  <c r="E97" i="28" s="1"/>
  <c r="R31" i="28"/>
  <c r="AK29" i="28"/>
  <c r="AK30" i="28" s="1"/>
  <c r="AK31" i="28" s="1"/>
  <c r="AK32" i="28" s="1"/>
  <c r="AK33" i="28" s="1"/>
  <c r="AK34" i="28" s="1"/>
  <c r="AK35" i="28" s="1"/>
  <c r="AL28" i="28"/>
  <c r="AL29" i="28" s="1"/>
  <c r="AL30" i="28" s="1"/>
  <c r="AL31" i="28" s="1"/>
  <c r="AL32" i="28" s="1"/>
  <c r="AL33" i="28" s="1"/>
  <c r="AL34" i="28" s="1"/>
  <c r="AL35" i="28" s="1"/>
  <c r="R20" i="28"/>
  <c r="E91" i="26"/>
  <c r="E90" i="26"/>
  <c r="E89" i="26"/>
  <c r="E88" i="26"/>
  <c r="E87" i="26"/>
  <c r="E86" i="26"/>
  <c r="E85" i="26"/>
  <c r="E84" i="26"/>
  <c r="E83" i="26"/>
  <c r="E82" i="26"/>
  <c r="E81" i="26"/>
  <c r="E80" i="26"/>
  <c r="E79" i="26"/>
  <c r="G29" i="25"/>
  <c r="F29" i="25"/>
  <c r="G10" i="26"/>
  <c r="E15" i="26"/>
  <c r="I15" i="26"/>
  <c r="M15" i="26"/>
  <c r="Q15" i="26"/>
  <c r="U15" i="26"/>
  <c r="Y15" i="26"/>
  <c r="E16" i="26"/>
  <c r="I16" i="26"/>
  <c r="M16" i="26"/>
  <c r="Q16" i="26"/>
  <c r="U16" i="26"/>
  <c r="Y16" i="26"/>
  <c r="E17" i="26"/>
  <c r="I17" i="26"/>
  <c r="M17" i="26"/>
  <c r="Q17" i="26"/>
  <c r="U17" i="26"/>
  <c r="Y17" i="26"/>
  <c r="E18" i="26"/>
  <c r="I18" i="26"/>
  <c r="M18" i="26"/>
  <c r="Q18" i="26"/>
  <c r="U18" i="26"/>
  <c r="Y18" i="26"/>
  <c r="E19" i="26"/>
  <c r="I19" i="26"/>
  <c r="M19" i="26"/>
  <c r="Q19" i="26"/>
  <c r="U19" i="26"/>
  <c r="Y19" i="26"/>
  <c r="E20" i="26"/>
  <c r="I20" i="26"/>
  <c r="M20" i="26"/>
  <c r="Q20" i="26"/>
  <c r="U20" i="26"/>
  <c r="Y20" i="26"/>
  <c r="E21" i="26"/>
  <c r="I21" i="26"/>
  <c r="M21" i="26"/>
  <c r="Q21" i="26"/>
  <c r="U21" i="26"/>
  <c r="Y21" i="26"/>
  <c r="E22" i="26"/>
  <c r="I22" i="26"/>
  <c r="M22" i="26"/>
  <c r="Q22" i="26"/>
  <c r="U22" i="26"/>
  <c r="Y22" i="26"/>
  <c r="E23" i="26"/>
  <c r="I23" i="26"/>
  <c r="M23" i="26"/>
  <c r="Q23" i="26"/>
  <c r="U23" i="26"/>
  <c r="Y23" i="26"/>
  <c r="E24" i="26"/>
  <c r="I24" i="26"/>
  <c r="M24" i="26"/>
  <c r="Q24" i="26"/>
  <c r="U24" i="26"/>
  <c r="Y24" i="26"/>
  <c r="E25" i="26"/>
  <c r="I25" i="26"/>
  <c r="M25" i="26"/>
  <c r="Q25" i="26"/>
  <c r="U25" i="26"/>
  <c r="Y25" i="26"/>
  <c r="E26" i="26"/>
  <c r="I26" i="26"/>
  <c r="M26" i="26"/>
  <c r="Q26" i="26"/>
  <c r="U26" i="26"/>
  <c r="Y26" i="26"/>
  <c r="E27" i="26"/>
  <c r="I27" i="26"/>
  <c r="M27" i="26"/>
  <c r="Q27" i="26"/>
  <c r="U27" i="26"/>
  <c r="Y27" i="26"/>
  <c r="G31" i="26"/>
  <c r="E36" i="26"/>
  <c r="I36" i="26"/>
  <c r="M36" i="26"/>
  <c r="Q36" i="26"/>
  <c r="U36" i="26"/>
  <c r="Y36" i="26"/>
  <c r="E37" i="26"/>
  <c r="I37" i="26"/>
  <c r="M37" i="26"/>
  <c r="Q37" i="26"/>
  <c r="U37" i="26"/>
  <c r="Y37" i="26"/>
  <c r="E38" i="26"/>
  <c r="I38" i="26"/>
  <c r="M38" i="26"/>
  <c r="Q38" i="26"/>
  <c r="U38" i="26"/>
  <c r="Y38" i="26"/>
  <c r="E39" i="26"/>
  <c r="I39" i="26"/>
  <c r="M39" i="26"/>
  <c r="Q39" i="26"/>
  <c r="U39" i="26"/>
  <c r="Y39" i="26"/>
  <c r="E40" i="26"/>
  <c r="I40" i="26"/>
  <c r="M40" i="26"/>
  <c r="Q40" i="26"/>
  <c r="U40" i="26"/>
  <c r="Y40" i="26"/>
  <c r="E41" i="26"/>
  <c r="I41" i="26"/>
  <c r="M41" i="26"/>
  <c r="Q41" i="26"/>
  <c r="U41" i="26"/>
  <c r="Y41" i="26"/>
  <c r="E42" i="26"/>
  <c r="I42" i="26"/>
  <c r="M42" i="26"/>
  <c r="Q42" i="26"/>
  <c r="U42" i="26"/>
  <c r="Y42" i="26"/>
  <c r="E43" i="26"/>
  <c r="I43" i="26"/>
  <c r="M43" i="26"/>
  <c r="Q43" i="26"/>
  <c r="U43" i="26"/>
  <c r="Y43" i="26"/>
  <c r="E44" i="26"/>
  <c r="I44" i="26"/>
  <c r="M44" i="26"/>
  <c r="Q44" i="26"/>
  <c r="U44" i="26"/>
  <c r="Y44" i="26"/>
  <c r="E45" i="26"/>
  <c r="I45" i="26"/>
  <c r="M45" i="26"/>
  <c r="Q45" i="26"/>
  <c r="U45" i="26"/>
  <c r="Y45" i="26"/>
  <c r="E46" i="26"/>
  <c r="I46" i="26"/>
  <c r="M46" i="26"/>
  <c r="Q46" i="26"/>
  <c r="U46" i="26"/>
  <c r="Y46" i="26"/>
  <c r="E47" i="26"/>
  <c r="I47" i="26"/>
  <c r="M47" i="26"/>
  <c r="Q47" i="26"/>
  <c r="U47" i="26"/>
  <c r="Y47" i="26"/>
  <c r="E48" i="26"/>
  <c r="I48" i="26"/>
  <c r="M48" i="26"/>
  <c r="Q48" i="26"/>
  <c r="U48" i="26"/>
  <c r="Y48" i="26"/>
  <c r="D52" i="26"/>
  <c r="G57" i="26" s="1"/>
  <c r="T11" i="25"/>
  <c r="U11" i="25" s="1"/>
  <c r="V11" i="25" s="1"/>
  <c r="T12" i="25"/>
  <c r="U12" i="25" s="1"/>
  <c r="V12" i="25" s="1"/>
  <c r="E11" i="25"/>
  <c r="K14" i="25"/>
  <c r="T13" i="25"/>
  <c r="U13" i="25" s="1"/>
  <c r="V13" i="25" s="1"/>
  <c r="C12" i="25"/>
  <c r="E12" i="25" s="1"/>
  <c r="T14" i="25"/>
  <c r="U14" i="25" s="1"/>
  <c r="V14" i="25" s="1"/>
  <c r="K13" i="25"/>
  <c r="T15" i="25"/>
  <c r="U15" i="25" s="1"/>
  <c r="V15" i="25" s="1"/>
  <c r="T16" i="25"/>
  <c r="U16" i="25" s="1"/>
  <c r="V16" i="25" s="1"/>
  <c r="T17" i="25"/>
  <c r="U17" i="25" s="1"/>
  <c r="V17" i="25" s="1"/>
  <c r="D18" i="25"/>
  <c r="D19" i="25"/>
  <c r="E19" i="25" s="1"/>
  <c r="E20" i="25"/>
  <c r="D21" i="25"/>
  <c r="E21" i="25"/>
  <c r="E22" i="25"/>
  <c r="C23" i="25"/>
  <c r="E23" i="25" s="1"/>
  <c r="E27" i="25"/>
  <c r="D28" i="25"/>
  <c r="E28" i="25"/>
  <c r="D37" i="25"/>
  <c r="D46" i="25"/>
  <c r="D48" i="25" s="1"/>
  <c r="D49" i="25" s="1"/>
  <c r="D65" i="25"/>
  <c r="D67" i="25"/>
  <c r="D74" i="25"/>
  <c r="D75" i="25" s="1"/>
  <c r="I49" i="15"/>
  <c r="R24" i="28"/>
  <c r="R22" i="28"/>
  <c r="R23" i="28" s="1"/>
  <c r="R21" i="28"/>
  <c r="R35" i="28"/>
  <c r="R33" i="28"/>
  <c r="R34" i="28"/>
  <c r="R32" i="28"/>
  <c r="C24" i="25"/>
  <c r="E24" i="25" s="1"/>
  <c r="J58" i="26"/>
  <c r="D60" i="26"/>
  <c r="D70" i="26"/>
  <c r="J68" i="26"/>
  <c r="G67" i="26"/>
  <c r="D66" i="26"/>
  <c r="J60" i="26"/>
  <c r="G59" i="26"/>
  <c r="D58" i="26"/>
  <c r="G70" i="26"/>
  <c r="J69" i="26"/>
  <c r="D69" i="26"/>
  <c r="J67" i="26"/>
  <c r="D67" i="26"/>
  <c r="D57" i="26"/>
  <c r="C25" i="25"/>
  <c r="E25" i="25" s="1"/>
  <c r="E43" i="28" l="1"/>
  <c r="G43" i="28"/>
  <c r="F46" i="28"/>
  <c r="F49" i="28" s="1"/>
  <c r="H46" i="28"/>
  <c r="H49" i="28" s="1"/>
  <c r="D76" i="25"/>
  <c r="D77" i="25" s="1"/>
  <c r="C13" i="25"/>
  <c r="C26" i="25"/>
  <c r="E26" i="25" s="1"/>
  <c r="G61" i="26"/>
  <c r="J57" i="26"/>
  <c r="D68" i="26"/>
  <c r="G58" i="26"/>
  <c r="J70" i="26"/>
  <c r="K16" i="25"/>
  <c r="D59" i="26"/>
  <c r="J59" i="26"/>
  <c r="G60" i="26"/>
  <c r="J66" i="26"/>
  <c r="G69" i="26"/>
  <c r="D61" i="26"/>
  <c r="J61" i="26"/>
  <c r="G66" i="26"/>
  <c r="K15" i="25"/>
  <c r="K19" i="25" s="1"/>
  <c r="G68" i="26"/>
  <c r="K17" i="25" l="1"/>
  <c r="K20" i="25"/>
  <c r="K21" i="25"/>
  <c r="K22" i="25" s="1"/>
  <c r="K18" i="25"/>
  <c r="G11" i="25" s="1"/>
  <c r="E13" i="25"/>
  <c r="C14" i="25"/>
  <c r="G23" i="25"/>
  <c r="G27" i="25"/>
  <c r="G20" i="25"/>
  <c r="G12" i="25"/>
  <c r="G25" i="25"/>
  <c r="G13" i="25"/>
  <c r="G14" i="25"/>
  <c r="G19" i="25"/>
  <c r="G28" i="25"/>
  <c r="G21" i="25"/>
  <c r="G24" i="25"/>
  <c r="G22" i="25"/>
  <c r="G26" i="25"/>
  <c r="C15" i="25" l="1"/>
  <c r="E14" i="25"/>
  <c r="F14" i="25"/>
  <c r="C18" i="25"/>
  <c r="F22" i="25"/>
  <c r="F11" i="25"/>
  <c r="F24" i="25"/>
  <c r="F25" i="25"/>
  <c r="F23" i="25"/>
  <c r="F28" i="25"/>
  <c r="F19" i="25"/>
  <c r="F21" i="25"/>
  <c r="F20" i="25"/>
  <c r="F26" i="25"/>
  <c r="F27" i="25"/>
  <c r="F13" i="25"/>
  <c r="D66" i="25"/>
  <c r="F12" i="25"/>
  <c r="E18" i="25" l="1"/>
  <c r="F18" i="25"/>
  <c r="G18" i="25"/>
  <c r="C16" i="25"/>
  <c r="F15" i="25"/>
  <c r="E15" i="25"/>
  <c r="G15" i="25"/>
  <c r="E16" i="25" l="1"/>
  <c r="G16" i="25"/>
  <c r="F16" i="25"/>
  <c r="C17" i="25"/>
  <c r="G17" i="25" l="1"/>
  <c r="E17" i="25"/>
  <c r="E30" i="25" s="1"/>
  <c r="F17" i="25"/>
  <c r="D34" i="25" l="1"/>
  <c r="D54" i="25"/>
  <c r="D57" i="25" s="1"/>
  <c r="D58" i="25" s="1"/>
  <c r="D59" i="25" s="1"/>
  <c r="D45" i="25" l="1"/>
  <c r="D40" i="25"/>
  <c r="D44" i="25"/>
  <c r="D50" i="25" l="1"/>
  <c r="D41" i="25"/>
</calcChain>
</file>

<file path=xl/comments1.xml><?xml version="1.0" encoding="utf-8"?>
<comments xmlns="http://schemas.openxmlformats.org/spreadsheetml/2006/main">
  <authors>
    <author>Charles M Swenson</author>
  </authors>
  <commentList>
    <comment ref="B38" authorId="0" shapeId="0">
      <text>
        <r>
          <rPr>
            <b/>
            <sz val="8"/>
            <color indexed="81"/>
            <rFont val="Tahoma"/>
            <family val="2"/>
          </rPr>
          <t>Charles M Swenson:</t>
        </r>
        <r>
          <rPr>
            <sz val="8"/>
            <color indexed="81"/>
            <rFont val="Tahoma"/>
            <family val="2"/>
          </rPr>
          <t xml:space="preserve">
This does not include the losses due to absorption of the atmosphere</t>
        </r>
      </text>
    </comment>
    <comment ref="B40" authorId="0" shapeId="0">
      <text>
        <r>
          <rPr>
            <b/>
            <sz val="8"/>
            <color indexed="81"/>
            <rFont val="Tahoma"/>
            <family val="2"/>
          </rPr>
          <t>Charles M Swenson:</t>
        </r>
        <r>
          <rPr>
            <sz val="8"/>
            <color indexed="81"/>
            <rFont val="Tahoma"/>
            <family val="2"/>
          </rPr>
          <t xml:space="preserve">
In some bands there is a limit to the amount of power that can be placed on the ground from a spacecraft. When this is the case there is typically a spectral band that it applies to thus the units of W/m</t>
        </r>
        <r>
          <rPr>
            <vertAlign val="superscript"/>
            <sz val="8"/>
            <color indexed="81"/>
            <rFont val="Tahoma"/>
            <family val="2"/>
          </rPr>
          <t>2</t>
        </r>
        <r>
          <rPr>
            <sz val="8"/>
            <color indexed="81"/>
            <rFont val="Tahoma"/>
            <family val="2"/>
          </rPr>
          <t>/Hz. This is just a convenient place to note this limit so that it can be compared with the link budget number just above it.</t>
        </r>
      </text>
    </comment>
    <comment ref="B41" authorId="0" shapeId="0">
      <text>
        <r>
          <rPr>
            <b/>
            <sz val="8"/>
            <color indexed="81"/>
            <rFont val="Tahoma"/>
            <family val="2"/>
          </rPr>
          <t>Charles M Swenson:</t>
        </r>
        <r>
          <rPr>
            <sz val="8"/>
            <color indexed="81"/>
            <rFont val="Tahoma"/>
            <family val="2"/>
          </rPr>
          <t xml:space="preserve">
This does take into account the total losses including atmospheric and polarization. </t>
        </r>
      </text>
    </comment>
    <comment ref="B45" authorId="0" shapeId="0">
      <text>
        <r>
          <rPr>
            <b/>
            <sz val="8"/>
            <color indexed="81"/>
            <rFont val="Tahoma"/>
            <family val="2"/>
          </rPr>
          <t>Charles M Swenson:</t>
        </r>
        <r>
          <rPr>
            <sz val="8"/>
            <color indexed="81"/>
            <rFont val="Tahoma"/>
            <family val="2"/>
          </rPr>
          <t xml:space="preserve">
This is the rate in bits/s of the telemetry system. 
FYI: The bandwidth that will be required for the given data rate is dependant on the modulation waveform and error correction coding techniques selected.</t>
        </r>
      </text>
    </comment>
    <comment ref="B47" authorId="0" shapeId="0">
      <text>
        <r>
          <rPr>
            <b/>
            <sz val="8"/>
            <color indexed="81"/>
            <rFont val="Tahoma"/>
            <family val="2"/>
          </rPr>
          <t>Charles M Swenson:</t>
        </r>
        <r>
          <rPr>
            <sz val="8"/>
            <color indexed="81"/>
            <rFont val="Tahoma"/>
            <family val="2"/>
          </rPr>
          <t xml:space="preserve">
Charles M Swenson:
This is the required Eb/No for the combination of the signaling waveform and error correction coding selected. Use the table to the right to select a value.</t>
        </r>
      </text>
    </comment>
    <comment ref="B48" authorId="0" shapeId="0">
      <text>
        <r>
          <rPr>
            <b/>
            <sz val="8"/>
            <color indexed="81"/>
            <rFont val="Tahoma"/>
            <family val="2"/>
          </rPr>
          <t>Charles M Swenson:</t>
        </r>
        <r>
          <rPr>
            <sz val="8"/>
            <color indexed="81"/>
            <rFont val="Tahoma"/>
            <family val="2"/>
          </rPr>
          <t xml:space="preserve">
See Link type (notes) for typical required margins for different applications</t>
        </r>
      </text>
    </comment>
  </commentList>
</comments>
</file>

<file path=xl/comments2.xml><?xml version="1.0" encoding="utf-8"?>
<comments xmlns="http://schemas.openxmlformats.org/spreadsheetml/2006/main">
  <authors>
    <author>Charles M Swenson</author>
  </authors>
  <commentList>
    <comment ref="B38" authorId="0" shapeId="0">
      <text>
        <r>
          <rPr>
            <b/>
            <sz val="8"/>
            <color indexed="81"/>
            <rFont val="Tahoma"/>
            <family val="2"/>
          </rPr>
          <t>Charles M Swenson:</t>
        </r>
        <r>
          <rPr>
            <sz val="8"/>
            <color indexed="81"/>
            <rFont val="Tahoma"/>
            <family val="2"/>
          </rPr>
          <t xml:space="preserve">
This does not include the losses due to absorption of the atmosphere</t>
        </r>
      </text>
    </comment>
    <comment ref="B40" authorId="0" shapeId="0">
      <text>
        <r>
          <rPr>
            <b/>
            <sz val="8"/>
            <color indexed="81"/>
            <rFont val="Tahoma"/>
            <family val="2"/>
          </rPr>
          <t>Charles M Swenson:</t>
        </r>
        <r>
          <rPr>
            <sz val="8"/>
            <color indexed="81"/>
            <rFont val="Tahoma"/>
            <family val="2"/>
          </rPr>
          <t xml:space="preserve">
In some bands there is a limit to the amount of power that can be placed on the ground from a spacecraft. When this is the case there is typically a spectral band that it applies to thus the units of W/m</t>
        </r>
        <r>
          <rPr>
            <vertAlign val="superscript"/>
            <sz val="8"/>
            <color indexed="81"/>
            <rFont val="Tahoma"/>
            <family val="2"/>
          </rPr>
          <t>2</t>
        </r>
        <r>
          <rPr>
            <sz val="8"/>
            <color indexed="81"/>
            <rFont val="Tahoma"/>
            <family val="2"/>
          </rPr>
          <t>/Hz. This is just a convenient place to note this limit so that it can be compared with the link budget number just above it.</t>
        </r>
      </text>
    </comment>
    <comment ref="B41" authorId="0" shapeId="0">
      <text>
        <r>
          <rPr>
            <b/>
            <sz val="8"/>
            <color indexed="81"/>
            <rFont val="Tahoma"/>
            <family val="2"/>
          </rPr>
          <t>Charles M Swenson:</t>
        </r>
        <r>
          <rPr>
            <sz val="8"/>
            <color indexed="81"/>
            <rFont val="Tahoma"/>
            <family val="2"/>
          </rPr>
          <t xml:space="preserve">
This does take into account the total losses including atmospheric and polarization. </t>
        </r>
      </text>
    </comment>
    <comment ref="B45" authorId="0" shapeId="0">
      <text>
        <r>
          <rPr>
            <b/>
            <sz val="8"/>
            <color indexed="81"/>
            <rFont val="Tahoma"/>
            <family val="2"/>
          </rPr>
          <t>Charles M Swenson:</t>
        </r>
        <r>
          <rPr>
            <sz val="8"/>
            <color indexed="81"/>
            <rFont val="Tahoma"/>
            <family val="2"/>
          </rPr>
          <t xml:space="preserve">
This is the rate in bits/s of the telemetry system. 
FYI: The bandwidth that will be required for the given data rate is dependant on the modulation waveform and error correction coding techniques selected.</t>
        </r>
      </text>
    </comment>
    <comment ref="B47" authorId="0" shapeId="0">
      <text>
        <r>
          <rPr>
            <b/>
            <sz val="8"/>
            <color indexed="81"/>
            <rFont val="Tahoma"/>
            <family val="2"/>
          </rPr>
          <t>Charles M Swenson:</t>
        </r>
        <r>
          <rPr>
            <sz val="8"/>
            <color indexed="81"/>
            <rFont val="Tahoma"/>
            <family val="2"/>
          </rPr>
          <t xml:space="preserve">
Charles M Swenson:
This is the required Eb/No for the combination of the signaling waveform and error correction coding selected. Use the table to the right to select a value.</t>
        </r>
      </text>
    </comment>
    <comment ref="B48" authorId="0" shapeId="0">
      <text>
        <r>
          <rPr>
            <b/>
            <sz val="8"/>
            <color indexed="81"/>
            <rFont val="Tahoma"/>
            <family val="2"/>
          </rPr>
          <t>Charles M Swenson:</t>
        </r>
        <r>
          <rPr>
            <sz val="8"/>
            <color indexed="81"/>
            <rFont val="Tahoma"/>
            <family val="2"/>
          </rPr>
          <t xml:space="preserve">
See Link type (notes) for typical required margins for different applications</t>
        </r>
      </text>
    </comment>
  </commentList>
</comments>
</file>

<file path=xl/comments3.xml><?xml version="1.0" encoding="utf-8"?>
<comments xmlns="http://schemas.openxmlformats.org/spreadsheetml/2006/main">
  <authors>
    <author>Charles M Swenson</author>
  </authors>
  <commentList>
    <comment ref="I21" authorId="0" shapeId="0">
      <text>
        <r>
          <rPr>
            <b/>
            <sz val="8"/>
            <color indexed="81"/>
            <rFont val="Tahoma"/>
            <family val="2"/>
          </rPr>
          <t>Charles M Swenson:</t>
        </r>
        <r>
          <rPr>
            <sz val="8"/>
            <color indexed="81"/>
            <rFont val="Tahoma"/>
            <family val="2"/>
          </rPr>
          <t xml:space="preserve">
Mean angular velocity
 or mean angular frequency.</t>
        </r>
      </text>
    </comment>
    <comment ref="B36" authorId="0" shapeId="0">
      <text>
        <r>
          <rPr>
            <b/>
            <sz val="8"/>
            <color indexed="81"/>
            <rFont val="Tahoma"/>
            <family val="2"/>
          </rPr>
          <t>Charles M Swenson:</t>
        </r>
        <r>
          <rPr>
            <sz val="8"/>
            <color indexed="81"/>
            <rFont val="Tahoma"/>
            <family val="2"/>
          </rPr>
          <t xml:space="preserve">
This is ithe overhead in frameing the data for transmission in packets or PCM pages etc.
One estimate of the packet over head comes from the amature AX.25 protocol
In AX.25, the packet header &amp; footer is 19 bytes for 256 bytes of data
- about 7% overhead.
This is the structure of the AX.25 packet:
Flag (1 byte) - Contains the value 0x7E.  Transmitter performs bit- stuffing to prevent this value from appearing elsewhere in the packet.
Address (14 bytes) - Contains the ASCII representation of the radio call sign of the destination (first 7 bytes) and the source (second 7
bytes)
Control (1 byte) -  Identifies the type of frame being passed.
Info (0 to 256 bytes) - The data payload.
FCS (Frame Check Sequence, 2 bytes) - This is a 16-bit CRC-CCITT for error detection
Flag (1 byte) - As above, the value 0x7E
Note that "Control" can be used to perform flow control functions, but I believe these are not implemented in the Helium Radio.  The data sheet I have for the Helium Radio is newer than the one on their website.  Let me know if you'd like a copy.
The specification for the AX.25 protocol can be downloaded here:
http://www.tapr.org/pub_ax25.html
I contacted TAPR about a problem with the document, and they indicated that it was never fully completed (caveat emptor).
</t>
        </r>
      </text>
    </comment>
  </commentList>
</comments>
</file>

<file path=xl/sharedStrings.xml><?xml version="1.0" encoding="utf-8"?>
<sst xmlns="http://schemas.openxmlformats.org/spreadsheetml/2006/main" count="1367" uniqueCount="380">
  <si>
    <t>m</t>
  </si>
  <si>
    <t>km</t>
  </si>
  <si>
    <t>Values</t>
  </si>
  <si>
    <t>Units</t>
  </si>
  <si>
    <t>Earth gravitational constant</t>
  </si>
  <si>
    <t>Earth radius</t>
  </si>
  <si>
    <t>Shuttle</t>
  </si>
  <si>
    <t>GPS</t>
  </si>
  <si>
    <t>Molniya</t>
  </si>
  <si>
    <t>Geosynchronous</t>
  </si>
  <si>
    <t>Symbol</t>
  </si>
  <si>
    <t>Constants</t>
  </si>
  <si>
    <t>Color Code Key</t>
  </si>
  <si>
    <t>User Inputs</t>
  </si>
  <si>
    <t>calculated value</t>
  </si>
  <si>
    <t>Heading</t>
  </si>
  <si>
    <t>Sub Heading</t>
  </si>
  <si>
    <t>Sample Orbits</t>
  </si>
  <si>
    <t>Value</t>
  </si>
  <si>
    <t>ISS</t>
  </si>
  <si>
    <t>i (deg)</t>
  </si>
  <si>
    <t>km3/s2</t>
  </si>
  <si>
    <t>RE</t>
  </si>
  <si>
    <t>Speed of Light</t>
  </si>
  <si>
    <t>c</t>
  </si>
  <si>
    <t>Boltzmann Constant</t>
  </si>
  <si>
    <t>k</t>
  </si>
  <si>
    <t>J/K</t>
  </si>
  <si>
    <t>Design Element</t>
  </si>
  <si>
    <t>Link Frequency</t>
  </si>
  <si>
    <t>f</t>
  </si>
  <si>
    <t>GHz</t>
  </si>
  <si>
    <t>Transmitter Power</t>
  </si>
  <si>
    <t>Watts</t>
  </si>
  <si>
    <t>dBW</t>
  </si>
  <si>
    <t>Antenna Gain</t>
  </si>
  <si>
    <t>dB</t>
  </si>
  <si>
    <t>Antenna Transmitter Losses</t>
  </si>
  <si>
    <t>Deg</t>
  </si>
  <si>
    <t>Antenna Misalignment</t>
  </si>
  <si>
    <t>Alignment Loss</t>
  </si>
  <si>
    <t>Equivalent Isotropic Radiated Power</t>
  </si>
  <si>
    <t>EIRP</t>
  </si>
  <si>
    <t>Propagation Path Length</t>
  </si>
  <si>
    <t>S</t>
  </si>
  <si>
    <t>Km</t>
  </si>
  <si>
    <t>Space Loss</t>
  </si>
  <si>
    <t>Atmospheric</t>
  </si>
  <si>
    <t>Polarization Loss</t>
  </si>
  <si>
    <t>Total Losses</t>
  </si>
  <si>
    <t>L</t>
  </si>
  <si>
    <t>Antenna Receiver Loss</t>
  </si>
  <si>
    <t>Total Receiver</t>
  </si>
  <si>
    <t>G</t>
  </si>
  <si>
    <t>Sky (Antenna) Noise Temperature</t>
  </si>
  <si>
    <t>K</t>
  </si>
  <si>
    <t>Receiver Temperature</t>
  </si>
  <si>
    <t>System Noise Temperature</t>
  </si>
  <si>
    <t>Receiver Merit</t>
  </si>
  <si>
    <t>G/T</t>
  </si>
  <si>
    <t>DB(1/K)</t>
  </si>
  <si>
    <t>Power Flux Density</t>
  </si>
  <si>
    <t>Carrier Power Received</t>
  </si>
  <si>
    <t>Noise Spectral Density</t>
  </si>
  <si>
    <t>dB(W/Hz)</t>
  </si>
  <si>
    <t>Carrier to Noise Density</t>
  </si>
  <si>
    <t>dB(Hz)</t>
  </si>
  <si>
    <t>Data Rate</t>
  </si>
  <si>
    <t>R</t>
  </si>
  <si>
    <t>Bps</t>
  </si>
  <si>
    <t>Eb/No</t>
  </si>
  <si>
    <t>Required Eb/No</t>
  </si>
  <si>
    <t>Margin</t>
  </si>
  <si>
    <t>Gain of a Parabolic Reflector Antenna  - Transmitter</t>
  </si>
  <si>
    <t>Antenna Diameter</t>
  </si>
  <si>
    <t>D</t>
  </si>
  <si>
    <t>Global Efficiency</t>
  </si>
  <si>
    <t>Antenna Frequency</t>
  </si>
  <si>
    <t>Peak Antenna Gain</t>
  </si>
  <si>
    <t>Gmax</t>
  </si>
  <si>
    <t>theta</t>
  </si>
  <si>
    <t>Gain of a Parabolic Reflector Antenna - Receiver</t>
  </si>
  <si>
    <t>Feed Gain</t>
  </si>
  <si>
    <t>Feed Thermodynamic Temperature</t>
  </si>
  <si>
    <t>Feed Noise Temperature</t>
  </si>
  <si>
    <t>Cumulative Receiver Noise Temperature</t>
  </si>
  <si>
    <t>Cumulative Receiver Gain</t>
  </si>
  <si>
    <t>-- Preamp --</t>
  </si>
  <si>
    <t>Preamp Gain</t>
  </si>
  <si>
    <t>Preamp Noise Temperature</t>
  </si>
  <si>
    <t>-- Line Connect --</t>
  </si>
  <si>
    <t>Line Gain</t>
  </si>
  <si>
    <t>Line Thermodynamic Temperature</t>
  </si>
  <si>
    <t>Line Noise Temperature</t>
  </si>
  <si>
    <t>-- Down Converter --</t>
  </si>
  <si>
    <t>Down Converter Gain</t>
  </si>
  <si>
    <t>Down Converter Noise Temperature</t>
  </si>
  <si>
    <t>-- Detector --</t>
  </si>
  <si>
    <t>Detector Gain</t>
  </si>
  <si>
    <t>Detector Noise Temperature</t>
  </si>
  <si>
    <r>
      <t>P</t>
    </r>
    <r>
      <rPr>
        <vertAlign val="subscript"/>
        <sz val="10"/>
        <rFont val="Arial"/>
        <family val="2"/>
      </rPr>
      <t>tx</t>
    </r>
  </si>
  <si>
    <r>
      <t>G</t>
    </r>
    <r>
      <rPr>
        <vertAlign val="subscript"/>
        <sz val="10"/>
        <rFont val="Arial"/>
        <family val="2"/>
      </rPr>
      <t>tx</t>
    </r>
  </si>
  <si>
    <r>
      <t>L</t>
    </r>
    <r>
      <rPr>
        <vertAlign val="subscript"/>
        <sz val="10"/>
        <rFont val="Arial"/>
        <family val="2"/>
      </rPr>
      <t>tx</t>
    </r>
  </si>
  <si>
    <r>
      <t>q</t>
    </r>
    <r>
      <rPr>
        <vertAlign val="subscript"/>
        <sz val="10"/>
        <rFont val="Arial"/>
        <family val="2"/>
      </rPr>
      <t>tx</t>
    </r>
  </si>
  <si>
    <t>Transmitter</t>
  </si>
  <si>
    <t>Losses</t>
  </si>
  <si>
    <t>Spacecraft Altitude</t>
  </si>
  <si>
    <t>h</t>
  </si>
  <si>
    <t>Degrees above Horizon</t>
  </si>
  <si>
    <t>e</t>
  </si>
  <si>
    <t>Rad</t>
  </si>
  <si>
    <t>Range</t>
  </si>
  <si>
    <t>Link Budget Analysis</t>
  </si>
  <si>
    <t>Receiver</t>
  </si>
  <si>
    <t>Powers</t>
  </si>
  <si>
    <t>Rates</t>
  </si>
  <si>
    <t>Required Margin</t>
  </si>
  <si>
    <r>
      <t>L</t>
    </r>
    <r>
      <rPr>
        <vertAlign val="subscript"/>
        <sz val="10"/>
        <rFont val="Arial"/>
        <family val="2"/>
      </rPr>
      <t>s</t>
    </r>
  </si>
  <si>
    <r>
      <t>L</t>
    </r>
    <r>
      <rPr>
        <vertAlign val="subscript"/>
        <sz val="10"/>
        <rFont val="Arial"/>
        <family val="2"/>
      </rPr>
      <t>a</t>
    </r>
  </si>
  <si>
    <r>
      <t>L</t>
    </r>
    <r>
      <rPr>
        <vertAlign val="subscript"/>
        <sz val="10"/>
        <rFont val="Arial"/>
        <family val="2"/>
      </rPr>
      <t>p</t>
    </r>
  </si>
  <si>
    <t>Bandwidth</t>
  </si>
  <si>
    <r>
      <t>G</t>
    </r>
    <r>
      <rPr>
        <vertAlign val="subscript"/>
        <sz val="10"/>
        <rFont val="Arial"/>
        <family val="2"/>
      </rPr>
      <t>r</t>
    </r>
  </si>
  <si>
    <r>
      <t>L</t>
    </r>
    <r>
      <rPr>
        <vertAlign val="subscript"/>
        <sz val="10"/>
        <rFont val="Arial"/>
        <family val="2"/>
      </rPr>
      <t>r</t>
    </r>
  </si>
  <si>
    <r>
      <t>q</t>
    </r>
    <r>
      <rPr>
        <vertAlign val="subscript"/>
        <sz val="10"/>
        <rFont val="Arial"/>
        <family val="2"/>
      </rPr>
      <t>r</t>
    </r>
  </si>
  <si>
    <r>
      <t>a</t>
    </r>
    <r>
      <rPr>
        <vertAlign val="subscript"/>
        <sz val="10"/>
        <rFont val="Arial"/>
        <family val="2"/>
      </rPr>
      <t>r</t>
    </r>
  </si>
  <si>
    <r>
      <t>L</t>
    </r>
    <r>
      <rPr>
        <vertAlign val="subscript"/>
        <sz val="10"/>
        <rFont val="Symbol"/>
        <family val="1"/>
        <charset val="2"/>
      </rPr>
      <t>q</t>
    </r>
    <r>
      <rPr>
        <vertAlign val="subscript"/>
        <sz val="10"/>
        <rFont val="Arial"/>
        <family val="2"/>
      </rPr>
      <t>r</t>
    </r>
  </si>
  <si>
    <r>
      <t>a</t>
    </r>
    <r>
      <rPr>
        <vertAlign val="subscript"/>
        <sz val="10"/>
        <rFont val="Arial"/>
        <family val="2"/>
      </rPr>
      <t>tx</t>
    </r>
  </si>
  <si>
    <r>
      <t>L</t>
    </r>
    <r>
      <rPr>
        <vertAlign val="subscript"/>
        <sz val="10"/>
        <rFont val="Symbol"/>
        <family val="1"/>
        <charset val="2"/>
      </rPr>
      <t>q</t>
    </r>
    <r>
      <rPr>
        <vertAlign val="subscript"/>
        <sz val="10"/>
        <rFont val="Arial"/>
        <family val="2"/>
      </rPr>
      <t>tx</t>
    </r>
  </si>
  <si>
    <r>
      <t>T</t>
    </r>
    <r>
      <rPr>
        <vertAlign val="subscript"/>
        <sz val="10"/>
        <rFont val="Arial"/>
        <family val="2"/>
      </rPr>
      <t>a</t>
    </r>
  </si>
  <si>
    <r>
      <t>T</t>
    </r>
    <r>
      <rPr>
        <vertAlign val="subscript"/>
        <sz val="10"/>
        <rFont val="Arial"/>
        <family val="2"/>
      </rPr>
      <t>r</t>
    </r>
  </si>
  <si>
    <r>
      <t>N</t>
    </r>
    <r>
      <rPr>
        <vertAlign val="subscript"/>
        <sz val="10"/>
        <rFont val="Arial"/>
        <family val="2"/>
      </rPr>
      <t>o</t>
    </r>
  </si>
  <si>
    <r>
      <t>E</t>
    </r>
    <r>
      <rPr>
        <vertAlign val="subscript"/>
        <sz val="10"/>
        <rFont val="Arial"/>
        <family val="2"/>
      </rPr>
      <t>b</t>
    </r>
    <r>
      <rPr>
        <sz val="10"/>
        <rFont val="Arial"/>
      </rPr>
      <t>/N</t>
    </r>
    <r>
      <rPr>
        <vertAlign val="subscript"/>
        <sz val="10"/>
        <rFont val="Arial"/>
        <family val="2"/>
      </rPr>
      <t>o</t>
    </r>
  </si>
  <si>
    <t>Gain of a Helix Antenna  - Transmitter</t>
  </si>
  <si>
    <t>Gain of a Yagi Antenna  - Transmitter</t>
  </si>
  <si>
    <t>Gain of a Patch Antenna  - Transmitter</t>
  </si>
  <si>
    <t>Gain of a Dipole Antenna  - Transmitter</t>
  </si>
  <si>
    <t>Link 4</t>
  </si>
  <si>
    <t>Link Type (notes)</t>
  </si>
  <si>
    <t>Modulation (notes)</t>
  </si>
  <si>
    <t>Antenna Length</t>
  </si>
  <si>
    <r>
      <t>T</t>
    </r>
    <r>
      <rPr>
        <vertAlign val="subscript"/>
        <sz val="10"/>
        <rFont val="Arial"/>
        <family val="2"/>
      </rPr>
      <t>s</t>
    </r>
  </si>
  <si>
    <r>
      <t>P</t>
    </r>
    <r>
      <rPr>
        <vertAlign val="subscript"/>
        <sz val="10"/>
        <rFont val="Arial"/>
        <family val="2"/>
      </rPr>
      <t>rx</t>
    </r>
  </si>
  <si>
    <r>
      <t>P</t>
    </r>
    <r>
      <rPr>
        <vertAlign val="subscript"/>
        <sz val="10"/>
        <rFont val="Arial"/>
        <family val="2"/>
      </rPr>
      <t>rx</t>
    </r>
    <r>
      <rPr>
        <sz val="10"/>
        <rFont val="Arial"/>
      </rPr>
      <t>/N</t>
    </r>
    <r>
      <rPr>
        <vertAlign val="subscript"/>
        <sz val="10"/>
        <rFont val="Arial"/>
        <family val="2"/>
      </rPr>
      <t>o</t>
    </r>
  </si>
  <si>
    <t>0.5 R</t>
  </si>
  <si>
    <t>2.6 R</t>
  </si>
  <si>
    <t>2 R</t>
  </si>
  <si>
    <t>-- Antenna Feed --</t>
  </si>
  <si>
    <r>
      <t>For BER of 10</t>
    </r>
    <r>
      <rPr>
        <b/>
        <vertAlign val="superscript"/>
        <sz val="10"/>
        <color indexed="9"/>
        <rFont val="Arial"/>
        <family val="2"/>
      </rPr>
      <t>-5</t>
    </r>
  </si>
  <si>
    <t>Gain of a Dipole Horn - Transmitter</t>
  </si>
  <si>
    <t>Operating Frequency</t>
  </si>
  <si>
    <t>Operating wavelength</t>
  </si>
  <si>
    <t>l</t>
  </si>
  <si>
    <t>Gain of a Helix Antenna  - Receiver</t>
  </si>
  <si>
    <r>
      <t>Length (2</t>
    </r>
    <r>
      <rPr>
        <sz val="10"/>
        <rFont val="Symbol"/>
        <family val="1"/>
        <charset val="2"/>
      </rPr>
      <t xml:space="preserve">l </t>
    </r>
    <r>
      <rPr>
        <sz val="10"/>
        <rFont val="Arial"/>
        <family val="2"/>
      </rPr>
      <t>&lt; L &lt; 7</t>
    </r>
    <r>
      <rPr>
        <sz val="10"/>
        <rFont val="Symbol"/>
        <family val="1"/>
        <charset val="2"/>
      </rPr>
      <t>l</t>
    </r>
    <r>
      <rPr>
        <sz val="10"/>
        <rFont val="Arial"/>
        <family val="2"/>
      </rPr>
      <t>)</t>
    </r>
  </si>
  <si>
    <r>
      <t>G</t>
    </r>
    <r>
      <rPr>
        <vertAlign val="subscript"/>
        <sz val="10"/>
        <rFont val="Arial"/>
        <family val="2"/>
      </rPr>
      <t>1</t>
    </r>
  </si>
  <si>
    <r>
      <t>G</t>
    </r>
    <r>
      <rPr>
        <vertAlign val="subscript"/>
        <sz val="10"/>
        <rFont val="Arial"/>
        <family val="2"/>
      </rPr>
      <t>2</t>
    </r>
  </si>
  <si>
    <r>
      <t>G</t>
    </r>
    <r>
      <rPr>
        <vertAlign val="subscript"/>
        <sz val="10"/>
        <rFont val="Arial"/>
        <family val="2"/>
      </rPr>
      <t>3</t>
    </r>
  </si>
  <si>
    <r>
      <t>G</t>
    </r>
    <r>
      <rPr>
        <vertAlign val="subscript"/>
        <sz val="10"/>
        <rFont val="Arial"/>
        <family val="2"/>
      </rPr>
      <t>4</t>
    </r>
  </si>
  <si>
    <r>
      <t>G</t>
    </r>
    <r>
      <rPr>
        <vertAlign val="subscript"/>
        <sz val="10"/>
        <rFont val="Arial"/>
        <family val="2"/>
      </rPr>
      <t>5</t>
    </r>
  </si>
  <si>
    <t>T</t>
  </si>
  <si>
    <r>
      <t>T</t>
    </r>
    <r>
      <rPr>
        <vertAlign val="subscript"/>
        <sz val="10"/>
        <rFont val="Arial"/>
        <family val="2"/>
      </rPr>
      <t>1</t>
    </r>
  </si>
  <si>
    <r>
      <t>T</t>
    </r>
    <r>
      <rPr>
        <vertAlign val="subscript"/>
        <sz val="10"/>
        <rFont val="Arial"/>
        <family val="2"/>
      </rPr>
      <t>2</t>
    </r>
  </si>
  <si>
    <r>
      <t>T</t>
    </r>
    <r>
      <rPr>
        <vertAlign val="subscript"/>
        <sz val="10"/>
        <rFont val="Arial"/>
        <family val="2"/>
      </rPr>
      <t>3</t>
    </r>
  </si>
  <si>
    <r>
      <t>T</t>
    </r>
    <r>
      <rPr>
        <vertAlign val="subscript"/>
        <sz val="10"/>
        <rFont val="Arial"/>
        <family val="2"/>
      </rPr>
      <t>4</t>
    </r>
  </si>
  <si>
    <r>
      <t>T</t>
    </r>
    <r>
      <rPr>
        <vertAlign val="subscript"/>
        <sz val="10"/>
        <rFont val="Arial"/>
        <family val="2"/>
      </rPr>
      <t>5</t>
    </r>
  </si>
  <si>
    <r>
      <t>T</t>
    </r>
    <r>
      <rPr>
        <vertAlign val="subscript"/>
        <sz val="10"/>
        <rFont val="Arial"/>
        <family val="2"/>
      </rPr>
      <t>e</t>
    </r>
  </si>
  <si>
    <r>
      <t>G</t>
    </r>
    <r>
      <rPr>
        <vertAlign val="subscript"/>
        <sz val="10"/>
        <rFont val="Arial"/>
        <family val="2"/>
      </rPr>
      <t>e</t>
    </r>
  </si>
  <si>
    <t>Antenna Noise (from figure)</t>
  </si>
  <si>
    <r>
      <t>G</t>
    </r>
    <r>
      <rPr>
        <vertAlign val="subscript"/>
        <sz val="10"/>
        <rFont val="Arial"/>
        <family val="2"/>
      </rPr>
      <t>6</t>
    </r>
  </si>
  <si>
    <r>
      <t>T</t>
    </r>
    <r>
      <rPr>
        <vertAlign val="subscript"/>
        <sz val="10"/>
        <rFont val="Arial"/>
        <family val="2"/>
      </rPr>
      <t>6</t>
    </r>
  </si>
  <si>
    <t>Noise Temperature</t>
  </si>
  <si>
    <t>Noise Figure</t>
  </si>
  <si>
    <t>F</t>
  </si>
  <si>
    <t>Reference Temperature</t>
  </si>
  <si>
    <t>Noise Figure to Noise Temperature</t>
  </si>
  <si>
    <t>Receiver System Noise Temperature</t>
  </si>
  <si>
    <t>Noise Temperature  to Noise Figure</t>
  </si>
  <si>
    <t>Angle above Horizon</t>
  </si>
  <si>
    <t>Spatial Sampling</t>
  </si>
  <si>
    <r>
      <t>km</t>
    </r>
    <r>
      <rPr>
        <vertAlign val="superscript"/>
        <sz val="10"/>
        <rFont val="Arial"/>
        <family val="2"/>
      </rPr>
      <t>3</t>
    </r>
    <r>
      <rPr>
        <sz val="10"/>
        <rFont val="Arial"/>
      </rPr>
      <t>/s</t>
    </r>
    <r>
      <rPr>
        <vertAlign val="superscript"/>
        <sz val="10"/>
        <rFont val="Arial"/>
        <family val="2"/>
      </rPr>
      <t>2</t>
    </r>
  </si>
  <si>
    <r>
      <t>R</t>
    </r>
    <r>
      <rPr>
        <vertAlign val="subscript"/>
        <sz val="10"/>
        <rFont val="Arial"/>
        <family val="2"/>
      </rPr>
      <t>E</t>
    </r>
  </si>
  <si>
    <t>Satellite Orbit</t>
  </si>
  <si>
    <t>Perigee altitude</t>
  </si>
  <si>
    <r>
      <t>h</t>
    </r>
    <r>
      <rPr>
        <vertAlign val="subscript"/>
        <sz val="10"/>
        <rFont val="Arial"/>
        <family val="2"/>
      </rPr>
      <t>p</t>
    </r>
  </si>
  <si>
    <t xml:space="preserve">km </t>
  </si>
  <si>
    <t>Apogee altitude</t>
  </si>
  <si>
    <r>
      <t>h</t>
    </r>
    <r>
      <rPr>
        <vertAlign val="subscript"/>
        <sz val="10"/>
        <rFont val="Arial"/>
        <family val="2"/>
      </rPr>
      <t>a</t>
    </r>
  </si>
  <si>
    <t>Inclination</t>
  </si>
  <si>
    <t>i</t>
  </si>
  <si>
    <t>deg</t>
  </si>
  <si>
    <t>Radius of perigee</t>
  </si>
  <si>
    <r>
      <t>r</t>
    </r>
    <r>
      <rPr>
        <vertAlign val="subscript"/>
        <sz val="10"/>
        <rFont val="Arial"/>
        <family val="2"/>
      </rPr>
      <t>p</t>
    </r>
  </si>
  <si>
    <t>Radius of apogee</t>
  </si>
  <si>
    <r>
      <t>r</t>
    </r>
    <r>
      <rPr>
        <vertAlign val="subscript"/>
        <sz val="10"/>
        <rFont val="Arial"/>
        <family val="2"/>
      </rPr>
      <t>a</t>
    </r>
  </si>
  <si>
    <t>Semi major axis</t>
  </si>
  <si>
    <t>a</t>
  </si>
  <si>
    <t>Eccentricity</t>
  </si>
  <si>
    <t>Orbit Period</t>
  </si>
  <si>
    <r>
      <t>t</t>
    </r>
    <r>
      <rPr>
        <vertAlign val="subscript"/>
        <sz val="10"/>
        <rFont val="Arial"/>
        <family val="2"/>
      </rPr>
      <t>s</t>
    </r>
  </si>
  <si>
    <t>min</t>
  </si>
  <si>
    <t>Velocity at perigee</t>
  </si>
  <si>
    <r>
      <t>V</t>
    </r>
    <r>
      <rPr>
        <vertAlign val="subscript"/>
        <sz val="10"/>
        <rFont val="Arial"/>
        <family val="2"/>
      </rPr>
      <t>p</t>
    </r>
  </si>
  <si>
    <t>km/s</t>
  </si>
  <si>
    <t>Velocity at apogee</t>
  </si>
  <si>
    <r>
      <t>V</t>
    </r>
    <r>
      <rPr>
        <vertAlign val="subscript"/>
        <sz val="10"/>
        <rFont val="Arial"/>
        <family val="2"/>
      </rPr>
      <t>a</t>
    </r>
  </si>
  <si>
    <t>Semilactus rectum</t>
  </si>
  <si>
    <t>p</t>
  </si>
  <si>
    <t>Mean Motion</t>
  </si>
  <si>
    <t>n</t>
  </si>
  <si>
    <t>rad/day</t>
  </si>
  <si>
    <t>rev/day</t>
  </si>
  <si>
    <t>Hz</t>
  </si>
  <si>
    <t>bits</t>
  </si>
  <si>
    <t>bits/s</t>
  </si>
  <si>
    <t>Satellite at 500 km</t>
  </si>
  <si>
    <t>One Year Simulation</t>
  </si>
  <si>
    <t>s/year</t>
  </si>
  <si>
    <t>40 deg horizon or 50 degree cone angle (half angle)</t>
  </si>
  <si>
    <t>JRO</t>
  </si>
  <si>
    <t>Goldstone</t>
  </si>
  <si>
    <t>Poker</t>
  </si>
  <si>
    <t>Access</t>
  </si>
  <si>
    <t>Gap</t>
  </si>
  <si>
    <t>Percent</t>
  </si>
  <si>
    <t>10 deg horizon or 80 degree cone angle (half angle)</t>
  </si>
  <si>
    <t>Max (s)</t>
  </si>
  <si>
    <t>Onboard Collection Rate</t>
  </si>
  <si>
    <t>Contact time Percent</t>
  </si>
  <si>
    <r>
      <t>T</t>
    </r>
    <r>
      <rPr>
        <vertAlign val="subscript"/>
        <sz val="10"/>
        <rFont val="Arial"/>
        <family val="2"/>
      </rPr>
      <t>c</t>
    </r>
  </si>
  <si>
    <t>Down link rate</t>
  </si>
  <si>
    <t>kbits/s</t>
  </si>
  <si>
    <t>Logan</t>
  </si>
  <si>
    <t>Total</t>
  </si>
  <si>
    <t>One Year Simulation July 1, 2011 - July 1, 2012</t>
  </si>
  <si>
    <t>Satellite at 400 km Circular</t>
  </si>
  <si>
    <t>Wurzburg</t>
  </si>
  <si>
    <t>Ann Arbor</t>
  </si>
  <si>
    <t>Satellite at 300 km Circular</t>
  </si>
  <si>
    <t>Telemetry Channels</t>
  </si>
  <si>
    <t>Channel</t>
  </si>
  <si>
    <t>Rate</t>
  </si>
  <si>
    <t>Name</t>
  </si>
  <si>
    <t>Magnetometer X-Axis</t>
  </si>
  <si>
    <t>Magnetometer Y-Axis</t>
  </si>
  <si>
    <t>Magnetometer Z-Axis</t>
  </si>
  <si>
    <t>GPS Receiver</t>
  </si>
  <si>
    <t>Sample Period</t>
  </si>
  <si>
    <t>Sun sensor elevation</t>
  </si>
  <si>
    <t>Seconds In a year</t>
  </si>
  <si>
    <r>
      <t>T</t>
    </r>
    <r>
      <rPr>
        <vertAlign val="subscript"/>
        <sz val="10"/>
        <rFont val="Arial"/>
        <family val="2"/>
      </rPr>
      <t>y</t>
    </r>
  </si>
  <si>
    <t>s</t>
  </si>
  <si>
    <t xml:space="preserve"> spatial (km)</t>
  </si>
  <si>
    <t>Sun phase sensor</t>
  </si>
  <si>
    <t>Power system (battery)</t>
  </si>
  <si>
    <t>Temp Monitor 1</t>
  </si>
  <si>
    <t>Temp Monitor 2</t>
  </si>
  <si>
    <t>Temp Monitor 3</t>
  </si>
  <si>
    <t>Temp Monitor 4</t>
  </si>
  <si>
    <t>Everything else</t>
  </si>
  <si>
    <t>Total (s)</t>
  </si>
  <si>
    <t>Max Time Between Contacts</t>
  </si>
  <si>
    <t xml:space="preserve">Bits </t>
  </si>
  <si>
    <t>M Bytes</t>
  </si>
  <si>
    <r>
      <t>R</t>
    </r>
    <r>
      <rPr>
        <vertAlign val="subscript"/>
        <sz val="10"/>
        <rFont val="Arial"/>
        <family val="2"/>
      </rPr>
      <t>d</t>
    </r>
  </si>
  <si>
    <r>
      <t>R</t>
    </r>
    <r>
      <rPr>
        <vertAlign val="subscript"/>
        <sz val="10"/>
        <rFont val="Arial"/>
        <family val="2"/>
      </rPr>
      <t>c</t>
    </r>
  </si>
  <si>
    <t>Bits/s</t>
  </si>
  <si>
    <t>Telemetry Margin</t>
  </si>
  <si>
    <t>Required Transmitter Power</t>
  </si>
  <si>
    <t>Orbit Average On time</t>
  </si>
  <si>
    <t>Transmitter RF Power</t>
  </si>
  <si>
    <t>Orbit Average Power</t>
  </si>
  <si>
    <t>mW</t>
  </si>
  <si>
    <t>Average Daily Data Dump</t>
  </si>
  <si>
    <t>Unitless</t>
  </si>
  <si>
    <t>Average Contact Time per Day</t>
  </si>
  <si>
    <t>Estimated contacts/day</t>
  </si>
  <si>
    <t>Estimated usable contacts duration</t>
  </si>
  <si>
    <t>Required Daily Data Dump</t>
  </si>
  <si>
    <t>M Bits</t>
  </si>
  <si>
    <r>
      <t>E</t>
    </r>
    <r>
      <rPr>
        <b/>
        <vertAlign val="subscript"/>
        <sz val="10"/>
        <color indexed="9"/>
        <rFont val="Arial"/>
        <family val="2"/>
      </rPr>
      <t>b</t>
    </r>
    <r>
      <rPr>
        <b/>
        <sz val="10"/>
        <color indexed="9"/>
        <rFont val="Arial"/>
        <family val="2"/>
      </rPr>
      <t>/N</t>
    </r>
    <r>
      <rPr>
        <b/>
        <vertAlign val="subscript"/>
        <sz val="10"/>
        <color indexed="9"/>
        <rFont val="Arial"/>
        <family val="2"/>
      </rPr>
      <t>o</t>
    </r>
  </si>
  <si>
    <t xml:space="preserve">  FSK</t>
  </si>
  <si>
    <t xml:space="preserve">  FSK-4</t>
  </si>
  <si>
    <t xml:space="preserve">  FSK-8</t>
  </si>
  <si>
    <t xml:space="preserve">  BPSK</t>
  </si>
  <si>
    <t xml:space="preserve">  DPSK</t>
  </si>
  <si>
    <t xml:space="preserve">  QPSK</t>
  </si>
  <si>
    <t xml:space="preserve">  Convolutionally Coded PSK</t>
  </si>
  <si>
    <t xml:space="preserve">  Flight Termination</t>
  </si>
  <si>
    <t xml:space="preserve">  Command &amp; Control</t>
  </si>
  <si>
    <t xml:space="preserve">  Data Dump</t>
  </si>
  <si>
    <t xml:space="preserve">  Other</t>
  </si>
  <si>
    <r>
      <t>R</t>
    </r>
    <r>
      <rPr>
        <b/>
        <vertAlign val="subscript"/>
        <sz val="10"/>
        <color indexed="9"/>
        <rFont val="Arial"/>
        <family val="2"/>
      </rPr>
      <t>a</t>
    </r>
    <r>
      <rPr>
        <b/>
        <sz val="10"/>
        <color indexed="9"/>
        <rFont val="Arial"/>
        <family val="2"/>
      </rPr>
      <t xml:space="preserve"> (km)</t>
    </r>
  </si>
  <si>
    <r>
      <t>R</t>
    </r>
    <r>
      <rPr>
        <b/>
        <vertAlign val="subscript"/>
        <sz val="10"/>
        <color indexed="9"/>
        <rFont val="Arial"/>
        <family val="2"/>
      </rPr>
      <t>p</t>
    </r>
    <r>
      <rPr>
        <b/>
        <sz val="10"/>
        <color indexed="9"/>
        <rFont val="Arial"/>
        <family val="2"/>
      </rPr>
      <t xml:space="preserve"> (km)</t>
    </r>
  </si>
  <si>
    <r>
      <t>dB(W/m</t>
    </r>
    <r>
      <rPr>
        <vertAlign val="superscript"/>
        <sz val="10"/>
        <rFont val="Arial"/>
        <family val="2"/>
      </rPr>
      <t>2</t>
    </r>
    <r>
      <rPr>
        <sz val="10"/>
        <rFont val="Arial"/>
      </rPr>
      <t>)</t>
    </r>
  </si>
  <si>
    <r>
      <t>f</t>
    </r>
    <r>
      <rPr>
        <vertAlign val="subscript"/>
        <sz val="10"/>
        <rFont val="Times New Roman"/>
        <family val="1"/>
      </rPr>
      <t>f</t>
    </r>
  </si>
  <si>
    <r>
      <t>dB(W/m</t>
    </r>
    <r>
      <rPr>
        <vertAlign val="superscript"/>
        <sz val="10"/>
        <rFont val="Arial"/>
        <family val="2"/>
      </rPr>
      <t>2</t>
    </r>
    <r>
      <rPr>
        <sz val="10"/>
        <rFont val="Arial"/>
      </rPr>
      <t>/kHz)</t>
    </r>
  </si>
  <si>
    <t>Telemetry/Data Handling Budget Analysis</t>
  </si>
  <si>
    <t>t</t>
  </si>
  <si>
    <t>Contact Time Percent</t>
  </si>
  <si>
    <t>Power Flux Spectral Density Limit</t>
  </si>
  <si>
    <t>Required Down Link</t>
  </si>
  <si>
    <t>Straw Man Telemetry</t>
  </si>
  <si>
    <t>Packet Overhead</t>
  </si>
  <si>
    <t>Collection Rate</t>
  </si>
  <si>
    <t>Quantity</t>
  </si>
  <si>
    <t>Transmitted Rate</t>
  </si>
  <si>
    <t>Poker Flat</t>
  </si>
  <si>
    <t>Wallops</t>
  </si>
  <si>
    <t>Data Samples</t>
  </si>
  <si>
    <t>Factor of Safety</t>
  </si>
  <si>
    <t>Word Size</t>
  </si>
  <si>
    <t>Antenna Beam width</t>
  </si>
  <si>
    <t xml:space="preserve">Power Flux Spectral Density </t>
  </si>
  <si>
    <t>Estimated Dump/Contact</t>
  </si>
  <si>
    <t>Required Telemetry Buffer</t>
  </si>
  <si>
    <t>Transmitter Efficiency</t>
  </si>
  <si>
    <t>Bit Rate</t>
  </si>
  <si>
    <t>Rate collected on orbit</t>
  </si>
  <si>
    <r>
      <t>R</t>
    </r>
    <r>
      <rPr>
        <vertAlign val="subscript"/>
        <sz val="10"/>
        <rFont val="Arial"/>
        <family val="2"/>
      </rPr>
      <t>transmitted</t>
    </r>
  </si>
  <si>
    <r>
      <t>R</t>
    </r>
    <r>
      <rPr>
        <vertAlign val="subscript"/>
        <sz val="10"/>
        <rFont val="Arial"/>
        <family val="2"/>
      </rPr>
      <t>collected</t>
    </r>
  </si>
  <si>
    <t>Downlink telemetry rate</t>
  </si>
  <si>
    <t>Packet overhead</t>
  </si>
  <si>
    <t>Available telemetry rate</t>
  </si>
  <si>
    <r>
      <rPr>
        <sz val="10"/>
        <rFont val="Symbol"/>
        <family val="1"/>
        <charset val="2"/>
      </rPr>
      <t>t</t>
    </r>
    <r>
      <rPr>
        <vertAlign val="subscript"/>
        <sz val="10"/>
        <rFont val="Arial"/>
        <family val="2"/>
      </rPr>
      <t>c</t>
    </r>
  </si>
  <si>
    <t xml:space="preserve"> #/Orbit</t>
  </si>
  <si>
    <t>Estimated Daily Downlink</t>
  </si>
  <si>
    <t>Yagi Antenna in 460 - 470 Mhz band</t>
  </si>
  <si>
    <t>Electric Field V12</t>
  </si>
  <si>
    <t>Electric Field V34</t>
  </si>
  <si>
    <t>Density DC Probe 1</t>
  </si>
  <si>
    <t>Density DC Probe 2</t>
  </si>
  <si>
    <t>Temp Monitor 5</t>
  </si>
  <si>
    <t>Spacecraft Clock</t>
  </si>
  <si>
    <t>Digitization bits</t>
  </si>
  <si>
    <t>MHz</t>
  </si>
  <si>
    <t>Mbits/s</t>
  </si>
  <si>
    <t>G bytes</t>
  </si>
  <si>
    <t>Baseband Bandwidth</t>
  </si>
  <si>
    <t>Required Ground Station Storage</t>
  </si>
  <si>
    <t xml:space="preserve">Baseband Sampling Rate </t>
  </si>
  <si>
    <t xml:space="preserve">Baseband Sampled Data Rate </t>
  </si>
  <si>
    <t>Average Data in an Overpass</t>
  </si>
  <si>
    <t>Storage Required Per Pass</t>
  </si>
  <si>
    <t>SRI</t>
  </si>
  <si>
    <t>N/A</t>
  </si>
  <si>
    <t>Satellite Access to Ground Stations</t>
  </si>
  <si>
    <t>B</t>
  </si>
  <si>
    <t>Signal to Noise Ratio</t>
  </si>
  <si>
    <t>Channel Capacity (Shannon Limit)</t>
  </si>
  <si>
    <t>Max Data Rate</t>
  </si>
  <si>
    <r>
      <t>R</t>
    </r>
    <r>
      <rPr>
        <vertAlign val="subscript"/>
        <sz val="10"/>
        <rFont val="Arial"/>
        <family val="2"/>
      </rPr>
      <t>max</t>
    </r>
  </si>
  <si>
    <t>Gain of a Patch Antenna  - Receiver</t>
  </si>
  <si>
    <t>Gain of a Dipole Horn - Receiver</t>
  </si>
  <si>
    <t>Gain of a Yagi Antenna  - Receiver</t>
  </si>
  <si>
    <t>An array of  X antennas</t>
  </si>
  <si>
    <t>Range to Satellite at Altitude</t>
  </si>
  <si>
    <t>Beam Width</t>
  </si>
  <si>
    <t>W</t>
  </si>
  <si>
    <t>Antenna Effective Area</t>
  </si>
  <si>
    <r>
      <t>A</t>
    </r>
    <r>
      <rPr>
        <vertAlign val="subscript"/>
        <sz val="10"/>
        <rFont val="Arial"/>
        <family val="2"/>
      </rPr>
      <t>eff</t>
    </r>
  </si>
  <si>
    <r>
      <t>m</t>
    </r>
    <r>
      <rPr>
        <vertAlign val="superscript"/>
        <sz val="10"/>
        <rFont val="Arial"/>
        <family val="2"/>
      </rPr>
      <t>2</t>
    </r>
  </si>
  <si>
    <t>steradian</t>
  </si>
  <si>
    <t>Operating Wavelength</t>
  </si>
  <si>
    <t>Directivity of Antenna</t>
  </si>
  <si>
    <t>Directivity, Gain , Antenna Area</t>
  </si>
  <si>
    <t>Straw Man Telemetry - Rates</t>
  </si>
  <si>
    <t>Spacecraft Velocity</t>
  </si>
  <si>
    <t>Satellite Access to Ground Station Study Using STK</t>
  </si>
  <si>
    <t>Link 1</t>
  </si>
  <si>
    <t>Link 2</t>
  </si>
  <si>
    <t>Link 3</t>
  </si>
  <si>
    <t>Gain of a Dipole Antenna  - Receiver</t>
  </si>
  <si>
    <t>Contacts</t>
  </si>
  <si>
    <t>Unallocated</t>
  </si>
  <si>
    <t>Satellite at 500 km Circular</t>
  </si>
  <si>
    <t>Aeff</t>
  </si>
  <si>
    <t>m2</t>
  </si>
  <si>
    <t>Earth to Space</t>
  </si>
  <si>
    <t>Space to earth</t>
  </si>
  <si>
    <t>High Speed Data Dump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</si>
</sst>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0.000"/>
    <numFmt numFmtId="165" formatCode="0.000E+00"/>
    <numFmt numFmtId="166" formatCode="0.0000E+00"/>
    <numFmt numFmtId="167" formatCode="0.0"/>
    <numFmt numFmtId="168" formatCode="0.0%"/>
    <numFmt numFmtId="169" formatCode="_(* #,##0_);_(* \(#,##0\);_(* &quot;-&quot;??_);_(@_)"/>
    <numFmt numFmtId="170" formatCode="0.E+00"/>
  </numFmts>
  <fonts count="20" x14ac:knownFonts="1">
    <font>
      <sz val="10"/>
      <name val="Arial"/>
    </font>
    <font>
      <sz val="10"/>
      <name val="Arial"/>
    </font>
    <font>
      <b/>
      <i/>
      <sz val="20"/>
      <name val="Arial"/>
      <family val="2"/>
    </font>
    <font>
      <sz val="8"/>
      <name val="Arial"/>
      <family val="2"/>
    </font>
    <font>
      <b/>
      <sz val="10"/>
      <color indexed="9"/>
      <name val="Arial"/>
      <family val="2"/>
    </font>
    <font>
      <b/>
      <sz val="10"/>
      <color indexed="9"/>
      <name val="Arial"/>
      <family val="2"/>
    </font>
    <font>
      <sz val="10"/>
      <name val="Symbol"/>
      <family val="1"/>
      <charset val="2"/>
    </font>
    <font>
      <sz val="10"/>
      <name val="Arial"/>
      <family val="2"/>
    </font>
    <font>
      <b/>
      <sz val="10"/>
      <name val="Arial"/>
      <family val="2"/>
    </font>
    <font>
      <vertAlign val="subscript"/>
      <sz val="10"/>
      <name val="Arial"/>
      <family val="2"/>
    </font>
    <font>
      <vertAlign val="subscript"/>
      <sz val="10"/>
      <name val="Symbol"/>
      <family val="1"/>
      <charset val="2"/>
    </font>
    <font>
      <sz val="10"/>
      <name val="Arial"/>
      <family val="2"/>
    </font>
    <font>
      <b/>
      <vertAlign val="superscript"/>
      <sz val="10"/>
      <color indexed="9"/>
      <name val="Arial"/>
      <family val="2"/>
    </font>
    <font>
      <b/>
      <sz val="8"/>
      <color indexed="81"/>
      <name val="Tahoma"/>
      <family val="2"/>
    </font>
    <font>
      <sz val="8"/>
      <color indexed="81"/>
      <name val="Tahoma"/>
      <family val="2"/>
    </font>
    <font>
      <vertAlign val="superscript"/>
      <sz val="10"/>
      <name val="Arial"/>
      <family val="2"/>
    </font>
    <font>
      <b/>
      <i/>
      <sz val="16"/>
      <name val="Arial"/>
      <family val="2"/>
    </font>
    <font>
      <b/>
      <vertAlign val="subscript"/>
      <sz val="10"/>
      <color indexed="9"/>
      <name val="Arial"/>
      <family val="2"/>
    </font>
    <font>
      <vertAlign val="subscript"/>
      <sz val="10"/>
      <name val="Times New Roman"/>
      <family val="1"/>
    </font>
    <font>
      <vertAlign val="superscript"/>
      <sz val="8"/>
      <color indexed="81"/>
      <name val="Tahoma"/>
      <family val="2"/>
    </font>
  </fonts>
  <fills count="7">
    <fill>
      <patternFill patternType="none"/>
    </fill>
    <fill>
      <patternFill patternType="gray125"/>
    </fill>
    <fill>
      <patternFill patternType="solid">
        <fgColor indexed="47"/>
        <bgColor indexed="64"/>
      </patternFill>
    </fill>
    <fill>
      <patternFill patternType="solid">
        <fgColor indexed="21"/>
        <bgColor indexed="64"/>
      </patternFill>
    </fill>
    <fill>
      <patternFill patternType="solid">
        <fgColor indexed="41"/>
        <bgColor indexed="64"/>
      </patternFill>
    </fill>
    <fill>
      <patternFill patternType="solid">
        <fgColor indexed="43"/>
        <bgColor indexed="64"/>
      </patternFill>
    </fill>
    <fill>
      <patternFill patternType="solid">
        <fgColor indexed="42"/>
        <bgColor indexed="64"/>
      </patternFill>
    </fill>
  </fills>
  <borders count="51">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thin">
        <color indexed="64"/>
      </top>
      <bottom style="hair">
        <color indexed="64"/>
      </bottom>
      <diagonal/>
    </border>
    <border>
      <left/>
      <right style="medium">
        <color indexed="64"/>
      </right>
      <top style="thin">
        <color indexed="64"/>
      </top>
      <bottom style="hair">
        <color indexed="64"/>
      </bottom>
      <diagonal/>
    </border>
    <border>
      <left/>
      <right/>
      <top style="thin">
        <color indexed="64"/>
      </top>
      <bottom style="hair">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hair">
        <color indexed="64"/>
      </top>
      <bottom style="hair">
        <color indexed="64"/>
      </bottom>
      <diagonal/>
    </border>
    <border>
      <left style="medium">
        <color indexed="64"/>
      </left>
      <right/>
      <top style="hair">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diagonal/>
    </border>
    <border>
      <left/>
      <right/>
      <top style="medium">
        <color indexed="64"/>
      </top>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bottom style="hair">
        <color indexed="64"/>
      </bottom>
      <diagonal/>
    </border>
    <border>
      <left/>
      <right/>
      <top/>
      <bottom style="hair">
        <color indexed="64"/>
      </bottom>
      <diagonal/>
    </border>
    <border>
      <left/>
      <right style="medium">
        <color indexed="64"/>
      </right>
      <top/>
      <bottom style="hair">
        <color indexed="64"/>
      </bottom>
      <diagonal/>
    </border>
    <border>
      <left style="medium">
        <color indexed="64"/>
      </left>
      <right/>
      <top style="hair">
        <color indexed="64"/>
      </top>
      <bottom/>
      <diagonal/>
    </border>
    <border>
      <left/>
      <right/>
      <top style="hair">
        <color indexed="64"/>
      </top>
      <bottom/>
      <diagonal/>
    </border>
    <border>
      <left/>
      <right style="medium">
        <color indexed="64"/>
      </right>
      <top style="hair">
        <color indexed="64"/>
      </top>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medium">
        <color indexed="64"/>
      </right>
      <top style="hair">
        <color indexed="64"/>
      </top>
      <bottom style="medium">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s>
  <cellStyleXfs count="7">
    <xf numFmtId="0" fontId="0" fillId="0" borderId="0"/>
    <xf numFmtId="2" fontId="11" fillId="2" borderId="0"/>
    <xf numFmtId="43" fontId="1" fillId="0" borderId="0" applyFont="0" applyFill="0" applyBorder="0" applyAlignment="0" applyProtection="0"/>
    <xf numFmtId="0" fontId="4" fillId="3" borderId="1">
      <alignment horizontal="center"/>
    </xf>
    <xf numFmtId="9" fontId="1" fillId="0" borderId="0" applyFont="0" applyFill="0" applyBorder="0" applyAlignment="0" applyProtection="0"/>
    <xf numFmtId="0" fontId="11" fillId="4" borderId="2"/>
    <xf numFmtId="0" fontId="11" fillId="5" borderId="0"/>
  </cellStyleXfs>
  <cellXfs count="251">
    <xf numFmtId="0" fontId="0" fillId="0" borderId="0" xfId="0"/>
    <xf numFmtId="0" fontId="2" fillId="0" borderId="0" xfId="0" applyFont="1"/>
    <xf numFmtId="0" fontId="0" fillId="0" borderId="0" xfId="0" applyFill="1"/>
    <xf numFmtId="0" fontId="0" fillId="4" borderId="3" xfId="0" applyFill="1" applyBorder="1"/>
    <xf numFmtId="0" fontId="0" fillId="4" borderId="4" xfId="0" applyFill="1" applyBorder="1"/>
    <xf numFmtId="0" fontId="0" fillId="4" borderId="5" xfId="0" applyFill="1" applyBorder="1"/>
    <xf numFmtId="0" fontId="4" fillId="3" borderId="6" xfId="0" applyFont="1"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0" fillId="4" borderId="9" xfId="0" applyFill="1" applyBorder="1"/>
    <xf numFmtId="0" fontId="7" fillId="4" borderId="10" xfId="0" applyFont="1" applyFill="1" applyBorder="1" applyAlignment="1">
      <alignment horizontal="center"/>
    </xf>
    <xf numFmtId="0" fontId="0" fillId="4" borderId="11" xfId="0" applyFill="1" applyBorder="1"/>
    <xf numFmtId="0" fontId="8" fillId="0" borderId="1" xfId="0" applyFont="1" applyBorder="1"/>
    <xf numFmtId="0" fontId="8" fillId="0" borderId="12" xfId="0" applyFont="1" applyBorder="1"/>
    <xf numFmtId="0" fontId="0" fillId="5" borderId="13" xfId="0" applyFill="1" applyBorder="1"/>
    <xf numFmtId="0" fontId="0" fillId="5" borderId="14" xfId="0" applyFill="1" applyBorder="1"/>
    <xf numFmtId="0" fontId="0" fillId="2" borderId="13" xfId="0" applyFill="1" applyBorder="1"/>
    <xf numFmtId="0" fontId="0" fillId="2" borderId="14" xfId="0" applyFill="1" applyBorder="1"/>
    <xf numFmtId="0" fontId="0" fillId="3" borderId="13" xfId="0" applyFill="1" applyBorder="1"/>
    <xf numFmtId="0" fontId="0" fillId="3" borderId="14" xfId="0" applyFill="1" applyBorder="1"/>
    <xf numFmtId="0" fontId="0" fillId="4" borderId="15" xfId="0" applyFill="1" applyBorder="1"/>
    <xf numFmtId="0" fontId="0" fillId="4" borderId="16" xfId="0" applyFill="1" applyBorder="1"/>
    <xf numFmtId="0" fontId="5" fillId="3" borderId="1" xfId="0" applyFont="1" applyFill="1" applyBorder="1"/>
    <xf numFmtId="0" fontId="8" fillId="4" borderId="9" xfId="0" applyFont="1" applyFill="1" applyBorder="1"/>
    <xf numFmtId="0" fontId="5" fillId="3" borderId="12" xfId="0" applyFont="1" applyFill="1" applyBorder="1" applyAlignment="1">
      <alignment horizontal="center"/>
    </xf>
    <xf numFmtId="0" fontId="7" fillId="4" borderId="17" xfId="0" applyFont="1" applyFill="1" applyBorder="1" applyAlignment="1">
      <alignment horizontal="center"/>
    </xf>
    <xf numFmtId="0" fontId="8" fillId="4" borderId="18" xfId="0" applyFont="1" applyFill="1" applyBorder="1"/>
    <xf numFmtId="0" fontId="0" fillId="4" borderId="17" xfId="0" applyFill="1" applyBorder="1" applyAlignment="1">
      <alignment horizontal="center"/>
    </xf>
    <xf numFmtId="0" fontId="0" fillId="4" borderId="19" xfId="0" applyFill="1" applyBorder="1" applyAlignment="1">
      <alignment horizontal="center"/>
    </xf>
    <xf numFmtId="3" fontId="7" fillId="4" borderId="17" xfId="0" applyNumberFormat="1" applyFont="1" applyFill="1" applyBorder="1" applyAlignment="1">
      <alignment horizontal="center"/>
    </xf>
    <xf numFmtId="0" fontId="7" fillId="4" borderId="19" xfId="0" applyFont="1" applyFill="1" applyBorder="1" applyAlignment="1">
      <alignment horizontal="center"/>
    </xf>
    <xf numFmtId="3" fontId="7" fillId="4" borderId="10" xfId="0" applyNumberFormat="1" applyFont="1" applyFill="1" applyBorder="1" applyAlignment="1">
      <alignment horizontal="center"/>
    </xf>
    <xf numFmtId="0" fontId="7" fillId="4" borderId="11" xfId="0" applyFont="1" applyFill="1" applyBorder="1" applyAlignment="1">
      <alignment horizontal="center"/>
    </xf>
    <xf numFmtId="167" fontId="0" fillId="4" borderId="19" xfId="0" applyNumberFormat="1" applyFill="1" applyBorder="1" applyAlignment="1">
      <alignment horizontal="center"/>
    </xf>
    <xf numFmtId="0" fontId="6" fillId="4" borderId="5" xfId="0" applyFont="1" applyFill="1" applyBorder="1" applyAlignment="1">
      <alignment horizontal="center"/>
    </xf>
    <xf numFmtId="0" fontId="7" fillId="4" borderId="0" xfId="0" applyFont="1" applyFill="1" applyBorder="1" applyAlignment="1">
      <alignment horizontal="center"/>
    </xf>
    <xf numFmtId="0" fontId="0" fillId="4" borderId="2" xfId="0" applyFill="1" applyBorder="1"/>
    <xf numFmtId="0" fontId="0" fillId="4" borderId="0" xfId="0" applyFill="1" applyBorder="1" applyAlignment="1">
      <alignment horizontal="center"/>
    </xf>
    <xf numFmtId="0" fontId="0" fillId="4" borderId="0" xfId="0" applyFill="1" applyBorder="1"/>
    <xf numFmtId="0" fontId="0" fillId="4" borderId="20" xfId="0" applyFill="1" applyBorder="1"/>
    <xf numFmtId="11" fontId="1" fillId="4" borderId="0" xfId="2" applyNumberFormat="1" applyFont="1" applyFill="1" applyBorder="1"/>
    <xf numFmtId="11" fontId="1" fillId="4" borderId="10" xfId="2" applyNumberFormat="1" applyFont="1" applyFill="1" applyBorder="1"/>
    <xf numFmtId="0" fontId="4" fillId="3" borderId="0" xfId="0" applyFont="1" applyFill="1" applyBorder="1" applyAlignment="1">
      <alignment horizontal="center"/>
    </xf>
    <xf numFmtId="0" fontId="0" fillId="0" borderId="0" xfId="0" applyFill="1" applyBorder="1"/>
    <xf numFmtId="0" fontId="7" fillId="0" borderId="0" xfId="0" applyFont="1" applyFill="1" applyBorder="1" applyAlignment="1">
      <alignment horizontal="center"/>
    </xf>
    <xf numFmtId="166" fontId="0" fillId="0" borderId="0" xfId="0" applyNumberFormat="1" applyFill="1" applyBorder="1"/>
    <xf numFmtId="43" fontId="0" fillId="4" borderId="0" xfId="2" applyFont="1" applyFill="1" applyBorder="1"/>
    <xf numFmtId="0" fontId="0" fillId="4" borderId="10" xfId="0" applyFill="1" applyBorder="1"/>
    <xf numFmtId="0" fontId="0" fillId="4" borderId="10" xfId="0" applyFill="1" applyBorder="1" applyAlignment="1">
      <alignment horizontal="center"/>
    </xf>
    <xf numFmtId="0" fontId="4" fillId="3" borderId="1" xfId="0" applyFont="1" applyFill="1" applyBorder="1" applyAlignment="1">
      <alignment horizontal="center"/>
    </xf>
    <xf numFmtId="0" fontId="4" fillId="3" borderId="21" xfId="0" applyFont="1" applyFill="1" applyBorder="1" applyAlignment="1">
      <alignment horizontal="center"/>
    </xf>
    <xf numFmtId="0" fontId="4" fillId="3" borderId="12" xfId="0" applyFont="1" applyFill="1" applyBorder="1" applyAlignment="1">
      <alignment horizontal="center"/>
    </xf>
    <xf numFmtId="0" fontId="0" fillId="5" borderId="20" xfId="0" applyFill="1" applyBorder="1"/>
    <xf numFmtId="0" fontId="6" fillId="4" borderId="0" xfId="0" applyFont="1" applyFill="1" applyBorder="1"/>
    <xf numFmtId="0" fontId="4" fillId="3" borderId="2" xfId="0" applyFont="1" applyFill="1" applyBorder="1" applyAlignment="1">
      <alignment horizontal="center"/>
    </xf>
    <xf numFmtId="0" fontId="4" fillId="3" borderId="20" xfId="0" applyFont="1" applyFill="1" applyBorder="1" applyAlignment="1">
      <alignment horizontal="center"/>
    </xf>
    <xf numFmtId="2" fontId="0" fillId="5" borderId="20" xfId="0" applyNumberFormat="1" applyFill="1" applyBorder="1"/>
    <xf numFmtId="167" fontId="0" fillId="5" borderId="20" xfId="0" applyNumberFormat="1" applyFill="1" applyBorder="1"/>
    <xf numFmtId="164" fontId="0" fillId="4" borderId="9" xfId="0" applyNumberFormat="1" applyFill="1" applyBorder="1"/>
    <xf numFmtId="2" fontId="0" fillId="2" borderId="20" xfId="0" applyNumberFormat="1" applyFill="1" applyBorder="1"/>
    <xf numFmtId="2" fontId="0" fillId="2" borderId="11" xfId="0" applyNumberFormat="1" applyFill="1" applyBorder="1"/>
    <xf numFmtId="164" fontId="0" fillId="2" borderId="20" xfId="0" applyNumberFormat="1" applyFill="1" applyBorder="1"/>
    <xf numFmtId="167" fontId="0" fillId="2" borderId="11" xfId="0" applyNumberFormat="1" applyFill="1" applyBorder="1"/>
    <xf numFmtId="0" fontId="4" fillId="3" borderId="1" xfId="0" applyFont="1" applyFill="1" applyBorder="1" applyAlignment="1">
      <alignment horizontal="left"/>
    </xf>
    <xf numFmtId="0" fontId="4" fillId="3" borderId="21" xfId="0" applyFont="1" applyFill="1" applyBorder="1" applyAlignment="1">
      <alignment horizontal="left"/>
    </xf>
    <xf numFmtId="0" fontId="4" fillId="3" borderId="12" xfId="0" applyFont="1" applyFill="1" applyBorder="1" applyAlignment="1">
      <alignment horizontal="left"/>
    </xf>
    <xf numFmtId="11" fontId="0" fillId="2" borderId="20" xfId="0" applyNumberFormat="1" applyFill="1" applyBorder="1"/>
    <xf numFmtId="0" fontId="0" fillId="5" borderId="0" xfId="0" applyFill="1" applyBorder="1"/>
    <xf numFmtId="2" fontId="0" fillId="5" borderId="0" xfId="0" applyNumberFormat="1" applyFill="1" applyBorder="1"/>
    <xf numFmtId="2" fontId="0" fillId="2" borderId="0" xfId="0" applyNumberFormat="1" applyFill="1" applyBorder="1"/>
    <xf numFmtId="167" fontId="0" fillId="5" borderId="0" xfId="0" applyNumberFormat="1" applyFill="1" applyBorder="1"/>
    <xf numFmtId="2" fontId="0" fillId="2" borderId="10" xfId="0" applyNumberFormat="1" applyFill="1" applyBorder="1"/>
    <xf numFmtId="0" fontId="6" fillId="4" borderId="0" xfId="0" applyFont="1" applyFill="1" applyBorder="1" applyAlignment="1">
      <alignment horizontal="center"/>
    </xf>
    <xf numFmtId="0" fontId="0" fillId="0" borderId="0" xfId="0" applyAlignment="1">
      <alignment horizontal="center"/>
    </xf>
    <xf numFmtId="0" fontId="7" fillId="4" borderId="0" xfId="0" applyFont="1" applyFill="1" applyBorder="1"/>
    <xf numFmtId="0" fontId="0" fillId="4" borderId="20" xfId="0" applyFill="1" applyBorder="1" applyAlignment="1">
      <alignment horizontal="center"/>
    </xf>
    <xf numFmtId="2" fontId="11" fillId="2" borderId="0" xfId="1"/>
    <xf numFmtId="0" fontId="4" fillId="3" borderId="22" xfId="3" applyBorder="1">
      <alignment horizontal="center"/>
    </xf>
    <xf numFmtId="0" fontId="4" fillId="3" borderId="23" xfId="3" applyBorder="1">
      <alignment horizontal="center"/>
    </xf>
    <xf numFmtId="0" fontId="4" fillId="3" borderId="24" xfId="3" applyBorder="1">
      <alignment horizontal="center"/>
    </xf>
    <xf numFmtId="0" fontId="11" fillId="5" borderId="20" xfId="6" applyBorder="1"/>
    <xf numFmtId="0" fontId="4" fillId="3" borderId="6" xfId="3" applyBorder="1">
      <alignment horizontal="center"/>
    </xf>
    <xf numFmtId="0" fontId="4" fillId="3" borderId="8" xfId="3" applyBorder="1">
      <alignment horizontal="center"/>
    </xf>
    <xf numFmtId="0" fontId="4" fillId="3" borderId="7" xfId="3" quotePrefix="1" applyBorder="1">
      <alignment horizontal="center"/>
    </xf>
    <xf numFmtId="0" fontId="5" fillId="3" borderId="0" xfId="0" applyFont="1" applyFill="1" applyBorder="1"/>
    <xf numFmtId="0" fontId="5" fillId="3" borderId="20" xfId="0" applyFont="1" applyFill="1" applyBorder="1"/>
    <xf numFmtId="0" fontId="4" fillId="3" borderId="2" xfId="0" applyFont="1" applyFill="1" applyBorder="1"/>
    <xf numFmtId="0" fontId="7" fillId="4" borderId="2" xfId="0" applyFont="1" applyFill="1" applyBorder="1"/>
    <xf numFmtId="11" fontId="0" fillId="5" borderId="20" xfId="0" applyNumberFormat="1" applyFill="1" applyBorder="1"/>
    <xf numFmtId="11" fontId="0" fillId="5" borderId="0" xfId="0" applyNumberFormat="1" applyFill="1" applyBorder="1"/>
    <xf numFmtId="0" fontId="4" fillId="3" borderId="6" xfId="3" applyBorder="1" applyAlignment="1">
      <alignment horizontal="center"/>
    </xf>
    <xf numFmtId="0" fontId="4" fillId="3" borderId="22" xfId="3" applyBorder="1" applyAlignment="1">
      <alignment horizontal="center"/>
    </xf>
    <xf numFmtId="0" fontId="7" fillId="4" borderId="9" xfId="0" applyFont="1" applyFill="1" applyBorder="1"/>
    <xf numFmtId="167" fontId="0" fillId="2" borderId="20" xfId="0" applyNumberFormat="1" applyFill="1" applyBorder="1"/>
    <xf numFmtId="1" fontId="0" fillId="2" borderId="20" xfId="0" applyNumberFormat="1" applyFill="1" applyBorder="1"/>
    <xf numFmtId="1" fontId="4" fillId="3" borderId="24" xfId="3" applyNumberFormat="1" applyBorder="1">
      <alignment horizontal="center"/>
    </xf>
    <xf numFmtId="1" fontId="0" fillId="2" borderId="11" xfId="0" applyNumberFormat="1" applyFill="1" applyBorder="1"/>
    <xf numFmtId="0" fontId="4" fillId="3" borderId="23" xfId="0" applyFont="1" applyFill="1" applyBorder="1" applyAlignment="1">
      <alignment horizontal="left"/>
    </xf>
    <xf numFmtId="0" fontId="4" fillId="3" borderId="22" xfId="0" applyFont="1" applyFill="1" applyBorder="1" applyAlignment="1">
      <alignment horizontal="left"/>
    </xf>
    <xf numFmtId="0" fontId="4" fillId="3" borderId="24" xfId="0" applyFont="1" applyFill="1" applyBorder="1" applyAlignment="1">
      <alignment horizontal="left"/>
    </xf>
    <xf numFmtId="0" fontId="0" fillId="4" borderId="25" xfId="0" applyFill="1" applyBorder="1"/>
    <xf numFmtId="0" fontId="0" fillId="4" borderId="26" xfId="0" applyFill="1" applyBorder="1" applyAlignment="1">
      <alignment horizontal="center"/>
    </xf>
    <xf numFmtId="0" fontId="0" fillId="4" borderId="26" xfId="0" applyFill="1" applyBorder="1"/>
    <xf numFmtId="0" fontId="0" fillId="4" borderId="27" xfId="0" applyFill="1" applyBorder="1"/>
    <xf numFmtId="0" fontId="16" fillId="0" borderId="0" xfId="0" applyFont="1"/>
    <xf numFmtId="0" fontId="0" fillId="5" borderId="26" xfId="0" applyFill="1" applyBorder="1"/>
    <xf numFmtId="0" fontId="0" fillId="4" borderId="18" xfId="0" applyFill="1" applyBorder="1"/>
    <xf numFmtId="0" fontId="0" fillId="5" borderId="17" xfId="0" applyFill="1" applyBorder="1"/>
    <xf numFmtId="0" fontId="0" fillId="4" borderId="19" xfId="0" applyFill="1" applyBorder="1"/>
    <xf numFmtId="0" fontId="0" fillId="2" borderId="17" xfId="0" applyFill="1" applyBorder="1"/>
    <xf numFmtId="0" fontId="0" fillId="4" borderId="28" xfId="0" applyFill="1" applyBorder="1"/>
    <xf numFmtId="0" fontId="0" fillId="4" borderId="29" xfId="0" applyFill="1" applyBorder="1" applyAlignment="1">
      <alignment horizontal="center"/>
    </xf>
    <xf numFmtId="0" fontId="0" fillId="2" borderId="29" xfId="0" applyFill="1" applyBorder="1"/>
    <xf numFmtId="0" fontId="0" fillId="4" borderId="30" xfId="0" applyFill="1" applyBorder="1"/>
    <xf numFmtId="164" fontId="0" fillId="2" borderId="29" xfId="0" applyNumberFormat="1" applyFill="1" applyBorder="1"/>
    <xf numFmtId="0" fontId="6" fillId="4" borderId="29" xfId="0" applyFont="1" applyFill="1" applyBorder="1" applyAlignment="1">
      <alignment horizontal="center"/>
    </xf>
    <xf numFmtId="2" fontId="0" fillId="2" borderId="29" xfId="0" applyNumberFormat="1" applyFill="1" applyBorder="1"/>
    <xf numFmtId="2" fontId="0" fillId="2" borderId="17" xfId="0" applyNumberFormat="1" applyFill="1" applyBorder="1"/>
    <xf numFmtId="0" fontId="0" fillId="4" borderId="31" xfId="0" applyFill="1" applyBorder="1"/>
    <xf numFmtId="0" fontId="0" fillId="4" borderId="32" xfId="0" applyFill="1" applyBorder="1" applyAlignment="1">
      <alignment horizontal="center"/>
    </xf>
    <xf numFmtId="2" fontId="0" fillId="2" borderId="32" xfId="0" applyNumberFormat="1" applyFill="1" applyBorder="1"/>
    <xf numFmtId="0" fontId="0" fillId="4" borderId="33" xfId="0" applyFill="1" applyBorder="1"/>
    <xf numFmtId="0" fontId="7" fillId="4" borderId="20" xfId="0" applyFont="1" applyFill="1" applyBorder="1"/>
    <xf numFmtId="0" fontId="0" fillId="6" borderId="34" xfId="0" applyFill="1" applyBorder="1"/>
    <xf numFmtId="0" fontId="0" fillId="6" borderId="35" xfId="0" applyFill="1" applyBorder="1"/>
    <xf numFmtId="0" fontId="7" fillId="6" borderId="34" xfId="0" applyFont="1" applyFill="1" applyBorder="1"/>
    <xf numFmtId="0" fontId="7" fillId="6" borderId="35" xfId="0" applyFont="1" applyFill="1" applyBorder="1"/>
    <xf numFmtId="0" fontId="4" fillId="3" borderId="6" xfId="0" applyFont="1" applyFill="1" applyBorder="1" applyAlignment="1">
      <alignment horizontal="left"/>
    </xf>
    <xf numFmtId="0" fontId="7" fillId="0" borderId="0" xfId="0" applyFont="1"/>
    <xf numFmtId="0" fontId="7" fillId="0" borderId="0" xfId="0" applyFont="1" applyFill="1"/>
    <xf numFmtId="0" fontId="6" fillId="0" borderId="0" xfId="0" applyFont="1"/>
    <xf numFmtId="10" fontId="0" fillId="5" borderId="0" xfId="0" applyNumberFormat="1" applyFill="1" applyBorder="1"/>
    <xf numFmtId="10" fontId="0" fillId="0" borderId="0" xfId="0" applyNumberFormat="1"/>
    <xf numFmtId="10" fontId="0" fillId="0" borderId="0" xfId="0" applyNumberFormat="1" applyFill="1"/>
    <xf numFmtId="0" fontId="4" fillId="3" borderId="9" xfId="0" applyFont="1" applyFill="1" applyBorder="1" applyAlignment="1">
      <alignment horizontal="left"/>
    </xf>
    <xf numFmtId="0" fontId="4" fillId="3" borderId="10" xfId="0" applyFont="1" applyFill="1" applyBorder="1" applyAlignment="1">
      <alignment horizontal="left"/>
    </xf>
    <xf numFmtId="0" fontId="4" fillId="3" borderId="11" xfId="0" applyFont="1" applyFill="1" applyBorder="1" applyAlignment="1">
      <alignment horizontal="left"/>
    </xf>
    <xf numFmtId="0" fontId="4" fillId="3" borderId="9" xfId="0" applyFont="1" applyFill="1" applyBorder="1" applyAlignment="1">
      <alignment horizont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7" fillId="4" borderId="11" xfId="0" applyFont="1" applyFill="1" applyBorder="1"/>
    <xf numFmtId="165" fontId="0" fillId="4" borderId="10" xfId="0" applyNumberFormat="1" applyFill="1" applyBorder="1"/>
    <xf numFmtId="0" fontId="11" fillId="5" borderId="0" xfId="6" applyBorder="1"/>
    <xf numFmtId="2" fontId="0" fillId="2" borderId="20" xfId="0" applyNumberFormat="1" applyFill="1" applyBorder="1" applyAlignment="1">
      <alignment horizontal="center"/>
    </xf>
    <xf numFmtId="0" fontId="4" fillId="3" borderId="36" xfId="0" applyFont="1" applyFill="1" applyBorder="1" applyAlignment="1">
      <alignment horizontal="center"/>
    </xf>
    <xf numFmtId="0" fontId="4" fillId="3" borderId="37" xfId="0" applyFont="1" applyFill="1" applyBorder="1" applyAlignment="1">
      <alignment horizontal="center"/>
    </xf>
    <xf numFmtId="0" fontId="4" fillId="3" borderId="38" xfId="0" applyFont="1" applyFill="1" applyBorder="1" applyAlignment="1">
      <alignment horizontal="center"/>
    </xf>
    <xf numFmtId="0" fontId="4" fillId="3" borderId="7" xfId="0" applyFont="1" applyFill="1" applyBorder="1" applyAlignment="1">
      <alignment horizontal="left"/>
    </xf>
    <xf numFmtId="0" fontId="0" fillId="6" borderId="2" xfId="0" applyFill="1" applyBorder="1"/>
    <xf numFmtId="0" fontId="0" fillId="6" borderId="20" xfId="0" applyFill="1" applyBorder="1"/>
    <xf numFmtId="0" fontId="0" fillId="6" borderId="2" xfId="0" applyFill="1" applyBorder="1" applyAlignment="1">
      <alignment horizontal="right"/>
    </xf>
    <xf numFmtId="0" fontId="7" fillId="6" borderId="20" xfId="0" applyFont="1" applyFill="1" applyBorder="1"/>
    <xf numFmtId="0" fontId="0" fillId="6" borderId="9" xfId="0" applyFill="1" applyBorder="1"/>
    <xf numFmtId="0" fontId="0" fillId="6" borderId="1" xfId="0" applyFill="1" applyBorder="1"/>
    <xf numFmtId="1" fontId="7" fillId="5" borderId="34" xfId="6" applyNumberFormat="1" applyFont="1" applyBorder="1"/>
    <xf numFmtId="1" fontId="7" fillId="5" borderId="39" xfId="6" applyNumberFormat="1" applyFont="1" applyBorder="1"/>
    <xf numFmtId="1" fontId="7" fillId="5" borderId="35" xfId="6" applyNumberFormat="1" applyFont="1" applyBorder="1"/>
    <xf numFmtId="1" fontId="7" fillId="5" borderId="40" xfId="6" applyNumberFormat="1" applyFont="1" applyBorder="1"/>
    <xf numFmtId="1" fontId="7" fillId="5" borderId="20" xfId="6" applyNumberFormat="1" applyFont="1" applyBorder="1"/>
    <xf numFmtId="1" fontId="7" fillId="5" borderId="11" xfId="6" applyNumberFormat="1" applyFont="1" applyBorder="1"/>
    <xf numFmtId="10" fontId="7" fillId="2" borderId="0" xfId="1" applyNumberFormat="1" applyFont="1" applyBorder="1"/>
    <xf numFmtId="10" fontId="7" fillId="2" borderId="10" xfId="1" applyNumberFormat="1" applyFont="1" applyBorder="1"/>
    <xf numFmtId="0" fontId="0" fillId="6" borderId="0" xfId="0" applyFill="1" applyBorder="1" applyAlignment="1">
      <alignment horizontal="center"/>
    </xf>
    <xf numFmtId="0" fontId="7" fillId="6" borderId="0" xfId="0" applyFont="1" applyFill="1" applyBorder="1" applyAlignment="1">
      <alignment horizontal="center"/>
    </xf>
    <xf numFmtId="1" fontId="0" fillId="2" borderId="0" xfId="0" applyNumberFormat="1" applyFill="1" applyBorder="1"/>
    <xf numFmtId="1" fontId="11" fillId="2" borderId="0" xfId="1" applyNumberFormat="1" applyBorder="1"/>
    <xf numFmtId="9" fontId="0" fillId="2" borderId="10" xfId="4" applyFont="1" applyFill="1" applyBorder="1"/>
    <xf numFmtId="43" fontId="0" fillId="2" borderId="0" xfId="2" applyFont="1" applyFill="1" applyBorder="1"/>
    <xf numFmtId="0" fontId="7" fillId="4" borderId="1" xfId="0" applyFont="1" applyFill="1" applyBorder="1"/>
    <xf numFmtId="0" fontId="7" fillId="4" borderId="21" xfId="0" applyFont="1" applyFill="1" applyBorder="1" applyAlignment="1">
      <alignment horizontal="center"/>
    </xf>
    <xf numFmtId="43" fontId="0" fillId="2" borderId="21" xfId="2" applyFont="1" applyFill="1" applyBorder="1"/>
    <xf numFmtId="0" fontId="7" fillId="4" borderId="12" xfId="0" applyFont="1" applyFill="1" applyBorder="1"/>
    <xf numFmtId="43" fontId="0" fillId="2" borderId="10" xfId="2" applyFont="1" applyFill="1" applyBorder="1"/>
    <xf numFmtId="0" fontId="0" fillId="0" borderId="21" xfId="0" applyBorder="1"/>
    <xf numFmtId="0" fontId="0" fillId="0" borderId="12" xfId="0" applyBorder="1"/>
    <xf numFmtId="0" fontId="0" fillId="0" borderId="0" xfId="0" applyBorder="1"/>
    <xf numFmtId="1" fontId="7" fillId="5" borderId="0" xfId="6" applyNumberFormat="1" applyFont="1" applyBorder="1"/>
    <xf numFmtId="1" fontId="7" fillId="2" borderId="0" xfId="1" applyNumberFormat="1" applyFont="1" applyBorder="1"/>
    <xf numFmtId="2" fontId="7" fillId="2" borderId="0" xfId="1" applyFont="1" applyBorder="1"/>
    <xf numFmtId="9" fontId="7" fillId="5" borderId="0" xfId="4" applyFont="1" applyFill="1" applyBorder="1"/>
    <xf numFmtId="0" fontId="0" fillId="0" borderId="10" xfId="0" applyBorder="1"/>
    <xf numFmtId="0" fontId="0" fillId="4" borderId="11" xfId="0" applyFill="1" applyBorder="1" applyAlignment="1">
      <alignment horizontal="center"/>
    </xf>
    <xf numFmtId="2" fontId="0" fillId="0" borderId="0" xfId="0" applyNumberFormat="1"/>
    <xf numFmtId="2" fontId="0" fillId="0" borderId="0" xfId="0" applyNumberFormat="1" applyFill="1"/>
    <xf numFmtId="0" fontId="16" fillId="0" borderId="1" xfId="0" applyFont="1" applyBorder="1"/>
    <xf numFmtId="0" fontId="0" fillId="0" borderId="21" xfId="0" applyFill="1" applyBorder="1"/>
    <xf numFmtId="2" fontId="0" fillId="5" borderId="0" xfId="2" applyNumberFormat="1" applyFont="1" applyFill="1" applyBorder="1"/>
    <xf numFmtId="0" fontId="7" fillId="5" borderId="0" xfId="6" applyFont="1" applyBorder="1"/>
    <xf numFmtId="0" fontId="4" fillId="3" borderId="9" xfId="3" applyBorder="1">
      <alignment horizontal="center"/>
    </xf>
    <xf numFmtId="0" fontId="4" fillId="3" borderId="10" xfId="3" applyBorder="1">
      <alignment horizontal="center"/>
    </xf>
    <xf numFmtId="0" fontId="4" fillId="3" borderId="11" xfId="3" applyBorder="1">
      <alignment horizontal="center"/>
    </xf>
    <xf numFmtId="9" fontId="7" fillId="5" borderId="0" xfId="6" applyNumberFormat="1" applyFont="1" applyBorder="1"/>
    <xf numFmtId="0" fontId="7" fillId="5" borderId="10" xfId="6" applyFont="1" applyBorder="1"/>
    <xf numFmtId="2" fontId="11" fillId="2" borderId="2" xfId="1" applyBorder="1"/>
    <xf numFmtId="2" fontId="11" fillId="2" borderId="0" xfId="1" applyBorder="1"/>
    <xf numFmtId="2" fontId="11" fillId="2" borderId="20" xfId="1" applyBorder="1"/>
    <xf numFmtId="2" fontId="11" fillId="2" borderId="9" xfId="1" applyBorder="1"/>
    <xf numFmtId="2" fontId="11" fillId="2" borderId="10" xfId="1" applyBorder="1"/>
    <xf numFmtId="2" fontId="11" fillId="2" borderId="11" xfId="1" applyBorder="1"/>
    <xf numFmtId="168" fontId="0" fillId="0" borderId="0" xfId="4" applyNumberFormat="1" applyFont="1" applyFill="1"/>
    <xf numFmtId="2" fontId="11" fillId="2" borderId="41" xfId="1" applyBorder="1"/>
    <xf numFmtId="1" fontId="0" fillId="2" borderId="0" xfId="0" applyNumberFormat="1" applyFill="1" applyBorder="1" applyAlignment="1">
      <alignment horizontal="center"/>
    </xf>
    <xf numFmtId="0" fontId="16" fillId="0" borderId="0" xfId="0" applyFont="1" applyBorder="1"/>
    <xf numFmtId="0" fontId="0" fillId="0" borderId="10" xfId="0" applyFill="1" applyBorder="1"/>
    <xf numFmtId="0" fontId="16" fillId="0" borderId="10" xfId="0" applyFont="1" applyBorder="1"/>
    <xf numFmtId="9" fontId="11" fillId="5" borderId="0" xfId="4" applyFont="1" applyFill="1"/>
    <xf numFmtId="2" fontId="0" fillId="5" borderId="20" xfId="2" applyNumberFormat="1" applyFont="1" applyFill="1" applyBorder="1"/>
    <xf numFmtId="11" fontId="11" fillId="5" borderId="0" xfId="6" applyNumberFormat="1"/>
    <xf numFmtId="170" fontId="7" fillId="2" borderId="0" xfId="1" applyNumberFormat="1" applyFont="1" applyBorder="1"/>
    <xf numFmtId="169" fontId="7" fillId="5" borderId="0" xfId="2" applyNumberFormat="1" applyFont="1" applyFill="1" applyBorder="1"/>
    <xf numFmtId="0" fontId="7" fillId="5" borderId="0" xfId="6" applyFont="1"/>
    <xf numFmtId="2" fontId="7" fillId="5" borderId="0" xfId="0" applyNumberFormat="1" applyFont="1" applyFill="1" applyBorder="1"/>
    <xf numFmtId="0" fontId="4" fillId="3" borderId="1" xfId="3">
      <alignment horizontal="center"/>
    </xf>
    <xf numFmtId="10" fontId="7" fillId="2" borderId="0" xfId="4" applyNumberFormat="1" applyFont="1" applyFill="1" applyBorder="1"/>
    <xf numFmtId="1" fontId="7" fillId="5" borderId="10" xfId="6" applyNumberFormat="1" applyFont="1" applyBorder="1"/>
    <xf numFmtId="0" fontId="0" fillId="6" borderId="42" xfId="0" applyFill="1" applyBorder="1"/>
    <xf numFmtId="0" fontId="7" fillId="6" borderId="43" xfId="0" applyFont="1" applyFill="1" applyBorder="1" applyAlignment="1">
      <alignment horizontal="center"/>
    </xf>
    <xf numFmtId="0" fontId="0" fillId="6" borderId="44" xfId="0" applyFill="1" applyBorder="1"/>
    <xf numFmtId="0" fontId="0" fillId="6" borderId="43" xfId="0" applyFill="1" applyBorder="1"/>
    <xf numFmtId="0" fontId="0" fillId="6" borderId="45" xfId="0" applyFill="1" applyBorder="1"/>
    <xf numFmtId="0" fontId="7" fillId="6" borderId="46" xfId="0" applyFont="1" applyFill="1" applyBorder="1"/>
    <xf numFmtId="0" fontId="0" fillId="6" borderId="22" xfId="0" applyFill="1" applyBorder="1" applyAlignment="1">
      <alignment horizontal="center"/>
    </xf>
    <xf numFmtId="0" fontId="7" fillId="6" borderId="47" xfId="0" applyFont="1" applyFill="1" applyBorder="1"/>
    <xf numFmtId="0" fontId="7" fillId="6" borderId="22" xfId="0" applyFont="1" applyFill="1" applyBorder="1"/>
    <xf numFmtId="0" fontId="7" fillId="6" borderId="24" xfId="0" applyFont="1" applyFill="1" applyBorder="1"/>
    <xf numFmtId="0" fontId="7" fillId="4" borderId="43" xfId="0" applyFont="1" applyFill="1" applyBorder="1" applyAlignment="1">
      <alignment horizontal="center"/>
    </xf>
    <xf numFmtId="11" fontId="11" fillId="5" borderId="20" xfId="6" applyNumberFormat="1" applyBorder="1"/>
    <xf numFmtId="11" fontId="0" fillId="2" borderId="11" xfId="0" applyNumberFormat="1" applyFill="1" applyBorder="1"/>
    <xf numFmtId="0" fontId="7" fillId="4" borderId="10" xfId="0" applyFont="1" applyFill="1" applyBorder="1"/>
    <xf numFmtId="0" fontId="7" fillId="5" borderId="20" xfId="0" applyFont="1" applyFill="1" applyBorder="1"/>
    <xf numFmtId="0" fontId="7" fillId="6" borderId="43" xfId="0" applyFont="1" applyFill="1" applyBorder="1"/>
    <xf numFmtId="0" fontId="4" fillId="3" borderId="42" xfId="0" applyFont="1" applyFill="1" applyBorder="1" applyAlignment="1">
      <alignment horizontal="left"/>
    </xf>
    <xf numFmtId="0" fontId="4" fillId="3" borderId="43" xfId="0" applyFont="1" applyFill="1" applyBorder="1" applyAlignment="1">
      <alignment horizontal="left"/>
    </xf>
    <xf numFmtId="0" fontId="4" fillId="3" borderId="44" xfId="0" applyFont="1" applyFill="1" applyBorder="1" applyAlignment="1">
      <alignment horizontal="left"/>
    </xf>
    <xf numFmtId="0" fontId="4" fillId="3" borderId="39" xfId="0" applyFont="1" applyFill="1" applyBorder="1" applyAlignment="1">
      <alignment horizontal="left"/>
    </xf>
    <xf numFmtId="0" fontId="4" fillId="3" borderId="40" xfId="0" applyFont="1" applyFill="1" applyBorder="1" applyAlignment="1">
      <alignment horizontal="left"/>
    </xf>
    <xf numFmtId="0" fontId="4" fillId="3" borderId="48" xfId="0" applyFont="1" applyFill="1" applyBorder="1" applyAlignment="1">
      <alignment horizontal="left"/>
    </xf>
    <xf numFmtId="0" fontId="4" fillId="3" borderId="49" xfId="0" applyFont="1" applyFill="1" applyBorder="1" applyAlignment="1">
      <alignment horizontal="center"/>
    </xf>
    <xf numFmtId="0" fontId="0" fillId="6" borderId="48" xfId="0" applyFill="1" applyBorder="1"/>
    <xf numFmtId="0" fontId="4" fillId="3" borderId="50" xfId="0" applyFont="1" applyFill="1" applyBorder="1" applyAlignment="1">
      <alignment horizontal="center"/>
    </xf>
    <xf numFmtId="0" fontId="0" fillId="6" borderId="34" xfId="0" applyFill="1" applyBorder="1" applyAlignment="1">
      <alignment horizontal="right"/>
    </xf>
    <xf numFmtId="0" fontId="0" fillId="6" borderId="46" xfId="0" applyFill="1" applyBorder="1"/>
    <xf numFmtId="1" fontId="7" fillId="5" borderId="46" xfId="6" applyNumberFormat="1" applyFont="1" applyBorder="1"/>
    <xf numFmtId="1" fontId="7" fillId="5" borderId="22" xfId="6" applyNumberFormat="1" applyFont="1" applyBorder="1"/>
    <xf numFmtId="10" fontId="7" fillId="2" borderId="22" xfId="1" applyNumberFormat="1" applyFont="1" applyBorder="1"/>
    <xf numFmtId="1" fontId="7" fillId="5" borderId="47" xfId="6" applyNumberFormat="1" applyFont="1" applyBorder="1"/>
    <xf numFmtId="0" fontId="4" fillId="3" borderId="21" xfId="0" applyFont="1" applyFill="1" applyBorder="1" applyAlignment="1">
      <alignment horizontal="center"/>
    </xf>
    <xf numFmtId="0" fontId="4" fillId="3" borderId="12" xfId="0" applyFont="1" applyFill="1" applyBorder="1" applyAlignment="1">
      <alignment horizontal="center"/>
    </xf>
    <xf numFmtId="167" fontId="0" fillId="0" borderId="0" xfId="0" applyNumberFormat="1"/>
    <xf numFmtId="1" fontId="0" fillId="0" borderId="0" xfId="0" applyNumberFormat="1"/>
    <xf numFmtId="164" fontId="0" fillId="0" borderId="0" xfId="0" applyNumberFormat="1"/>
  </cellXfs>
  <cellStyles count="7">
    <cellStyle name="Calc Output" xfId="1"/>
    <cellStyle name="Comma" xfId="2" builtinId="3"/>
    <cellStyle name="heading" xfId="3"/>
    <cellStyle name="Normal" xfId="0" builtinId="0"/>
    <cellStyle name="Percent" xfId="4" builtinId="5"/>
    <cellStyle name="Sub Heading" xfId="5"/>
    <cellStyle name="User Input" xfId="6"/>
  </cellStyles>
  <dxfs count="2">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000000"/>
                </a:solidFill>
                <a:latin typeface="Calibri"/>
              </a:rPr>
              <a:t>Contact with Ground Station, </a:t>
            </a:r>
            <a:r>
              <a:rPr lang="en-US" sz="1800" b="1" i="0" u="none" strike="noStrike" baseline="0">
                <a:solidFill>
                  <a:srgbClr val="000000"/>
                </a:solidFill>
                <a:latin typeface="Symbol"/>
              </a:rPr>
              <a:t>t</a:t>
            </a:r>
            <a:r>
              <a:rPr lang="en-US" sz="1800" b="1" i="0" u="none" strike="noStrike" baseline="-25000">
                <a:solidFill>
                  <a:srgbClr val="000000"/>
                </a:solidFill>
                <a:latin typeface="Calibri"/>
              </a:rPr>
              <a:t>c</a:t>
            </a:r>
            <a:endParaRPr lang="en-US" sz="1800" b="1" i="0" u="none" strike="noStrike" baseline="0">
              <a:solidFill>
                <a:srgbClr val="000000"/>
              </a:solidFill>
              <a:latin typeface="Calibri"/>
            </a:endParaRPr>
          </a:p>
          <a:p>
            <a:pPr>
              <a:defRPr sz="1000" b="0" i="0" u="none" strike="noStrike" baseline="0">
                <a:solidFill>
                  <a:srgbClr val="000000"/>
                </a:solidFill>
                <a:latin typeface="Calibri"/>
                <a:ea typeface="Calibri"/>
                <a:cs typeface="Calibri"/>
              </a:defRPr>
            </a:pPr>
            <a:endParaRPr lang="en-US" sz="1800" b="1" i="0" u="none" strike="noStrike" baseline="0">
              <a:solidFill>
                <a:srgbClr val="000000"/>
              </a:solidFill>
              <a:latin typeface="Calibri"/>
            </a:endParaRPr>
          </a:p>
        </c:rich>
      </c:tx>
      <c:layout/>
      <c:overlay val="0"/>
    </c:title>
    <c:autoTitleDeleted val="0"/>
    <c:plotArea>
      <c:layout>
        <c:manualLayout>
          <c:layoutTarget val="inner"/>
          <c:xMode val="edge"/>
          <c:yMode val="edge"/>
          <c:x val="0.20426911645501214"/>
          <c:y val="0.23950966525223955"/>
          <c:w val="0.73061334774385311"/>
          <c:h val="0.56388495992456389"/>
        </c:manualLayout>
      </c:layout>
      <c:scatterChart>
        <c:scatterStyle val="smoothMarker"/>
        <c:varyColors val="0"/>
        <c:ser>
          <c:idx val="0"/>
          <c:order val="0"/>
          <c:tx>
            <c:v>Logan 300 km</c:v>
          </c:tx>
          <c:xVal>
            <c:numRef>
              <c:f>Access!$B$36:$B$48</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Access!$E$36:$E$48</c:f>
              <c:numCache>
                <c:formatCode>0.00%</c:formatCode>
                <c:ptCount val="13"/>
                <c:pt idx="0">
                  <c:v>1.2005165887139707E-2</c:v>
                </c:pt>
                <c:pt idx="1">
                  <c:v>1.560111735366441E-2</c:v>
                </c:pt>
                <c:pt idx="2">
                  <c:v>1.5802140435267575E-2</c:v>
                </c:pt>
                <c:pt idx="3">
                  <c:v>1.0962503200496869E-2</c:v>
                </c:pt>
                <c:pt idx="4">
                  <c:v>9.146196225314979E-3</c:v>
                </c:pt>
                <c:pt idx="5">
                  <c:v>8.1509399954369146E-3</c:v>
                </c:pt>
                <c:pt idx="6">
                  <c:v>7.5137684424671078E-3</c:v>
                </c:pt>
                <c:pt idx="7">
                  <c:v>7.1133584619869697E-3</c:v>
                </c:pt>
                <c:pt idx="8">
                  <c:v>6.8405226950084925E-3</c:v>
                </c:pt>
                <c:pt idx="9">
                  <c:v>6.6892153078814617E-3</c:v>
                </c:pt>
                <c:pt idx="10">
                  <c:v>6.6454563084645223E-3</c:v>
                </c:pt>
                <c:pt idx="11">
                  <c:v>6.7006445990823128E-3</c:v>
                </c:pt>
                <c:pt idx="12">
                  <c:v>6.8655174664740025E-3</c:v>
                </c:pt>
              </c:numCache>
            </c:numRef>
          </c:yVal>
          <c:smooth val="1"/>
          <c:extLst>
            <c:ext xmlns:c16="http://schemas.microsoft.com/office/drawing/2014/chart" uri="{C3380CC4-5D6E-409C-BE32-E72D297353CC}">
              <c16:uniqueId val="{00000000-5198-4533-94E8-75E2B5E8C912}"/>
            </c:ext>
          </c:extLst>
        </c:ser>
        <c:ser>
          <c:idx val="1"/>
          <c:order val="1"/>
          <c:tx>
            <c:v>Wurzburg 300 km</c:v>
          </c:tx>
          <c:xVal>
            <c:numRef>
              <c:f>Access!$B$36:$B$48</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Access!$I$36:$I$48</c:f>
              <c:numCache>
                <c:formatCode>0.00%</c:formatCode>
                <c:ptCount val="13"/>
                <c:pt idx="0">
                  <c:v>8.0988709534311862E-4</c:v>
                </c:pt>
                <c:pt idx="1">
                  <c:v>8.5304064631023923E-3</c:v>
                </c:pt>
                <c:pt idx="2">
                  <c:v>1.3896079423023297E-2</c:v>
                </c:pt>
                <c:pt idx="3">
                  <c:v>1.6585455674702765E-2</c:v>
                </c:pt>
                <c:pt idx="4">
                  <c:v>1.412286095900829E-2</c:v>
                </c:pt>
                <c:pt idx="5">
                  <c:v>1.0639448690648211E-2</c:v>
                </c:pt>
                <c:pt idx="6">
                  <c:v>9.3017018087560525E-3</c:v>
                </c:pt>
                <c:pt idx="7">
                  <c:v>8.5527165247040338E-3</c:v>
                </c:pt>
                <c:pt idx="8">
                  <c:v>8.0977459946257012E-3</c:v>
                </c:pt>
                <c:pt idx="9">
                  <c:v>7.8620279108677464E-3</c:v>
                </c:pt>
                <c:pt idx="10">
                  <c:v>7.777871732958146E-3</c:v>
                </c:pt>
                <c:pt idx="11">
                  <c:v>7.8604195185945705E-3</c:v>
                </c:pt>
                <c:pt idx="12">
                  <c:v>8.1057634610997038E-3</c:v>
                </c:pt>
              </c:numCache>
            </c:numRef>
          </c:yVal>
          <c:smooth val="1"/>
          <c:extLst>
            <c:ext xmlns:c16="http://schemas.microsoft.com/office/drawing/2014/chart" uri="{C3380CC4-5D6E-409C-BE32-E72D297353CC}">
              <c16:uniqueId val="{00000001-5198-4533-94E8-75E2B5E8C912}"/>
            </c:ext>
          </c:extLst>
        </c:ser>
        <c:ser>
          <c:idx val="2"/>
          <c:order val="2"/>
          <c:tx>
            <c:v>Logan 400 km</c:v>
          </c:tx>
          <c:xVal>
            <c:numRef>
              <c:f>Access!$B$15:$B$27</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Access!$E$15:$E$27</c:f>
              <c:numCache>
                <c:formatCode>0.00%</c:formatCode>
                <c:ptCount val="13"/>
                <c:pt idx="0">
                  <c:v>1.6621818991304788E-2</c:v>
                </c:pt>
                <c:pt idx="1">
                  <c:v>2.0635462487641646E-2</c:v>
                </c:pt>
                <c:pt idx="2">
                  <c:v>2.179809126803052E-2</c:v>
                </c:pt>
                <c:pt idx="3">
                  <c:v>1.7051382551271324E-2</c:v>
                </c:pt>
                <c:pt idx="4">
                  <c:v>1.3771488611301241E-2</c:v>
                </c:pt>
                <c:pt idx="5">
                  <c:v>1.2176290972697543E-2</c:v>
                </c:pt>
                <c:pt idx="6">
                  <c:v>1.1203435242223742E-2</c:v>
                </c:pt>
                <c:pt idx="7">
                  <c:v>1.0581131011230257E-2</c:v>
                </c:pt>
                <c:pt idx="8">
                  <c:v>1.0166808153978756E-2</c:v>
                </c:pt>
                <c:pt idx="9">
                  <c:v>9.9552740068953281E-3</c:v>
                </c:pt>
                <c:pt idx="10">
                  <c:v>9.8443394618095165E-3</c:v>
                </c:pt>
                <c:pt idx="11">
                  <c:v>9.9340450477856355E-3</c:v>
                </c:pt>
                <c:pt idx="12">
                  <c:v>1.0194849608335234E-2</c:v>
                </c:pt>
              </c:numCache>
            </c:numRef>
          </c:yVal>
          <c:smooth val="1"/>
          <c:extLst>
            <c:ext xmlns:c16="http://schemas.microsoft.com/office/drawing/2014/chart" uri="{C3380CC4-5D6E-409C-BE32-E72D297353CC}">
              <c16:uniqueId val="{00000002-5198-4533-94E8-75E2B5E8C912}"/>
            </c:ext>
          </c:extLst>
        </c:ser>
        <c:ser>
          <c:idx val="3"/>
          <c:order val="3"/>
          <c:tx>
            <c:v>Wurzburg 400 km</c:v>
          </c:tx>
          <c:xVal>
            <c:numRef>
              <c:f>Access!$B$15:$B$27</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Access!$I$15:$I$27</c:f>
              <c:numCache>
                <c:formatCode>0.00%</c:formatCode>
                <c:ptCount val="13"/>
                <c:pt idx="0">
                  <c:v>5.0732150100134352E-3</c:v>
                </c:pt>
                <c:pt idx="1">
                  <c:v>1.2961004258879003E-2</c:v>
                </c:pt>
                <c:pt idx="2">
                  <c:v>1.8681681243187059E-2</c:v>
                </c:pt>
                <c:pt idx="3">
                  <c:v>2.1942988471873651E-2</c:v>
                </c:pt>
                <c:pt idx="4">
                  <c:v>2.1881233332065812E-2</c:v>
                </c:pt>
                <c:pt idx="5">
                  <c:v>1.6173227178239158E-2</c:v>
                </c:pt>
                <c:pt idx="6">
                  <c:v>1.3921427928613075E-2</c:v>
                </c:pt>
                <c:pt idx="7">
                  <c:v>1.2713389864881993E-2</c:v>
                </c:pt>
                <c:pt idx="8">
                  <c:v>1.2025409663599261E-2</c:v>
                </c:pt>
                <c:pt idx="9">
                  <c:v>1.1657971899003727E-2</c:v>
                </c:pt>
                <c:pt idx="10">
                  <c:v>1.1534869571830557E-2</c:v>
                </c:pt>
                <c:pt idx="11">
                  <c:v>1.1669960326514057E-2</c:v>
                </c:pt>
                <c:pt idx="12">
                  <c:v>1.2028365972063783E-2</c:v>
                </c:pt>
              </c:numCache>
            </c:numRef>
          </c:yVal>
          <c:smooth val="1"/>
          <c:extLst>
            <c:ext xmlns:c16="http://schemas.microsoft.com/office/drawing/2014/chart" uri="{C3380CC4-5D6E-409C-BE32-E72D297353CC}">
              <c16:uniqueId val="{00000003-5198-4533-94E8-75E2B5E8C912}"/>
            </c:ext>
          </c:extLst>
        </c:ser>
        <c:dLbls>
          <c:showLegendKey val="0"/>
          <c:showVal val="0"/>
          <c:showCatName val="0"/>
          <c:showSerName val="0"/>
          <c:showPercent val="0"/>
          <c:showBubbleSize val="0"/>
        </c:dLbls>
        <c:axId val="86987136"/>
        <c:axId val="86989440"/>
      </c:scatterChart>
      <c:valAx>
        <c:axId val="86987136"/>
        <c:scaling>
          <c:orientation val="minMax"/>
          <c:max val="100"/>
          <c:min val="40"/>
        </c:scaling>
        <c:delete val="0"/>
        <c:axPos val="b"/>
        <c:title>
          <c:tx>
            <c:rich>
              <a:bodyPr/>
              <a:lstStyle/>
              <a:p>
                <a:pPr>
                  <a:defRPr sz="1800" b="1" i="0" u="none" strike="noStrike" baseline="0">
                    <a:solidFill>
                      <a:srgbClr val="000000"/>
                    </a:solidFill>
                    <a:latin typeface="Calibri"/>
                    <a:ea typeface="Calibri"/>
                    <a:cs typeface="Calibri"/>
                  </a:defRPr>
                </a:pPr>
                <a:r>
                  <a:rPr lang="en-US" sz="1800"/>
                  <a:t>Orbit Inclination Degrees</a:t>
                </a:r>
              </a:p>
            </c:rich>
          </c:tx>
          <c:layout/>
          <c:overlay val="0"/>
        </c:title>
        <c:numFmt formatCode="General" sourceLinked="1"/>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86989440"/>
        <c:crosses val="autoZero"/>
        <c:crossBetween val="midCat"/>
      </c:valAx>
      <c:valAx>
        <c:axId val="86989440"/>
        <c:scaling>
          <c:orientation val="minMax"/>
          <c:max val="3.0000000000000002E-2"/>
          <c:min val="0"/>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sz="1800"/>
                  <a:t>Percent Time In contact</a:t>
                </a:r>
              </a:p>
            </c:rich>
          </c:tx>
          <c:layout/>
          <c:overlay val="0"/>
        </c:title>
        <c:numFmt formatCode="0.0%" sourceLinked="0"/>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86987136"/>
        <c:crosses val="autoZero"/>
        <c:crossBetween val="midCat"/>
      </c:valAx>
    </c:plotArea>
    <c:legend>
      <c:legendPos val="r"/>
      <c:layout>
        <c:manualLayout>
          <c:xMode val="edge"/>
          <c:yMode val="edge"/>
          <c:x val="0.63422441106852456"/>
          <c:y val="0.229116970138765"/>
          <c:w val="0.22455488175244651"/>
          <c:h val="0.23269692279718326"/>
        </c:manualLayout>
      </c:layout>
      <c:overlay val="0"/>
      <c:spPr>
        <a:solidFill>
          <a:schemeClr val="bg1"/>
        </a:solidFill>
      </c:spPr>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 l="0.70000000000000062" r="0.70000000000000062" t="0.750000000000001" header="0.30000000000000032" footer="0.3000000000000003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Calibri"/>
                <a:ea typeface="Calibri"/>
                <a:cs typeface="Calibri"/>
              </a:defRPr>
            </a:pPr>
            <a:r>
              <a:rPr lang="en-US" sz="2160" b="1" i="0" u="none" strike="noStrike" baseline="0">
                <a:solidFill>
                  <a:srgbClr val="000000"/>
                </a:solidFill>
                <a:latin typeface="Calibri"/>
              </a:rPr>
              <a:t>Contact with ground station, </a:t>
            </a:r>
            <a:r>
              <a:rPr lang="en-US" sz="2160" b="1" i="0" u="none" strike="noStrike" baseline="0">
                <a:solidFill>
                  <a:srgbClr val="000000"/>
                </a:solidFill>
                <a:latin typeface="Symbol"/>
              </a:rPr>
              <a:t>t</a:t>
            </a:r>
            <a:r>
              <a:rPr lang="en-US" sz="2160" b="1" i="0" u="none" strike="noStrike" baseline="-25000">
                <a:solidFill>
                  <a:srgbClr val="000000"/>
                </a:solidFill>
                <a:latin typeface="Calibri"/>
              </a:rPr>
              <a:t>c</a:t>
            </a:r>
            <a:endParaRPr lang="en-US" sz="2160" b="1" i="0" u="none" strike="noStrike" baseline="0">
              <a:solidFill>
                <a:srgbClr val="000000"/>
              </a:solidFill>
              <a:latin typeface="Calibri"/>
            </a:endParaRPr>
          </a:p>
          <a:p>
            <a:pPr>
              <a:defRPr sz="1800" b="0" i="0" u="none" strike="noStrike" baseline="0">
                <a:solidFill>
                  <a:srgbClr val="000000"/>
                </a:solidFill>
                <a:latin typeface="Calibri"/>
                <a:ea typeface="Calibri"/>
                <a:cs typeface="Calibri"/>
              </a:defRPr>
            </a:pPr>
            <a:r>
              <a:rPr lang="en-US" sz="2160" b="1" i="0" u="none" strike="noStrike" baseline="0">
                <a:solidFill>
                  <a:srgbClr val="000000"/>
                </a:solidFill>
                <a:latin typeface="Calibri"/>
              </a:rPr>
              <a:t>Satellite at 400 km</a:t>
            </a:r>
          </a:p>
        </c:rich>
      </c:tx>
      <c:layout>
        <c:manualLayout>
          <c:xMode val="edge"/>
          <c:yMode val="edge"/>
          <c:x val="0.21115268547749785"/>
          <c:y val="3.0439994213321761E-3"/>
        </c:manualLayout>
      </c:layout>
      <c:overlay val="0"/>
    </c:title>
    <c:autoTitleDeleted val="0"/>
    <c:plotArea>
      <c:layout>
        <c:manualLayout>
          <c:layoutTarget val="inner"/>
          <c:xMode val="edge"/>
          <c:yMode val="edge"/>
          <c:x val="0.14971927635683094"/>
          <c:y val="0.19677292404565133"/>
          <c:w val="0.80848409232688712"/>
          <c:h val="0.62022825659189296"/>
        </c:manualLayout>
      </c:layout>
      <c:scatterChart>
        <c:scatterStyle val="smoothMarker"/>
        <c:varyColors val="0"/>
        <c:ser>
          <c:idx val="0"/>
          <c:order val="0"/>
          <c:tx>
            <c:strRef>
              <c:f>Access!$C$12</c:f>
              <c:strCache>
                <c:ptCount val="1"/>
                <c:pt idx="0">
                  <c:v>Logan</c:v>
                </c:pt>
              </c:strCache>
            </c:strRef>
          </c:tx>
          <c:xVal>
            <c:numRef>
              <c:f>Access!$B$15:$B$27</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Access!$E$15:$E$27</c:f>
              <c:numCache>
                <c:formatCode>0.00%</c:formatCode>
                <c:ptCount val="13"/>
                <c:pt idx="0">
                  <c:v>1.6621818991304788E-2</c:v>
                </c:pt>
                <c:pt idx="1">
                  <c:v>2.0635462487641646E-2</c:v>
                </c:pt>
                <c:pt idx="2">
                  <c:v>2.179809126803052E-2</c:v>
                </c:pt>
                <c:pt idx="3">
                  <c:v>1.7051382551271324E-2</c:v>
                </c:pt>
                <c:pt idx="4">
                  <c:v>1.3771488611301241E-2</c:v>
                </c:pt>
                <c:pt idx="5">
                  <c:v>1.2176290972697543E-2</c:v>
                </c:pt>
                <c:pt idx="6">
                  <c:v>1.1203435242223742E-2</c:v>
                </c:pt>
                <c:pt idx="7">
                  <c:v>1.0581131011230257E-2</c:v>
                </c:pt>
                <c:pt idx="8">
                  <c:v>1.0166808153978756E-2</c:v>
                </c:pt>
                <c:pt idx="9">
                  <c:v>9.9552740068953281E-3</c:v>
                </c:pt>
                <c:pt idx="10">
                  <c:v>9.8443394618095165E-3</c:v>
                </c:pt>
                <c:pt idx="11">
                  <c:v>9.9340450477856355E-3</c:v>
                </c:pt>
                <c:pt idx="12">
                  <c:v>1.0194849608335234E-2</c:v>
                </c:pt>
              </c:numCache>
            </c:numRef>
          </c:yVal>
          <c:smooth val="1"/>
          <c:extLst>
            <c:ext xmlns:c16="http://schemas.microsoft.com/office/drawing/2014/chart" uri="{C3380CC4-5D6E-409C-BE32-E72D297353CC}">
              <c16:uniqueId val="{00000000-2B00-4323-A160-D46EF3C9D012}"/>
            </c:ext>
          </c:extLst>
        </c:ser>
        <c:ser>
          <c:idx val="1"/>
          <c:order val="1"/>
          <c:tx>
            <c:strRef>
              <c:f>Access!$G$12</c:f>
              <c:strCache>
                <c:ptCount val="1"/>
                <c:pt idx="0">
                  <c:v>Wurzburg</c:v>
                </c:pt>
              </c:strCache>
            </c:strRef>
          </c:tx>
          <c:xVal>
            <c:numRef>
              <c:f>Access!$B$15:$B$27</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Access!$I$15:$I$27</c:f>
              <c:numCache>
                <c:formatCode>0.00%</c:formatCode>
                <c:ptCount val="13"/>
                <c:pt idx="0">
                  <c:v>5.0732150100134352E-3</c:v>
                </c:pt>
                <c:pt idx="1">
                  <c:v>1.2961004258879003E-2</c:v>
                </c:pt>
                <c:pt idx="2">
                  <c:v>1.8681681243187059E-2</c:v>
                </c:pt>
                <c:pt idx="3">
                  <c:v>2.1942988471873651E-2</c:v>
                </c:pt>
                <c:pt idx="4">
                  <c:v>2.1881233332065812E-2</c:v>
                </c:pt>
                <c:pt idx="5">
                  <c:v>1.6173227178239158E-2</c:v>
                </c:pt>
                <c:pt idx="6">
                  <c:v>1.3921427928613075E-2</c:v>
                </c:pt>
                <c:pt idx="7">
                  <c:v>1.2713389864881993E-2</c:v>
                </c:pt>
                <c:pt idx="8">
                  <c:v>1.2025409663599261E-2</c:v>
                </c:pt>
                <c:pt idx="9">
                  <c:v>1.1657971899003727E-2</c:v>
                </c:pt>
                <c:pt idx="10">
                  <c:v>1.1534869571830557E-2</c:v>
                </c:pt>
                <c:pt idx="11">
                  <c:v>1.1669960326514057E-2</c:v>
                </c:pt>
                <c:pt idx="12">
                  <c:v>1.2028365972063783E-2</c:v>
                </c:pt>
              </c:numCache>
            </c:numRef>
          </c:yVal>
          <c:smooth val="1"/>
          <c:extLst>
            <c:ext xmlns:c16="http://schemas.microsoft.com/office/drawing/2014/chart" uri="{C3380CC4-5D6E-409C-BE32-E72D297353CC}">
              <c16:uniqueId val="{00000001-2B00-4323-A160-D46EF3C9D012}"/>
            </c:ext>
          </c:extLst>
        </c:ser>
        <c:ser>
          <c:idx val="2"/>
          <c:order val="2"/>
          <c:tx>
            <c:strRef>
              <c:f>Access!$O$12</c:f>
              <c:strCache>
                <c:ptCount val="1"/>
                <c:pt idx="0">
                  <c:v>Poker Flat</c:v>
                </c:pt>
              </c:strCache>
            </c:strRef>
          </c:tx>
          <c:xVal>
            <c:numRef>
              <c:f>Access!$B$15:$B$27</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Access!$Q$15:$Q$27</c:f>
              <c:numCache>
                <c:formatCode>0.00%</c:formatCode>
                <c:ptCount val="13"/>
                <c:pt idx="0">
                  <c:v>0</c:v>
                </c:pt>
                <c:pt idx="1">
                  <c:v>0</c:v>
                </c:pt>
                <c:pt idx="2">
                  <c:v>0</c:v>
                </c:pt>
                <c:pt idx="3">
                  <c:v>5.1282597219053407E-3</c:v>
                </c:pt>
                <c:pt idx="4">
                  <c:v>1.4296291479706949E-2</c:v>
                </c:pt>
                <c:pt idx="5">
                  <c:v>2.138948117093822E-2</c:v>
                </c:pt>
                <c:pt idx="6">
                  <c:v>2.5989844696681624E-2</c:v>
                </c:pt>
                <c:pt idx="7">
                  <c:v>2.7029362435673179E-2</c:v>
                </c:pt>
                <c:pt idx="8">
                  <c:v>2.1128855299515806E-2</c:v>
                </c:pt>
                <c:pt idx="9">
                  <c:v>1.8993841293380991E-2</c:v>
                </c:pt>
                <c:pt idx="10">
                  <c:v>1.8441668694704288E-2</c:v>
                </c:pt>
                <c:pt idx="11">
                  <c:v>1.8991701111618121E-2</c:v>
                </c:pt>
                <c:pt idx="12">
                  <c:v>2.1113130529571325E-2</c:v>
                </c:pt>
              </c:numCache>
            </c:numRef>
          </c:yVal>
          <c:smooth val="1"/>
          <c:extLst>
            <c:ext xmlns:c16="http://schemas.microsoft.com/office/drawing/2014/chart" uri="{C3380CC4-5D6E-409C-BE32-E72D297353CC}">
              <c16:uniqueId val="{00000002-2B00-4323-A160-D46EF3C9D012}"/>
            </c:ext>
          </c:extLst>
        </c:ser>
        <c:ser>
          <c:idx val="3"/>
          <c:order val="3"/>
          <c:tx>
            <c:strRef>
              <c:f>Access!$S$12</c:f>
              <c:strCache>
                <c:ptCount val="1"/>
                <c:pt idx="0">
                  <c:v>Wallops</c:v>
                </c:pt>
              </c:strCache>
            </c:strRef>
          </c:tx>
          <c:xVal>
            <c:numRef>
              <c:f>Access!$B$15:$B$27</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Access!$U$15:$U$27</c:f>
              <c:numCache>
                <c:formatCode>0.00%</c:formatCode>
                <c:ptCount val="13"/>
                <c:pt idx="0">
                  <c:v>2.0039870047151874E-2</c:v>
                </c:pt>
                <c:pt idx="1">
                  <c:v>2.1842764310340459E-2</c:v>
                </c:pt>
                <c:pt idx="2">
                  <c:v>1.8995428296194897E-2</c:v>
                </c:pt>
                <c:pt idx="3">
                  <c:v>1.4126150531092351E-2</c:v>
                </c:pt>
                <c:pt idx="4">
                  <c:v>1.2258520768372753E-2</c:v>
                </c:pt>
                <c:pt idx="5">
                  <c:v>1.112861386797475E-2</c:v>
                </c:pt>
                <c:pt idx="6">
                  <c:v>1.0365255722868659E-2</c:v>
                </c:pt>
                <c:pt idx="7">
                  <c:v>9.8643145232844079E-3</c:v>
                </c:pt>
                <c:pt idx="8">
                  <c:v>9.5332444165589277E-3</c:v>
                </c:pt>
                <c:pt idx="9">
                  <c:v>9.3426533386569317E-3</c:v>
                </c:pt>
                <c:pt idx="10">
                  <c:v>9.2212355185438688E-3</c:v>
                </c:pt>
                <c:pt idx="11">
                  <c:v>9.3402788868608509E-3</c:v>
                </c:pt>
                <c:pt idx="12">
                  <c:v>9.5638097320455296E-3</c:v>
                </c:pt>
              </c:numCache>
            </c:numRef>
          </c:yVal>
          <c:smooth val="1"/>
          <c:extLst>
            <c:ext xmlns:c16="http://schemas.microsoft.com/office/drawing/2014/chart" uri="{C3380CC4-5D6E-409C-BE32-E72D297353CC}">
              <c16:uniqueId val="{00000003-2B00-4323-A160-D46EF3C9D012}"/>
            </c:ext>
          </c:extLst>
        </c:ser>
        <c:dLbls>
          <c:showLegendKey val="0"/>
          <c:showVal val="0"/>
          <c:showCatName val="0"/>
          <c:showSerName val="0"/>
          <c:showPercent val="0"/>
          <c:showBubbleSize val="0"/>
        </c:dLbls>
        <c:axId val="87016576"/>
        <c:axId val="87018880"/>
      </c:scatterChart>
      <c:valAx>
        <c:axId val="87016576"/>
        <c:scaling>
          <c:orientation val="minMax"/>
          <c:max val="100"/>
          <c:min val="40"/>
        </c:scaling>
        <c:delete val="0"/>
        <c:axPos val="b"/>
        <c:title>
          <c:tx>
            <c:rich>
              <a:bodyPr/>
              <a:lstStyle/>
              <a:p>
                <a:pPr>
                  <a:defRPr sz="1800" b="1" i="0" u="none" strike="noStrike" baseline="0">
                    <a:solidFill>
                      <a:srgbClr val="000000"/>
                    </a:solidFill>
                    <a:latin typeface="Calibri"/>
                    <a:ea typeface="Calibri"/>
                    <a:cs typeface="Calibri"/>
                  </a:defRPr>
                </a:pPr>
                <a:r>
                  <a:rPr lang="en-US"/>
                  <a:t>Orbit Inclination Degrees</a:t>
                </a:r>
              </a:p>
            </c:rich>
          </c:tx>
          <c:layout>
            <c:manualLayout>
              <c:xMode val="edge"/>
              <c:yMode val="edge"/>
              <c:x val="0.3628249822906302"/>
              <c:y val="0.91836547006427349"/>
            </c:manualLayout>
          </c:layout>
          <c:overlay val="0"/>
        </c:title>
        <c:numFmt formatCode="General" sourceLinked="1"/>
        <c:majorTickMark val="cross"/>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87018880"/>
        <c:crosses val="autoZero"/>
        <c:crossBetween val="midCat"/>
      </c:valAx>
      <c:valAx>
        <c:axId val="87018880"/>
        <c:scaling>
          <c:orientation val="minMax"/>
          <c:max val="3.0000000000000002E-2"/>
          <c:min val="0"/>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Percent Time In contact</a:t>
                </a:r>
              </a:p>
            </c:rich>
          </c:tx>
          <c:layout/>
          <c:overlay val="0"/>
        </c:title>
        <c:numFmt formatCode="0.0%" sourceLinked="0"/>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87016576"/>
        <c:crosses val="autoZero"/>
        <c:crossBetween val="midCat"/>
      </c:valAx>
    </c:plotArea>
    <c:legend>
      <c:legendPos val="r"/>
      <c:layout>
        <c:manualLayout>
          <c:xMode val="edge"/>
          <c:yMode val="edge"/>
          <c:x val="0.756009470949488"/>
          <c:y val="0.19959711191242446"/>
          <c:w val="0.15877655555586551"/>
          <c:h val="0.22580683367870241"/>
        </c:manualLayout>
      </c:layout>
      <c:overlay val="0"/>
      <c:spPr>
        <a:solidFill>
          <a:schemeClr val="bg1"/>
        </a:solidFill>
        <a:ln>
          <a:solidFill>
            <a:schemeClr val="accent1"/>
          </a:solidFill>
        </a:ln>
      </c:spPr>
      <c:txPr>
        <a:bodyPr/>
        <a:lstStyle/>
        <a:p>
          <a:pPr>
            <a:defRPr sz="128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800" b="0" i="0" u="none" strike="noStrike" baseline="0">
          <a:solidFill>
            <a:srgbClr val="000000"/>
          </a:solidFill>
          <a:latin typeface="Calibri"/>
          <a:ea typeface="Calibri"/>
          <a:cs typeface="Calibri"/>
        </a:defRPr>
      </a:pPr>
      <a:endParaRPr lang="en-US"/>
    </a:p>
  </c:txPr>
  <c:printSettings>
    <c:headerFooter/>
    <c:pageMargins b="0.75000000000000133" l="0.70000000000000062" r="0.70000000000000062" t="0.75000000000000133" header="0.30000000000000032" footer="0.3000000000000003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0" i="0" u="none" strike="noStrike" baseline="0">
                <a:solidFill>
                  <a:srgbClr val="000000"/>
                </a:solidFill>
                <a:latin typeface="Calibri"/>
                <a:ea typeface="Calibri"/>
                <a:cs typeface="Calibri"/>
              </a:defRPr>
            </a:pPr>
            <a:r>
              <a:rPr lang="en-US" sz="2160" b="1" i="0" u="none" strike="noStrike" baseline="0">
                <a:solidFill>
                  <a:srgbClr val="000000"/>
                </a:solidFill>
                <a:latin typeface="Calibri"/>
              </a:rPr>
              <a:t>Contact with ground station, </a:t>
            </a:r>
            <a:r>
              <a:rPr lang="en-US" sz="2160" b="1" i="0" u="none" strike="noStrike" baseline="0">
                <a:solidFill>
                  <a:srgbClr val="000000"/>
                </a:solidFill>
                <a:latin typeface="Symbol"/>
              </a:rPr>
              <a:t>t</a:t>
            </a:r>
            <a:r>
              <a:rPr lang="en-US" sz="2160" b="1" i="0" u="none" strike="noStrike" baseline="-25000">
                <a:solidFill>
                  <a:srgbClr val="000000"/>
                </a:solidFill>
                <a:latin typeface="Calibri"/>
              </a:rPr>
              <a:t>c</a:t>
            </a:r>
            <a:endParaRPr lang="en-US" sz="2160" b="1" i="0" u="none" strike="noStrike" baseline="0">
              <a:solidFill>
                <a:srgbClr val="000000"/>
              </a:solidFill>
              <a:latin typeface="Calibri"/>
            </a:endParaRPr>
          </a:p>
          <a:p>
            <a:pPr>
              <a:defRPr sz="1800" b="0" i="0" u="none" strike="noStrike" baseline="0">
                <a:solidFill>
                  <a:srgbClr val="000000"/>
                </a:solidFill>
                <a:latin typeface="Calibri"/>
                <a:ea typeface="Calibri"/>
                <a:cs typeface="Calibri"/>
              </a:defRPr>
            </a:pPr>
            <a:r>
              <a:rPr lang="en-US" sz="2160" b="1" i="0" u="none" strike="noStrike" baseline="0">
                <a:solidFill>
                  <a:srgbClr val="000000"/>
                </a:solidFill>
                <a:latin typeface="Calibri"/>
              </a:rPr>
              <a:t>Satellite at 300 km</a:t>
            </a:r>
          </a:p>
        </c:rich>
      </c:tx>
      <c:layout>
        <c:manualLayout>
          <c:xMode val="edge"/>
          <c:yMode val="edge"/>
          <c:x val="0.21115252169141882"/>
          <c:y val="3.0439869715080795E-3"/>
        </c:manualLayout>
      </c:layout>
      <c:overlay val="0"/>
    </c:title>
    <c:autoTitleDeleted val="0"/>
    <c:plotArea>
      <c:layout>
        <c:manualLayout>
          <c:layoutTarget val="inner"/>
          <c:xMode val="edge"/>
          <c:yMode val="edge"/>
          <c:x val="0.14971927635683094"/>
          <c:y val="0.19751103974307507"/>
          <c:w val="0.80848409232688712"/>
          <c:h val="0.61501405058209557"/>
        </c:manualLayout>
      </c:layout>
      <c:scatterChart>
        <c:scatterStyle val="smoothMarker"/>
        <c:varyColors val="0"/>
        <c:ser>
          <c:idx val="0"/>
          <c:order val="0"/>
          <c:tx>
            <c:strRef>
              <c:f>Access!$C$33</c:f>
              <c:strCache>
                <c:ptCount val="1"/>
                <c:pt idx="0">
                  <c:v>Logan</c:v>
                </c:pt>
              </c:strCache>
            </c:strRef>
          </c:tx>
          <c:xVal>
            <c:numRef>
              <c:f>Access!$B$36:$B$48</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Access!$E$36:$E$48</c:f>
              <c:numCache>
                <c:formatCode>0.00%</c:formatCode>
                <c:ptCount val="13"/>
                <c:pt idx="0">
                  <c:v>1.2005165887139707E-2</c:v>
                </c:pt>
                <c:pt idx="1">
                  <c:v>1.560111735366441E-2</c:v>
                </c:pt>
                <c:pt idx="2">
                  <c:v>1.5802140435267575E-2</c:v>
                </c:pt>
                <c:pt idx="3">
                  <c:v>1.0962503200496869E-2</c:v>
                </c:pt>
                <c:pt idx="4">
                  <c:v>9.146196225314979E-3</c:v>
                </c:pt>
                <c:pt idx="5">
                  <c:v>8.1509399954369146E-3</c:v>
                </c:pt>
                <c:pt idx="6">
                  <c:v>7.5137684424671078E-3</c:v>
                </c:pt>
                <c:pt idx="7">
                  <c:v>7.1133584619869697E-3</c:v>
                </c:pt>
                <c:pt idx="8">
                  <c:v>6.8405226950084925E-3</c:v>
                </c:pt>
                <c:pt idx="9">
                  <c:v>6.6892153078814617E-3</c:v>
                </c:pt>
                <c:pt idx="10">
                  <c:v>6.6454563084645223E-3</c:v>
                </c:pt>
                <c:pt idx="11">
                  <c:v>6.7006445990823128E-3</c:v>
                </c:pt>
                <c:pt idx="12">
                  <c:v>6.8655174664740025E-3</c:v>
                </c:pt>
              </c:numCache>
            </c:numRef>
          </c:yVal>
          <c:smooth val="1"/>
          <c:extLst>
            <c:ext xmlns:c16="http://schemas.microsoft.com/office/drawing/2014/chart" uri="{C3380CC4-5D6E-409C-BE32-E72D297353CC}">
              <c16:uniqueId val="{00000000-AB9F-4365-951B-1BD8425A5C91}"/>
            </c:ext>
          </c:extLst>
        </c:ser>
        <c:ser>
          <c:idx val="1"/>
          <c:order val="1"/>
          <c:tx>
            <c:strRef>
              <c:f>Access!$G$33</c:f>
              <c:strCache>
                <c:ptCount val="1"/>
                <c:pt idx="0">
                  <c:v>Wurzburg</c:v>
                </c:pt>
              </c:strCache>
            </c:strRef>
          </c:tx>
          <c:xVal>
            <c:numRef>
              <c:f>Access!$B$36:$B$48</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Access!$I$36:$I$48</c:f>
              <c:numCache>
                <c:formatCode>0.00%</c:formatCode>
                <c:ptCount val="13"/>
                <c:pt idx="0">
                  <c:v>8.0988709534311862E-4</c:v>
                </c:pt>
                <c:pt idx="1">
                  <c:v>8.5304064631023923E-3</c:v>
                </c:pt>
                <c:pt idx="2">
                  <c:v>1.3896079423023297E-2</c:v>
                </c:pt>
                <c:pt idx="3">
                  <c:v>1.6585455674702765E-2</c:v>
                </c:pt>
                <c:pt idx="4">
                  <c:v>1.412286095900829E-2</c:v>
                </c:pt>
                <c:pt idx="5">
                  <c:v>1.0639448690648211E-2</c:v>
                </c:pt>
                <c:pt idx="6">
                  <c:v>9.3017018087560525E-3</c:v>
                </c:pt>
                <c:pt idx="7">
                  <c:v>8.5527165247040338E-3</c:v>
                </c:pt>
                <c:pt idx="8">
                  <c:v>8.0977459946257012E-3</c:v>
                </c:pt>
                <c:pt idx="9">
                  <c:v>7.8620279108677464E-3</c:v>
                </c:pt>
                <c:pt idx="10">
                  <c:v>7.777871732958146E-3</c:v>
                </c:pt>
                <c:pt idx="11">
                  <c:v>7.8604195185945705E-3</c:v>
                </c:pt>
                <c:pt idx="12">
                  <c:v>8.1057634610997038E-3</c:v>
                </c:pt>
              </c:numCache>
            </c:numRef>
          </c:yVal>
          <c:smooth val="1"/>
          <c:extLst>
            <c:ext xmlns:c16="http://schemas.microsoft.com/office/drawing/2014/chart" uri="{C3380CC4-5D6E-409C-BE32-E72D297353CC}">
              <c16:uniqueId val="{00000001-AB9F-4365-951B-1BD8425A5C91}"/>
            </c:ext>
          </c:extLst>
        </c:ser>
        <c:ser>
          <c:idx val="2"/>
          <c:order val="2"/>
          <c:tx>
            <c:strRef>
              <c:f>Access!$O$33</c:f>
              <c:strCache>
                <c:ptCount val="1"/>
                <c:pt idx="0">
                  <c:v>Poker Flat</c:v>
                </c:pt>
              </c:strCache>
            </c:strRef>
          </c:tx>
          <c:xVal>
            <c:numRef>
              <c:f>Access!$B$36:$B$48</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Access!$Q$36:$Q$48</c:f>
              <c:numCache>
                <c:formatCode>0.00%</c:formatCode>
                <c:ptCount val="13"/>
                <c:pt idx="0">
                  <c:v>0</c:v>
                </c:pt>
                <c:pt idx="1">
                  <c:v>0</c:v>
                </c:pt>
                <c:pt idx="2">
                  <c:v>0</c:v>
                </c:pt>
                <c:pt idx="3">
                  <c:v>4.5806005526402517E-4</c:v>
                </c:pt>
                <c:pt idx="4">
                  <c:v>9.3101785306867451E-3</c:v>
                </c:pt>
                <c:pt idx="5">
                  <c:v>1.5906610768879764E-2</c:v>
                </c:pt>
                <c:pt idx="6">
                  <c:v>1.9709169613658834E-2</c:v>
                </c:pt>
                <c:pt idx="7">
                  <c:v>1.8544963780515629E-2</c:v>
                </c:pt>
                <c:pt idx="8">
                  <c:v>1.3960429436966055E-2</c:v>
                </c:pt>
                <c:pt idx="9">
                  <c:v>1.2752704293102136E-2</c:v>
                </c:pt>
                <c:pt idx="10">
                  <c:v>1.2418141493649709E-2</c:v>
                </c:pt>
                <c:pt idx="11">
                  <c:v>1.275149352295485E-2</c:v>
                </c:pt>
                <c:pt idx="12">
                  <c:v>1.3951822350242097E-2</c:v>
                </c:pt>
              </c:numCache>
            </c:numRef>
          </c:yVal>
          <c:smooth val="1"/>
          <c:extLst>
            <c:ext xmlns:c16="http://schemas.microsoft.com/office/drawing/2014/chart" uri="{C3380CC4-5D6E-409C-BE32-E72D297353CC}">
              <c16:uniqueId val="{00000002-AB9F-4365-951B-1BD8425A5C91}"/>
            </c:ext>
          </c:extLst>
        </c:ser>
        <c:ser>
          <c:idx val="3"/>
          <c:order val="3"/>
          <c:tx>
            <c:strRef>
              <c:f>Access!$S$33</c:f>
              <c:strCache>
                <c:ptCount val="1"/>
                <c:pt idx="0">
                  <c:v>Wallops</c:v>
                </c:pt>
              </c:strCache>
            </c:strRef>
          </c:tx>
          <c:xVal>
            <c:numRef>
              <c:f>Access!$B$36:$B$48</c:f>
              <c:numCache>
                <c:formatCode>General</c:formatCode>
                <c:ptCount val="13"/>
                <c:pt idx="0">
                  <c:v>40</c:v>
                </c:pt>
                <c:pt idx="1">
                  <c:v>45</c:v>
                </c:pt>
                <c:pt idx="2">
                  <c:v>50</c:v>
                </c:pt>
                <c:pt idx="3">
                  <c:v>55</c:v>
                </c:pt>
                <c:pt idx="4">
                  <c:v>60</c:v>
                </c:pt>
                <c:pt idx="5">
                  <c:v>65</c:v>
                </c:pt>
                <c:pt idx="6">
                  <c:v>70</c:v>
                </c:pt>
                <c:pt idx="7">
                  <c:v>75</c:v>
                </c:pt>
                <c:pt idx="8">
                  <c:v>80</c:v>
                </c:pt>
                <c:pt idx="9">
                  <c:v>85</c:v>
                </c:pt>
                <c:pt idx="10">
                  <c:v>90</c:v>
                </c:pt>
                <c:pt idx="11">
                  <c:v>95</c:v>
                </c:pt>
                <c:pt idx="12">
                  <c:v>100</c:v>
                </c:pt>
              </c:numCache>
            </c:numRef>
          </c:xVal>
          <c:yVal>
            <c:numRef>
              <c:f>Access!$U$36:$U$48</c:f>
              <c:numCache>
                <c:formatCode>0.00%</c:formatCode>
                <c:ptCount val="13"/>
                <c:pt idx="0">
                  <c:v>1.5083275661013511E-2</c:v>
                </c:pt>
                <c:pt idx="1">
                  <c:v>1.6169786358911958E-2</c:v>
                </c:pt>
                <c:pt idx="2">
                  <c:v>1.1573910595229041E-2</c:v>
                </c:pt>
                <c:pt idx="3">
                  <c:v>9.3232598486576931E-3</c:v>
                </c:pt>
                <c:pt idx="4">
                  <c:v>8.1740645993358171E-3</c:v>
                </c:pt>
                <c:pt idx="5">
                  <c:v>7.4450413212665094E-3</c:v>
                </c:pt>
                <c:pt idx="6">
                  <c:v>6.9486881131644992E-3</c:v>
                </c:pt>
                <c:pt idx="7">
                  <c:v>6.6044673549319338E-3</c:v>
                </c:pt>
                <c:pt idx="8">
                  <c:v>6.4052745455928208E-3</c:v>
                </c:pt>
                <c:pt idx="9">
                  <c:v>6.2837904656881383E-3</c:v>
                </c:pt>
                <c:pt idx="10">
                  <c:v>6.2372374958805489E-3</c:v>
                </c:pt>
                <c:pt idx="11">
                  <c:v>6.2723154802646584E-3</c:v>
                </c:pt>
                <c:pt idx="12">
                  <c:v>6.3854444254315924E-3</c:v>
                </c:pt>
              </c:numCache>
            </c:numRef>
          </c:yVal>
          <c:smooth val="1"/>
          <c:extLst>
            <c:ext xmlns:c16="http://schemas.microsoft.com/office/drawing/2014/chart" uri="{C3380CC4-5D6E-409C-BE32-E72D297353CC}">
              <c16:uniqueId val="{00000003-AB9F-4365-951B-1BD8425A5C91}"/>
            </c:ext>
          </c:extLst>
        </c:ser>
        <c:dLbls>
          <c:showLegendKey val="0"/>
          <c:showVal val="0"/>
          <c:showCatName val="0"/>
          <c:showSerName val="0"/>
          <c:showPercent val="0"/>
          <c:showBubbleSize val="0"/>
        </c:dLbls>
        <c:axId val="88217472"/>
        <c:axId val="88220032"/>
      </c:scatterChart>
      <c:valAx>
        <c:axId val="88217472"/>
        <c:scaling>
          <c:orientation val="minMax"/>
          <c:max val="100"/>
          <c:min val="40"/>
        </c:scaling>
        <c:delete val="0"/>
        <c:axPos val="b"/>
        <c:title>
          <c:tx>
            <c:rich>
              <a:bodyPr/>
              <a:lstStyle/>
              <a:p>
                <a:pPr>
                  <a:defRPr sz="1800" b="1" i="0" u="none" strike="noStrike" baseline="0">
                    <a:solidFill>
                      <a:srgbClr val="000000"/>
                    </a:solidFill>
                    <a:latin typeface="Calibri"/>
                    <a:ea typeface="Calibri"/>
                    <a:cs typeface="Calibri"/>
                  </a:defRPr>
                </a:pPr>
                <a:r>
                  <a:rPr lang="en-US"/>
                  <a:t>Orbit Inclination Degrees</a:t>
                </a:r>
              </a:p>
            </c:rich>
          </c:tx>
          <c:layout>
            <c:manualLayout>
              <c:xMode val="edge"/>
              <c:yMode val="edge"/>
              <c:x val="0.36282481850455123"/>
              <c:y val="0.9183653248163256"/>
            </c:manualLayout>
          </c:layout>
          <c:overlay val="0"/>
        </c:title>
        <c:numFmt formatCode="General" sourceLinked="1"/>
        <c:majorTickMark val="cross"/>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88220032"/>
        <c:crosses val="autoZero"/>
        <c:crossBetween val="midCat"/>
      </c:valAx>
      <c:valAx>
        <c:axId val="88220032"/>
        <c:scaling>
          <c:orientation val="minMax"/>
          <c:max val="3.0000000000000002E-2"/>
          <c:min val="0"/>
        </c:scaling>
        <c:delete val="0"/>
        <c:axPos val="l"/>
        <c:majorGridlines/>
        <c:title>
          <c:tx>
            <c:rich>
              <a:bodyPr/>
              <a:lstStyle/>
              <a:p>
                <a:pPr>
                  <a:defRPr sz="1800" b="1" i="0" u="none" strike="noStrike" baseline="0">
                    <a:solidFill>
                      <a:srgbClr val="000000"/>
                    </a:solidFill>
                    <a:latin typeface="Calibri"/>
                    <a:ea typeface="Calibri"/>
                    <a:cs typeface="Calibri"/>
                  </a:defRPr>
                </a:pPr>
                <a:r>
                  <a:rPr lang="en-US"/>
                  <a:t>Percent Time In contact</a:t>
                </a:r>
              </a:p>
            </c:rich>
          </c:tx>
          <c:layout/>
          <c:overlay val="0"/>
        </c:title>
        <c:numFmt formatCode="0.0%" sourceLinked="0"/>
        <c:majorTickMark val="none"/>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88217472"/>
        <c:crosses val="autoZero"/>
        <c:crossBetween val="midCat"/>
      </c:valAx>
    </c:plotArea>
    <c:legend>
      <c:legendPos val="r"/>
      <c:layout>
        <c:manualLayout>
          <c:xMode val="edge"/>
          <c:yMode val="edge"/>
          <c:x val="0.7647494648332972"/>
          <c:y val="0.24873625441049099"/>
          <c:w val="0.15659155708491321"/>
          <c:h val="0.22851379470232097"/>
        </c:manualLayout>
      </c:layout>
      <c:overlay val="0"/>
      <c:spPr>
        <a:solidFill>
          <a:schemeClr val="bg1"/>
        </a:solidFill>
        <a:ln>
          <a:solidFill>
            <a:schemeClr val="accent1"/>
          </a:solidFill>
        </a:ln>
      </c:spPr>
      <c:txPr>
        <a:bodyPr/>
        <a:lstStyle/>
        <a:p>
          <a:pPr>
            <a:defRPr sz="128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800" b="0" i="0" u="none" strike="noStrike" baseline="0">
          <a:solidFill>
            <a:srgbClr val="000000"/>
          </a:solidFill>
          <a:latin typeface="Calibri"/>
          <a:ea typeface="Calibri"/>
          <a:cs typeface="Calibri"/>
        </a:defRPr>
      </a:pPr>
      <a:endParaRPr lang="en-US"/>
    </a:p>
  </c:txPr>
  <c:printSettings>
    <c:headerFooter/>
    <c:pageMargins b="0.75000000000000155" l="0.70000000000000062" r="0.70000000000000062" t="0.75000000000000155" header="0.30000000000000032" footer="0.30000000000000032"/>
    <c:pageSetup orientation="portrait"/>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emf"/></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chart" Target="../charts/chart3.xml"/><Relationship Id="rId2" Type="http://schemas.openxmlformats.org/officeDocument/2006/relationships/image" Target="../media/image6.png"/><Relationship Id="rId1" Type="http://schemas.openxmlformats.org/officeDocument/2006/relationships/chart" Target="../charts/chart1.xml"/><Relationship Id="rId6" Type="http://schemas.openxmlformats.org/officeDocument/2006/relationships/image" Target="../media/image9.png"/><Relationship Id="rId5" Type="http://schemas.openxmlformats.org/officeDocument/2006/relationships/chart" Target="../charts/chart2.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absolute">
    <xdr:from>
      <xdr:col>8</xdr:col>
      <xdr:colOff>672795</xdr:colOff>
      <xdr:row>49</xdr:row>
      <xdr:rowOff>77544</xdr:rowOff>
    </xdr:from>
    <xdr:to>
      <xdr:col>14</xdr:col>
      <xdr:colOff>558480</xdr:colOff>
      <xdr:row>57</xdr:row>
      <xdr:rowOff>141459</xdr:rowOff>
    </xdr:to>
    <xdr:grpSp>
      <xdr:nvGrpSpPr>
        <xdr:cNvPr id="24" name="Group 35"/>
        <xdr:cNvGrpSpPr/>
      </xdr:nvGrpSpPr>
      <xdr:grpSpPr>
        <a:xfrm>
          <a:off x="7397445" y="9554919"/>
          <a:ext cx="4495785" cy="1454565"/>
          <a:chOff x="5448301" y="485775"/>
          <a:chExt cx="4476749" cy="1433512"/>
        </a:xfrm>
        <a:effectLst>
          <a:outerShdw blurRad="76200" dist="177800" dir="18900000" sy="23000" kx="-1200000" algn="bl" rotWithShape="0">
            <a:prstClr val="black">
              <a:alpha val="20000"/>
            </a:prstClr>
          </a:outerShdw>
        </a:effectLst>
      </xdr:grpSpPr>
      <xdr:sp macro="" textlink="">
        <xdr:nvSpPr>
          <xdr:cNvPr id="3" name="Rectangle 2"/>
          <xdr:cNvSpPr>
            <a:spLocks noChangeArrowheads="1"/>
          </xdr:cNvSpPr>
        </xdr:nvSpPr>
        <xdr:spPr bwMode="auto">
          <a:xfrm>
            <a:off x="7361884" y="622938"/>
            <a:ext cx="527736" cy="620749"/>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2</a:t>
            </a:r>
          </a:p>
        </xdr:txBody>
      </xdr:sp>
      <xdr:sp macro="" textlink="">
        <xdr:nvSpPr>
          <xdr:cNvPr id="4" name="Text Box 5"/>
          <xdr:cNvSpPr txBox="1">
            <a:spLocks noChangeArrowheads="1"/>
          </xdr:cNvSpPr>
        </xdr:nvSpPr>
        <xdr:spPr bwMode="auto">
          <a:xfrm>
            <a:off x="7395468" y="340779"/>
            <a:ext cx="494152" cy="282159"/>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2</a:t>
            </a:r>
          </a:p>
        </xdr:txBody>
      </xdr:sp>
      <xdr:sp macro="" textlink="">
        <xdr:nvSpPr>
          <xdr:cNvPr id="5" name="Rectangle 4"/>
          <xdr:cNvSpPr>
            <a:spLocks noChangeArrowheads="1"/>
          </xdr:cNvSpPr>
        </xdr:nvSpPr>
        <xdr:spPr bwMode="auto">
          <a:xfrm>
            <a:off x="8628451" y="622938"/>
            <a:ext cx="513344" cy="620749"/>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4</a:t>
            </a:r>
          </a:p>
        </xdr:txBody>
      </xdr:sp>
      <xdr:sp macro="" textlink="">
        <xdr:nvSpPr>
          <xdr:cNvPr id="6" name="Text Box 7"/>
          <xdr:cNvSpPr txBox="1">
            <a:spLocks noChangeArrowheads="1"/>
          </xdr:cNvSpPr>
        </xdr:nvSpPr>
        <xdr:spPr bwMode="auto">
          <a:xfrm>
            <a:off x="8033548" y="444237"/>
            <a:ext cx="460570" cy="296267"/>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3</a:t>
            </a:r>
          </a:p>
        </xdr:txBody>
      </xdr:sp>
      <xdr:sp macro="" textlink="">
        <xdr:nvSpPr>
          <xdr:cNvPr id="7" name="Rectangle 6"/>
          <xdr:cNvSpPr>
            <a:spLocks noChangeArrowheads="1"/>
          </xdr:cNvSpPr>
        </xdr:nvSpPr>
        <xdr:spPr bwMode="auto">
          <a:xfrm>
            <a:off x="9861435" y="622938"/>
            <a:ext cx="566117" cy="620749"/>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6</a:t>
            </a:r>
          </a:p>
        </xdr:txBody>
      </xdr:sp>
      <xdr:sp macro="" textlink="">
        <xdr:nvSpPr>
          <xdr:cNvPr id="8" name="Text Box 9"/>
          <xdr:cNvSpPr txBox="1">
            <a:spLocks noChangeArrowheads="1"/>
          </xdr:cNvSpPr>
        </xdr:nvSpPr>
        <xdr:spPr bwMode="auto">
          <a:xfrm>
            <a:off x="8666832" y="298455"/>
            <a:ext cx="474963" cy="29626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4</a:t>
            </a:r>
          </a:p>
        </xdr:txBody>
      </xdr:sp>
      <xdr:sp macro="" textlink="">
        <xdr:nvSpPr>
          <xdr:cNvPr id="9" name="Rectangle 8"/>
          <xdr:cNvSpPr>
            <a:spLocks noChangeArrowheads="1"/>
          </xdr:cNvSpPr>
        </xdr:nvSpPr>
        <xdr:spPr bwMode="auto">
          <a:xfrm>
            <a:off x="6786171" y="740504"/>
            <a:ext cx="402999" cy="362103"/>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1</a:t>
            </a:r>
          </a:p>
        </xdr:txBody>
      </xdr:sp>
      <xdr:sp macro="" textlink="">
        <xdr:nvSpPr>
          <xdr:cNvPr id="10" name="Text Box 14"/>
          <xdr:cNvSpPr txBox="1">
            <a:spLocks noChangeArrowheads="1"/>
          </xdr:cNvSpPr>
        </xdr:nvSpPr>
        <xdr:spPr bwMode="auto">
          <a:xfrm>
            <a:off x="6786171" y="444237"/>
            <a:ext cx="402999" cy="296267"/>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1</a:t>
            </a:r>
          </a:p>
        </xdr:txBody>
      </xdr:sp>
      <xdr:sp macro="" textlink="">
        <xdr:nvSpPr>
          <xdr:cNvPr id="11" name="AutoShape 16"/>
          <xdr:cNvSpPr>
            <a:spLocks noChangeArrowheads="1"/>
          </xdr:cNvSpPr>
        </xdr:nvSpPr>
        <xdr:spPr bwMode="auto">
          <a:xfrm flipH="1">
            <a:off x="6316007" y="340779"/>
            <a:ext cx="335832" cy="1161553"/>
          </a:xfrm>
          <a:prstGeom prst="moon">
            <a:avLst>
              <a:gd name="adj" fmla="val 87500"/>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p>
            <a:endParaRPr lang="en-US"/>
          </a:p>
        </xdr:txBody>
      </xdr:sp>
      <xdr:sp macro="" textlink="">
        <xdr:nvSpPr>
          <xdr:cNvPr id="12" name="Text Box 17"/>
          <xdr:cNvSpPr txBox="1">
            <a:spLocks noChangeArrowheads="1"/>
          </xdr:cNvSpPr>
        </xdr:nvSpPr>
        <xdr:spPr bwMode="auto">
          <a:xfrm>
            <a:off x="5884223" y="740504"/>
            <a:ext cx="460569" cy="41853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A</a:t>
            </a:r>
          </a:p>
        </xdr:txBody>
      </xdr:sp>
      <xdr:sp macro="" textlink="">
        <xdr:nvSpPr>
          <xdr:cNvPr id="13" name="Rectangle 12"/>
          <xdr:cNvSpPr>
            <a:spLocks noChangeArrowheads="1"/>
          </xdr:cNvSpPr>
        </xdr:nvSpPr>
        <xdr:spPr bwMode="auto">
          <a:xfrm>
            <a:off x="8052739" y="740504"/>
            <a:ext cx="412593" cy="362103"/>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3</a:t>
            </a:r>
          </a:p>
        </xdr:txBody>
      </xdr:sp>
      <xdr:sp macro="" textlink="">
        <xdr:nvSpPr>
          <xdr:cNvPr id="14" name="Rectangle 13"/>
          <xdr:cNvSpPr>
            <a:spLocks noChangeArrowheads="1"/>
          </xdr:cNvSpPr>
        </xdr:nvSpPr>
        <xdr:spPr bwMode="auto">
          <a:xfrm>
            <a:off x="9314508" y="740504"/>
            <a:ext cx="393404" cy="362103"/>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5</a:t>
            </a:r>
          </a:p>
        </xdr:txBody>
      </xdr:sp>
      <xdr:sp macro="" textlink="">
        <xdr:nvSpPr>
          <xdr:cNvPr id="15" name="Text Box 9"/>
          <xdr:cNvSpPr txBox="1">
            <a:spLocks noChangeArrowheads="1"/>
          </xdr:cNvSpPr>
        </xdr:nvSpPr>
        <xdr:spPr bwMode="auto">
          <a:xfrm>
            <a:off x="9314508" y="472453"/>
            <a:ext cx="474963" cy="29626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5</a:t>
            </a:r>
          </a:p>
          <a:p>
            <a:pPr eaLnBrk="1" hangingPunct="1"/>
            <a:endParaRPr lang="en-US" sz="1400" b="1" i="1" baseline="-25000">
              <a:latin typeface="Times New Roman" pitchFamily="18" charset="0"/>
            </a:endParaRPr>
          </a:p>
        </xdr:txBody>
      </xdr:sp>
      <xdr:sp macro="" textlink="">
        <xdr:nvSpPr>
          <xdr:cNvPr id="16" name="Text Box 9"/>
          <xdr:cNvSpPr txBox="1">
            <a:spLocks noChangeArrowheads="1"/>
          </xdr:cNvSpPr>
        </xdr:nvSpPr>
        <xdr:spPr bwMode="auto">
          <a:xfrm>
            <a:off x="9942994" y="303158"/>
            <a:ext cx="441379" cy="319780"/>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6</a:t>
            </a:r>
          </a:p>
          <a:p>
            <a:pPr eaLnBrk="1" hangingPunct="1"/>
            <a:endParaRPr lang="en-US" sz="1400" b="1" i="1" baseline="-25000">
              <a:latin typeface="Times New Roman" pitchFamily="18" charset="0"/>
            </a:endParaRPr>
          </a:p>
        </xdr:txBody>
      </xdr:sp>
      <xdr:sp macro="" textlink="">
        <xdr:nvSpPr>
          <xdr:cNvPr id="17" name="Text Box 14"/>
          <xdr:cNvSpPr txBox="1">
            <a:spLocks noChangeArrowheads="1"/>
          </xdr:cNvSpPr>
        </xdr:nvSpPr>
        <xdr:spPr bwMode="auto">
          <a:xfrm>
            <a:off x="6685422" y="1168445"/>
            <a:ext cx="657272" cy="277457"/>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Feed</a:t>
            </a:r>
            <a:endParaRPr lang="en-US" sz="1400" b="1" i="1" baseline="-25000">
              <a:latin typeface="Times New Roman" pitchFamily="18" charset="0"/>
            </a:endParaRPr>
          </a:p>
        </xdr:txBody>
      </xdr:sp>
      <xdr:sp macro="" textlink="">
        <xdr:nvSpPr>
          <xdr:cNvPr id="18" name="Text Box 14"/>
          <xdr:cNvSpPr txBox="1">
            <a:spLocks noChangeArrowheads="1"/>
          </xdr:cNvSpPr>
        </xdr:nvSpPr>
        <xdr:spPr bwMode="auto">
          <a:xfrm>
            <a:off x="7961585" y="1177850"/>
            <a:ext cx="657271" cy="277457"/>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Line</a:t>
            </a:r>
            <a:endParaRPr lang="en-US" sz="1400" b="1" i="1" baseline="-25000">
              <a:latin typeface="Times New Roman" pitchFamily="18" charset="0"/>
            </a:endParaRPr>
          </a:p>
        </xdr:txBody>
      </xdr:sp>
      <xdr:sp macro="" textlink="">
        <xdr:nvSpPr>
          <xdr:cNvPr id="19" name="Text Box 14"/>
          <xdr:cNvSpPr txBox="1">
            <a:spLocks noChangeArrowheads="1"/>
          </xdr:cNvSpPr>
        </xdr:nvSpPr>
        <xdr:spPr bwMode="auto">
          <a:xfrm>
            <a:off x="7270729" y="1314227"/>
            <a:ext cx="638081" cy="286861"/>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baseline="0">
                <a:latin typeface="Times New Roman" pitchFamily="18" charset="0"/>
              </a:rPr>
              <a:t>LNA</a:t>
            </a:r>
            <a:endParaRPr lang="en-US" sz="1400" b="1" i="1" baseline="-25000">
              <a:latin typeface="Times New Roman" pitchFamily="18" charset="0"/>
            </a:endParaRPr>
          </a:p>
        </xdr:txBody>
      </xdr:sp>
      <xdr:sp macro="" textlink="">
        <xdr:nvSpPr>
          <xdr:cNvPr id="20" name="Text Box 14"/>
          <xdr:cNvSpPr txBox="1">
            <a:spLocks noChangeArrowheads="1"/>
          </xdr:cNvSpPr>
        </xdr:nvSpPr>
        <xdr:spPr bwMode="auto">
          <a:xfrm>
            <a:off x="8494118" y="1234282"/>
            <a:ext cx="873164" cy="50788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Down</a:t>
            </a:r>
          </a:p>
          <a:p>
            <a:pPr eaLnBrk="1" hangingPunct="1"/>
            <a:r>
              <a:rPr lang="en-US" sz="1400" b="1" i="1">
                <a:latin typeface="Times New Roman" pitchFamily="18" charset="0"/>
              </a:rPr>
              <a:t>Convert</a:t>
            </a:r>
            <a:endParaRPr lang="en-US" sz="1400" b="1" i="1" baseline="-25000">
              <a:latin typeface="Times New Roman" pitchFamily="18" charset="0"/>
            </a:endParaRPr>
          </a:p>
        </xdr:txBody>
      </xdr:sp>
      <xdr:sp macro="" textlink="">
        <xdr:nvSpPr>
          <xdr:cNvPr id="21" name="Text Box 14"/>
          <xdr:cNvSpPr txBox="1">
            <a:spLocks noChangeArrowheads="1"/>
          </xdr:cNvSpPr>
        </xdr:nvSpPr>
        <xdr:spPr bwMode="auto">
          <a:xfrm>
            <a:off x="9770281" y="1314227"/>
            <a:ext cx="964318" cy="286861"/>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Detector</a:t>
            </a:r>
            <a:endParaRPr lang="en-US" sz="1400" b="1" i="1" baseline="-25000">
              <a:latin typeface="Times New Roman" pitchFamily="18" charset="0"/>
            </a:endParaRPr>
          </a:p>
        </xdr:txBody>
      </xdr:sp>
      <xdr:sp macro="" textlink="">
        <xdr:nvSpPr>
          <xdr:cNvPr id="22" name="Text Box 14"/>
          <xdr:cNvSpPr txBox="1">
            <a:spLocks noChangeArrowheads="1"/>
          </xdr:cNvSpPr>
        </xdr:nvSpPr>
        <xdr:spPr bwMode="auto">
          <a:xfrm>
            <a:off x="9242545" y="1130824"/>
            <a:ext cx="662069" cy="305672"/>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Line</a:t>
            </a:r>
            <a:endParaRPr lang="en-US" sz="1400" b="1" i="1" baseline="-25000">
              <a:latin typeface="Times New Roman" pitchFamily="18" charset="0"/>
            </a:endParaRPr>
          </a:p>
        </xdr:txBody>
      </xdr:sp>
    </xdr:grpSp>
    <xdr:clientData/>
  </xdr:twoCellAnchor>
  <xdr:twoCellAnchor editAs="absolute">
    <xdr:from>
      <xdr:col>14</xdr:col>
      <xdr:colOff>880888</xdr:colOff>
      <xdr:row>37</xdr:row>
      <xdr:rowOff>167560</xdr:rowOff>
    </xdr:from>
    <xdr:to>
      <xdr:col>16</xdr:col>
      <xdr:colOff>234584</xdr:colOff>
      <xdr:row>39</xdr:row>
      <xdr:rowOff>181923</xdr:rowOff>
    </xdr:to>
    <xdr:pic>
      <xdr:nvPicPr>
        <xdr:cNvPr id="1083664" name="Picture 22"/>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098421" y="7114128"/>
          <a:ext cx="1723476" cy="40214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768045</xdr:colOff>
      <xdr:row>51</xdr:row>
      <xdr:rowOff>163269</xdr:rowOff>
    </xdr:from>
    <xdr:to>
      <xdr:col>12</xdr:col>
      <xdr:colOff>206055</xdr:colOff>
      <xdr:row>59</xdr:row>
      <xdr:rowOff>150984</xdr:rowOff>
    </xdr:to>
    <xdr:grpSp>
      <xdr:nvGrpSpPr>
        <xdr:cNvPr id="24" name="Group 35"/>
        <xdr:cNvGrpSpPr/>
      </xdr:nvGrpSpPr>
      <xdr:grpSpPr>
        <a:xfrm>
          <a:off x="7311720" y="10002594"/>
          <a:ext cx="4495785" cy="1454565"/>
          <a:chOff x="5448301" y="485775"/>
          <a:chExt cx="4476749" cy="1433512"/>
        </a:xfrm>
        <a:effectLst>
          <a:outerShdw blurRad="76200" dist="177800" dir="18900000" sy="23000" kx="-1200000" algn="bl" rotWithShape="0">
            <a:prstClr val="black">
              <a:alpha val="20000"/>
            </a:prstClr>
          </a:outerShdw>
        </a:effectLst>
      </xdr:grpSpPr>
      <xdr:sp macro="" textlink="">
        <xdr:nvSpPr>
          <xdr:cNvPr id="3" name="Rectangle 2"/>
          <xdr:cNvSpPr>
            <a:spLocks noChangeArrowheads="1"/>
          </xdr:cNvSpPr>
        </xdr:nvSpPr>
        <xdr:spPr bwMode="auto">
          <a:xfrm>
            <a:off x="7361884" y="618236"/>
            <a:ext cx="527736" cy="620749"/>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2</a:t>
            </a:r>
          </a:p>
        </xdr:txBody>
      </xdr:sp>
      <xdr:sp macro="" textlink="">
        <xdr:nvSpPr>
          <xdr:cNvPr id="4" name="Text Box 5"/>
          <xdr:cNvSpPr txBox="1">
            <a:spLocks noChangeArrowheads="1"/>
          </xdr:cNvSpPr>
        </xdr:nvSpPr>
        <xdr:spPr bwMode="auto">
          <a:xfrm>
            <a:off x="7395468" y="336076"/>
            <a:ext cx="494152" cy="282160"/>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2</a:t>
            </a:r>
          </a:p>
        </xdr:txBody>
      </xdr:sp>
      <xdr:sp macro="" textlink="">
        <xdr:nvSpPr>
          <xdr:cNvPr id="5" name="Rectangle 4"/>
          <xdr:cNvSpPr>
            <a:spLocks noChangeArrowheads="1"/>
          </xdr:cNvSpPr>
        </xdr:nvSpPr>
        <xdr:spPr bwMode="auto">
          <a:xfrm>
            <a:off x="8628451" y="618236"/>
            <a:ext cx="513344" cy="620749"/>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4</a:t>
            </a:r>
          </a:p>
        </xdr:txBody>
      </xdr:sp>
      <xdr:sp macro="" textlink="">
        <xdr:nvSpPr>
          <xdr:cNvPr id="6" name="Text Box 7"/>
          <xdr:cNvSpPr txBox="1">
            <a:spLocks noChangeArrowheads="1"/>
          </xdr:cNvSpPr>
        </xdr:nvSpPr>
        <xdr:spPr bwMode="auto">
          <a:xfrm>
            <a:off x="8033548" y="439535"/>
            <a:ext cx="460570" cy="29626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3</a:t>
            </a:r>
          </a:p>
        </xdr:txBody>
      </xdr:sp>
      <xdr:sp macro="" textlink="">
        <xdr:nvSpPr>
          <xdr:cNvPr id="7" name="Rectangle 6"/>
          <xdr:cNvSpPr>
            <a:spLocks noChangeArrowheads="1"/>
          </xdr:cNvSpPr>
        </xdr:nvSpPr>
        <xdr:spPr bwMode="auto">
          <a:xfrm>
            <a:off x="9861435" y="618236"/>
            <a:ext cx="566117" cy="620749"/>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6</a:t>
            </a:r>
          </a:p>
        </xdr:txBody>
      </xdr:sp>
      <xdr:sp macro="" textlink="">
        <xdr:nvSpPr>
          <xdr:cNvPr id="8" name="Text Box 9"/>
          <xdr:cNvSpPr txBox="1">
            <a:spLocks noChangeArrowheads="1"/>
          </xdr:cNvSpPr>
        </xdr:nvSpPr>
        <xdr:spPr bwMode="auto">
          <a:xfrm>
            <a:off x="8666832" y="293753"/>
            <a:ext cx="474963" cy="29626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4</a:t>
            </a:r>
          </a:p>
        </xdr:txBody>
      </xdr:sp>
      <xdr:sp macro="" textlink="">
        <xdr:nvSpPr>
          <xdr:cNvPr id="9" name="Rectangle 8"/>
          <xdr:cNvSpPr>
            <a:spLocks noChangeArrowheads="1"/>
          </xdr:cNvSpPr>
        </xdr:nvSpPr>
        <xdr:spPr bwMode="auto">
          <a:xfrm>
            <a:off x="6786171" y="735801"/>
            <a:ext cx="402999" cy="362104"/>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1</a:t>
            </a:r>
          </a:p>
        </xdr:txBody>
      </xdr:sp>
      <xdr:sp macro="" textlink="">
        <xdr:nvSpPr>
          <xdr:cNvPr id="10" name="Text Box 14"/>
          <xdr:cNvSpPr txBox="1">
            <a:spLocks noChangeArrowheads="1"/>
          </xdr:cNvSpPr>
        </xdr:nvSpPr>
        <xdr:spPr bwMode="auto">
          <a:xfrm>
            <a:off x="6786171" y="439535"/>
            <a:ext cx="402999" cy="29626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1</a:t>
            </a:r>
          </a:p>
        </xdr:txBody>
      </xdr:sp>
      <xdr:sp macro="" textlink="">
        <xdr:nvSpPr>
          <xdr:cNvPr id="11" name="AutoShape 16"/>
          <xdr:cNvSpPr>
            <a:spLocks noChangeArrowheads="1"/>
          </xdr:cNvSpPr>
        </xdr:nvSpPr>
        <xdr:spPr bwMode="auto">
          <a:xfrm flipH="1">
            <a:off x="6316007" y="336076"/>
            <a:ext cx="335832" cy="1161554"/>
          </a:xfrm>
          <a:prstGeom prst="moon">
            <a:avLst>
              <a:gd name="adj" fmla="val 87500"/>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p>
            <a:endParaRPr lang="en-US"/>
          </a:p>
        </xdr:txBody>
      </xdr:sp>
      <xdr:sp macro="" textlink="">
        <xdr:nvSpPr>
          <xdr:cNvPr id="12" name="Text Box 17"/>
          <xdr:cNvSpPr txBox="1">
            <a:spLocks noChangeArrowheads="1"/>
          </xdr:cNvSpPr>
        </xdr:nvSpPr>
        <xdr:spPr bwMode="auto">
          <a:xfrm>
            <a:off x="5884223" y="735801"/>
            <a:ext cx="460569" cy="41853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A</a:t>
            </a:r>
          </a:p>
        </xdr:txBody>
      </xdr:sp>
      <xdr:sp macro="" textlink="">
        <xdr:nvSpPr>
          <xdr:cNvPr id="13" name="Rectangle 12"/>
          <xdr:cNvSpPr>
            <a:spLocks noChangeArrowheads="1"/>
          </xdr:cNvSpPr>
        </xdr:nvSpPr>
        <xdr:spPr bwMode="auto">
          <a:xfrm>
            <a:off x="8052739" y="735801"/>
            <a:ext cx="412593" cy="362104"/>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3</a:t>
            </a:r>
          </a:p>
        </xdr:txBody>
      </xdr:sp>
      <xdr:sp macro="" textlink="">
        <xdr:nvSpPr>
          <xdr:cNvPr id="14" name="Rectangle 13"/>
          <xdr:cNvSpPr>
            <a:spLocks noChangeArrowheads="1"/>
          </xdr:cNvSpPr>
        </xdr:nvSpPr>
        <xdr:spPr bwMode="auto">
          <a:xfrm>
            <a:off x="9314508" y="735801"/>
            <a:ext cx="393404" cy="362104"/>
          </a:xfrm>
          <a:prstGeom prst="rect">
            <a:avLst/>
          </a:prstGeom>
          <a:solidFill>
            <a:srgbClr val="CCCCFF"/>
          </a:solidFill>
          <a:ln w="9525">
            <a:solidFill>
              <a:schemeClr val="tx1"/>
            </a:solidFill>
            <a:miter lim="800000"/>
            <a:headEnd/>
            <a:tailEnd/>
          </a:ln>
          <a:effectLst>
            <a:outerShdw dist="107763" dir="2700000" algn="ctr" rotWithShape="0">
              <a:schemeClr val="bg2">
                <a:alpha val="50000"/>
              </a:schemeClr>
            </a:outerShdw>
          </a:effectLst>
          <a:scene3d>
            <a:camera prst="orthographicFront"/>
            <a:lightRig rig="threePt" dir="t"/>
          </a:scene3d>
          <a:sp3d extrusionH="63500">
            <a:bevelT/>
          </a:sp3d>
        </xdr:spPr>
        <xdr:txBody>
          <a:bodyPr wrap="square" anchor="ct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lgn="ctr" eaLnBrk="1" hangingPunct="1">
              <a:defRPr/>
            </a:pPr>
            <a:r>
              <a:rPr lang="en-US" sz="1400" b="1" i="1">
                <a:latin typeface="Times New Roman" pitchFamily="18" charset="0"/>
              </a:rPr>
              <a:t>G</a:t>
            </a:r>
            <a:r>
              <a:rPr lang="en-US" sz="1400" b="1" i="1" baseline="-25000">
                <a:latin typeface="Times New Roman" pitchFamily="18" charset="0"/>
              </a:rPr>
              <a:t>5</a:t>
            </a:r>
          </a:p>
        </xdr:txBody>
      </xdr:sp>
      <xdr:sp macro="" textlink="">
        <xdr:nvSpPr>
          <xdr:cNvPr id="15" name="Text Box 9"/>
          <xdr:cNvSpPr txBox="1">
            <a:spLocks noChangeArrowheads="1"/>
          </xdr:cNvSpPr>
        </xdr:nvSpPr>
        <xdr:spPr bwMode="auto">
          <a:xfrm>
            <a:off x="9314508" y="467751"/>
            <a:ext cx="474963" cy="29626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5</a:t>
            </a:r>
          </a:p>
          <a:p>
            <a:pPr eaLnBrk="1" hangingPunct="1"/>
            <a:endParaRPr lang="en-US" sz="1400" b="1" i="1" baseline="-25000">
              <a:latin typeface="Times New Roman" pitchFamily="18" charset="0"/>
            </a:endParaRPr>
          </a:p>
        </xdr:txBody>
      </xdr:sp>
      <xdr:sp macro="" textlink="">
        <xdr:nvSpPr>
          <xdr:cNvPr id="16" name="Text Box 9"/>
          <xdr:cNvSpPr txBox="1">
            <a:spLocks noChangeArrowheads="1"/>
          </xdr:cNvSpPr>
        </xdr:nvSpPr>
        <xdr:spPr bwMode="auto">
          <a:xfrm>
            <a:off x="9942994" y="298455"/>
            <a:ext cx="441379" cy="319780"/>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T</a:t>
            </a:r>
            <a:r>
              <a:rPr lang="en-US" sz="1400" b="1" i="1" baseline="-25000">
                <a:latin typeface="Times New Roman" pitchFamily="18" charset="0"/>
              </a:rPr>
              <a:t>6</a:t>
            </a:r>
          </a:p>
          <a:p>
            <a:pPr eaLnBrk="1" hangingPunct="1"/>
            <a:endParaRPr lang="en-US" sz="1400" b="1" i="1" baseline="-25000">
              <a:latin typeface="Times New Roman" pitchFamily="18" charset="0"/>
            </a:endParaRPr>
          </a:p>
        </xdr:txBody>
      </xdr:sp>
      <xdr:sp macro="" textlink="">
        <xdr:nvSpPr>
          <xdr:cNvPr id="17" name="Text Box 14"/>
          <xdr:cNvSpPr txBox="1">
            <a:spLocks noChangeArrowheads="1"/>
          </xdr:cNvSpPr>
        </xdr:nvSpPr>
        <xdr:spPr bwMode="auto">
          <a:xfrm>
            <a:off x="6685422" y="1163742"/>
            <a:ext cx="657272" cy="277457"/>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Feed</a:t>
            </a:r>
            <a:endParaRPr lang="en-US" sz="1400" b="1" i="1" baseline="-25000">
              <a:latin typeface="Times New Roman" pitchFamily="18" charset="0"/>
            </a:endParaRPr>
          </a:p>
        </xdr:txBody>
      </xdr:sp>
      <xdr:sp macro="" textlink="">
        <xdr:nvSpPr>
          <xdr:cNvPr id="18" name="Text Box 14"/>
          <xdr:cNvSpPr txBox="1">
            <a:spLocks noChangeArrowheads="1"/>
          </xdr:cNvSpPr>
        </xdr:nvSpPr>
        <xdr:spPr bwMode="auto">
          <a:xfrm>
            <a:off x="7961585" y="1173148"/>
            <a:ext cx="657271" cy="27745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Line</a:t>
            </a:r>
            <a:endParaRPr lang="en-US" sz="1400" b="1" i="1" baseline="-25000">
              <a:latin typeface="Times New Roman" pitchFamily="18" charset="0"/>
            </a:endParaRPr>
          </a:p>
        </xdr:txBody>
      </xdr:sp>
      <xdr:sp macro="" textlink="">
        <xdr:nvSpPr>
          <xdr:cNvPr id="19" name="Text Box 14"/>
          <xdr:cNvSpPr txBox="1">
            <a:spLocks noChangeArrowheads="1"/>
          </xdr:cNvSpPr>
        </xdr:nvSpPr>
        <xdr:spPr bwMode="auto">
          <a:xfrm>
            <a:off x="7270729" y="1309524"/>
            <a:ext cx="638081" cy="286862"/>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baseline="0">
                <a:latin typeface="Times New Roman" pitchFamily="18" charset="0"/>
              </a:rPr>
              <a:t>LNA</a:t>
            </a:r>
            <a:endParaRPr lang="en-US" sz="1400" b="1" i="1" baseline="-25000">
              <a:latin typeface="Times New Roman" pitchFamily="18" charset="0"/>
            </a:endParaRPr>
          </a:p>
        </xdr:txBody>
      </xdr:sp>
      <xdr:sp macro="" textlink="">
        <xdr:nvSpPr>
          <xdr:cNvPr id="20" name="Text Box 14"/>
          <xdr:cNvSpPr txBox="1">
            <a:spLocks noChangeArrowheads="1"/>
          </xdr:cNvSpPr>
        </xdr:nvSpPr>
        <xdr:spPr bwMode="auto">
          <a:xfrm>
            <a:off x="8494118" y="1229579"/>
            <a:ext cx="873164" cy="507886"/>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Down</a:t>
            </a:r>
          </a:p>
          <a:p>
            <a:pPr eaLnBrk="1" hangingPunct="1"/>
            <a:r>
              <a:rPr lang="en-US" sz="1400" b="1" i="1">
                <a:latin typeface="Times New Roman" pitchFamily="18" charset="0"/>
              </a:rPr>
              <a:t>Convert</a:t>
            </a:r>
            <a:endParaRPr lang="en-US" sz="1400" b="1" i="1" baseline="-25000">
              <a:latin typeface="Times New Roman" pitchFamily="18" charset="0"/>
            </a:endParaRPr>
          </a:p>
        </xdr:txBody>
      </xdr:sp>
      <xdr:sp macro="" textlink="">
        <xdr:nvSpPr>
          <xdr:cNvPr id="21" name="Text Box 14"/>
          <xdr:cNvSpPr txBox="1">
            <a:spLocks noChangeArrowheads="1"/>
          </xdr:cNvSpPr>
        </xdr:nvSpPr>
        <xdr:spPr bwMode="auto">
          <a:xfrm>
            <a:off x="9770281" y="1309524"/>
            <a:ext cx="964318" cy="286862"/>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Detector</a:t>
            </a:r>
            <a:endParaRPr lang="en-US" sz="1400" b="1" i="1" baseline="-25000">
              <a:latin typeface="Times New Roman" pitchFamily="18" charset="0"/>
            </a:endParaRPr>
          </a:p>
        </xdr:txBody>
      </xdr:sp>
      <xdr:sp macro="" textlink="">
        <xdr:nvSpPr>
          <xdr:cNvPr id="22" name="Text Box 14"/>
          <xdr:cNvSpPr txBox="1">
            <a:spLocks noChangeArrowheads="1"/>
          </xdr:cNvSpPr>
        </xdr:nvSpPr>
        <xdr:spPr bwMode="auto">
          <a:xfrm>
            <a:off x="9242545" y="1126121"/>
            <a:ext cx="662069" cy="305673"/>
          </a:xfrm>
          <a:prstGeom prst="rect">
            <a:avLst/>
          </a:prstGeom>
          <a:noFill/>
          <a:ln w="9525">
            <a:noFill/>
            <a:miter lim="800000"/>
            <a:headEnd/>
            <a:tailEnd/>
          </a:ln>
          <a:scene3d>
            <a:camera prst="orthographicFront"/>
            <a:lightRig rig="threePt" dir="t"/>
          </a:scene3d>
          <a:sp3d extrusionH="63500">
            <a:bevelT/>
          </a:sp3d>
        </xdr:spPr>
        <xdr:txBody>
          <a:bodyPr wrap="square">
            <a:noAutofit/>
          </a:bodyPr>
          <a:lstStyle>
            <a:defPPr>
              <a:defRPr lang="en-US"/>
            </a:defPPr>
            <a:lvl1pPr algn="l" rtl="0" eaLnBrk="0" fontAlgn="base" hangingPunct="0">
              <a:spcBef>
                <a:spcPct val="0"/>
              </a:spcBef>
              <a:spcAft>
                <a:spcPct val="0"/>
              </a:spcAft>
              <a:defRPr kern="1200">
                <a:solidFill>
                  <a:schemeClr val="tx1"/>
                </a:solidFill>
                <a:latin typeface="Arial" charset="0"/>
                <a:ea typeface="+mn-ea"/>
                <a:cs typeface="+mn-cs"/>
              </a:defRPr>
            </a:lvl1pPr>
            <a:lvl2pPr marL="457200" algn="l" rtl="0" eaLnBrk="0" fontAlgn="base" hangingPunct="0">
              <a:spcBef>
                <a:spcPct val="0"/>
              </a:spcBef>
              <a:spcAft>
                <a:spcPct val="0"/>
              </a:spcAft>
              <a:defRPr kern="1200">
                <a:solidFill>
                  <a:schemeClr val="tx1"/>
                </a:solidFill>
                <a:latin typeface="Arial" charset="0"/>
                <a:ea typeface="+mn-ea"/>
                <a:cs typeface="+mn-cs"/>
              </a:defRPr>
            </a:lvl2pPr>
            <a:lvl3pPr marL="914400" algn="l" rtl="0" eaLnBrk="0" fontAlgn="base" hangingPunct="0">
              <a:spcBef>
                <a:spcPct val="0"/>
              </a:spcBef>
              <a:spcAft>
                <a:spcPct val="0"/>
              </a:spcAft>
              <a:defRPr kern="1200">
                <a:solidFill>
                  <a:schemeClr val="tx1"/>
                </a:solidFill>
                <a:latin typeface="Arial" charset="0"/>
                <a:ea typeface="+mn-ea"/>
                <a:cs typeface="+mn-cs"/>
              </a:defRPr>
            </a:lvl3pPr>
            <a:lvl4pPr marL="1371600" algn="l" rtl="0" eaLnBrk="0" fontAlgn="base" hangingPunct="0">
              <a:spcBef>
                <a:spcPct val="0"/>
              </a:spcBef>
              <a:spcAft>
                <a:spcPct val="0"/>
              </a:spcAft>
              <a:defRPr kern="1200">
                <a:solidFill>
                  <a:schemeClr val="tx1"/>
                </a:solidFill>
                <a:latin typeface="Arial" charset="0"/>
                <a:ea typeface="+mn-ea"/>
                <a:cs typeface="+mn-cs"/>
              </a:defRPr>
            </a:lvl4pPr>
            <a:lvl5pPr marL="1828800" algn="l" rtl="0" eaLnBrk="0" fontAlgn="base" hangingPunct="0">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eaLnBrk="1" hangingPunct="1"/>
            <a:r>
              <a:rPr lang="en-US" sz="1400" b="1" i="1">
                <a:latin typeface="Times New Roman" pitchFamily="18" charset="0"/>
              </a:rPr>
              <a:t>Line</a:t>
            </a:r>
            <a:endParaRPr lang="en-US" sz="1400" b="1" i="1" baseline="-25000">
              <a:latin typeface="Times New Roman" pitchFamily="18" charset="0"/>
            </a:endParaRPr>
          </a:p>
        </xdr:txBody>
      </xdr:sp>
    </xdr:grpSp>
    <xdr:clientData/>
  </xdr:twoCellAnchor>
  <xdr:twoCellAnchor editAs="absolute">
    <xdr:from>
      <xdr:col>12</xdr:col>
      <xdr:colOff>614188</xdr:colOff>
      <xdr:row>37</xdr:row>
      <xdr:rowOff>129261</xdr:rowOff>
    </xdr:from>
    <xdr:to>
      <xdr:col>14</xdr:col>
      <xdr:colOff>1225184</xdr:colOff>
      <xdr:row>39</xdr:row>
      <xdr:rowOff>143623</xdr:rowOff>
    </xdr:to>
    <xdr:pic>
      <xdr:nvPicPr>
        <xdr:cNvPr id="1084688" name="Picture 22"/>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13098421" y="7109340"/>
          <a:ext cx="1723476" cy="4021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134048</xdr:colOff>
      <xdr:row>38</xdr:row>
      <xdr:rowOff>67024</xdr:rowOff>
    </xdr:from>
    <xdr:to>
      <xdr:col>12</xdr:col>
      <xdr:colOff>234584</xdr:colOff>
      <xdr:row>77</xdr:row>
      <xdr:rowOff>153198</xdr:rowOff>
    </xdr:to>
    <xdr:pic>
      <xdr:nvPicPr>
        <xdr:cNvPr id="1023096" name="Picture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85139" y="6252390"/>
          <a:ext cx="7262538" cy="64678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12</xdr:col>
      <xdr:colOff>569705</xdr:colOff>
      <xdr:row>37</xdr:row>
      <xdr:rowOff>105324</xdr:rowOff>
    </xdr:from>
    <xdr:to>
      <xdr:col>23</xdr:col>
      <xdr:colOff>540980</xdr:colOff>
      <xdr:row>66</xdr:row>
      <xdr:rowOff>143623</xdr:rowOff>
    </xdr:to>
    <xdr:pic>
      <xdr:nvPicPr>
        <xdr:cNvPr id="1023097" name="Picture 3"/>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798" y="6127916"/>
          <a:ext cx="7133277" cy="479222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xdr:col>
      <xdr:colOff>0</xdr:colOff>
      <xdr:row>1</xdr:row>
      <xdr:rowOff>0</xdr:rowOff>
    </xdr:from>
    <xdr:to>
      <xdr:col>10</xdr:col>
      <xdr:colOff>612792</xdr:colOff>
      <xdr:row>36</xdr:row>
      <xdr:rowOff>0</xdr:rowOff>
    </xdr:to>
    <xdr:pic>
      <xdr:nvPicPr>
        <xdr:cNvPr id="1023098" name="Picture 7"/>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b="13290"/>
        <a:stretch>
          <a:fillRect/>
        </a:stretch>
      </xdr:blipFill>
      <xdr:spPr bwMode="auto">
        <a:xfrm>
          <a:off x="651091" y="162773"/>
          <a:ext cx="6472612" cy="56970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378207</xdr:colOff>
      <xdr:row>0</xdr:row>
      <xdr:rowOff>95749</xdr:rowOff>
    </xdr:from>
    <xdr:to>
      <xdr:col>23</xdr:col>
      <xdr:colOff>378207</xdr:colOff>
      <xdr:row>33</xdr:row>
      <xdr:rowOff>67024</xdr:rowOff>
    </xdr:to>
    <xdr:pic>
      <xdr:nvPicPr>
        <xdr:cNvPr id="1023099" name="Picture 9"/>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91301" y="95749"/>
          <a:ext cx="7162002" cy="53427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8</xdr:col>
      <xdr:colOff>33195</xdr:colOff>
      <xdr:row>31</xdr:row>
      <xdr:rowOff>9575</xdr:rowOff>
    </xdr:from>
    <xdr:to>
      <xdr:col>13</xdr:col>
      <xdr:colOff>1280416</xdr:colOff>
      <xdr:row>52</xdr:row>
      <xdr:rowOff>19150</xdr:rowOff>
    </xdr:to>
    <xdr:grpSp>
      <xdr:nvGrpSpPr>
        <xdr:cNvPr id="1024340" name="Group 13"/>
        <xdr:cNvGrpSpPr>
          <a:grpSpLocks/>
        </xdr:cNvGrpSpPr>
      </xdr:nvGrpSpPr>
      <xdr:grpSpPr bwMode="auto">
        <a:xfrm>
          <a:off x="6073166" y="5903869"/>
          <a:ext cx="4407279" cy="3808369"/>
          <a:chOff x="7283824" y="2017057"/>
          <a:chExt cx="4421870" cy="3888055"/>
        </a:xfrm>
      </xdr:grpSpPr>
      <xdr:pic>
        <xdr:nvPicPr>
          <xdr:cNvPr id="1024346" name="Picture 8"/>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734218" y="4924037"/>
            <a:ext cx="3876675"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0" name="Rectangle 9"/>
          <xdr:cNvSpPr/>
        </xdr:nvSpPr>
        <xdr:spPr bwMode="auto">
          <a:xfrm>
            <a:off x="7283824" y="2017057"/>
            <a:ext cx="1627463" cy="1003369"/>
          </a:xfrm>
          <a:prstGeom prst="rect">
            <a:avLst/>
          </a:prstGeom>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horz" wrap="square" lIns="91440" tIns="45720" rIns="91440" bIns="45720" numCol="1" rtlCol="0" anchor="t" anchorCtr="0" compatLnSpc="1">
            <a:prstTxWarp prst="textNoShape">
              <a:avLst/>
            </a:prstTxWarp>
          </a:bodyPr>
          <a:lstStyle>
            <a:defPPr>
              <a:defRPr lang="en-US"/>
            </a:defPPr>
            <a:lvl1pPr algn="l" rtl="0" fontAlgn="base">
              <a:spcBef>
                <a:spcPct val="0"/>
              </a:spcBef>
              <a:spcAft>
                <a:spcPct val="0"/>
              </a:spcAft>
              <a:defRPr sz="2400" kern="1200">
                <a:solidFill>
                  <a:schemeClr val="lt1"/>
                </a:solidFill>
                <a:latin typeface="+mn-lt"/>
                <a:ea typeface="+mn-ea"/>
                <a:cs typeface="+mn-cs"/>
              </a:defRPr>
            </a:lvl1pPr>
            <a:lvl2pPr marL="455613" indent="1588" algn="l" rtl="0" fontAlgn="base">
              <a:spcBef>
                <a:spcPct val="0"/>
              </a:spcBef>
              <a:spcAft>
                <a:spcPct val="0"/>
              </a:spcAft>
              <a:defRPr sz="2400" kern="1200">
                <a:solidFill>
                  <a:schemeClr val="lt1"/>
                </a:solidFill>
                <a:latin typeface="+mn-lt"/>
                <a:ea typeface="+mn-ea"/>
                <a:cs typeface="+mn-cs"/>
              </a:defRPr>
            </a:lvl2pPr>
            <a:lvl3pPr marL="912813" indent="1588" algn="l" rtl="0" fontAlgn="base">
              <a:spcBef>
                <a:spcPct val="0"/>
              </a:spcBef>
              <a:spcAft>
                <a:spcPct val="0"/>
              </a:spcAft>
              <a:defRPr sz="2400" kern="1200">
                <a:solidFill>
                  <a:schemeClr val="lt1"/>
                </a:solidFill>
                <a:latin typeface="+mn-lt"/>
                <a:ea typeface="+mn-ea"/>
                <a:cs typeface="+mn-cs"/>
              </a:defRPr>
            </a:lvl3pPr>
            <a:lvl4pPr marL="1370013" indent="1588" algn="l" rtl="0" fontAlgn="base">
              <a:spcBef>
                <a:spcPct val="0"/>
              </a:spcBef>
              <a:spcAft>
                <a:spcPct val="0"/>
              </a:spcAft>
              <a:defRPr sz="2400" kern="1200">
                <a:solidFill>
                  <a:schemeClr val="lt1"/>
                </a:solidFill>
                <a:latin typeface="+mn-lt"/>
                <a:ea typeface="+mn-ea"/>
                <a:cs typeface="+mn-cs"/>
              </a:defRPr>
            </a:lvl4pPr>
            <a:lvl5pPr marL="1827213" indent="1588" algn="l" rtl="0" fontAlgn="base">
              <a:spcBef>
                <a:spcPct val="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marL="0" marR="0" indent="0" algn="ctr" defTabSz="914400" rtl="0" eaLnBrk="0" fontAlgn="base" latinLnBrk="0" hangingPunct="0">
              <a:lnSpc>
                <a:spcPct val="100000"/>
              </a:lnSpc>
              <a:spcBef>
                <a:spcPct val="0"/>
              </a:spcBef>
              <a:spcAft>
                <a:spcPct val="0"/>
              </a:spcAft>
              <a:buClrTx/>
              <a:buSzTx/>
              <a:buFontTx/>
              <a:buNone/>
              <a:tabLst/>
            </a:pPr>
            <a:r>
              <a:rPr kumimoji="0" lang="en-US" sz="2400" b="0" i="0" u="none" strike="noStrike" cap="none" normalizeH="0" baseline="0">
                <a:ln>
                  <a:noFill/>
                </a:ln>
                <a:solidFill>
                  <a:schemeClr val="tx1"/>
                </a:solidFill>
                <a:effectLst/>
                <a:latin typeface="Times"/>
              </a:rPr>
              <a:t>Onboard Instruments</a:t>
            </a:r>
          </a:p>
        </xdr:txBody>
      </xdr:sp>
      <xdr:sp macro="" textlink="">
        <xdr:nvSpPr>
          <xdr:cNvPr id="11" name="Bent-Up Arrow 10"/>
          <xdr:cNvSpPr/>
        </xdr:nvSpPr>
        <xdr:spPr bwMode="auto">
          <a:xfrm rot="5400000">
            <a:off x="8037620" y="3002705"/>
            <a:ext cx="844181" cy="956805"/>
          </a:xfrm>
          <a:prstGeom prst="bentUpArrow">
            <a:avLst>
              <a:gd name="adj1" fmla="val 10714"/>
              <a:gd name="adj2" fmla="val 25000"/>
              <a:gd name="adj3" fmla="val 25000"/>
            </a:avLst>
          </a:prstGeom>
          <a:solidFill>
            <a:srgbClr val="002060"/>
          </a:soli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horz" wrap="square" lIns="91440" tIns="45720" rIns="91440" bIns="45720" numCol="1" rtlCol="0" anchor="t" anchorCtr="0" compatLnSpc="1">
            <a:prstTxWarp prst="textNoShape">
              <a:avLst/>
            </a:prstTxWarp>
          </a:bodyPr>
          <a:lstStyle/>
          <a:p>
            <a:endParaRPr lang="en-US"/>
          </a:p>
        </xdr:txBody>
      </xdr:sp>
      <xdr:sp macro="" textlink="">
        <xdr:nvSpPr>
          <xdr:cNvPr id="12" name="Rectangle 11"/>
          <xdr:cNvSpPr/>
        </xdr:nvSpPr>
        <xdr:spPr bwMode="auto">
          <a:xfrm>
            <a:off x="8911287" y="3271268"/>
            <a:ext cx="1627463" cy="979249"/>
          </a:xfrm>
          <a:prstGeom prst="rect">
            <a:avLst/>
          </a:prstGeom>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horz" wrap="square" lIns="91440" tIns="45720" rIns="91440" bIns="45720" numCol="1" rtlCol="0" anchor="t" anchorCtr="0" compatLnSpc="1">
            <a:prstTxWarp prst="textNoShape">
              <a:avLst/>
            </a:prstTxWarp>
          </a:bodyPr>
          <a:lstStyle>
            <a:defPPr>
              <a:defRPr lang="en-US"/>
            </a:defPPr>
            <a:lvl1pPr algn="l" rtl="0" fontAlgn="base">
              <a:spcBef>
                <a:spcPct val="0"/>
              </a:spcBef>
              <a:spcAft>
                <a:spcPct val="0"/>
              </a:spcAft>
              <a:defRPr sz="2400" kern="1200">
                <a:solidFill>
                  <a:schemeClr val="lt1"/>
                </a:solidFill>
                <a:latin typeface="+mn-lt"/>
                <a:ea typeface="+mn-ea"/>
                <a:cs typeface="+mn-cs"/>
              </a:defRPr>
            </a:lvl1pPr>
            <a:lvl2pPr marL="455613" indent="1588" algn="l" rtl="0" fontAlgn="base">
              <a:spcBef>
                <a:spcPct val="0"/>
              </a:spcBef>
              <a:spcAft>
                <a:spcPct val="0"/>
              </a:spcAft>
              <a:defRPr sz="2400" kern="1200">
                <a:solidFill>
                  <a:schemeClr val="lt1"/>
                </a:solidFill>
                <a:latin typeface="+mn-lt"/>
                <a:ea typeface="+mn-ea"/>
                <a:cs typeface="+mn-cs"/>
              </a:defRPr>
            </a:lvl2pPr>
            <a:lvl3pPr marL="912813" indent="1588" algn="l" rtl="0" fontAlgn="base">
              <a:spcBef>
                <a:spcPct val="0"/>
              </a:spcBef>
              <a:spcAft>
                <a:spcPct val="0"/>
              </a:spcAft>
              <a:defRPr sz="2400" kern="1200">
                <a:solidFill>
                  <a:schemeClr val="lt1"/>
                </a:solidFill>
                <a:latin typeface="+mn-lt"/>
                <a:ea typeface="+mn-ea"/>
                <a:cs typeface="+mn-cs"/>
              </a:defRPr>
            </a:lvl3pPr>
            <a:lvl4pPr marL="1370013" indent="1588" algn="l" rtl="0" fontAlgn="base">
              <a:spcBef>
                <a:spcPct val="0"/>
              </a:spcBef>
              <a:spcAft>
                <a:spcPct val="0"/>
              </a:spcAft>
              <a:defRPr sz="2400" kern="1200">
                <a:solidFill>
                  <a:schemeClr val="lt1"/>
                </a:solidFill>
                <a:latin typeface="+mn-lt"/>
                <a:ea typeface="+mn-ea"/>
                <a:cs typeface="+mn-cs"/>
              </a:defRPr>
            </a:lvl4pPr>
            <a:lvl5pPr marL="1827213" indent="1588" algn="l" rtl="0" fontAlgn="base">
              <a:spcBef>
                <a:spcPct val="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marL="0" marR="0" indent="0" algn="ctr" defTabSz="914400" rtl="0" eaLnBrk="0" fontAlgn="base" latinLnBrk="0" hangingPunct="0">
              <a:lnSpc>
                <a:spcPct val="100000"/>
              </a:lnSpc>
              <a:spcBef>
                <a:spcPct val="0"/>
              </a:spcBef>
              <a:spcAft>
                <a:spcPct val="0"/>
              </a:spcAft>
              <a:buClrTx/>
              <a:buSzTx/>
              <a:buFontTx/>
              <a:buNone/>
              <a:tabLst/>
            </a:pPr>
            <a:r>
              <a:rPr kumimoji="0" lang="en-US" sz="2400" b="0" i="0" u="none" strike="noStrike" cap="none" normalizeH="0" baseline="0">
                <a:ln>
                  <a:noFill/>
                </a:ln>
                <a:solidFill>
                  <a:schemeClr val="tx1"/>
                </a:solidFill>
                <a:effectLst/>
                <a:latin typeface="Times"/>
              </a:rPr>
              <a:t>Spacecraft</a:t>
            </a:r>
            <a:endParaRPr lang="en-US">
              <a:solidFill>
                <a:schemeClr val="tx1"/>
              </a:solidFill>
              <a:latin typeface="Times"/>
            </a:endParaRPr>
          </a:p>
          <a:p>
            <a:pPr marL="0" marR="0" indent="0" algn="ctr" defTabSz="914400" rtl="0" eaLnBrk="0" fontAlgn="base" latinLnBrk="0" hangingPunct="0">
              <a:lnSpc>
                <a:spcPct val="100000"/>
              </a:lnSpc>
              <a:spcBef>
                <a:spcPct val="0"/>
              </a:spcBef>
              <a:spcAft>
                <a:spcPct val="0"/>
              </a:spcAft>
              <a:buClrTx/>
              <a:buSzTx/>
              <a:buFontTx/>
              <a:buNone/>
              <a:tabLst/>
            </a:pPr>
            <a:r>
              <a:rPr kumimoji="0" lang="en-US" sz="2400" b="0" i="0" u="none" strike="noStrike" cap="none" normalizeH="0" baseline="0">
                <a:ln>
                  <a:noFill/>
                </a:ln>
                <a:solidFill>
                  <a:schemeClr val="tx1"/>
                </a:solidFill>
                <a:effectLst/>
                <a:latin typeface="Times"/>
              </a:rPr>
              <a:t>Memory</a:t>
            </a:r>
          </a:p>
        </xdr:txBody>
      </xdr:sp>
      <xdr:sp macro="" textlink="">
        <xdr:nvSpPr>
          <xdr:cNvPr id="13" name="Bent-Up Arrow 12"/>
          <xdr:cNvSpPr/>
        </xdr:nvSpPr>
        <xdr:spPr bwMode="auto">
          <a:xfrm rot="10800000" flipH="1">
            <a:off x="10538750" y="3512463"/>
            <a:ext cx="1166944" cy="1205972"/>
          </a:xfrm>
          <a:prstGeom prst="bentUpArrow">
            <a:avLst>
              <a:gd name="adj1" fmla="val 50000"/>
              <a:gd name="adj2" fmla="val 44806"/>
              <a:gd name="adj3" fmla="val 25000"/>
            </a:avLst>
          </a:prstGeom>
          <a:solidFill>
            <a:srgbClr val="002060"/>
          </a:soli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horz" wrap="square" lIns="91440" tIns="45720" rIns="91440" bIns="45720" numCol="1" rtlCol="0" anchor="t" anchorCtr="0" compatLnSpc="1">
            <a:prstTxWarp prst="textNoShape">
              <a:avLst/>
            </a:prstTxWarp>
          </a:bodyPr>
          <a:lstStyle/>
          <a:p>
            <a:endParaRPr lang="en-US"/>
          </a:p>
        </xdr:txBody>
      </xdr:sp>
    </xdr:grpSp>
    <xdr:clientData/>
  </xdr:twoCellAnchor>
  <xdr:twoCellAnchor editAs="absolute">
    <xdr:from>
      <xdr:col>21</xdr:col>
      <xdr:colOff>946504</xdr:colOff>
      <xdr:row>71</xdr:row>
      <xdr:rowOff>120248</xdr:rowOff>
    </xdr:from>
    <xdr:to>
      <xdr:col>26</xdr:col>
      <xdr:colOff>77163</xdr:colOff>
      <xdr:row>84</xdr:row>
      <xdr:rowOff>15489</xdr:rowOff>
    </xdr:to>
    <xdr:grpSp>
      <xdr:nvGrpSpPr>
        <xdr:cNvPr id="1024341" name="Group 17"/>
        <xdr:cNvGrpSpPr>
          <a:grpSpLocks/>
        </xdr:cNvGrpSpPr>
      </xdr:nvGrpSpPr>
      <xdr:grpSpPr bwMode="auto">
        <a:xfrm>
          <a:off x="16701975" y="13130277"/>
          <a:ext cx="2738953" cy="1945918"/>
          <a:chOff x="15511902" y="12128188"/>
          <a:chExt cx="2819400" cy="1960164"/>
        </a:xfrm>
      </xdr:grpSpPr>
      <xdr:pic>
        <xdr:nvPicPr>
          <xdr:cNvPr id="1024343" name="Object 216"/>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11902" y="12259552"/>
            <a:ext cx="281940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6" name="TextBox 39"/>
          <xdr:cNvSpPr txBox="1"/>
        </xdr:nvSpPr>
        <xdr:spPr>
          <a:xfrm>
            <a:off x="16049784" y="12128188"/>
            <a:ext cx="582706" cy="430888"/>
          </a:xfrm>
          <a:prstGeom prst="rect">
            <a:avLst/>
          </a:prstGeom>
          <a:noFill/>
        </xdr:spPr>
        <xdr:txBody>
          <a:bodyPr wrap="square" rtlCol="0">
            <a:spAutoFit/>
          </a:bodyPr>
          <a:lstStyle>
            <a:defPPr>
              <a:defRPr lang="en-US"/>
            </a:defPPr>
            <a:lvl1pPr algn="l" rtl="0" fontAlgn="base">
              <a:spcBef>
                <a:spcPct val="0"/>
              </a:spcBef>
              <a:spcAft>
                <a:spcPct val="0"/>
              </a:spcAft>
              <a:defRPr sz="2400" kern="1200">
                <a:solidFill>
                  <a:schemeClr val="tx1"/>
                </a:solidFill>
                <a:latin typeface="Times"/>
                <a:ea typeface="+mn-ea"/>
                <a:cs typeface="+mn-cs"/>
              </a:defRPr>
            </a:lvl1pPr>
            <a:lvl2pPr marL="455613" indent="1588" algn="l" rtl="0" fontAlgn="base">
              <a:spcBef>
                <a:spcPct val="0"/>
              </a:spcBef>
              <a:spcAft>
                <a:spcPct val="0"/>
              </a:spcAft>
              <a:defRPr sz="2400" kern="1200">
                <a:solidFill>
                  <a:schemeClr val="tx1"/>
                </a:solidFill>
                <a:latin typeface="Times"/>
                <a:ea typeface="+mn-ea"/>
                <a:cs typeface="+mn-cs"/>
              </a:defRPr>
            </a:lvl2pPr>
            <a:lvl3pPr marL="912813" indent="1588" algn="l" rtl="0" fontAlgn="base">
              <a:spcBef>
                <a:spcPct val="0"/>
              </a:spcBef>
              <a:spcAft>
                <a:spcPct val="0"/>
              </a:spcAft>
              <a:defRPr sz="2400" kern="1200">
                <a:solidFill>
                  <a:schemeClr val="tx1"/>
                </a:solidFill>
                <a:latin typeface="Times"/>
                <a:ea typeface="+mn-ea"/>
                <a:cs typeface="+mn-cs"/>
              </a:defRPr>
            </a:lvl3pPr>
            <a:lvl4pPr marL="1370013" indent="1588" algn="l" rtl="0" fontAlgn="base">
              <a:spcBef>
                <a:spcPct val="0"/>
              </a:spcBef>
              <a:spcAft>
                <a:spcPct val="0"/>
              </a:spcAft>
              <a:defRPr sz="2400" kern="1200">
                <a:solidFill>
                  <a:schemeClr val="tx1"/>
                </a:solidFill>
                <a:latin typeface="Times"/>
                <a:ea typeface="+mn-ea"/>
                <a:cs typeface="+mn-cs"/>
              </a:defRPr>
            </a:lvl4pPr>
            <a:lvl5pPr marL="1827213" indent="1588" algn="l" rtl="0" fontAlgn="base">
              <a:spcBef>
                <a:spcPct val="0"/>
              </a:spcBef>
              <a:spcAft>
                <a:spcPct val="0"/>
              </a:spcAft>
              <a:defRPr sz="2400" kern="1200">
                <a:solidFill>
                  <a:schemeClr val="tx1"/>
                </a:solidFill>
                <a:latin typeface="Times"/>
                <a:ea typeface="+mn-ea"/>
                <a:cs typeface="+mn-cs"/>
              </a:defRPr>
            </a:lvl5pPr>
            <a:lvl6pPr marL="2286000" algn="l" defTabSz="914400" rtl="0" eaLnBrk="1" latinLnBrk="0" hangingPunct="1">
              <a:defRPr sz="2400" kern="1200">
                <a:solidFill>
                  <a:schemeClr val="tx1"/>
                </a:solidFill>
                <a:latin typeface="Times"/>
                <a:ea typeface="+mn-ea"/>
                <a:cs typeface="+mn-cs"/>
              </a:defRPr>
            </a:lvl6pPr>
            <a:lvl7pPr marL="2743200" algn="l" defTabSz="914400" rtl="0" eaLnBrk="1" latinLnBrk="0" hangingPunct="1">
              <a:defRPr sz="2400" kern="1200">
                <a:solidFill>
                  <a:schemeClr val="tx1"/>
                </a:solidFill>
                <a:latin typeface="Times"/>
                <a:ea typeface="+mn-ea"/>
                <a:cs typeface="+mn-cs"/>
              </a:defRPr>
            </a:lvl7pPr>
            <a:lvl8pPr marL="3200400" algn="l" defTabSz="914400" rtl="0" eaLnBrk="1" latinLnBrk="0" hangingPunct="1">
              <a:defRPr sz="2400" kern="1200">
                <a:solidFill>
                  <a:schemeClr val="tx1"/>
                </a:solidFill>
                <a:latin typeface="Times"/>
                <a:ea typeface="+mn-ea"/>
                <a:cs typeface="+mn-cs"/>
              </a:defRPr>
            </a:lvl8pPr>
            <a:lvl9pPr marL="3657600" algn="l" defTabSz="914400" rtl="0" eaLnBrk="1" latinLnBrk="0" hangingPunct="1">
              <a:defRPr sz="2400" kern="1200">
                <a:solidFill>
                  <a:schemeClr val="tx1"/>
                </a:solidFill>
                <a:latin typeface="Times"/>
                <a:ea typeface="+mn-ea"/>
                <a:cs typeface="+mn-cs"/>
              </a:defRPr>
            </a:lvl9pPr>
          </a:lstStyle>
          <a:p>
            <a:r>
              <a:rPr lang="en-US">
                <a:solidFill>
                  <a:srgbClr val="FF0000"/>
                </a:solidFill>
              </a:rPr>
              <a:t>10º</a:t>
            </a:r>
          </a:p>
        </xdr:txBody>
      </xdr:sp>
      <xdr:sp macro="" textlink="">
        <xdr:nvSpPr>
          <xdr:cNvPr id="17" name="TextBox 40"/>
          <xdr:cNvSpPr txBox="1"/>
        </xdr:nvSpPr>
        <xdr:spPr>
          <a:xfrm>
            <a:off x="16040819" y="12461047"/>
            <a:ext cx="573741" cy="430888"/>
          </a:xfrm>
          <a:prstGeom prst="rect">
            <a:avLst/>
          </a:prstGeom>
          <a:noFill/>
        </xdr:spPr>
        <xdr:txBody>
          <a:bodyPr wrap="square" rtlCol="0">
            <a:spAutoFit/>
          </a:bodyPr>
          <a:lstStyle>
            <a:defPPr>
              <a:defRPr lang="en-US"/>
            </a:defPPr>
            <a:lvl1pPr algn="l" rtl="0" fontAlgn="base">
              <a:spcBef>
                <a:spcPct val="0"/>
              </a:spcBef>
              <a:spcAft>
                <a:spcPct val="0"/>
              </a:spcAft>
              <a:defRPr sz="2400" kern="1200">
                <a:solidFill>
                  <a:schemeClr val="tx1"/>
                </a:solidFill>
                <a:latin typeface="Times"/>
                <a:ea typeface="+mn-ea"/>
                <a:cs typeface="+mn-cs"/>
              </a:defRPr>
            </a:lvl1pPr>
            <a:lvl2pPr marL="455613" indent="1588" algn="l" rtl="0" fontAlgn="base">
              <a:spcBef>
                <a:spcPct val="0"/>
              </a:spcBef>
              <a:spcAft>
                <a:spcPct val="0"/>
              </a:spcAft>
              <a:defRPr sz="2400" kern="1200">
                <a:solidFill>
                  <a:schemeClr val="tx1"/>
                </a:solidFill>
                <a:latin typeface="Times"/>
                <a:ea typeface="+mn-ea"/>
                <a:cs typeface="+mn-cs"/>
              </a:defRPr>
            </a:lvl2pPr>
            <a:lvl3pPr marL="912813" indent="1588" algn="l" rtl="0" fontAlgn="base">
              <a:spcBef>
                <a:spcPct val="0"/>
              </a:spcBef>
              <a:spcAft>
                <a:spcPct val="0"/>
              </a:spcAft>
              <a:defRPr sz="2400" kern="1200">
                <a:solidFill>
                  <a:schemeClr val="tx1"/>
                </a:solidFill>
                <a:latin typeface="Times"/>
                <a:ea typeface="+mn-ea"/>
                <a:cs typeface="+mn-cs"/>
              </a:defRPr>
            </a:lvl3pPr>
            <a:lvl4pPr marL="1370013" indent="1588" algn="l" rtl="0" fontAlgn="base">
              <a:spcBef>
                <a:spcPct val="0"/>
              </a:spcBef>
              <a:spcAft>
                <a:spcPct val="0"/>
              </a:spcAft>
              <a:defRPr sz="2400" kern="1200">
                <a:solidFill>
                  <a:schemeClr val="tx1"/>
                </a:solidFill>
                <a:latin typeface="Times"/>
                <a:ea typeface="+mn-ea"/>
                <a:cs typeface="+mn-cs"/>
              </a:defRPr>
            </a:lvl4pPr>
            <a:lvl5pPr marL="1827213" indent="1588" algn="l" rtl="0" fontAlgn="base">
              <a:spcBef>
                <a:spcPct val="0"/>
              </a:spcBef>
              <a:spcAft>
                <a:spcPct val="0"/>
              </a:spcAft>
              <a:defRPr sz="2400" kern="1200">
                <a:solidFill>
                  <a:schemeClr val="tx1"/>
                </a:solidFill>
                <a:latin typeface="Times"/>
                <a:ea typeface="+mn-ea"/>
                <a:cs typeface="+mn-cs"/>
              </a:defRPr>
            </a:lvl5pPr>
            <a:lvl6pPr marL="2286000" algn="l" defTabSz="914400" rtl="0" eaLnBrk="1" latinLnBrk="0" hangingPunct="1">
              <a:defRPr sz="2400" kern="1200">
                <a:solidFill>
                  <a:schemeClr val="tx1"/>
                </a:solidFill>
                <a:latin typeface="Times"/>
                <a:ea typeface="+mn-ea"/>
                <a:cs typeface="+mn-cs"/>
              </a:defRPr>
            </a:lvl6pPr>
            <a:lvl7pPr marL="2743200" algn="l" defTabSz="914400" rtl="0" eaLnBrk="1" latinLnBrk="0" hangingPunct="1">
              <a:defRPr sz="2400" kern="1200">
                <a:solidFill>
                  <a:schemeClr val="tx1"/>
                </a:solidFill>
                <a:latin typeface="Times"/>
                <a:ea typeface="+mn-ea"/>
                <a:cs typeface="+mn-cs"/>
              </a:defRPr>
            </a:lvl7pPr>
            <a:lvl8pPr marL="3200400" algn="l" defTabSz="914400" rtl="0" eaLnBrk="1" latinLnBrk="0" hangingPunct="1">
              <a:defRPr sz="2400" kern="1200">
                <a:solidFill>
                  <a:schemeClr val="tx1"/>
                </a:solidFill>
                <a:latin typeface="Times"/>
                <a:ea typeface="+mn-ea"/>
                <a:cs typeface="+mn-cs"/>
              </a:defRPr>
            </a:lvl8pPr>
            <a:lvl9pPr marL="3657600" algn="l" defTabSz="914400" rtl="0" eaLnBrk="1" latinLnBrk="0" hangingPunct="1">
              <a:defRPr sz="2400" kern="1200">
                <a:solidFill>
                  <a:schemeClr val="tx1"/>
                </a:solidFill>
                <a:latin typeface="Times"/>
                <a:ea typeface="+mn-ea"/>
                <a:cs typeface="+mn-cs"/>
              </a:defRPr>
            </a:lvl9pPr>
          </a:lstStyle>
          <a:p>
            <a:r>
              <a:rPr lang="en-US">
                <a:solidFill>
                  <a:srgbClr val="99FF33"/>
                </a:solidFill>
              </a:rPr>
              <a:t>40º</a:t>
            </a:r>
          </a:p>
        </xdr:txBody>
      </xdr:sp>
    </xdr:grpSp>
    <xdr:clientData/>
  </xdr:twoCellAnchor>
  <xdr:twoCellAnchor editAs="absolute">
    <xdr:from>
      <xdr:col>33</xdr:col>
      <xdr:colOff>1034086</xdr:colOff>
      <xdr:row>58</xdr:row>
      <xdr:rowOff>28725</xdr:rowOff>
    </xdr:from>
    <xdr:to>
      <xdr:col>37</xdr:col>
      <xdr:colOff>517043</xdr:colOff>
      <xdr:row>75</xdr:row>
      <xdr:rowOff>19150</xdr:rowOff>
    </xdr:to>
    <xdr:pic>
      <xdr:nvPicPr>
        <xdr:cNvPr id="1024342" name="Picture 18"/>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5103" t="6500" r="4549" b="11198"/>
        <a:stretch>
          <a:fillRect/>
        </a:stretch>
      </xdr:blipFill>
      <xdr:spPr bwMode="auto">
        <a:xfrm>
          <a:off x="27642647" y="10771728"/>
          <a:ext cx="3370354" cy="29777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34</xdr:col>
      <xdr:colOff>1283032</xdr:colOff>
      <xdr:row>23</xdr:row>
      <xdr:rowOff>19150</xdr:rowOff>
    </xdr:from>
    <xdr:to>
      <xdr:col>46</xdr:col>
      <xdr:colOff>354270</xdr:colOff>
      <xdr:row>44</xdr:row>
      <xdr:rowOff>86174</xdr:rowOff>
    </xdr:to>
    <xdr:graphicFrame macro="">
      <xdr:nvGraphicFramePr>
        <xdr:cNvPr id="909011"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35</xdr:col>
      <xdr:colOff>143623</xdr:colOff>
      <xdr:row>0</xdr:row>
      <xdr:rowOff>248947</xdr:rowOff>
    </xdr:from>
    <xdr:to>
      <xdr:col>42</xdr:col>
      <xdr:colOff>387782</xdr:colOff>
      <xdr:row>21</xdr:row>
      <xdr:rowOff>134048</xdr:rowOff>
    </xdr:to>
    <xdr:grpSp>
      <xdr:nvGrpSpPr>
        <xdr:cNvPr id="909012" name="Group 13"/>
        <xdr:cNvGrpSpPr>
          <a:grpSpLocks/>
        </xdr:cNvGrpSpPr>
      </xdr:nvGrpSpPr>
      <xdr:grpSpPr bwMode="auto">
        <a:xfrm>
          <a:off x="24998270" y="248947"/>
          <a:ext cx="4479983" cy="3896807"/>
          <a:chOff x="7283824" y="2017057"/>
          <a:chExt cx="4421870" cy="3888055"/>
        </a:xfrm>
      </xdr:grpSpPr>
      <xdr:pic>
        <xdr:nvPicPr>
          <xdr:cNvPr id="909021" name="Picture 8"/>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734218" y="4924037"/>
            <a:ext cx="3876675"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5" name="Rectangle 4"/>
          <xdr:cNvSpPr/>
        </xdr:nvSpPr>
        <xdr:spPr bwMode="auto">
          <a:xfrm>
            <a:off x="7283824" y="2017057"/>
            <a:ext cx="1622381" cy="1003526"/>
          </a:xfrm>
          <a:prstGeom prst="rect">
            <a:avLst/>
          </a:prstGeom>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horz" wrap="square" lIns="91440" tIns="45720" rIns="91440" bIns="45720" numCol="1" rtlCol="0" anchor="t" anchorCtr="0" compatLnSpc="1">
            <a:prstTxWarp prst="textNoShape">
              <a:avLst/>
            </a:prstTxWarp>
          </a:bodyPr>
          <a:lstStyle>
            <a:defPPr>
              <a:defRPr lang="en-US"/>
            </a:defPPr>
            <a:lvl1pPr algn="l" rtl="0" fontAlgn="base">
              <a:spcBef>
                <a:spcPct val="0"/>
              </a:spcBef>
              <a:spcAft>
                <a:spcPct val="0"/>
              </a:spcAft>
              <a:defRPr sz="2400" kern="1200">
                <a:solidFill>
                  <a:schemeClr val="lt1"/>
                </a:solidFill>
                <a:latin typeface="+mn-lt"/>
                <a:ea typeface="+mn-ea"/>
                <a:cs typeface="+mn-cs"/>
              </a:defRPr>
            </a:lvl1pPr>
            <a:lvl2pPr marL="455613" indent="1588" algn="l" rtl="0" fontAlgn="base">
              <a:spcBef>
                <a:spcPct val="0"/>
              </a:spcBef>
              <a:spcAft>
                <a:spcPct val="0"/>
              </a:spcAft>
              <a:defRPr sz="2400" kern="1200">
                <a:solidFill>
                  <a:schemeClr val="lt1"/>
                </a:solidFill>
                <a:latin typeface="+mn-lt"/>
                <a:ea typeface="+mn-ea"/>
                <a:cs typeface="+mn-cs"/>
              </a:defRPr>
            </a:lvl2pPr>
            <a:lvl3pPr marL="912813" indent="1588" algn="l" rtl="0" fontAlgn="base">
              <a:spcBef>
                <a:spcPct val="0"/>
              </a:spcBef>
              <a:spcAft>
                <a:spcPct val="0"/>
              </a:spcAft>
              <a:defRPr sz="2400" kern="1200">
                <a:solidFill>
                  <a:schemeClr val="lt1"/>
                </a:solidFill>
                <a:latin typeface="+mn-lt"/>
                <a:ea typeface="+mn-ea"/>
                <a:cs typeface="+mn-cs"/>
              </a:defRPr>
            </a:lvl3pPr>
            <a:lvl4pPr marL="1370013" indent="1588" algn="l" rtl="0" fontAlgn="base">
              <a:spcBef>
                <a:spcPct val="0"/>
              </a:spcBef>
              <a:spcAft>
                <a:spcPct val="0"/>
              </a:spcAft>
              <a:defRPr sz="2400" kern="1200">
                <a:solidFill>
                  <a:schemeClr val="lt1"/>
                </a:solidFill>
                <a:latin typeface="+mn-lt"/>
                <a:ea typeface="+mn-ea"/>
                <a:cs typeface="+mn-cs"/>
              </a:defRPr>
            </a:lvl4pPr>
            <a:lvl5pPr marL="1827213" indent="1588" algn="l" rtl="0" fontAlgn="base">
              <a:spcBef>
                <a:spcPct val="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marL="0" marR="0" indent="0" algn="ctr" defTabSz="914400" rtl="0" eaLnBrk="0" fontAlgn="base" latinLnBrk="0" hangingPunct="0">
              <a:lnSpc>
                <a:spcPct val="100000"/>
              </a:lnSpc>
              <a:spcBef>
                <a:spcPct val="0"/>
              </a:spcBef>
              <a:spcAft>
                <a:spcPct val="0"/>
              </a:spcAft>
              <a:buClrTx/>
              <a:buSzTx/>
              <a:buFontTx/>
              <a:buNone/>
              <a:tabLst/>
            </a:pPr>
            <a:r>
              <a:rPr kumimoji="0" lang="en-US" sz="2400" b="0" i="0" u="none" strike="noStrike" cap="none" normalizeH="0" baseline="0">
                <a:ln>
                  <a:noFill/>
                </a:ln>
                <a:solidFill>
                  <a:schemeClr val="tx1"/>
                </a:solidFill>
                <a:effectLst/>
                <a:latin typeface="Times"/>
              </a:rPr>
              <a:t>Onboard Instruments</a:t>
            </a:r>
          </a:p>
        </xdr:txBody>
      </xdr:sp>
      <xdr:sp macro="" textlink="">
        <xdr:nvSpPr>
          <xdr:cNvPr id="6" name="Bent-Up Arrow 5"/>
          <xdr:cNvSpPr/>
        </xdr:nvSpPr>
        <xdr:spPr bwMode="auto">
          <a:xfrm rot="5400000">
            <a:off x="8034532" y="3009633"/>
            <a:ext cx="848391" cy="947858"/>
          </a:xfrm>
          <a:prstGeom prst="bentUpArrow">
            <a:avLst>
              <a:gd name="adj1" fmla="val 10714"/>
              <a:gd name="adj2" fmla="val 25000"/>
              <a:gd name="adj3" fmla="val 25000"/>
            </a:avLst>
          </a:prstGeom>
          <a:solidFill>
            <a:srgbClr val="002060"/>
          </a:soli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horz" wrap="square" lIns="91440" tIns="45720" rIns="91440" bIns="45720" numCol="1" rtlCol="0" anchor="t" anchorCtr="0" compatLnSpc="1">
            <a:prstTxWarp prst="textNoShape">
              <a:avLst/>
            </a:prstTxWarp>
          </a:bodyPr>
          <a:lstStyle/>
          <a:p>
            <a:endParaRPr lang="en-US"/>
          </a:p>
        </xdr:txBody>
      </xdr:sp>
      <xdr:sp macro="" textlink="">
        <xdr:nvSpPr>
          <xdr:cNvPr id="7" name="Rectangle 6"/>
          <xdr:cNvSpPr/>
        </xdr:nvSpPr>
        <xdr:spPr bwMode="auto">
          <a:xfrm>
            <a:off x="8906205" y="3267828"/>
            <a:ext cx="1648833" cy="984134"/>
          </a:xfrm>
          <a:prstGeom prst="rect">
            <a:avLst/>
          </a:prstGeom>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horz" wrap="square" lIns="91440" tIns="45720" rIns="91440" bIns="45720" numCol="1" rtlCol="0" anchor="t" anchorCtr="0" compatLnSpc="1">
            <a:prstTxWarp prst="textNoShape">
              <a:avLst/>
            </a:prstTxWarp>
          </a:bodyPr>
          <a:lstStyle>
            <a:defPPr>
              <a:defRPr lang="en-US"/>
            </a:defPPr>
            <a:lvl1pPr algn="l" rtl="0" fontAlgn="base">
              <a:spcBef>
                <a:spcPct val="0"/>
              </a:spcBef>
              <a:spcAft>
                <a:spcPct val="0"/>
              </a:spcAft>
              <a:defRPr sz="2400" kern="1200">
                <a:solidFill>
                  <a:schemeClr val="lt1"/>
                </a:solidFill>
                <a:latin typeface="+mn-lt"/>
                <a:ea typeface="+mn-ea"/>
                <a:cs typeface="+mn-cs"/>
              </a:defRPr>
            </a:lvl1pPr>
            <a:lvl2pPr marL="455613" indent="1588" algn="l" rtl="0" fontAlgn="base">
              <a:spcBef>
                <a:spcPct val="0"/>
              </a:spcBef>
              <a:spcAft>
                <a:spcPct val="0"/>
              </a:spcAft>
              <a:defRPr sz="2400" kern="1200">
                <a:solidFill>
                  <a:schemeClr val="lt1"/>
                </a:solidFill>
                <a:latin typeface="+mn-lt"/>
                <a:ea typeface="+mn-ea"/>
                <a:cs typeface="+mn-cs"/>
              </a:defRPr>
            </a:lvl2pPr>
            <a:lvl3pPr marL="912813" indent="1588" algn="l" rtl="0" fontAlgn="base">
              <a:spcBef>
                <a:spcPct val="0"/>
              </a:spcBef>
              <a:spcAft>
                <a:spcPct val="0"/>
              </a:spcAft>
              <a:defRPr sz="2400" kern="1200">
                <a:solidFill>
                  <a:schemeClr val="lt1"/>
                </a:solidFill>
                <a:latin typeface="+mn-lt"/>
                <a:ea typeface="+mn-ea"/>
                <a:cs typeface="+mn-cs"/>
              </a:defRPr>
            </a:lvl3pPr>
            <a:lvl4pPr marL="1370013" indent="1588" algn="l" rtl="0" fontAlgn="base">
              <a:spcBef>
                <a:spcPct val="0"/>
              </a:spcBef>
              <a:spcAft>
                <a:spcPct val="0"/>
              </a:spcAft>
              <a:defRPr sz="2400" kern="1200">
                <a:solidFill>
                  <a:schemeClr val="lt1"/>
                </a:solidFill>
                <a:latin typeface="+mn-lt"/>
                <a:ea typeface="+mn-ea"/>
                <a:cs typeface="+mn-cs"/>
              </a:defRPr>
            </a:lvl4pPr>
            <a:lvl5pPr marL="1827213" indent="1588" algn="l" rtl="0" fontAlgn="base">
              <a:spcBef>
                <a:spcPct val="0"/>
              </a:spcBef>
              <a:spcAft>
                <a:spcPct val="0"/>
              </a:spcAft>
              <a:defRPr sz="2400" kern="1200">
                <a:solidFill>
                  <a:schemeClr val="lt1"/>
                </a:solidFill>
                <a:latin typeface="+mn-lt"/>
                <a:ea typeface="+mn-ea"/>
                <a:cs typeface="+mn-cs"/>
              </a:defRPr>
            </a:lvl5pPr>
            <a:lvl6pPr marL="2286000" algn="l" defTabSz="914400" rtl="0" eaLnBrk="1" latinLnBrk="0" hangingPunct="1">
              <a:defRPr sz="2400" kern="1200">
                <a:solidFill>
                  <a:schemeClr val="lt1"/>
                </a:solidFill>
                <a:latin typeface="+mn-lt"/>
                <a:ea typeface="+mn-ea"/>
                <a:cs typeface="+mn-cs"/>
              </a:defRPr>
            </a:lvl6pPr>
            <a:lvl7pPr marL="2743200" algn="l" defTabSz="914400" rtl="0" eaLnBrk="1" latinLnBrk="0" hangingPunct="1">
              <a:defRPr sz="2400" kern="1200">
                <a:solidFill>
                  <a:schemeClr val="lt1"/>
                </a:solidFill>
                <a:latin typeface="+mn-lt"/>
                <a:ea typeface="+mn-ea"/>
                <a:cs typeface="+mn-cs"/>
              </a:defRPr>
            </a:lvl7pPr>
            <a:lvl8pPr marL="3200400" algn="l" defTabSz="914400" rtl="0" eaLnBrk="1" latinLnBrk="0" hangingPunct="1">
              <a:defRPr sz="2400" kern="1200">
                <a:solidFill>
                  <a:schemeClr val="lt1"/>
                </a:solidFill>
                <a:latin typeface="+mn-lt"/>
                <a:ea typeface="+mn-ea"/>
                <a:cs typeface="+mn-cs"/>
              </a:defRPr>
            </a:lvl8pPr>
            <a:lvl9pPr marL="3657600" algn="l" defTabSz="914400" rtl="0" eaLnBrk="1" latinLnBrk="0" hangingPunct="1">
              <a:defRPr sz="2400" kern="1200">
                <a:solidFill>
                  <a:schemeClr val="lt1"/>
                </a:solidFill>
                <a:latin typeface="+mn-lt"/>
                <a:ea typeface="+mn-ea"/>
                <a:cs typeface="+mn-cs"/>
              </a:defRPr>
            </a:lvl9pPr>
          </a:lstStyle>
          <a:p>
            <a:pPr marL="0" marR="0" indent="0" algn="ctr" defTabSz="914400" rtl="0" eaLnBrk="0" fontAlgn="base" latinLnBrk="0" hangingPunct="0">
              <a:lnSpc>
                <a:spcPct val="100000"/>
              </a:lnSpc>
              <a:spcBef>
                <a:spcPct val="0"/>
              </a:spcBef>
              <a:spcAft>
                <a:spcPct val="0"/>
              </a:spcAft>
              <a:buClrTx/>
              <a:buSzTx/>
              <a:buFontTx/>
              <a:buNone/>
              <a:tabLst/>
            </a:pPr>
            <a:r>
              <a:rPr kumimoji="0" lang="en-US" sz="2400" b="0" i="0" u="none" strike="noStrike" cap="none" normalizeH="0" baseline="0">
                <a:ln>
                  <a:noFill/>
                </a:ln>
                <a:solidFill>
                  <a:schemeClr val="tx1"/>
                </a:solidFill>
                <a:effectLst/>
                <a:latin typeface="Times"/>
              </a:rPr>
              <a:t>Spacecraft</a:t>
            </a:r>
            <a:endParaRPr lang="en-US">
              <a:solidFill>
                <a:schemeClr val="tx1"/>
              </a:solidFill>
              <a:latin typeface="Times"/>
            </a:endParaRPr>
          </a:p>
          <a:p>
            <a:pPr marL="0" marR="0" indent="0" algn="ctr" defTabSz="914400" rtl="0" eaLnBrk="0" fontAlgn="base" latinLnBrk="0" hangingPunct="0">
              <a:lnSpc>
                <a:spcPct val="100000"/>
              </a:lnSpc>
              <a:spcBef>
                <a:spcPct val="0"/>
              </a:spcBef>
              <a:spcAft>
                <a:spcPct val="0"/>
              </a:spcAft>
              <a:buClrTx/>
              <a:buSzTx/>
              <a:buFontTx/>
              <a:buNone/>
              <a:tabLst/>
            </a:pPr>
            <a:r>
              <a:rPr kumimoji="0" lang="en-US" sz="2400" b="0" i="0" u="none" strike="noStrike" cap="none" normalizeH="0" baseline="0">
                <a:ln>
                  <a:noFill/>
                </a:ln>
                <a:solidFill>
                  <a:schemeClr val="tx1"/>
                </a:solidFill>
                <a:effectLst/>
                <a:latin typeface="Times"/>
              </a:rPr>
              <a:t>Memory</a:t>
            </a:r>
          </a:p>
        </xdr:txBody>
      </xdr:sp>
      <xdr:sp macro="" textlink="">
        <xdr:nvSpPr>
          <xdr:cNvPr id="8" name="Bent-Up Arrow 7"/>
          <xdr:cNvSpPr/>
        </xdr:nvSpPr>
        <xdr:spPr bwMode="auto">
          <a:xfrm rot="10800000" flipH="1">
            <a:off x="10555038" y="3510225"/>
            <a:ext cx="1150656" cy="1202292"/>
          </a:xfrm>
          <a:prstGeom prst="bentUpArrow">
            <a:avLst>
              <a:gd name="adj1" fmla="val 50000"/>
              <a:gd name="adj2" fmla="val 44806"/>
              <a:gd name="adj3" fmla="val 25000"/>
            </a:avLst>
          </a:prstGeom>
          <a:solidFill>
            <a:srgbClr val="002060"/>
          </a:solidFill>
          <a:ln>
            <a:headEnd type="none" w="med" len="med"/>
            <a:tailEnd type="none" w="med" len="med"/>
          </a:ln>
        </xdr:spPr>
        <xdr:style>
          <a:lnRef idx="0">
            <a:schemeClr val="accent1"/>
          </a:lnRef>
          <a:fillRef idx="3">
            <a:schemeClr val="accent1"/>
          </a:fillRef>
          <a:effectRef idx="3">
            <a:schemeClr val="accent1"/>
          </a:effectRef>
          <a:fontRef idx="minor">
            <a:schemeClr val="lt1"/>
          </a:fontRef>
        </xdr:style>
        <xdr:txBody>
          <a:bodyPr vert="horz" wrap="square" lIns="91440" tIns="45720" rIns="91440" bIns="45720" numCol="1" rtlCol="0" anchor="t" anchorCtr="0" compatLnSpc="1">
            <a:prstTxWarp prst="textNoShape">
              <a:avLst/>
            </a:prstTxWarp>
          </a:bodyPr>
          <a:lstStyle/>
          <a:p>
            <a:endParaRPr lang="en-US"/>
          </a:p>
        </xdr:txBody>
      </xdr:sp>
    </xdr:grpSp>
    <xdr:clientData/>
  </xdr:twoCellAnchor>
  <xdr:twoCellAnchor editAs="absolute">
    <xdr:from>
      <xdr:col>12</xdr:col>
      <xdr:colOff>103634</xdr:colOff>
      <xdr:row>76</xdr:row>
      <xdr:rowOff>160519</xdr:rowOff>
    </xdr:from>
    <xdr:to>
      <xdr:col>16</xdr:col>
      <xdr:colOff>361310</xdr:colOff>
      <xdr:row>89</xdr:row>
      <xdr:rowOff>58012</xdr:rowOff>
    </xdr:to>
    <xdr:grpSp>
      <xdr:nvGrpSpPr>
        <xdr:cNvPr id="909013" name="Group 17"/>
        <xdr:cNvGrpSpPr>
          <a:grpSpLocks/>
        </xdr:cNvGrpSpPr>
      </xdr:nvGrpSpPr>
      <xdr:grpSpPr bwMode="auto">
        <a:xfrm>
          <a:off x="8452016" y="13641195"/>
          <a:ext cx="2835029" cy="1981788"/>
          <a:chOff x="15511902" y="12128188"/>
          <a:chExt cx="2819400" cy="1960164"/>
        </a:xfrm>
      </xdr:grpSpPr>
      <xdr:pic>
        <xdr:nvPicPr>
          <xdr:cNvPr id="909018" name="Object 216"/>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511902" y="12259552"/>
            <a:ext cx="281940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1" name="TextBox 39"/>
          <xdr:cNvSpPr txBox="1"/>
        </xdr:nvSpPr>
        <xdr:spPr>
          <a:xfrm>
            <a:off x="16049142" y="12128188"/>
            <a:ext cx="590520" cy="426862"/>
          </a:xfrm>
          <a:prstGeom prst="rect">
            <a:avLst/>
          </a:prstGeom>
          <a:noFill/>
        </xdr:spPr>
        <xdr:txBody>
          <a:bodyPr wrap="square" rtlCol="0">
            <a:spAutoFit/>
          </a:bodyPr>
          <a:lstStyle>
            <a:defPPr>
              <a:defRPr lang="en-US"/>
            </a:defPPr>
            <a:lvl1pPr algn="l" rtl="0" fontAlgn="base">
              <a:spcBef>
                <a:spcPct val="0"/>
              </a:spcBef>
              <a:spcAft>
                <a:spcPct val="0"/>
              </a:spcAft>
              <a:defRPr sz="2400" kern="1200">
                <a:solidFill>
                  <a:schemeClr val="tx1"/>
                </a:solidFill>
                <a:latin typeface="Times"/>
                <a:ea typeface="+mn-ea"/>
                <a:cs typeface="+mn-cs"/>
              </a:defRPr>
            </a:lvl1pPr>
            <a:lvl2pPr marL="455613" indent="1588" algn="l" rtl="0" fontAlgn="base">
              <a:spcBef>
                <a:spcPct val="0"/>
              </a:spcBef>
              <a:spcAft>
                <a:spcPct val="0"/>
              </a:spcAft>
              <a:defRPr sz="2400" kern="1200">
                <a:solidFill>
                  <a:schemeClr val="tx1"/>
                </a:solidFill>
                <a:latin typeface="Times"/>
                <a:ea typeface="+mn-ea"/>
                <a:cs typeface="+mn-cs"/>
              </a:defRPr>
            </a:lvl2pPr>
            <a:lvl3pPr marL="912813" indent="1588" algn="l" rtl="0" fontAlgn="base">
              <a:spcBef>
                <a:spcPct val="0"/>
              </a:spcBef>
              <a:spcAft>
                <a:spcPct val="0"/>
              </a:spcAft>
              <a:defRPr sz="2400" kern="1200">
                <a:solidFill>
                  <a:schemeClr val="tx1"/>
                </a:solidFill>
                <a:latin typeface="Times"/>
                <a:ea typeface="+mn-ea"/>
                <a:cs typeface="+mn-cs"/>
              </a:defRPr>
            </a:lvl3pPr>
            <a:lvl4pPr marL="1370013" indent="1588" algn="l" rtl="0" fontAlgn="base">
              <a:spcBef>
                <a:spcPct val="0"/>
              </a:spcBef>
              <a:spcAft>
                <a:spcPct val="0"/>
              </a:spcAft>
              <a:defRPr sz="2400" kern="1200">
                <a:solidFill>
                  <a:schemeClr val="tx1"/>
                </a:solidFill>
                <a:latin typeface="Times"/>
                <a:ea typeface="+mn-ea"/>
                <a:cs typeface="+mn-cs"/>
              </a:defRPr>
            </a:lvl4pPr>
            <a:lvl5pPr marL="1827213" indent="1588" algn="l" rtl="0" fontAlgn="base">
              <a:spcBef>
                <a:spcPct val="0"/>
              </a:spcBef>
              <a:spcAft>
                <a:spcPct val="0"/>
              </a:spcAft>
              <a:defRPr sz="2400" kern="1200">
                <a:solidFill>
                  <a:schemeClr val="tx1"/>
                </a:solidFill>
                <a:latin typeface="Times"/>
                <a:ea typeface="+mn-ea"/>
                <a:cs typeface="+mn-cs"/>
              </a:defRPr>
            </a:lvl5pPr>
            <a:lvl6pPr marL="2286000" algn="l" defTabSz="914400" rtl="0" eaLnBrk="1" latinLnBrk="0" hangingPunct="1">
              <a:defRPr sz="2400" kern="1200">
                <a:solidFill>
                  <a:schemeClr val="tx1"/>
                </a:solidFill>
                <a:latin typeface="Times"/>
                <a:ea typeface="+mn-ea"/>
                <a:cs typeface="+mn-cs"/>
              </a:defRPr>
            </a:lvl6pPr>
            <a:lvl7pPr marL="2743200" algn="l" defTabSz="914400" rtl="0" eaLnBrk="1" latinLnBrk="0" hangingPunct="1">
              <a:defRPr sz="2400" kern="1200">
                <a:solidFill>
                  <a:schemeClr val="tx1"/>
                </a:solidFill>
                <a:latin typeface="Times"/>
                <a:ea typeface="+mn-ea"/>
                <a:cs typeface="+mn-cs"/>
              </a:defRPr>
            </a:lvl7pPr>
            <a:lvl8pPr marL="3200400" algn="l" defTabSz="914400" rtl="0" eaLnBrk="1" latinLnBrk="0" hangingPunct="1">
              <a:defRPr sz="2400" kern="1200">
                <a:solidFill>
                  <a:schemeClr val="tx1"/>
                </a:solidFill>
                <a:latin typeface="Times"/>
                <a:ea typeface="+mn-ea"/>
                <a:cs typeface="+mn-cs"/>
              </a:defRPr>
            </a:lvl8pPr>
            <a:lvl9pPr marL="3657600" algn="l" defTabSz="914400" rtl="0" eaLnBrk="1" latinLnBrk="0" hangingPunct="1">
              <a:defRPr sz="2400" kern="1200">
                <a:solidFill>
                  <a:schemeClr val="tx1"/>
                </a:solidFill>
                <a:latin typeface="Times"/>
                <a:ea typeface="+mn-ea"/>
                <a:cs typeface="+mn-cs"/>
              </a:defRPr>
            </a:lvl9pPr>
          </a:lstStyle>
          <a:p>
            <a:r>
              <a:rPr lang="en-US">
                <a:solidFill>
                  <a:srgbClr val="FF0000"/>
                </a:solidFill>
              </a:rPr>
              <a:t>10º</a:t>
            </a:r>
          </a:p>
        </xdr:txBody>
      </xdr:sp>
      <xdr:sp macro="" textlink="">
        <xdr:nvSpPr>
          <xdr:cNvPr id="12" name="TextBox 40"/>
          <xdr:cNvSpPr txBox="1"/>
        </xdr:nvSpPr>
        <xdr:spPr>
          <a:xfrm>
            <a:off x="16031382" y="12467095"/>
            <a:ext cx="577200" cy="426862"/>
          </a:xfrm>
          <a:prstGeom prst="rect">
            <a:avLst/>
          </a:prstGeom>
          <a:noFill/>
        </xdr:spPr>
        <xdr:txBody>
          <a:bodyPr wrap="square" rtlCol="0">
            <a:spAutoFit/>
          </a:bodyPr>
          <a:lstStyle>
            <a:defPPr>
              <a:defRPr lang="en-US"/>
            </a:defPPr>
            <a:lvl1pPr algn="l" rtl="0" fontAlgn="base">
              <a:spcBef>
                <a:spcPct val="0"/>
              </a:spcBef>
              <a:spcAft>
                <a:spcPct val="0"/>
              </a:spcAft>
              <a:defRPr sz="2400" kern="1200">
                <a:solidFill>
                  <a:schemeClr val="tx1"/>
                </a:solidFill>
                <a:latin typeface="Times"/>
                <a:ea typeface="+mn-ea"/>
                <a:cs typeface="+mn-cs"/>
              </a:defRPr>
            </a:lvl1pPr>
            <a:lvl2pPr marL="455613" indent="1588" algn="l" rtl="0" fontAlgn="base">
              <a:spcBef>
                <a:spcPct val="0"/>
              </a:spcBef>
              <a:spcAft>
                <a:spcPct val="0"/>
              </a:spcAft>
              <a:defRPr sz="2400" kern="1200">
                <a:solidFill>
                  <a:schemeClr val="tx1"/>
                </a:solidFill>
                <a:latin typeface="Times"/>
                <a:ea typeface="+mn-ea"/>
                <a:cs typeface="+mn-cs"/>
              </a:defRPr>
            </a:lvl2pPr>
            <a:lvl3pPr marL="912813" indent="1588" algn="l" rtl="0" fontAlgn="base">
              <a:spcBef>
                <a:spcPct val="0"/>
              </a:spcBef>
              <a:spcAft>
                <a:spcPct val="0"/>
              </a:spcAft>
              <a:defRPr sz="2400" kern="1200">
                <a:solidFill>
                  <a:schemeClr val="tx1"/>
                </a:solidFill>
                <a:latin typeface="Times"/>
                <a:ea typeface="+mn-ea"/>
                <a:cs typeface="+mn-cs"/>
              </a:defRPr>
            </a:lvl3pPr>
            <a:lvl4pPr marL="1370013" indent="1588" algn="l" rtl="0" fontAlgn="base">
              <a:spcBef>
                <a:spcPct val="0"/>
              </a:spcBef>
              <a:spcAft>
                <a:spcPct val="0"/>
              </a:spcAft>
              <a:defRPr sz="2400" kern="1200">
                <a:solidFill>
                  <a:schemeClr val="tx1"/>
                </a:solidFill>
                <a:latin typeface="Times"/>
                <a:ea typeface="+mn-ea"/>
                <a:cs typeface="+mn-cs"/>
              </a:defRPr>
            </a:lvl4pPr>
            <a:lvl5pPr marL="1827213" indent="1588" algn="l" rtl="0" fontAlgn="base">
              <a:spcBef>
                <a:spcPct val="0"/>
              </a:spcBef>
              <a:spcAft>
                <a:spcPct val="0"/>
              </a:spcAft>
              <a:defRPr sz="2400" kern="1200">
                <a:solidFill>
                  <a:schemeClr val="tx1"/>
                </a:solidFill>
                <a:latin typeface="Times"/>
                <a:ea typeface="+mn-ea"/>
                <a:cs typeface="+mn-cs"/>
              </a:defRPr>
            </a:lvl5pPr>
            <a:lvl6pPr marL="2286000" algn="l" defTabSz="914400" rtl="0" eaLnBrk="1" latinLnBrk="0" hangingPunct="1">
              <a:defRPr sz="2400" kern="1200">
                <a:solidFill>
                  <a:schemeClr val="tx1"/>
                </a:solidFill>
                <a:latin typeface="Times"/>
                <a:ea typeface="+mn-ea"/>
                <a:cs typeface="+mn-cs"/>
              </a:defRPr>
            </a:lvl6pPr>
            <a:lvl7pPr marL="2743200" algn="l" defTabSz="914400" rtl="0" eaLnBrk="1" latinLnBrk="0" hangingPunct="1">
              <a:defRPr sz="2400" kern="1200">
                <a:solidFill>
                  <a:schemeClr val="tx1"/>
                </a:solidFill>
                <a:latin typeface="Times"/>
                <a:ea typeface="+mn-ea"/>
                <a:cs typeface="+mn-cs"/>
              </a:defRPr>
            </a:lvl7pPr>
            <a:lvl8pPr marL="3200400" algn="l" defTabSz="914400" rtl="0" eaLnBrk="1" latinLnBrk="0" hangingPunct="1">
              <a:defRPr sz="2400" kern="1200">
                <a:solidFill>
                  <a:schemeClr val="tx1"/>
                </a:solidFill>
                <a:latin typeface="Times"/>
                <a:ea typeface="+mn-ea"/>
                <a:cs typeface="+mn-cs"/>
              </a:defRPr>
            </a:lvl8pPr>
            <a:lvl9pPr marL="3657600" algn="l" defTabSz="914400" rtl="0" eaLnBrk="1" latinLnBrk="0" hangingPunct="1">
              <a:defRPr sz="2400" kern="1200">
                <a:solidFill>
                  <a:schemeClr val="tx1"/>
                </a:solidFill>
                <a:latin typeface="Times"/>
                <a:ea typeface="+mn-ea"/>
                <a:cs typeface="+mn-cs"/>
              </a:defRPr>
            </a:lvl9pPr>
          </a:lstStyle>
          <a:p>
            <a:r>
              <a:rPr lang="en-US">
                <a:solidFill>
                  <a:srgbClr val="99FF33"/>
                </a:solidFill>
              </a:rPr>
              <a:t>40º</a:t>
            </a:r>
          </a:p>
        </xdr:txBody>
      </xdr:sp>
    </xdr:grpSp>
    <xdr:clientData/>
  </xdr:twoCellAnchor>
  <xdr:twoCellAnchor editAs="absolute">
    <xdr:from>
      <xdr:col>17</xdr:col>
      <xdr:colOff>81386</xdr:colOff>
      <xdr:row>76</xdr:row>
      <xdr:rowOff>143623</xdr:rowOff>
    </xdr:from>
    <xdr:to>
      <xdr:col>22</xdr:col>
      <xdr:colOff>90961</xdr:colOff>
      <xdr:row>95</xdr:row>
      <xdr:rowOff>19150</xdr:rowOff>
    </xdr:to>
    <xdr:pic>
      <xdr:nvPicPr>
        <xdr:cNvPr id="909014" name="Picture 18"/>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l="5103" t="6500" r="4549" b="11198"/>
        <a:stretch>
          <a:fillRect/>
        </a:stretch>
      </xdr:blipFill>
      <xdr:spPr bwMode="auto">
        <a:xfrm>
          <a:off x="12499992" y="13739937"/>
          <a:ext cx="3341629" cy="29969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26</xdr:col>
      <xdr:colOff>780352</xdr:colOff>
      <xdr:row>1</xdr:row>
      <xdr:rowOff>19150</xdr:rowOff>
    </xdr:from>
    <xdr:to>
      <xdr:col>34</xdr:col>
      <xdr:colOff>244159</xdr:colOff>
      <xdr:row>27</xdr:row>
      <xdr:rowOff>95749</xdr:rowOff>
    </xdr:to>
    <xdr:graphicFrame macro="">
      <xdr:nvGraphicFramePr>
        <xdr:cNvPr id="90901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xdr:col>
      <xdr:colOff>631941</xdr:colOff>
      <xdr:row>49</xdr:row>
      <xdr:rowOff>86174</xdr:rowOff>
    </xdr:from>
    <xdr:to>
      <xdr:col>18</xdr:col>
      <xdr:colOff>296821</xdr:colOff>
      <xdr:row>74</xdr:row>
      <xdr:rowOff>162773</xdr:rowOff>
    </xdr:to>
    <xdr:pic>
      <xdr:nvPicPr>
        <xdr:cNvPr id="909016" name="Picture 17"/>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l="8151" t="5949" r="8427" b="9052"/>
        <a:stretch>
          <a:fillRect/>
        </a:stretch>
      </xdr:blipFill>
      <xdr:spPr bwMode="auto">
        <a:xfrm>
          <a:off x="8971652" y="9144000"/>
          <a:ext cx="4394865" cy="427517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26</xdr:col>
      <xdr:colOff>823439</xdr:colOff>
      <xdr:row>28</xdr:row>
      <xdr:rowOff>124473</xdr:rowOff>
    </xdr:from>
    <xdr:to>
      <xdr:col>34</xdr:col>
      <xdr:colOff>287246</xdr:colOff>
      <xdr:row>54</xdr:row>
      <xdr:rowOff>119686</xdr:rowOff>
    </xdr:to>
    <xdr:graphicFrame macro="">
      <xdr:nvGraphicFramePr>
        <xdr:cNvPr id="90901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M97"/>
  <sheetViews>
    <sheetView topLeftCell="A25" zoomScaleNormal="100" workbookViewId="0">
      <selection activeCell="E97" sqref="E97"/>
    </sheetView>
  </sheetViews>
  <sheetFormatPr defaultRowHeight="12.75" x14ac:dyDescent="0.2"/>
  <cols>
    <col min="1" max="1" width="2.7109375" customWidth="1"/>
    <col min="2" max="2" width="31.7109375" customWidth="1"/>
    <col min="3" max="3" width="9" customWidth="1"/>
    <col min="4" max="4" width="12.42578125" customWidth="1"/>
    <col min="5" max="5" width="10.85546875" customWidth="1"/>
    <col min="6" max="8" width="11.5703125" customWidth="1"/>
    <col min="9" max="9" width="9.5703125" bestFit="1" customWidth="1"/>
    <col min="10" max="10" width="24.5703125" customWidth="1"/>
    <col min="11" max="11" width="10.140625" style="73" customWidth="1"/>
    <col min="12" max="12" width="10.140625" customWidth="1"/>
    <col min="13" max="13" width="11.28515625" customWidth="1"/>
    <col min="14" max="14" width="2.85546875" customWidth="1"/>
    <col min="15" max="15" width="24.28515625" customWidth="1"/>
    <col min="16" max="16" width="8.7109375" customWidth="1"/>
    <col min="17" max="17" width="10.140625" customWidth="1"/>
    <col min="18" max="18" width="11.28515625" customWidth="1"/>
    <col min="19" max="19" width="3.28515625" customWidth="1"/>
    <col min="20" max="20" width="18.5703125" customWidth="1"/>
    <col min="35" max="35" width="13.28515625" customWidth="1"/>
  </cols>
  <sheetData>
    <row r="1" spans="1:38" ht="26.25" thickBot="1" x14ac:dyDescent="0.4">
      <c r="B1" s="1" t="s">
        <v>112</v>
      </c>
      <c r="C1" s="1"/>
      <c r="D1" s="1"/>
      <c r="J1" s="22" t="s">
        <v>17</v>
      </c>
      <c r="K1" s="50" t="s">
        <v>291</v>
      </c>
      <c r="L1" s="50" t="s">
        <v>292</v>
      </c>
      <c r="M1" s="24" t="s">
        <v>20</v>
      </c>
    </row>
    <row r="2" spans="1:38" ht="15.75" customHeight="1" thickBot="1" x14ac:dyDescent="0.4">
      <c r="D2" s="1"/>
      <c r="G2" s="12" t="s">
        <v>12</v>
      </c>
      <c r="H2" s="13"/>
      <c r="J2" s="26" t="s">
        <v>6</v>
      </c>
      <c r="K2" s="27">
        <v>380</v>
      </c>
      <c r="L2" s="27">
        <v>380</v>
      </c>
      <c r="M2" s="28">
        <v>28</v>
      </c>
      <c r="O2" s="63" t="s">
        <v>364</v>
      </c>
      <c r="P2" s="50"/>
      <c r="Q2" s="50"/>
      <c r="R2" s="51"/>
    </row>
    <row r="3" spans="1:38" ht="15.75" customHeight="1" x14ac:dyDescent="0.2">
      <c r="B3" s="7" t="s">
        <v>11</v>
      </c>
      <c r="C3" s="6" t="s">
        <v>10</v>
      </c>
      <c r="D3" s="6" t="s">
        <v>2</v>
      </c>
      <c r="E3" s="8" t="s">
        <v>3</v>
      </c>
      <c r="G3" s="14" t="s">
        <v>13</v>
      </c>
      <c r="H3" s="15"/>
      <c r="J3" s="26" t="s">
        <v>19</v>
      </c>
      <c r="K3" s="27">
        <v>380</v>
      </c>
      <c r="L3" s="27">
        <v>380</v>
      </c>
      <c r="M3" s="28">
        <v>51.6</v>
      </c>
      <c r="O3" s="49" t="s">
        <v>28</v>
      </c>
      <c r="P3" s="50" t="s">
        <v>10</v>
      </c>
      <c r="Q3" s="50" t="s">
        <v>3</v>
      </c>
      <c r="R3" s="51" t="s">
        <v>18</v>
      </c>
    </row>
    <row r="4" spans="1:38" ht="15.75" customHeight="1" x14ac:dyDescent="0.2">
      <c r="B4" s="3" t="s">
        <v>4</v>
      </c>
      <c r="C4" s="34" t="s">
        <v>0</v>
      </c>
      <c r="D4" s="5">
        <v>398600.5</v>
      </c>
      <c r="E4" s="4" t="s">
        <v>21</v>
      </c>
      <c r="G4" s="16" t="s">
        <v>14</v>
      </c>
      <c r="H4" s="17"/>
      <c r="J4" s="26" t="s">
        <v>7</v>
      </c>
      <c r="K4" s="29">
        <v>20182.5</v>
      </c>
      <c r="L4" s="29">
        <v>20182.5</v>
      </c>
      <c r="M4" s="30">
        <v>54.85</v>
      </c>
      <c r="O4" s="87" t="s">
        <v>356</v>
      </c>
      <c r="P4" s="37" t="s">
        <v>75</v>
      </c>
      <c r="Q4" s="74" t="s">
        <v>38</v>
      </c>
      <c r="R4" s="52">
        <v>30</v>
      </c>
    </row>
    <row r="5" spans="1:38" ht="15.75" customHeight="1" x14ac:dyDescent="0.2">
      <c r="B5" s="36" t="s">
        <v>5</v>
      </c>
      <c r="C5" s="37" t="s">
        <v>22</v>
      </c>
      <c r="D5" s="46">
        <v>6378.14</v>
      </c>
      <c r="E5" s="39" t="s">
        <v>1</v>
      </c>
      <c r="G5" s="18" t="s">
        <v>15</v>
      </c>
      <c r="H5" s="19"/>
      <c r="J5" s="26" t="s">
        <v>8</v>
      </c>
      <c r="K5" s="29">
        <v>39850</v>
      </c>
      <c r="L5" s="25">
        <v>500</v>
      </c>
      <c r="M5" s="33">
        <v>63.43</v>
      </c>
      <c r="O5" s="87" t="s">
        <v>363</v>
      </c>
      <c r="P5" s="72" t="s">
        <v>357</v>
      </c>
      <c r="Q5" s="38" t="s">
        <v>361</v>
      </c>
      <c r="R5" s="59">
        <v>0.21409434761481089</v>
      </c>
    </row>
    <row r="6" spans="1:38" ht="15.75" customHeight="1" thickBot="1" x14ac:dyDescent="0.25">
      <c r="B6" s="36" t="s">
        <v>23</v>
      </c>
      <c r="C6" s="35" t="s">
        <v>24</v>
      </c>
      <c r="D6" s="40">
        <v>299792458</v>
      </c>
      <c r="E6" s="39" t="s">
        <v>0</v>
      </c>
      <c r="G6" s="20" t="s">
        <v>16</v>
      </c>
      <c r="H6" s="21"/>
      <c r="J6" s="23" t="s">
        <v>9</v>
      </c>
      <c r="K6" s="31">
        <v>35786</v>
      </c>
      <c r="L6" s="31">
        <v>35786</v>
      </c>
      <c r="M6" s="32">
        <v>0</v>
      </c>
      <c r="O6" s="87" t="s">
        <v>149</v>
      </c>
      <c r="P6" s="37" t="s">
        <v>30</v>
      </c>
      <c r="Q6" s="38" t="s">
        <v>31</v>
      </c>
      <c r="R6" s="52">
        <v>2.2000000000000002</v>
      </c>
    </row>
    <row r="7" spans="1:38" ht="13.5" thickBot="1" x14ac:dyDescent="0.25">
      <c r="B7" s="9" t="s">
        <v>25</v>
      </c>
      <c r="C7" s="10" t="s">
        <v>26</v>
      </c>
      <c r="D7" s="41">
        <v>1.3806580000000001E-23</v>
      </c>
      <c r="E7" s="11" t="s">
        <v>27</v>
      </c>
      <c r="F7" s="2"/>
      <c r="I7" s="2"/>
      <c r="O7" s="87" t="s">
        <v>362</v>
      </c>
      <c r="P7" s="72" t="s">
        <v>151</v>
      </c>
      <c r="Q7" s="74" t="s">
        <v>0</v>
      </c>
      <c r="R7" s="59">
        <v>0.1362692990909091</v>
      </c>
    </row>
    <row r="8" spans="1:38" ht="12.75" customHeight="1" thickBot="1" x14ac:dyDescent="0.25">
      <c r="A8" s="2"/>
      <c r="B8" s="43"/>
      <c r="C8" s="44"/>
      <c r="D8" s="45"/>
      <c r="E8" s="43"/>
      <c r="F8" s="2"/>
      <c r="G8" s="2"/>
      <c r="H8" s="2"/>
      <c r="I8" s="2"/>
      <c r="J8" s="63" t="s">
        <v>355</v>
      </c>
      <c r="K8" s="50"/>
      <c r="L8" s="50"/>
      <c r="M8" s="51"/>
      <c r="N8" s="2"/>
      <c r="O8" s="36" t="s">
        <v>78</v>
      </c>
      <c r="P8" s="37" t="s">
        <v>79</v>
      </c>
      <c r="Q8" s="38"/>
      <c r="R8" s="59">
        <v>58.695480540981087</v>
      </c>
    </row>
    <row r="9" spans="1:38" ht="16.5" customHeight="1" x14ac:dyDescent="0.2">
      <c r="A9" s="2"/>
      <c r="B9" s="49" t="s">
        <v>28</v>
      </c>
      <c r="C9" s="50" t="s">
        <v>10</v>
      </c>
      <c r="D9" s="50" t="s">
        <v>3</v>
      </c>
      <c r="E9" s="50" t="s">
        <v>368</v>
      </c>
      <c r="F9" s="50" t="s">
        <v>369</v>
      </c>
      <c r="G9" s="50" t="s">
        <v>370</v>
      </c>
      <c r="H9" s="51" t="s">
        <v>136</v>
      </c>
      <c r="I9" s="2"/>
      <c r="J9" s="49" t="s">
        <v>28</v>
      </c>
      <c r="K9" s="50" t="s">
        <v>10</v>
      </c>
      <c r="L9" s="50" t="s">
        <v>3</v>
      </c>
      <c r="M9" s="51" t="s">
        <v>18</v>
      </c>
      <c r="O9" s="36" t="s">
        <v>78</v>
      </c>
      <c r="P9" s="37" t="s">
        <v>79</v>
      </c>
      <c r="Q9" s="38" t="s">
        <v>36</v>
      </c>
      <c r="R9" s="59">
        <v>17.686046625478447</v>
      </c>
    </row>
    <row r="10" spans="1:38" ht="13.5" thickBot="1" x14ac:dyDescent="0.25">
      <c r="A10" s="2"/>
      <c r="B10" s="36" t="s">
        <v>29</v>
      </c>
      <c r="C10" s="38" t="s">
        <v>30</v>
      </c>
      <c r="D10" s="38" t="s">
        <v>31</v>
      </c>
      <c r="E10" s="67">
        <v>2.2000000000000002</v>
      </c>
      <c r="F10" s="67">
        <v>0.45</v>
      </c>
      <c r="G10" s="67">
        <v>0.46500000000000002</v>
      </c>
      <c r="H10" s="52">
        <v>0.46500000000000002</v>
      </c>
      <c r="I10" s="2"/>
      <c r="J10" s="36" t="s">
        <v>106</v>
      </c>
      <c r="K10" s="37" t="s">
        <v>107</v>
      </c>
      <c r="L10" s="38" t="s">
        <v>1</v>
      </c>
      <c r="M10" s="52">
        <v>600</v>
      </c>
      <c r="O10" s="92" t="s">
        <v>358</v>
      </c>
      <c r="P10" s="10" t="s">
        <v>375</v>
      </c>
      <c r="Q10" s="228" t="s">
        <v>376</v>
      </c>
      <c r="R10" s="60">
        <v>8.6734292995613055E-2</v>
      </c>
    </row>
    <row r="11" spans="1:38" ht="15.75" x14ac:dyDescent="0.3">
      <c r="A11" s="2"/>
      <c r="B11" s="36" t="s">
        <v>32</v>
      </c>
      <c r="C11" s="38" t="s">
        <v>100</v>
      </c>
      <c r="D11" s="38" t="s">
        <v>33</v>
      </c>
      <c r="E11" s="68">
        <v>1.5</v>
      </c>
      <c r="F11" s="68">
        <v>5</v>
      </c>
      <c r="G11" s="68">
        <v>0.25</v>
      </c>
      <c r="H11" s="56">
        <v>0.25</v>
      </c>
      <c r="I11" s="2"/>
      <c r="J11" s="36" t="s">
        <v>108</v>
      </c>
      <c r="K11" s="72" t="s">
        <v>109</v>
      </c>
      <c r="L11" s="38" t="s">
        <v>38</v>
      </c>
      <c r="M11" s="52">
        <v>10</v>
      </c>
    </row>
    <row r="12" spans="1:38" ht="15.75" x14ac:dyDescent="0.3">
      <c r="A12" s="2"/>
      <c r="B12" s="36" t="s">
        <v>32</v>
      </c>
      <c r="C12" s="38" t="s">
        <v>100</v>
      </c>
      <c r="D12" s="38" t="s">
        <v>34</v>
      </c>
      <c r="E12" s="69">
        <v>1.7609125905568124</v>
      </c>
      <c r="F12" s="69">
        <v>6.9897000433601884</v>
      </c>
      <c r="G12" s="69">
        <v>-6.0205999132796242</v>
      </c>
      <c r="H12" s="59">
        <v>-6.0205999132796242</v>
      </c>
      <c r="I12" s="2"/>
      <c r="J12" s="87" t="s">
        <v>177</v>
      </c>
      <c r="K12" s="72" t="s">
        <v>109</v>
      </c>
      <c r="L12" s="38" t="s">
        <v>110</v>
      </c>
      <c r="M12" s="61">
        <v>0.17453292519943295</v>
      </c>
    </row>
    <row r="13" spans="1:38" ht="13.5" thickBot="1" x14ac:dyDescent="0.25">
      <c r="B13" s="54" t="s">
        <v>104</v>
      </c>
      <c r="C13" s="42"/>
      <c r="D13" s="42"/>
      <c r="E13" s="42"/>
      <c r="F13" s="42"/>
      <c r="G13" s="42"/>
      <c r="H13" s="55"/>
      <c r="J13" s="58" t="s">
        <v>111</v>
      </c>
      <c r="K13" s="48" t="s">
        <v>68</v>
      </c>
      <c r="L13" s="47" t="s">
        <v>1</v>
      </c>
      <c r="M13" s="62">
        <v>1932.2568646560537</v>
      </c>
    </row>
    <row r="14" spans="1:38" ht="12.75" customHeight="1" thickBot="1" x14ac:dyDescent="0.35">
      <c r="B14" s="36" t="s">
        <v>35</v>
      </c>
      <c r="C14" s="38" t="s">
        <v>101</v>
      </c>
      <c r="D14" s="38" t="s">
        <v>36</v>
      </c>
      <c r="E14" s="68">
        <v>1.1466978554135772</v>
      </c>
      <c r="F14" s="68">
        <v>37</v>
      </c>
      <c r="G14" s="68">
        <v>0</v>
      </c>
      <c r="H14" s="56">
        <v>0</v>
      </c>
    </row>
    <row r="15" spans="1:38" ht="16.5" thickBot="1" x14ac:dyDescent="0.35">
      <c r="B15" s="36" t="s">
        <v>37</v>
      </c>
      <c r="C15" s="38" t="s">
        <v>102</v>
      </c>
      <c r="D15" s="38" t="s">
        <v>36</v>
      </c>
      <c r="E15" s="67">
        <v>-0.5</v>
      </c>
      <c r="F15" s="67">
        <v>-0.5</v>
      </c>
      <c r="G15" s="67">
        <v>-0.5</v>
      </c>
      <c r="H15" s="52">
        <v>-0.5</v>
      </c>
      <c r="J15" s="63" t="s">
        <v>73</v>
      </c>
      <c r="K15" s="50"/>
      <c r="L15" s="50"/>
      <c r="M15" s="51"/>
      <c r="O15" s="63" t="s">
        <v>132</v>
      </c>
      <c r="P15" s="50"/>
      <c r="Q15" s="50"/>
      <c r="R15" s="51"/>
      <c r="T15" s="63" t="s">
        <v>135</v>
      </c>
      <c r="U15" s="50"/>
      <c r="V15" s="50"/>
      <c r="W15" s="51"/>
      <c r="Y15" s="63" t="s">
        <v>134</v>
      </c>
      <c r="Z15" s="50"/>
      <c r="AA15" s="50"/>
      <c r="AB15" s="51"/>
      <c r="AD15" s="63" t="s">
        <v>148</v>
      </c>
      <c r="AE15" s="50"/>
      <c r="AF15" s="50"/>
      <c r="AG15" s="51"/>
      <c r="AI15" s="63" t="s">
        <v>133</v>
      </c>
      <c r="AJ15" s="50"/>
      <c r="AK15" s="50"/>
      <c r="AL15" s="51"/>
    </row>
    <row r="16" spans="1:38" ht="15.75" x14ac:dyDescent="0.3">
      <c r="B16" s="36" t="s">
        <v>311</v>
      </c>
      <c r="C16" s="53" t="s">
        <v>103</v>
      </c>
      <c r="D16" s="38" t="s">
        <v>38</v>
      </c>
      <c r="E16" s="70">
        <v>136.36363636363637</v>
      </c>
      <c r="F16" s="70">
        <v>2.2000000000000002</v>
      </c>
      <c r="G16" s="70">
        <v>180</v>
      </c>
      <c r="H16" s="57">
        <v>180</v>
      </c>
      <c r="J16" s="49" t="s">
        <v>28</v>
      </c>
      <c r="K16" s="50" t="s">
        <v>10</v>
      </c>
      <c r="L16" s="50" t="s">
        <v>3</v>
      </c>
      <c r="M16" s="51" t="s">
        <v>18</v>
      </c>
      <c r="O16" s="49" t="s">
        <v>28</v>
      </c>
      <c r="P16" s="50" t="s">
        <v>10</v>
      </c>
      <c r="Q16" s="50" t="s">
        <v>3</v>
      </c>
      <c r="R16" s="51" t="s">
        <v>18</v>
      </c>
    </row>
    <row r="17" spans="2:39" ht="15.75" x14ac:dyDescent="0.3">
      <c r="B17" s="36" t="s">
        <v>39</v>
      </c>
      <c r="C17" s="53" t="s">
        <v>126</v>
      </c>
      <c r="D17" s="38" t="s">
        <v>38</v>
      </c>
      <c r="E17" s="67">
        <v>20</v>
      </c>
      <c r="F17" s="67">
        <v>0.5</v>
      </c>
      <c r="G17" s="67">
        <v>80</v>
      </c>
      <c r="H17" s="52">
        <v>80</v>
      </c>
      <c r="J17" s="36" t="s">
        <v>74</v>
      </c>
      <c r="K17" s="37" t="s">
        <v>75</v>
      </c>
      <c r="L17" s="38" t="s">
        <v>0</v>
      </c>
      <c r="M17" s="52">
        <v>7.0000000000000007E-2</v>
      </c>
      <c r="O17" s="36" t="s">
        <v>139</v>
      </c>
      <c r="P17" s="37" t="s">
        <v>50</v>
      </c>
      <c r="Q17" s="38" t="s">
        <v>0</v>
      </c>
      <c r="R17" s="52">
        <v>0.6</v>
      </c>
    </row>
    <row r="18" spans="2:39" ht="15.75" x14ac:dyDescent="0.3">
      <c r="B18" s="36" t="s">
        <v>40</v>
      </c>
      <c r="C18" s="38" t="s">
        <v>127</v>
      </c>
      <c r="D18" s="38" t="s">
        <v>36</v>
      </c>
      <c r="E18" s="194">
        <v>-0.25813333333333333</v>
      </c>
      <c r="F18" s="69">
        <v>-0.61983471074380159</v>
      </c>
      <c r="G18" s="69">
        <v>-2.3703703703703702</v>
      </c>
      <c r="H18" s="59">
        <v>-2.3703703703703702</v>
      </c>
      <c r="J18" s="36" t="s">
        <v>76</v>
      </c>
      <c r="K18" s="72" t="s">
        <v>107</v>
      </c>
      <c r="L18" s="38"/>
      <c r="M18" s="52">
        <v>0.5</v>
      </c>
      <c r="O18" s="36" t="s">
        <v>76</v>
      </c>
      <c r="P18" s="72" t="s">
        <v>107</v>
      </c>
      <c r="Q18" s="38"/>
      <c r="R18" s="52">
        <v>0.7</v>
      </c>
    </row>
    <row r="19" spans="2:39" x14ac:dyDescent="0.2">
      <c r="B19" s="36" t="s">
        <v>41</v>
      </c>
      <c r="C19" s="38" t="s">
        <v>42</v>
      </c>
      <c r="D19" s="38" t="s">
        <v>34</v>
      </c>
      <c r="E19" s="69">
        <v>2.1494771126370562</v>
      </c>
      <c r="F19" s="69">
        <v>42.869865332616385</v>
      </c>
      <c r="G19" s="69">
        <v>-8.8909702836499953</v>
      </c>
      <c r="H19" s="59">
        <v>-8.8909702836499953</v>
      </c>
      <c r="J19" s="36" t="s">
        <v>77</v>
      </c>
      <c r="K19" s="37" t="s">
        <v>30</v>
      </c>
      <c r="L19" s="38" t="s">
        <v>31</v>
      </c>
      <c r="M19" s="52">
        <v>2.2000000000000002</v>
      </c>
      <c r="O19" s="87" t="s">
        <v>149</v>
      </c>
      <c r="P19" s="37" t="s">
        <v>30</v>
      </c>
      <c r="Q19" s="38" t="s">
        <v>31</v>
      </c>
      <c r="R19" s="52">
        <v>2.2000000000000002</v>
      </c>
    </row>
    <row r="20" spans="2:39" x14ac:dyDescent="0.2">
      <c r="B20" s="54" t="s">
        <v>105</v>
      </c>
      <c r="C20" s="42"/>
      <c r="D20" s="42"/>
      <c r="E20" s="42"/>
      <c r="F20" s="42"/>
      <c r="G20" s="42"/>
      <c r="H20" s="55"/>
      <c r="J20" s="36" t="s">
        <v>78</v>
      </c>
      <c r="K20" s="37" t="s">
        <v>79</v>
      </c>
      <c r="L20" s="38"/>
      <c r="M20" s="66">
        <v>1.3021762962479535</v>
      </c>
      <c r="O20" s="87" t="s">
        <v>150</v>
      </c>
      <c r="P20" s="72" t="s">
        <v>151</v>
      </c>
      <c r="Q20" s="74" t="s">
        <v>0</v>
      </c>
      <c r="R20" s="59">
        <v>0.1362692990909091</v>
      </c>
    </row>
    <row r="21" spans="2:39" x14ac:dyDescent="0.2">
      <c r="B21" s="36" t="s">
        <v>43</v>
      </c>
      <c r="C21" s="38" t="s">
        <v>44</v>
      </c>
      <c r="D21" s="38" t="s">
        <v>45</v>
      </c>
      <c r="E21" s="70">
        <v>1932.2568646560537</v>
      </c>
      <c r="F21" s="70">
        <v>1570</v>
      </c>
      <c r="G21" s="70">
        <v>1944</v>
      </c>
      <c r="H21" s="57">
        <v>250</v>
      </c>
      <c r="J21" s="36" t="s">
        <v>78</v>
      </c>
      <c r="K21" s="37" t="s">
        <v>79</v>
      </c>
      <c r="L21" s="38" t="s">
        <v>36</v>
      </c>
      <c r="M21" s="59">
        <v>1.1466978554135772</v>
      </c>
      <c r="O21" s="36" t="s">
        <v>74</v>
      </c>
      <c r="P21" s="37" t="s">
        <v>75</v>
      </c>
      <c r="Q21" s="38" t="s">
        <v>0</v>
      </c>
      <c r="R21" s="59">
        <v>4.3375865083972204E-2</v>
      </c>
    </row>
    <row r="22" spans="2:39" ht="16.5" thickBot="1" x14ac:dyDescent="0.35">
      <c r="B22" s="36" t="s">
        <v>46</v>
      </c>
      <c r="C22" s="38" t="s">
        <v>117</v>
      </c>
      <c r="D22" s="38" t="s">
        <v>36</v>
      </c>
      <c r="E22" s="69">
        <v>-165.01753401581362</v>
      </c>
      <c r="F22" s="69">
        <v>-149.43002654557492</v>
      </c>
      <c r="G22" s="69">
        <v>-151.57076749148757</v>
      </c>
      <c r="H22" s="59">
        <v>-133.75564245312322</v>
      </c>
      <c r="I22" s="182"/>
      <c r="J22" s="9" t="s">
        <v>311</v>
      </c>
      <c r="K22" s="48" t="s">
        <v>80</v>
      </c>
      <c r="L22" s="47" t="s">
        <v>38</v>
      </c>
      <c r="M22" s="60">
        <v>136.36363636363637</v>
      </c>
      <c r="O22" s="36" t="s">
        <v>78</v>
      </c>
      <c r="P22" s="37" t="s">
        <v>79</v>
      </c>
      <c r="Q22" s="38"/>
      <c r="R22" s="66">
        <v>46.23198359446387</v>
      </c>
    </row>
    <row r="23" spans="2:39" ht="15.75" x14ac:dyDescent="0.3">
      <c r="B23" s="36" t="s">
        <v>47</v>
      </c>
      <c r="C23" s="38" t="s">
        <v>118</v>
      </c>
      <c r="D23" s="38" t="s">
        <v>36</v>
      </c>
      <c r="E23" s="67">
        <v>-0.1</v>
      </c>
      <c r="F23" s="67">
        <v>-0.15</v>
      </c>
      <c r="G23" s="67">
        <v>-0.15</v>
      </c>
      <c r="H23" s="52">
        <v>-0.15</v>
      </c>
      <c r="K23"/>
      <c r="O23" s="36" t="s">
        <v>78</v>
      </c>
      <c r="P23" s="37" t="s">
        <v>79</v>
      </c>
      <c r="Q23" s="38" t="s">
        <v>36</v>
      </c>
      <c r="R23" s="59">
        <v>16.649425273478606</v>
      </c>
    </row>
    <row r="24" spans="2:39" ht="16.5" thickBot="1" x14ac:dyDescent="0.35">
      <c r="B24" s="36" t="s">
        <v>48</v>
      </c>
      <c r="C24" s="38" t="s">
        <v>119</v>
      </c>
      <c r="D24" s="38" t="s">
        <v>36</v>
      </c>
      <c r="E24" s="67">
        <v>-3</v>
      </c>
      <c r="F24" s="67">
        <v>0</v>
      </c>
      <c r="G24" s="67">
        <v>0</v>
      </c>
      <c r="H24" s="52">
        <v>0</v>
      </c>
      <c r="K24"/>
      <c r="O24" s="9" t="s">
        <v>311</v>
      </c>
      <c r="P24" s="48" t="s">
        <v>80</v>
      </c>
      <c r="Q24" s="47" t="s">
        <v>38</v>
      </c>
      <c r="R24" s="60">
        <v>24.781450883736213</v>
      </c>
    </row>
    <row r="25" spans="2:39" ht="13.5" thickBot="1" x14ac:dyDescent="0.25">
      <c r="B25" s="36" t="s">
        <v>49</v>
      </c>
      <c r="C25" s="38" t="s">
        <v>50</v>
      </c>
      <c r="D25" s="38" t="s">
        <v>36</v>
      </c>
      <c r="E25" s="69">
        <v>-168.11753401581362</v>
      </c>
      <c r="F25" s="69">
        <v>-149.58002654557492</v>
      </c>
      <c r="G25" s="69">
        <v>-151.72076749148758</v>
      </c>
      <c r="H25" s="59">
        <v>-133.90564245312322</v>
      </c>
    </row>
    <row r="26" spans="2:39" ht="13.5" thickBot="1" x14ac:dyDescent="0.25">
      <c r="B26" s="54" t="s">
        <v>113</v>
      </c>
      <c r="C26" s="42"/>
      <c r="D26" s="42"/>
      <c r="E26" s="42"/>
      <c r="F26" s="42"/>
      <c r="G26" s="42"/>
      <c r="H26" s="55"/>
      <c r="J26" s="63" t="s">
        <v>81</v>
      </c>
      <c r="K26" s="50"/>
      <c r="L26" s="64"/>
      <c r="M26" s="65"/>
      <c r="O26" s="63" t="s">
        <v>152</v>
      </c>
      <c r="P26" s="50"/>
      <c r="Q26" s="50"/>
      <c r="R26" s="51"/>
      <c r="T26" s="63" t="s">
        <v>371</v>
      </c>
      <c r="U26" s="50"/>
      <c r="V26" s="50"/>
      <c r="W26" s="51"/>
      <c r="Y26" s="63" t="s">
        <v>351</v>
      </c>
      <c r="Z26" s="50"/>
      <c r="AA26" s="50"/>
      <c r="AB26" s="51"/>
      <c r="AD26" s="63" t="s">
        <v>352</v>
      </c>
      <c r="AE26" s="50"/>
      <c r="AF26" s="50"/>
      <c r="AG26" s="51"/>
      <c r="AI26" s="63" t="s">
        <v>353</v>
      </c>
      <c r="AJ26" s="50"/>
      <c r="AK26" s="50"/>
      <c r="AL26" s="51"/>
    </row>
    <row r="27" spans="2:39" ht="15.75" x14ac:dyDescent="0.3">
      <c r="B27" s="36" t="s">
        <v>35</v>
      </c>
      <c r="C27" s="38" t="s">
        <v>121</v>
      </c>
      <c r="D27" s="38" t="s">
        <v>36</v>
      </c>
      <c r="E27" s="70">
        <v>25.384170578196809</v>
      </c>
      <c r="F27" s="70">
        <v>0</v>
      </c>
      <c r="G27" s="70">
        <v>37</v>
      </c>
      <c r="H27" s="57">
        <v>37</v>
      </c>
      <c r="J27" s="49" t="s">
        <v>28</v>
      </c>
      <c r="K27" s="50" t="s">
        <v>10</v>
      </c>
      <c r="L27" s="50" t="s">
        <v>3</v>
      </c>
      <c r="M27" s="51" t="s">
        <v>18</v>
      </c>
      <c r="O27" s="49" t="s">
        <v>28</v>
      </c>
      <c r="P27" s="50" t="s">
        <v>10</v>
      </c>
      <c r="Q27" s="50" t="s">
        <v>3</v>
      </c>
      <c r="R27" s="51" t="s">
        <v>18</v>
      </c>
      <c r="AI27" t="s">
        <v>326</v>
      </c>
      <c r="AL27">
        <v>13</v>
      </c>
      <c r="AM27" t="s">
        <v>36</v>
      </c>
    </row>
    <row r="28" spans="2:39" ht="15.75" x14ac:dyDescent="0.3">
      <c r="B28" s="36" t="s">
        <v>51</v>
      </c>
      <c r="C28" s="38" t="s">
        <v>122</v>
      </c>
      <c r="D28" s="38" t="s">
        <v>36</v>
      </c>
      <c r="E28" s="67">
        <v>-0.5</v>
      </c>
      <c r="F28" s="67">
        <v>-0.5</v>
      </c>
      <c r="G28" s="67">
        <v>-0.5</v>
      </c>
      <c r="H28" s="52">
        <v>-0.5</v>
      </c>
      <c r="J28" s="36" t="s">
        <v>74</v>
      </c>
      <c r="K28" s="37" t="s">
        <v>75</v>
      </c>
      <c r="L28" s="38" t="s">
        <v>0</v>
      </c>
      <c r="M28" s="52">
        <v>1</v>
      </c>
      <c r="O28" s="87" t="s">
        <v>153</v>
      </c>
      <c r="P28" s="37" t="s">
        <v>50</v>
      </c>
      <c r="Q28" s="38" t="s">
        <v>0</v>
      </c>
      <c r="R28" s="52">
        <v>1</v>
      </c>
      <c r="AI28" s="128" t="s">
        <v>354</v>
      </c>
      <c r="AK28">
        <v>2</v>
      </c>
      <c r="AL28">
        <v>16</v>
      </c>
      <c r="AM28" t="s">
        <v>36</v>
      </c>
    </row>
    <row r="29" spans="2:39" ht="15.75" x14ac:dyDescent="0.3">
      <c r="B29" s="36" t="s">
        <v>311</v>
      </c>
      <c r="C29" s="53" t="s">
        <v>123</v>
      </c>
      <c r="D29" s="38" t="s">
        <v>38</v>
      </c>
      <c r="E29" s="70">
        <v>9.545454545454545</v>
      </c>
      <c r="F29" s="70">
        <v>180</v>
      </c>
      <c r="G29" s="70">
        <v>2.2000000000000002</v>
      </c>
      <c r="H29" s="57">
        <v>2.2000000000000002</v>
      </c>
      <c r="J29" s="36" t="s">
        <v>76</v>
      </c>
      <c r="K29" s="72" t="s">
        <v>107</v>
      </c>
      <c r="L29" s="38"/>
      <c r="M29" s="52">
        <v>0.65</v>
      </c>
      <c r="O29" s="36" t="s">
        <v>76</v>
      </c>
      <c r="P29" s="72" t="s">
        <v>107</v>
      </c>
      <c r="Q29" s="38"/>
      <c r="R29" s="52">
        <v>0.7</v>
      </c>
      <c r="AK29">
        <v>4</v>
      </c>
      <c r="AL29">
        <v>19</v>
      </c>
      <c r="AM29" t="s">
        <v>36</v>
      </c>
    </row>
    <row r="30" spans="2:39" ht="15.75" x14ac:dyDescent="0.3">
      <c r="B30" s="36" t="s">
        <v>39</v>
      </c>
      <c r="C30" s="53" t="s">
        <v>124</v>
      </c>
      <c r="D30" s="38" t="s">
        <v>38</v>
      </c>
      <c r="E30" s="67">
        <v>2</v>
      </c>
      <c r="F30" s="67">
        <v>80</v>
      </c>
      <c r="G30" s="67">
        <v>0.5</v>
      </c>
      <c r="H30" s="52">
        <v>0.5</v>
      </c>
      <c r="J30" s="36" t="s">
        <v>77</v>
      </c>
      <c r="K30" s="37" t="s">
        <v>30</v>
      </c>
      <c r="L30" s="38" t="s">
        <v>31</v>
      </c>
      <c r="M30" s="229">
        <v>2.2000000000000002</v>
      </c>
      <c r="O30" s="87" t="s">
        <v>149</v>
      </c>
      <c r="P30" s="37" t="s">
        <v>30</v>
      </c>
      <c r="Q30" s="38" t="s">
        <v>31</v>
      </c>
      <c r="R30" s="52">
        <v>2.2000000000000002</v>
      </c>
      <c r="AK30">
        <v>8</v>
      </c>
      <c r="AL30">
        <v>22</v>
      </c>
      <c r="AM30" t="s">
        <v>36</v>
      </c>
    </row>
    <row r="31" spans="2:39" ht="15.75" x14ac:dyDescent="0.3">
      <c r="B31" s="36" t="s">
        <v>40</v>
      </c>
      <c r="C31" s="38" t="s">
        <v>125</v>
      </c>
      <c r="D31" s="38" t="s">
        <v>36</v>
      </c>
      <c r="E31" s="69">
        <v>-0.5268027210884354</v>
      </c>
      <c r="F31" s="69">
        <v>-2.3703703703703702</v>
      </c>
      <c r="G31" s="69">
        <v>-0.61983471074380159</v>
      </c>
      <c r="H31" s="59">
        <v>-0.61983471074380159</v>
      </c>
      <c r="J31" s="36" t="s">
        <v>78</v>
      </c>
      <c r="K31" s="37" t="s">
        <v>79</v>
      </c>
      <c r="L31" s="38"/>
      <c r="M31" s="66">
        <v>345.47534390251826</v>
      </c>
      <c r="O31" s="87" t="s">
        <v>150</v>
      </c>
      <c r="P31" s="72" t="s">
        <v>151</v>
      </c>
      <c r="Q31" s="74" t="s">
        <v>0</v>
      </c>
      <c r="R31" s="59">
        <v>0.1362692990909091</v>
      </c>
      <c r="AK31">
        <v>16</v>
      </c>
      <c r="AL31">
        <v>25</v>
      </c>
      <c r="AM31" t="s">
        <v>36</v>
      </c>
    </row>
    <row r="32" spans="2:39" x14ac:dyDescent="0.2">
      <c r="B32" s="36" t="s">
        <v>52</v>
      </c>
      <c r="C32" s="38" t="s">
        <v>53</v>
      </c>
      <c r="D32" s="38" t="s">
        <v>36</v>
      </c>
      <c r="E32" s="69">
        <v>24.357367857108372</v>
      </c>
      <c r="F32" s="69">
        <v>-2.8703703703703702</v>
      </c>
      <c r="G32" s="69">
        <v>35.880165289256198</v>
      </c>
      <c r="H32" s="59">
        <v>35.880165289256198</v>
      </c>
      <c r="J32" s="36" t="s">
        <v>78</v>
      </c>
      <c r="K32" s="37" t="s">
        <v>79</v>
      </c>
      <c r="L32" s="38" t="s">
        <v>36</v>
      </c>
      <c r="M32" s="59">
        <v>25.384170578196809</v>
      </c>
      <c r="O32" s="36" t="s">
        <v>74</v>
      </c>
      <c r="P32" s="37" t="s">
        <v>75</v>
      </c>
      <c r="Q32" s="38" t="s">
        <v>0</v>
      </c>
      <c r="R32" s="59">
        <v>4.3375865083972204E-2</v>
      </c>
      <c r="Y32" s="182"/>
      <c r="AK32">
        <v>32</v>
      </c>
      <c r="AL32">
        <v>28</v>
      </c>
      <c r="AM32" t="s">
        <v>36</v>
      </c>
    </row>
    <row r="33" spans="2:39" ht="16.5" thickBot="1" x14ac:dyDescent="0.35">
      <c r="B33" s="36" t="s">
        <v>54</v>
      </c>
      <c r="C33" s="38" t="s">
        <v>128</v>
      </c>
      <c r="D33" s="38" t="s">
        <v>55</v>
      </c>
      <c r="E33" s="67">
        <v>10</v>
      </c>
      <c r="F33" s="67">
        <v>300</v>
      </c>
      <c r="G33" s="67">
        <v>60</v>
      </c>
      <c r="H33" s="52">
        <v>60</v>
      </c>
      <c r="J33" s="9" t="s">
        <v>311</v>
      </c>
      <c r="K33" s="48" t="s">
        <v>80</v>
      </c>
      <c r="L33" s="47" t="s">
        <v>38</v>
      </c>
      <c r="M33" s="60">
        <v>9.545454545454545</v>
      </c>
      <c r="O33" s="36" t="s">
        <v>78</v>
      </c>
      <c r="P33" s="37" t="s">
        <v>79</v>
      </c>
      <c r="Q33" s="38"/>
      <c r="R33" s="66">
        <v>77.053305990773126</v>
      </c>
      <c r="AK33">
        <v>64</v>
      </c>
      <c r="AL33">
        <v>31</v>
      </c>
      <c r="AM33" t="s">
        <v>36</v>
      </c>
    </row>
    <row r="34" spans="2:39" ht="16.5" thickBot="1" x14ac:dyDescent="0.35">
      <c r="B34" s="36" t="s">
        <v>56</v>
      </c>
      <c r="C34" s="38" t="s">
        <v>129</v>
      </c>
      <c r="D34" s="38" t="s">
        <v>55</v>
      </c>
      <c r="E34" s="68">
        <v>15</v>
      </c>
      <c r="F34" s="68">
        <v>150</v>
      </c>
      <c r="G34" s="68">
        <v>120</v>
      </c>
      <c r="H34" s="56">
        <v>120</v>
      </c>
      <c r="O34" s="36" t="s">
        <v>78</v>
      </c>
      <c r="P34" s="37" t="s">
        <v>79</v>
      </c>
      <c r="Q34" s="38" t="s">
        <v>36</v>
      </c>
      <c r="R34" s="59">
        <v>18.867912769642167</v>
      </c>
      <c r="AK34">
        <v>128</v>
      </c>
      <c r="AL34">
        <v>34</v>
      </c>
      <c r="AM34" t="s">
        <v>36</v>
      </c>
    </row>
    <row r="35" spans="2:39" ht="16.5" thickBot="1" x14ac:dyDescent="0.35">
      <c r="B35" s="36" t="s">
        <v>57</v>
      </c>
      <c r="C35" s="74" t="s">
        <v>140</v>
      </c>
      <c r="D35" s="38" t="s">
        <v>55</v>
      </c>
      <c r="E35" s="69">
        <v>25</v>
      </c>
      <c r="F35" s="69">
        <v>450</v>
      </c>
      <c r="G35" s="69">
        <v>180</v>
      </c>
      <c r="H35" s="59">
        <v>180</v>
      </c>
      <c r="J35" s="22" t="s">
        <v>137</v>
      </c>
      <c r="K35" s="50" t="s">
        <v>72</v>
      </c>
      <c r="L35" s="24" t="s">
        <v>3</v>
      </c>
      <c r="O35" s="9" t="s">
        <v>311</v>
      </c>
      <c r="P35" s="48" t="s">
        <v>80</v>
      </c>
      <c r="Q35" s="47" t="s">
        <v>38</v>
      </c>
      <c r="R35" s="60">
        <v>19.195629313513486</v>
      </c>
      <c r="AK35">
        <v>256</v>
      </c>
      <c r="AL35">
        <v>37</v>
      </c>
      <c r="AM35" t="s">
        <v>36</v>
      </c>
    </row>
    <row r="36" spans="2:39" x14ac:dyDescent="0.2">
      <c r="B36" s="36" t="s">
        <v>58</v>
      </c>
      <c r="C36" s="38" t="s">
        <v>59</v>
      </c>
      <c r="D36" s="38" t="s">
        <v>60</v>
      </c>
      <c r="E36" s="69">
        <v>10.377967770387995</v>
      </c>
      <c r="F36" s="69">
        <v>-29.402495508123806</v>
      </c>
      <c r="G36" s="69">
        <v>13.327440238223137</v>
      </c>
      <c r="H36" s="59">
        <v>13.327440238223137</v>
      </c>
      <c r="J36" s="87" t="s">
        <v>287</v>
      </c>
      <c r="K36" s="37">
        <v>9</v>
      </c>
      <c r="L36" s="39" t="s">
        <v>36</v>
      </c>
      <c r="M36" s="44"/>
    </row>
    <row r="37" spans="2:39" x14ac:dyDescent="0.2">
      <c r="B37" s="54" t="s">
        <v>114</v>
      </c>
      <c r="C37" s="42"/>
      <c r="D37" s="42"/>
      <c r="E37" s="42"/>
      <c r="F37" s="42"/>
      <c r="G37" s="42"/>
      <c r="H37" s="55"/>
      <c r="J37" s="87" t="s">
        <v>288</v>
      </c>
      <c r="K37" s="37">
        <v>6</v>
      </c>
      <c r="L37" s="39" t="s">
        <v>36</v>
      </c>
      <c r="M37" s="44"/>
    </row>
    <row r="38" spans="2:39" ht="14.25" x14ac:dyDescent="0.2">
      <c r="B38" s="36" t="s">
        <v>61</v>
      </c>
      <c r="C38" s="53" t="s">
        <v>30</v>
      </c>
      <c r="D38" s="74" t="s">
        <v>293</v>
      </c>
      <c r="E38" s="69">
        <v>-134.56391870507002</v>
      </c>
      <c r="F38" s="69">
        <v>-92.040226355789244</v>
      </c>
      <c r="G38" s="69">
        <v>-145.65699413567609</v>
      </c>
      <c r="H38" s="59">
        <v>-127.84186909731172</v>
      </c>
      <c r="J38" s="87" t="s">
        <v>289</v>
      </c>
      <c r="K38" s="37">
        <v>3</v>
      </c>
      <c r="L38" s="39" t="s">
        <v>36</v>
      </c>
      <c r="M38" s="44"/>
    </row>
    <row r="39" spans="2:39" ht="15.75" thickBot="1" x14ac:dyDescent="0.3">
      <c r="B39" s="36" t="s">
        <v>312</v>
      </c>
      <c r="C39" s="53" t="s">
        <v>294</v>
      </c>
      <c r="D39" s="74" t="s">
        <v>295</v>
      </c>
      <c r="E39" s="69">
        <v>-164.56391870507002</v>
      </c>
      <c r="F39" s="69">
        <v>-95.842338772905308</v>
      </c>
      <c r="G39" s="69">
        <v>-175.65699413567609</v>
      </c>
      <c r="H39" s="59">
        <v>-157.8418690973117</v>
      </c>
      <c r="J39" s="92" t="s">
        <v>290</v>
      </c>
      <c r="K39" s="48">
        <v>0</v>
      </c>
      <c r="L39" s="11" t="s">
        <v>36</v>
      </c>
      <c r="M39" s="44"/>
    </row>
    <row r="40" spans="2:39" ht="15.75" thickBot="1" x14ac:dyDescent="0.3">
      <c r="B40" s="87" t="s">
        <v>299</v>
      </c>
      <c r="C40" s="53" t="s">
        <v>294</v>
      </c>
      <c r="D40" s="74" t="s">
        <v>295</v>
      </c>
      <c r="E40" s="186">
        <v>0</v>
      </c>
      <c r="F40" s="186">
        <v>0</v>
      </c>
      <c r="G40" s="186">
        <v>-158.02059991327963</v>
      </c>
      <c r="H40" s="206">
        <v>-158.02059991327963</v>
      </c>
    </row>
    <row r="41" spans="2:39" ht="15.75" x14ac:dyDescent="0.3">
      <c r="B41" s="36" t="s">
        <v>62</v>
      </c>
      <c r="C41" s="74" t="s">
        <v>141</v>
      </c>
      <c r="D41" s="38" t="s">
        <v>34</v>
      </c>
      <c r="E41" s="69">
        <v>-141.61068904606822</v>
      </c>
      <c r="F41" s="69">
        <v>-109.58053158332891</v>
      </c>
      <c r="G41" s="69">
        <v>-124.73157248588139</v>
      </c>
      <c r="H41" s="59">
        <v>-106.91644744751703</v>
      </c>
      <c r="J41" s="22" t="s">
        <v>138</v>
      </c>
      <c r="K41" s="50" t="s">
        <v>279</v>
      </c>
      <c r="L41" s="24" t="s">
        <v>120</v>
      </c>
      <c r="O41" s="63" t="s">
        <v>348</v>
      </c>
      <c r="P41" s="64"/>
      <c r="Q41" s="64"/>
      <c r="R41" s="65"/>
    </row>
    <row r="42" spans="2:39" ht="15.75" x14ac:dyDescent="0.3">
      <c r="B42" s="36" t="s">
        <v>63</v>
      </c>
      <c r="C42" s="38" t="s">
        <v>130</v>
      </c>
      <c r="D42" s="38" t="s">
        <v>64</v>
      </c>
      <c r="E42" s="69">
        <v>-214.61973877635043</v>
      </c>
      <c r="F42" s="69">
        <v>-202.06701372531737</v>
      </c>
      <c r="G42" s="69">
        <v>-206.04641381203774</v>
      </c>
      <c r="H42" s="59">
        <v>-206.04641381203774</v>
      </c>
      <c r="J42" s="86" t="s">
        <v>147</v>
      </c>
      <c r="K42" s="84"/>
      <c r="L42" s="85"/>
      <c r="O42" s="97"/>
      <c r="P42" s="98" t="s">
        <v>10</v>
      </c>
      <c r="Q42" s="98" t="s">
        <v>3</v>
      </c>
      <c r="R42" s="99" t="s">
        <v>18</v>
      </c>
    </row>
    <row r="43" spans="2:39" ht="15.75" x14ac:dyDescent="0.3">
      <c r="B43" s="36" t="s">
        <v>65</v>
      </c>
      <c r="C43" s="74" t="s">
        <v>142</v>
      </c>
      <c r="D43" s="38" t="s">
        <v>66</v>
      </c>
      <c r="E43" s="69">
        <v>73.009049730282214</v>
      </c>
      <c r="F43" s="69">
        <v>92.486482141988461</v>
      </c>
      <c r="G43" s="69">
        <v>81.314841326156355</v>
      </c>
      <c r="H43" s="59">
        <v>99.129966364520712</v>
      </c>
      <c r="J43" s="87" t="s">
        <v>280</v>
      </c>
      <c r="K43" s="37">
        <v>13.3</v>
      </c>
      <c r="L43" s="75" t="s">
        <v>145</v>
      </c>
      <c r="O43" s="87" t="s">
        <v>120</v>
      </c>
      <c r="P43" s="35" t="s">
        <v>346</v>
      </c>
      <c r="Q43" s="37" t="s">
        <v>211</v>
      </c>
      <c r="R43" s="226">
        <v>1000000</v>
      </c>
    </row>
    <row r="44" spans="2:39" ht="15.75" x14ac:dyDescent="0.3">
      <c r="B44" s="54" t="s">
        <v>115</v>
      </c>
      <c r="C44" s="42"/>
      <c r="D44" s="42"/>
      <c r="E44" s="42"/>
      <c r="F44" s="42"/>
      <c r="G44" s="42"/>
      <c r="H44" s="55"/>
      <c r="J44" s="87" t="s">
        <v>281</v>
      </c>
      <c r="K44" s="37"/>
      <c r="L44" s="75"/>
      <c r="O44" s="87" t="s">
        <v>347</v>
      </c>
      <c r="P44" s="37" t="s">
        <v>131</v>
      </c>
      <c r="Q44" s="37" t="s">
        <v>36</v>
      </c>
      <c r="R44" s="80">
        <v>14.43</v>
      </c>
    </row>
    <row r="45" spans="2:39" ht="15.75" x14ac:dyDescent="0.3">
      <c r="B45" s="36" t="s">
        <v>67</v>
      </c>
      <c r="C45" s="38" t="s">
        <v>68</v>
      </c>
      <c r="D45" s="38" t="s">
        <v>69</v>
      </c>
      <c r="E45" s="89">
        <v>1000000</v>
      </c>
      <c r="F45" s="89">
        <v>2400</v>
      </c>
      <c r="G45" s="89">
        <v>1000000</v>
      </c>
      <c r="H45" s="88">
        <v>1000000</v>
      </c>
      <c r="J45" s="87" t="s">
        <v>282</v>
      </c>
      <c r="K45" s="37">
        <v>9.1999999999999993</v>
      </c>
      <c r="L45" s="75" t="s">
        <v>144</v>
      </c>
      <c r="O45" s="87" t="s">
        <v>347</v>
      </c>
      <c r="P45" s="37" t="s">
        <v>131</v>
      </c>
      <c r="Q45" s="37" t="s">
        <v>273</v>
      </c>
      <c r="R45" s="59">
        <v>27.733201046518417</v>
      </c>
    </row>
    <row r="46" spans="2:39" ht="16.5" thickBot="1" x14ac:dyDescent="0.35">
      <c r="B46" s="36" t="s">
        <v>70</v>
      </c>
      <c r="C46" s="38" t="s">
        <v>131</v>
      </c>
      <c r="D46" s="38" t="s">
        <v>36</v>
      </c>
      <c r="E46" s="69">
        <v>13.009049730282214</v>
      </c>
      <c r="F46" s="69">
        <v>58.684369724872404</v>
      </c>
      <c r="G46" s="69">
        <v>21.314841326156355</v>
      </c>
      <c r="H46" s="59">
        <v>39.129966364520712</v>
      </c>
      <c r="J46" s="87" t="s">
        <v>283</v>
      </c>
      <c r="K46" s="37">
        <v>9.6</v>
      </c>
      <c r="L46" s="75" t="s">
        <v>68</v>
      </c>
      <c r="O46" s="92" t="s">
        <v>349</v>
      </c>
      <c r="P46" s="10" t="s">
        <v>350</v>
      </c>
      <c r="Q46" s="10" t="s">
        <v>211</v>
      </c>
      <c r="R46" s="227">
        <v>4844646.8213702133</v>
      </c>
    </row>
    <row r="47" spans="2:39" ht="15.75" x14ac:dyDescent="0.3">
      <c r="B47" s="36" t="s">
        <v>71</v>
      </c>
      <c r="C47" s="38" t="s">
        <v>131</v>
      </c>
      <c r="D47" s="38" t="s">
        <v>36</v>
      </c>
      <c r="E47" s="67">
        <v>9.6</v>
      </c>
      <c r="F47" s="67">
        <v>9.6</v>
      </c>
      <c r="G47" s="67">
        <v>9.6</v>
      </c>
      <c r="H47" s="52">
        <v>9.6</v>
      </c>
      <c r="J47" s="87" t="s">
        <v>284</v>
      </c>
      <c r="K47" s="37">
        <v>10.3</v>
      </c>
      <c r="L47" s="75" t="s">
        <v>68</v>
      </c>
    </row>
    <row r="48" spans="2:39" x14ac:dyDescent="0.2">
      <c r="B48" s="36" t="s">
        <v>116</v>
      </c>
      <c r="C48" s="38"/>
      <c r="D48" s="38" t="s">
        <v>36</v>
      </c>
      <c r="E48" s="67">
        <v>3</v>
      </c>
      <c r="F48" s="67">
        <v>3</v>
      </c>
      <c r="G48" s="67">
        <v>3</v>
      </c>
      <c r="H48" s="52">
        <v>3</v>
      </c>
      <c r="J48" s="87" t="s">
        <v>285</v>
      </c>
      <c r="K48" s="37">
        <v>9.6</v>
      </c>
      <c r="L48" s="75" t="s">
        <v>143</v>
      </c>
    </row>
    <row r="49" spans="2:13" ht="13.5" thickBot="1" x14ac:dyDescent="0.25">
      <c r="B49" s="9" t="s">
        <v>72</v>
      </c>
      <c r="C49" s="47"/>
      <c r="D49" s="47" t="s">
        <v>36</v>
      </c>
      <c r="E49" s="71">
        <v>0.4090497302822147</v>
      </c>
      <c r="F49" s="71">
        <v>46.084369724872403</v>
      </c>
      <c r="G49" s="71">
        <v>8.7148413261563551</v>
      </c>
      <c r="H49" s="60">
        <v>26.52996636452071</v>
      </c>
      <c r="I49" s="128"/>
      <c r="J49" s="92" t="s">
        <v>286</v>
      </c>
      <c r="K49" s="48">
        <v>4.4000000000000004</v>
      </c>
      <c r="L49" s="181"/>
    </row>
    <row r="50" spans="2:13" x14ac:dyDescent="0.2">
      <c r="G50" s="129"/>
      <c r="H50" s="133"/>
    </row>
    <row r="51" spans="2:13" x14ac:dyDescent="0.2">
      <c r="G51" s="183"/>
      <c r="H51" s="2"/>
    </row>
    <row r="52" spans="2:13" ht="13.5" thickBot="1" x14ac:dyDescent="0.25">
      <c r="G52" s="2"/>
      <c r="H52" s="2"/>
    </row>
    <row r="53" spans="2:13" ht="13.5" thickBot="1" x14ac:dyDescent="0.25">
      <c r="B53" s="49" t="s">
        <v>28</v>
      </c>
      <c r="C53" s="50" t="s">
        <v>10</v>
      </c>
      <c r="D53" s="50" t="s">
        <v>3</v>
      </c>
      <c r="E53" s="51" t="s">
        <v>18</v>
      </c>
      <c r="G53" s="2"/>
      <c r="H53" s="2"/>
    </row>
    <row r="54" spans="2:13" x14ac:dyDescent="0.2">
      <c r="B54" s="83" t="s">
        <v>146</v>
      </c>
      <c r="C54" s="81"/>
      <c r="D54" s="90"/>
      <c r="E54" s="82"/>
      <c r="G54" s="2"/>
      <c r="H54" s="2"/>
    </row>
    <row r="55" spans="2:13" ht="15.75" x14ac:dyDescent="0.3">
      <c r="B55" s="36" t="s">
        <v>82</v>
      </c>
      <c r="C55" s="35" t="s">
        <v>154</v>
      </c>
      <c r="D55" s="37" t="s">
        <v>36</v>
      </c>
      <c r="E55" s="80">
        <v>-1.8</v>
      </c>
      <c r="G55" s="2"/>
      <c r="H55" s="2"/>
    </row>
    <row r="56" spans="2:13" ht="15.75" x14ac:dyDescent="0.3">
      <c r="B56" s="36" t="s">
        <v>82</v>
      </c>
      <c r="C56" s="35" t="s">
        <v>154</v>
      </c>
      <c r="D56" s="37"/>
      <c r="E56" s="59">
        <v>0.660693448007596</v>
      </c>
      <c r="G56" s="2"/>
      <c r="H56" s="2"/>
    </row>
    <row r="57" spans="2:13" x14ac:dyDescent="0.2">
      <c r="B57" s="36" t="s">
        <v>83</v>
      </c>
      <c r="C57" s="72" t="s">
        <v>159</v>
      </c>
      <c r="D57" s="37" t="s">
        <v>55</v>
      </c>
      <c r="E57" s="80">
        <v>290</v>
      </c>
      <c r="G57" s="2"/>
      <c r="H57" s="2"/>
    </row>
    <row r="58" spans="2:13" ht="15.75" x14ac:dyDescent="0.3">
      <c r="B58" s="36" t="s">
        <v>84</v>
      </c>
      <c r="C58" s="35" t="s">
        <v>160</v>
      </c>
      <c r="D58" s="37" t="s">
        <v>55</v>
      </c>
      <c r="E58" s="59">
        <v>148.93276204650039</v>
      </c>
      <c r="G58" s="2"/>
      <c r="H58" s="2"/>
    </row>
    <row r="59" spans="2:13" ht="15.75" x14ac:dyDescent="0.3">
      <c r="B59" s="36" t="s">
        <v>85</v>
      </c>
      <c r="C59" s="35" t="s">
        <v>165</v>
      </c>
      <c r="D59" s="37" t="s">
        <v>55</v>
      </c>
      <c r="E59" s="93">
        <v>148.93276204650039</v>
      </c>
      <c r="G59" s="2"/>
      <c r="H59" s="2"/>
    </row>
    <row r="60" spans="2:13" ht="16.5" thickBot="1" x14ac:dyDescent="0.35">
      <c r="B60" s="36" t="s">
        <v>86</v>
      </c>
      <c r="C60" s="35" t="s">
        <v>166</v>
      </c>
      <c r="D60" s="37"/>
      <c r="E60" s="59">
        <v>0.660693448007596</v>
      </c>
      <c r="G60" s="2"/>
      <c r="H60" s="2"/>
    </row>
    <row r="61" spans="2:13" x14ac:dyDescent="0.2">
      <c r="B61" s="78" t="s">
        <v>87</v>
      </c>
      <c r="C61" s="77"/>
      <c r="D61" s="91"/>
      <c r="E61" s="79"/>
      <c r="G61" s="2"/>
      <c r="H61" s="2"/>
      <c r="J61" s="63" t="s">
        <v>176</v>
      </c>
      <c r="K61" s="64"/>
      <c r="L61" s="64"/>
      <c r="M61" s="65"/>
    </row>
    <row r="62" spans="2:13" ht="15.75" x14ac:dyDescent="0.3">
      <c r="B62" s="36" t="s">
        <v>88</v>
      </c>
      <c r="C62" s="35" t="s">
        <v>155</v>
      </c>
      <c r="D62" s="37" t="s">
        <v>36</v>
      </c>
      <c r="E62" s="80">
        <v>30</v>
      </c>
      <c r="G62" s="2"/>
      <c r="H62" s="2"/>
      <c r="J62" s="97"/>
      <c r="K62" s="98" t="s">
        <v>10</v>
      </c>
      <c r="L62" s="98" t="s">
        <v>3</v>
      </c>
      <c r="M62" s="99" t="s">
        <v>18</v>
      </c>
    </row>
    <row r="63" spans="2:13" ht="15.75" x14ac:dyDescent="0.3">
      <c r="B63" s="36" t="s">
        <v>88</v>
      </c>
      <c r="C63" s="35" t="s">
        <v>155</v>
      </c>
      <c r="D63" s="37"/>
      <c r="E63" s="59">
        <v>1000</v>
      </c>
      <c r="G63" s="2"/>
      <c r="H63" s="2"/>
      <c r="J63" s="87" t="s">
        <v>170</v>
      </c>
      <c r="K63" s="35" t="s">
        <v>159</v>
      </c>
      <c r="L63" s="37" t="s">
        <v>55</v>
      </c>
      <c r="M63" s="80">
        <v>20</v>
      </c>
    </row>
    <row r="64" spans="2:13" ht="15.75" x14ac:dyDescent="0.3">
      <c r="B64" s="36" t="s">
        <v>89</v>
      </c>
      <c r="C64" s="35" t="s">
        <v>161</v>
      </c>
      <c r="D64" s="37" t="s">
        <v>55</v>
      </c>
      <c r="E64" s="80">
        <v>60</v>
      </c>
      <c r="G64" s="2"/>
      <c r="H64" s="2"/>
      <c r="J64" s="87" t="s">
        <v>173</v>
      </c>
      <c r="K64" s="35"/>
      <c r="L64" s="37" t="s">
        <v>55</v>
      </c>
      <c r="M64" s="80">
        <v>290</v>
      </c>
    </row>
    <row r="65" spans="2:13" ht="16.5" thickBot="1" x14ac:dyDescent="0.35">
      <c r="B65" s="36" t="s">
        <v>85</v>
      </c>
      <c r="C65" s="35" t="s">
        <v>165</v>
      </c>
      <c r="D65" s="37" t="s">
        <v>55</v>
      </c>
      <c r="E65" s="94">
        <v>239.74643695267287</v>
      </c>
      <c r="G65" s="2"/>
      <c r="H65" s="2"/>
      <c r="J65" s="87" t="s">
        <v>171</v>
      </c>
      <c r="K65" s="35" t="s">
        <v>172</v>
      </c>
      <c r="L65" s="37"/>
      <c r="M65" s="61">
        <v>1.0689655172413792</v>
      </c>
    </row>
    <row r="66" spans="2:13" ht="15.75" x14ac:dyDescent="0.3">
      <c r="B66" s="36" t="s">
        <v>86</v>
      </c>
      <c r="C66" s="35" t="s">
        <v>166</v>
      </c>
      <c r="D66" s="37"/>
      <c r="E66" s="94">
        <v>660.69344800759598</v>
      </c>
      <c r="G66" s="2"/>
      <c r="H66" s="2"/>
      <c r="J66" s="63" t="s">
        <v>174</v>
      </c>
      <c r="K66" s="64"/>
      <c r="L66" s="64"/>
      <c r="M66" s="65"/>
    </row>
    <row r="67" spans="2:13" x14ac:dyDescent="0.2">
      <c r="B67" s="78" t="s">
        <v>90</v>
      </c>
      <c r="C67" s="77"/>
      <c r="D67" s="91"/>
      <c r="E67" s="79"/>
      <c r="G67" s="2"/>
      <c r="H67" s="2"/>
      <c r="J67" s="97"/>
      <c r="K67" s="98" t="s">
        <v>10</v>
      </c>
      <c r="L67" s="98" t="s">
        <v>3</v>
      </c>
      <c r="M67" s="99" t="s">
        <v>18</v>
      </c>
    </row>
    <row r="68" spans="2:13" ht="15.75" x14ac:dyDescent="0.3">
      <c r="B68" s="36" t="s">
        <v>91</v>
      </c>
      <c r="C68" s="35" t="s">
        <v>156</v>
      </c>
      <c r="D68" s="37" t="s">
        <v>36</v>
      </c>
      <c r="E68" s="80">
        <v>-0.5</v>
      </c>
      <c r="G68" s="2"/>
      <c r="H68" s="2"/>
      <c r="J68" s="87" t="s">
        <v>171</v>
      </c>
      <c r="K68" s="35" t="s">
        <v>159</v>
      </c>
      <c r="L68" s="37" t="s">
        <v>55</v>
      </c>
      <c r="M68" s="80">
        <v>1.069</v>
      </c>
    </row>
    <row r="69" spans="2:13" ht="15.75" x14ac:dyDescent="0.3">
      <c r="B69" s="36" t="s">
        <v>91</v>
      </c>
      <c r="C69" s="35" t="s">
        <v>156</v>
      </c>
      <c r="D69" s="37"/>
      <c r="E69" s="59">
        <v>0.89125093813374545</v>
      </c>
      <c r="G69" s="2"/>
      <c r="H69" s="2"/>
      <c r="J69" s="87" t="s">
        <v>173</v>
      </c>
      <c r="K69" s="35"/>
      <c r="L69" s="37" t="s">
        <v>55</v>
      </c>
      <c r="M69" s="80">
        <v>290</v>
      </c>
    </row>
    <row r="70" spans="2:13" ht="13.5" thickBot="1" x14ac:dyDescent="0.25">
      <c r="B70" s="36" t="s">
        <v>92</v>
      </c>
      <c r="C70" s="72" t="s">
        <v>159</v>
      </c>
      <c r="D70" s="37" t="s">
        <v>55</v>
      </c>
      <c r="E70" s="80">
        <v>290</v>
      </c>
      <c r="G70" s="2"/>
      <c r="H70" s="2"/>
      <c r="J70" s="92" t="s">
        <v>170</v>
      </c>
      <c r="K70" s="10" t="s">
        <v>172</v>
      </c>
      <c r="L70" s="48"/>
      <c r="M70" s="60">
        <v>20.009999999999984</v>
      </c>
    </row>
    <row r="71" spans="2:13" ht="15.75" x14ac:dyDescent="0.3">
      <c r="B71" s="36" t="s">
        <v>93</v>
      </c>
      <c r="C71" s="35" t="s">
        <v>162</v>
      </c>
      <c r="D71" s="37" t="s">
        <v>55</v>
      </c>
      <c r="E71" s="59">
        <v>35.38535174756943</v>
      </c>
      <c r="G71" s="2"/>
      <c r="H71" s="2"/>
    </row>
    <row r="72" spans="2:13" ht="15.75" x14ac:dyDescent="0.3">
      <c r="B72" s="36" t="s">
        <v>85</v>
      </c>
      <c r="C72" s="35" t="s">
        <v>165</v>
      </c>
      <c r="D72" s="37" t="s">
        <v>55</v>
      </c>
      <c r="E72" s="94">
        <v>239.79999484984026</v>
      </c>
      <c r="G72" s="2"/>
      <c r="H72" s="199"/>
    </row>
    <row r="73" spans="2:13" ht="15.75" x14ac:dyDescent="0.3">
      <c r="B73" s="36" t="s">
        <v>86</v>
      </c>
      <c r="C73" s="35" t="s">
        <v>166</v>
      </c>
      <c r="D73" s="37"/>
      <c r="E73" s="94">
        <v>588.84365535558891</v>
      </c>
      <c r="G73" s="2"/>
      <c r="H73" s="199"/>
    </row>
    <row r="74" spans="2:13" x14ac:dyDescent="0.2">
      <c r="B74" s="78" t="s">
        <v>94</v>
      </c>
      <c r="C74" s="77"/>
      <c r="D74" s="91"/>
      <c r="E74" s="79"/>
      <c r="G74" s="2"/>
      <c r="H74" s="199"/>
    </row>
    <row r="75" spans="2:13" ht="15.75" x14ac:dyDescent="0.3">
      <c r="B75" s="36" t="s">
        <v>95</v>
      </c>
      <c r="C75" s="35" t="s">
        <v>157</v>
      </c>
      <c r="D75" s="37" t="s">
        <v>36</v>
      </c>
      <c r="E75" s="80">
        <v>3</v>
      </c>
      <c r="G75" s="2"/>
      <c r="H75" s="2"/>
    </row>
    <row r="76" spans="2:13" ht="15.75" x14ac:dyDescent="0.3">
      <c r="B76" s="36" t="s">
        <v>95</v>
      </c>
      <c r="C76" s="35" t="s">
        <v>157</v>
      </c>
      <c r="D76" s="37"/>
      <c r="E76" s="59">
        <v>1.9952623149688797</v>
      </c>
      <c r="G76" s="2"/>
      <c r="H76" s="2"/>
    </row>
    <row r="77" spans="2:13" ht="15.75" x14ac:dyDescent="0.3">
      <c r="B77" s="36" t="s">
        <v>96</v>
      </c>
      <c r="C77" s="35" t="s">
        <v>163</v>
      </c>
      <c r="D77" s="37" t="s">
        <v>55</v>
      </c>
      <c r="E77" s="80">
        <v>300</v>
      </c>
      <c r="G77" s="2"/>
      <c r="H77" s="2"/>
    </row>
    <row r="78" spans="2:13" ht="15.75" x14ac:dyDescent="0.3">
      <c r="B78" s="36" t="s">
        <v>85</v>
      </c>
      <c r="C78" s="35" t="s">
        <v>165</v>
      </c>
      <c r="D78" s="37" t="s">
        <v>55</v>
      </c>
      <c r="E78" s="94">
        <v>240.30946794557877</v>
      </c>
      <c r="G78" s="2"/>
      <c r="H78" s="2"/>
    </row>
    <row r="79" spans="2:13" ht="15.75" x14ac:dyDescent="0.3">
      <c r="B79" s="36" t="s">
        <v>86</v>
      </c>
      <c r="C79" s="35" t="s">
        <v>166</v>
      </c>
      <c r="D79" s="37"/>
      <c r="E79" s="94">
        <v>1174.8975549395295</v>
      </c>
      <c r="G79" s="2"/>
      <c r="H79" s="2"/>
    </row>
    <row r="80" spans="2:13" x14ac:dyDescent="0.2">
      <c r="B80" s="78" t="s">
        <v>90</v>
      </c>
      <c r="C80" s="77"/>
      <c r="D80" s="91"/>
      <c r="E80" s="79"/>
      <c r="G80" s="2"/>
      <c r="H80" s="2"/>
    </row>
    <row r="81" spans="2:8" ht="15.75" x14ac:dyDescent="0.3">
      <c r="B81" s="36" t="s">
        <v>91</v>
      </c>
      <c r="C81" s="35" t="s">
        <v>158</v>
      </c>
      <c r="D81" s="37" t="s">
        <v>36</v>
      </c>
      <c r="E81" s="80">
        <v>-0.5</v>
      </c>
      <c r="G81" s="2"/>
      <c r="H81" s="2"/>
    </row>
    <row r="82" spans="2:8" ht="15.75" x14ac:dyDescent="0.3">
      <c r="B82" s="36" t="s">
        <v>91</v>
      </c>
      <c r="C82" s="35" t="s">
        <v>158</v>
      </c>
      <c r="D82" s="37"/>
      <c r="E82" s="59">
        <v>0.89125093813374545</v>
      </c>
      <c r="G82" s="2"/>
      <c r="H82" s="2"/>
    </row>
    <row r="83" spans="2:8" x14ac:dyDescent="0.2">
      <c r="B83" s="36" t="s">
        <v>92</v>
      </c>
      <c r="C83" s="72" t="s">
        <v>159</v>
      </c>
      <c r="D83" s="37" t="s">
        <v>55</v>
      </c>
      <c r="E83" s="80">
        <v>290</v>
      </c>
      <c r="G83" s="2"/>
      <c r="H83" s="2"/>
    </row>
    <row r="84" spans="2:8" ht="15.75" x14ac:dyDescent="0.3">
      <c r="B84" s="36" t="s">
        <v>93</v>
      </c>
      <c r="C84" s="35" t="s">
        <v>164</v>
      </c>
      <c r="D84" s="37" t="s">
        <v>55</v>
      </c>
      <c r="E84" s="59">
        <v>35.38535174756943</v>
      </c>
      <c r="G84" s="2"/>
      <c r="H84" s="2"/>
    </row>
    <row r="85" spans="2:8" ht="15.75" x14ac:dyDescent="0.3">
      <c r="B85" s="36" t="s">
        <v>85</v>
      </c>
      <c r="C85" s="35" t="s">
        <v>165</v>
      </c>
      <c r="D85" s="37" t="s">
        <v>55</v>
      </c>
      <c r="E85" s="94">
        <v>240.3395857644463</v>
      </c>
      <c r="G85" s="2"/>
      <c r="H85" s="2"/>
    </row>
    <row r="86" spans="2:8" ht="15.75" x14ac:dyDescent="0.3">
      <c r="B86" s="36" t="s">
        <v>86</v>
      </c>
      <c r="C86" s="35" t="s">
        <v>166</v>
      </c>
      <c r="D86" s="37"/>
      <c r="E86" s="94">
        <v>1047.1285480508993</v>
      </c>
      <c r="G86" s="2"/>
      <c r="H86" s="2"/>
    </row>
    <row r="87" spans="2:8" x14ac:dyDescent="0.2">
      <c r="B87" s="78" t="s">
        <v>97</v>
      </c>
      <c r="C87" s="77"/>
      <c r="D87" s="91"/>
      <c r="E87" s="95"/>
      <c r="G87" s="2"/>
      <c r="H87" s="2"/>
    </row>
    <row r="88" spans="2:8" ht="15.75" x14ac:dyDescent="0.3">
      <c r="B88" s="36" t="s">
        <v>98</v>
      </c>
      <c r="C88" s="35" t="s">
        <v>168</v>
      </c>
      <c r="D88" s="37" t="s">
        <v>36</v>
      </c>
      <c r="E88" s="80">
        <v>3</v>
      </c>
      <c r="G88" s="2"/>
      <c r="H88" s="2"/>
    </row>
    <row r="89" spans="2:8" ht="15.75" x14ac:dyDescent="0.3">
      <c r="B89" s="36" t="s">
        <v>98</v>
      </c>
      <c r="C89" s="35" t="s">
        <v>168</v>
      </c>
      <c r="D89" s="37"/>
      <c r="E89" s="59">
        <v>1.9952623149688797</v>
      </c>
      <c r="G89" s="2"/>
      <c r="H89" s="2"/>
    </row>
    <row r="90" spans="2:8" ht="15.75" x14ac:dyDescent="0.3">
      <c r="B90" s="36" t="s">
        <v>99</v>
      </c>
      <c r="C90" s="35" t="s">
        <v>169</v>
      </c>
      <c r="D90" s="37" t="s">
        <v>55</v>
      </c>
      <c r="E90" s="80">
        <v>1420</v>
      </c>
      <c r="G90" s="2"/>
      <c r="H90" s="2"/>
    </row>
    <row r="91" spans="2:8" ht="15.75" x14ac:dyDescent="0.3">
      <c r="B91" s="36" t="s">
        <v>85</v>
      </c>
      <c r="C91" s="35" t="s">
        <v>165</v>
      </c>
      <c r="D91" s="37" t="s">
        <v>55</v>
      </c>
      <c r="E91" s="94">
        <v>241.69567523659674</v>
      </c>
      <c r="G91" s="2"/>
      <c r="H91" s="2"/>
    </row>
    <row r="92" spans="2:8" ht="16.5" thickBot="1" x14ac:dyDescent="0.35">
      <c r="B92" s="9" t="s">
        <v>86</v>
      </c>
      <c r="C92" s="10" t="s">
        <v>166</v>
      </c>
      <c r="D92" s="48"/>
      <c r="E92" s="96">
        <v>2089.2961308540393</v>
      </c>
      <c r="G92" s="2"/>
      <c r="H92" s="2"/>
    </row>
    <row r="93" spans="2:8" x14ac:dyDescent="0.2">
      <c r="D93" s="73"/>
      <c r="G93" s="2"/>
      <c r="H93" s="2"/>
    </row>
    <row r="94" spans="2:8" x14ac:dyDescent="0.2">
      <c r="B94" s="78" t="s">
        <v>57</v>
      </c>
      <c r="C94" s="77"/>
      <c r="D94" s="91"/>
      <c r="E94" s="79"/>
      <c r="G94" s="2"/>
      <c r="H94" s="2"/>
    </row>
    <row r="95" spans="2:8" ht="15.75" x14ac:dyDescent="0.3">
      <c r="B95" s="87" t="s">
        <v>167</v>
      </c>
      <c r="C95" s="35" t="s">
        <v>128</v>
      </c>
      <c r="D95" s="37" t="s">
        <v>36</v>
      </c>
      <c r="E95" s="80">
        <v>12</v>
      </c>
      <c r="G95" s="2"/>
      <c r="H95" s="2"/>
    </row>
    <row r="96" spans="2:8" ht="15.75" x14ac:dyDescent="0.3">
      <c r="B96" s="87" t="s">
        <v>175</v>
      </c>
      <c r="C96" s="35" t="s">
        <v>165</v>
      </c>
      <c r="D96" s="37"/>
      <c r="E96" s="93">
        <v>241.69567523659674</v>
      </c>
      <c r="G96" s="2"/>
      <c r="H96" s="2"/>
    </row>
    <row r="97" spans="2:5" ht="16.5" thickBot="1" x14ac:dyDescent="0.35">
      <c r="B97" s="92" t="s">
        <v>57</v>
      </c>
      <c r="C97" s="10" t="s">
        <v>140</v>
      </c>
      <c r="D97" s="48"/>
      <c r="E97" s="62">
        <v>253.69567523659674</v>
      </c>
    </row>
  </sheetData>
  <conditionalFormatting sqref="R28">
    <cfRule type="cellIs" dxfId="1" priority="1" stopIfTrue="1" operator="greaterThan">
      <formula>"7*$S$31"</formula>
    </cfRule>
  </conditionalFormatting>
  <pageMargins left="0.75" right="0.75" top="1" bottom="1" header="0.5" footer="0.5"/>
  <pageSetup orientation="portrait" horizontalDpi="355" verticalDpi="355"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M97"/>
  <sheetViews>
    <sheetView zoomScaleNormal="100" workbookViewId="0">
      <selection activeCell="H52" sqref="H52"/>
    </sheetView>
  </sheetViews>
  <sheetFormatPr defaultRowHeight="12.75" x14ac:dyDescent="0.2"/>
  <cols>
    <col min="1" max="1" width="2.7109375" customWidth="1"/>
    <col min="2" max="2" width="31.7109375" customWidth="1"/>
    <col min="3" max="3" width="9" customWidth="1"/>
    <col min="4" max="4" width="12.42578125" customWidth="1"/>
    <col min="5" max="5" width="10.85546875" customWidth="1"/>
    <col min="6" max="6" width="14.42578125" customWidth="1"/>
    <col min="7" max="7" width="17" customWidth="1"/>
    <col min="8" max="8" width="21.42578125" customWidth="1"/>
    <col min="9" max="9" width="9.5703125" bestFit="1" customWidth="1"/>
    <col min="10" max="10" width="24.5703125" customWidth="1"/>
    <col min="11" max="11" width="10.140625" style="73" customWidth="1"/>
    <col min="12" max="12" width="10.140625" customWidth="1"/>
    <col min="13" max="13" width="11.28515625" customWidth="1"/>
    <col min="14" max="14" width="2.85546875" customWidth="1"/>
    <col min="15" max="15" width="24.28515625" customWidth="1"/>
    <col min="16" max="16" width="8.7109375" customWidth="1"/>
    <col min="17" max="17" width="10.140625" customWidth="1"/>
    <col min="18" max="18" width="11.28515625" customWidth="1"/>
    <col min="19" max="19" width="3.28515625" customWidth="1"/>
    <col min="20" max="20" width="18.5703125" customWidth="1"/>
    <col min="35" max="35" width="13.28515625" customWidth="1"/>
  </cols>
  <sheetData>
    <row r="1" spans="1:38" ht="26.25" thickBot="1" x14ac:dyDescent="0.4">
      <c r="B1" s="1" t="s">
        <v>112</v>
      </c>
      <c r="C1" s="1"/>
      <c r="D1" s="1"/>
      <c r="J1" s="22" t="s">
        <v>17</v>
      </c>
      <c r="K1" s="50" t="s">
        <v>291</v>
      </c>
      <c r="L1" s="50" t="s">
        <v>292</v>
      </c>
      <c r="M1" s="24" t="s">
        <v>20</v>
      </c>
    </row>
    <row r="2" spans="1:38" ht="15.75" customHeight="1" thickBot="1" x14ac:dyDescent="0.4">
      <c r="D2" s="1"/>
      <c r="G2" s="12" t="s">
        <v>12</v>
      </c>
      <c r="H2" s="13"/>
      <c r="J2" s="26" t="s">
        <v>6</v>
      </c>
      <c r="K2" s="27">
        <v>380</v>
      </c>
      <c r="L2" s="27">
        <v>380</v>
      </c>
      <c r="M2" s="28">
        <v>28</v>
      </c>
      <c r="O2" s="63" t="s">
        <v>364</v>
      </c>
      <c r="P2" s="50"/>
      <c r="Q2" s="50"/>
      <c r="R2" s="51"/>
    </row>
    <row r="3" spans="1:38" ht="15.75" customHeight="1" x14ac:dyDescent="0.2">
      <c r="B3" s="7" t="s">
        <v>11</v>
      </c>
      <c r="C3" s="6" t="s">
        <v>10</v>
      </c>
      <c r="D3" s="6" t="s">
        <v>2</v>
      </c>
      <c r="E3" s="8" t="s">
        <v>3</v>
      </c>
      <c r="G3" s="14" t="s">
        <v>13</v>
      </c>
      <c r="H3" s="15"/>
      <c r="J3" s="26" t="s">
        <v>19</v>
      </c>
      <c r="K3" s="27">
        <v>380</v>
      </c>
      <c r="L3" s="27">
        <v>380</v>
      </c>
      <c r="M3" s="28">
        <v>51.6</v>
      </c>
      <c r="O3" s="49" t="s">
        <v>28</v>
      </c>
      <c r="P3" s="50" t="s">
        <v>10</v>
      </c>
      <c r="Q3" s="50" t="s">
        <v>3</v>
      </c>
      <c r="R3" s="51" t="s">
        <v>18</v>
      </c>
    </row>
    <row r="4" spans="1:38" ht="15.75" customHeight="1" x14ac:dyDescent="0.2">
      <c r="B4" s="3" t="s">
        <v>4</v>
      </c>
      <c r="C4" s="34" t="s">
        <v>0</v>
      </c>
      <c r="D4" s="5">
        <v>398600.5</v>
      </c>
      <c r="E4" s="4" t="s">
        <v>21</v>
      </c>
      <c r="G4" s="16" t="s">
        <v>14</v>
      </c>
      <c r="H4" s="17"/>
      <c r="J4" s="26" t="s">
        <v>7</v>
      </c>
      <c r="K4" s="29">
        <v>20182.5</v>
      </c>
      <c r="L4" s="29">
        <v>20182.5</v>
      </c>
      <c r="M4" s="30">
        <v>54.85</v>
      </c>
      <c r="O4" s="87" t="s">
        <v>356</v>
      </c>
      <c r="P4" s="37" t="s">
        <v>75</v>
      </c>
      <c r="Q4" s="74" t="s">
        <v>38</v>
      </c>
      <c r="R4" s="52">
        <v>30</v>
      </c>
    </row>
    <row r="5" spans="1:38" ht="15.75" customHeight="1" x14ac:dyDescent="0.2">
      <c r="B5" s="36" t="s">
        <v>5</v>
      </c>
      <c r="C5" s="37" t="s">
        <v>22</v>
      </c>
      <c r="D5" s="46">
        <v>6378.14</v>
      </c>
      <c r="E5" s="39" t="s">
        <v>1</v>
      </c>
      <c r="G5" s="18" t="s">
        <v>15</v>
      </c>
      <c r="H5" s="19"/>
      <c r="J5" s="26" t="s">
        <v>8</v>
      </c>
      <c r="K5" s="29">
        <v>39850</v>
      </c>
      <c r="L5" s="25">
        <v>500</v>
      </c>
      <c r="M5" s="33">
        <v>63.43</v>
      </c>
      <c r="O5" s="87" t="s">
        <v>363</v>
      </c>
      <c r="P5" s="72" t="s">
        <v>357</v>
      </c>
      <c r="Q5" s="38" t="s">
        <v>361</v>
      </c>
      <c r="R5" s="59">
        <f>2*PI()*(1-COS(RADIANS(R4/2)))</f>
        <v>0.21409434761481089</v>
      </c>
    </row>
    <row r="6" spans="1:38" ht="15.75" customHeight="1" thickBot="1" x14ac:dyDescent="0.25">
      <c r="B6" s="36" t="s">
        <v>23</v>
      </c>
      <c r="C6" s="35" t="s">
        <v>24</v>
      </c>
      <c r="D6" s="40">
        <v>299792458</v>
      </c>
      <c r="E6" s="39" t="s">
        <v>0</v>
      </c>
      <c r="G6" s="20" t="s">
        <v>16</v>
      </c>
      <c r="H6" s="21"/>
      <c r="J6" s="23" t="s">
        <v>9</v>
      </c>
      <c r="K6" s="31">
        <v>35786</v>
      </c>
      <c r="L6" s="31">
        <v>35786</v>
      </c>
      <c r="M6" s="32">
        <v>0</v>
      </c>
      <c r="O6" s="87" t="s">
        <v>149</v>
      </c>
      <c r="P6" s="37" t="s">
        <v>30</v>
      </c>
      <c r="Q6" s="38" t="s">
        <v>31</v>
      </c>
      <c r="R6" s="52">
        <v>2.2000000000000002</v>
      </c>
    </row>
    <row r="7" spans="1:38" ht="13.5" thickBot="1" x14ac:dyDescent="0.25">
      <c r="B7" s="9" t="s">
        <v>25</v>
      </c>
      <c r="C7" s="10" t="s">
        <v>26</v>
      </c>
      <c r="D7" s="41">
        <v>1.3806580000000001E-23</v>
      </c>
      <c r="E7" s="11" t="s">
        <v>27</v>
      </c>
      <c r="F7" s="2"/>
      <c r="I7" s="2"/>
      <c r="O7" s="87" t="s">
        <v>362</v>
      </c>
      <c r="P7" s="72" t="s">
        <v>151</v>
      </c>
      <c r="Q7" s="74" t="s">
        <v>0</v>
      </c>
      <c r="R7" s="59">
        <f>D6/(R6*10^9)</f>
        <v>0.1362692990909091</v>
      </c>
    </row>
    <row r="8" spans="1:38" ht="12.75" customHeight="1" thickBot="1" x14ac:dyDescent="0.25">
      <c r="A8" s="2"/>
      <c r="B8" s="43"/>
      <c r="C8" s="44"/>
      <c r="D8" s="45"/>
      <c r="E8" s="43"/>
      <c r="F8" s="2"/>
      <c r="G8" s="2"/>
      <c r="H8" s="2"/>
      <c r="I8" s="2"/>
      <c r="J8" s="63" t="s">
        <v>355</v>
      </c>
      <c r="K8" s="50"/>
      <c r="L8" s="50"/>
      <c r="M8" s="51"/>
      <c r="N8" s="2"/>
      <c r="O8" s="36" t="s">
        <v>78</v>
      </c>
      <c r="P8" s="37" t="s">
        <v>79</v>
      </c>
      <c r="Q8" s="38"/>
      <c r="R8" s="59">
        <f>(4*PI())/R5</f>
        <v>58.695480540981087</v>
      </c>
    </row>
    <row r="9" spans="1:38" ht="16.5" customHeight="1" x14ac:dyDescent="0.2">
      <c r="A9" s="2"/>
      <c r="B9" s="49" t="s">
        <v>28</v>
      </c>
      <c r="C9" s="50" t="s">
        <v>10</v>
      </c>
      <c r="D9" s="50" t="s">
        <v>3</v>
      </c>
      <c r="E9" s="50" t="s">
        <v>368</v>
      </c>
      <c r="F9" s="50" t="s">
        <v>377</v>
      </c>
      <c r="G9" s="50" t="s">
        <v>378</v>
      </c>
      <c r="H9" s="51" t="s">
        <v>379</v>
      </c>
      <c r="I9" s="2"/>
      <c r="J9" s="49" t="s">
        <v>28</v>
      </c>
      <c r="K9" s="50" t="s">
        <v>10</v>
      </c>
      <c r="L9" s="50" t="s">
        <v>3</v>
      </c>
      <c r="M9" s="51" t="s">
        <v>18</v>
      </c>
      <c r="O9" s="36" t="s">
        <v>78</v>
      </c>
      <c r="P9" s="37" t="s">
        <v>79</v>
      </c>
      <c r="Q9" s="38" t="s">
        <v>36</v>
      </c>
      <c r="R9" s="59">
        <f>10*LOG(R8,10)</f>
        <v>17.686046625478447</v>
      </c>
    </row>
    <row r="10" spans="1:38" ht="16.5" thickBot="1" x14ac:dyDescent="0.35">
      <c r="A10" s="2"/>
      <c r="B10" s="36" t="s">
        <v>29</v>
      </c>
      <c r="C10" s="38" t="s">
        <v>30</v>
      </c>
      <c r="D10" s="38" t="s">
        <v>31</v>
      </c>
      <c r="E10" s="67">
        <v>2.2000000000000002</v>
      </c>
      <c r="F10" s="67">
        <v>0.40005000000000002</v>
      </c>
      <c r="G10" s="67">
        <v>0.40200000000000002</v>
      </c>
      <c r="H10" s="52">
        <v>2.25</v>
      </c>
      <c r="I10" s="2"/>
      <c r="J10" s="36" t="s">
        <v>106</v>
      </c>
      <c r="K10" s="37" t="s">
        <v>107</v>
      </c>
      <c r="L10" s="38" t="s">
        <v>1</v>
      </c>
      <c r="M10" s="52">
        <v>500</v>
      </c>
      <c r="O10" s="92" t="s">
        <v>358</v>
      </c>
      <c r="P10" s="10" t="s">
        <v>359</v>
      </c>
      <c r="Q10" s="228" t="s">
        <v>360</v>
      </c>
      <c r="R10" s="60">
        <f>(R8*R7^2)/(4*PI())</f>
        <v>8.6734292995613055E-2</v>
      </c>
    </row>
    <row r="11" spans="1:38" ht="15.75" x14ac:dyDescent="0.3">
      <c r="A11" s="2"/>
      <c r="B11" s="36" t="s">
        <v>32</v>
      </c>
      <c r="C11" s="38" t="s">
        <v>100</v>
      </c>
      <c r="D11" s="38" t="s">
        <v>33</v>
      </c>
      <c r="E11" s="68">
        <v>1.5</v>
      </c>
      <c r="F11" s="68">
        <v>5</v>
      </c>
      <c r="G11" s="68">
        <v>0.25</v>
      </c>
      <c r="H11" s="56">
        <v>0.25</v>
      </c>
      <c r="I11" s="2"/>
      <c r="J11" s="36" t="s">
        <v>108</v>
      </c>
      <c r="K11" s="72" t="s">
        <v>109</v>
      </c>
      <c r="L11" s="38" t="s">
        <v>38</v>
      </c>
      <c r="M11" s="52">
        <v>45</v>
      </c>
    </row>
    <row r="12" spans="1:38" ht="15.75" x14ac:dyDescent="0.3">
      <c r="A12" s="2"/>
      <c r="B12" s="36" t="s">
        <v>32</v>
      </c>
      <c r="C12" s="38" t="s">
        <v>100</v>
      </c>
      <c r="D12" s="38" t="s">
        <v>34</v>
      </c>
      <c r="E12" s="69">
        <f>10*LOG(E11,10)</f>
        <v>1.7609125905568124</v>
      </c>
      <c r="F12" s="69">
        <f t="shared" ref="F12:H12" si="0">10*LOG(F11,10)</f>
        <v>6.9897000433601875</v>
      </c>
      <c r="G12" s="69">
        <f t="shared" si="0"/>
        <v>-6.0205999132796233</v>
      </c>
      <c r="H12" s="69">
        <f t="shared" si="0"/>
        <v>-6.0205999132796233</v>
      </c>
      <c r="I12" s="2"/>
      <c r="J12" s="87" t="s">
        <v>177</v>
      </c>
      <c r="K12" s="72" t="s">
        <v>109</v>
      </c>
      <c r="L12" s="38" t="s">
        <v>110</v>
      </c>
      <c r="M12" s="61">
        <f>RADIANS(M11)</f>
        <v>0.78539816339744828</v>
      </c>
    </row>
    <row r="13" spans="1:38" ht="13.5" thickBot="1" x14ac:dyDescent="0.25">
      <c r="B13" s="54" t="s">
        <v>104</v>
      </c>
      <c r="C13" s="42"/>
      <c r="D13" s="42"/>
      <c r="E13" s="42"/>
      <c r="F13" s="42"/>
      <c r="G13" s="42"/>
      <c r="H13" s="55"/>
      <c r="J13" s="58" t="s">
        <v>111</v>
      </c>
      <c r="K13" s="48" t="s">
        <v>68</v>
      </c>
      <c r="L13" s="47" t="s">
        <v>1</v>
      </c>
      <c r="M13" s="62">
        <f>SQRT((D5+M10)^2-(D5*COS(M12))^2)-D5*SIN(M12)</f>
        <v>683.09199006240306</v>
      </c>
    </row>
    <row r="14" spans="1:38" ht="12.75" customHeight="1" thickBot="1" x14ac:dyDescent="0.35">
      <c r="B14" s="36" t="s">
        <v>35</v>
      </c>
      <c r="C14" s="38" t="s">
        <v>101</v>
      </c>
      <c r="D14" s="38" t="s">
        <v>36</v>
      </c>
      <c r="E14" s="68">
        <v>1.1466978554135772</v>
      </c>
      <c r="F14" s="68">
        <v>4.3057912749372568E-2</v>
      </c>
      <c r="G14" s="68">
        <v>4.3478697970837643E-2</v>
      </c>
      <c r="H14" s="56">
        <v>1.3620387396188562</v>
      </c>
    </row>
    <row r="15" spans="1:38" ht="16.5" thickBot="1" x14ac:dyDescent="0.35">
      <c r="B15" s="36" t="s">
        <v>37</v>
      </c>
      <c r="C15" s="38" t="s">
        <v>102</v>
      </c>
      <c r="D15" s="38" t="s">
        <v>36</v>
      </c>
      <c r="E15" s="67">
        <v>-0.5</v>
      </c>
      <c r="F15" s="67">
        <v>-0.5</v>
      </c>
      <c r="G15" s="67">
        <v>-0.5</v>
      </c>
      <c r="H15" s="52">
        <v>-0.5</v>
      </c>
      <c r="J15" s="63" t="s">
        <v>73</v>
      </c>
      <c r="K15" s="50"/>
      <c r="L15" s="50"/>
      <c r="M15" s="51"/>
      <c r="O15" s="63" t="s">
        <v>132</v>
      </c>
      <c r="P15" s="50"/>
      <c r="Q15" s="50"/>
      <c r="R15" s="51"/>
      <c r="T15" s="63" t="s">
        <v>135</v>
      </c>
      <c r="U15" s="50"/>
      <c r="V15" s="50"/>
      <c r="W15" s="51"/>
      <c r="Y15" s="63" t="s">
        <v>134</v>
      </c>
      <c r="Z15" s="50"/>
      <c r="AA15" s="50"/>
      <c r="AB15" s="51"/>
      <c r="AD15" s="63" t="s">
        <v>148</v>
      </c>
      <c r="AE15" s="50"/>
      <c r="AF15" s="50"/>
      <c r="AG15" s="51"/>
      <c r="AI15" s="63" t="s">
        <v>133</v>
      </c>
      <c r="AJ15" s="50"/>
      <c r="AK15" s="50"/>
      <c r="AL15" s="51"/>
    </row>
    <row r="16" spans="1:38" ht="15.75" x14ac:dyDescent="0.3">
      <c r="B16" s="36" t="s">
        <v>311</v>
      </c>
      <c r="C16" s="53" t="s">
        <v>103</v>
      </c>
      <c r="D16" s="38" t="s">
        <v>38</v>
      </c>
      <c r="E16" s="70">
        <v>136.36363636363637</v>
      </c>
      <c r="F16" s="70">
        <v>749.39</v>
      </c>
      <c r="G16" s="70">
        <v>745.75</v>
      </c>
      <c r="H16" s="57">
        <v>133.24</v>
      </c>
      <c r="J16" s="49" t="s">
        <v>28</v>
      </c>
      <c r="K16" s="50" t="s">
        <v>10</v>
      </c>
      <c r="L16" s="50" t="s">
        <v>3</v>
      </c>
      <c r="M16" s="51" t="s">
        <v>18</v>
      </c>
      <c r="O16" s="49" t="s">
        <v>28</v>
      </c>
      <c r="P16" s="50" t="s">
        <v>10</v>
      </c>
      <c r="Q16" s="50" t="s">
        <v>3</v>
      </c>
      <c r="R16" s="51" t="s">
        <v>18</v>
      </c>
    </row>
    <row r="17" spans="2:39" ht="15.75" x14ac:dyDescent="0.3">
      <c r="B17" s="36" t="s">
        <v>39</v>
      </c>
      <c r="C17" s="53" t="s">
        <v>126</v>
      </c>
      <c r="D17" s="38" t="s">
        <v>38</v>
      </c>
      <c r="E17" s="67">
        <v>20</v>
      </c>
      <c r="F17" s="67">
        <v>0.5</v>
      </c>
      <c r="G17" s="67">
        <v>0.5</v>
      </c>
      <c r="H17" s="52">
        <v>0.5</v>
      </c>
      <c r="J17" s="36" t="s">
        <v>74</v>
      </c>
      <c r="K17" s="37" t="s">
        <v>75</v>
      </c>
      <c r="L17" s="38" t="s">
        <v>0</v>
      </c>
      <c r="M17" s="52">
        <v>7.0000000000000007E-2</v>
      </c>
      <c r="O17" s="36" t="s">
        <v>139</v>
      </c>
      <c r="P17" s="37" t="s">
        <v>50</v>
      </c>
      <c r="Q17" s="38" t="s">
        <v>0</v>
      </c>
      <c r="R17" s="52">
        <v>0.6</v>
      </c>
    </row>
    <row r="18" spans="2:39" ht="15.75" x14ac:dyDescent="0.3">
      <c r="B18" s="36" t="s">
        <v>40</v>
      </c>
      <c r="C18" s="38" t="s">
        <v>127</v>
      </c>
      <c r="D18" s="38" t="s">
        <v>36</v>
      </c>
      <c r="E18" s="194">
        <f>-12*(E17/E16)^2</f>
        <v>-0.25813333333333333</v>
      </c>
      <c r="F18" s="194">
        <f t="shared" ref="F18:H18" si="1">-12*(F17/F16)^2</f>
        <v>-5.3420194845562997E-6</v>
      </c>
      <c r="G18" s="194">
        <f t="shared" si="1"/>
        <v>-5.3942954651169466E-6</v>
      </c>
      <c r="H18" s="194">
        <f t="shared" si="1"/>
        <v>-1.6898649829422772E-4</v>
      </c>
      <c r="J18" s="36" t="s">
        <v>76</v>
      </c>
      <c r="K18" s="72" t="s">
        <v>107</v>
      </c>
      <c r="L18" s="38"/>
      <c r="M18" s="52">
        <v>0.5</v>
      </c>
      <c r="O18" s="36" t="s">
        <v>76</v>
      </c>
      <c r="P18" s="72" t="s">
        <v>107</v>
      </c>
      <c r="Q18" s="38"/>
      <c r="R18" s="52">
        <v>0.7</v>
      </c>
    </row>
    <row r="19" spans="2:39" x14ac:dyDescent="0.2">
      <c r="B19" s="36" t="s">
        <v>41</v>
      </c>
      <c r="C19" s="38" t="s">
        <v>42</v>
      </c>
      <c r="D19" s="38" t="s">
        <v>34</v>
      </c>
      <c r="E19" s="69">
        <f>E12+E15+E14+E18</f>
        <v>2.1494771126370562</v>
      </c>
      <c r="F19" s="69">
        <f t="shared" ref="F19:H19" si="2">F12+F15+F14+F18</f>
        <v>6.5327526140900751</v>
      </c>
      <c r="G19" s="69">
        <f t="shared" si="2"/>
        <v>-6.4771266096042508</v>
      </c>
      <c r="H19" s="69">
        <f t="shared" si="2"/>
        <v>-5.1587301601590614</v>
      </c>
      <c r="J19" s="36" t="s">
        <v>77</v>
      </c>
      <c r="K19" s="37" t="s">
        <v>30</v>
      </c>
      <c r="L19" s="38" t="s">
        <v>31</v>
      </c>
      <c r="M19" s="52">
        <v>2.25</v>
      </c>
      <c r="O19" s="87" t="s">
        <v>149</v>
      </c>
      <c r="P19" s="37" t="s">
        <v>30</v>
      </c>
      <c r="Q19" s="38" t="s">
        <v>31</v>
      </c>
      <c r="R19" s="52">
        <v>2.2000000000000002</v>
      </c>
    </row>
    <row r="20" spans="2:39" x14ac:dyDescent="0.2">
      <c r="B20" s="54" t="s">
        <v>105</v>
      </c>
      <c r="C20" s="42"/>
      <c r="D20" s="42"/>
      <c r="E20" s="42"/>
      <c r="F20" s="42"/>
      <c r="G20" s="42"/>
      <c r="H20" s="55"/>
      <c r="J20" s="36" t="s">
        <v>78</v>
      </c>
      <c r="K20" s="37" t="s">
        <v>79</v>
      </c>
      <c r="L20" s="38"/>
      <c r="M20" s="66">
        <f>M18*((PI()*M17)/(D6/(M19*10^9)))^2</f>
        <v>1.3620387396188562</v>
      </c>
      <c r="O20" s="87" t="s">
        <v>150</v>
      </c>
      <c r="P20" s="72" t="s">
        <v>151</v>
      </c>
      <c r="Q20" s="74" t="s">
        <v>0</v>
      </c>
      <c r="R20" s="59">
        <f>$D$6/(R19*1000000000)</f>
        <v>0.1362692990909091</v>
      </c>
    </row>
    <row r="21" spans="2:39" x14ac:dyDescent="0.2">
      <c r="B21" s="36" t="s">
        <v>43</v>
      </c>
      <c r="C21" s="38" t="s">
        <v>44</v>
      </c>
      <c r="D21" s="38" t="s">
        <v>45</v>
      </c>
      <c r="E21" s="70">
        <v>1932.2568646560537</v>
      </c>
      <c r="F21" s="70">
        <v>683.1</v>
      </c>
      <c r="G21" s="70">
        <v>683.1</v>
      </c>
      <c r="H21" s="57">
        <v>683.1</v>
      </c>
      <c r="J21" s="36" t="s">
        <v>78</v>
      </c>
      <c r="K21" s="37" t="s">
        <v>79</v>
      </c>
      <c r="L21" s="38" t="s">
        <v>36</v>
      </c>
      <c r="M21" s="59">
        <f>10*LOG(M20,10)</f>
        <v>1.3418946011967017</v>
      </c>
      <c r="O21" s="36" t="s">
        <v>74</v>
      </c>
      <c r="P21" s="37" t="s">
        <v>75</v>
      </c>
      <c r="Q21" s="38" t="s">
        <v>0</v>
      </c>
      <c r="R21" s="59">
        <f>R20/PI()</f>
        <v>4.3375865083972204E-2</v>
      </c>
    </row>
    <row r="22" spans="2:39" ht="16.5" thickBot="1" x14ac:dyDescent="0.35">
      <c r="B22" s="36" t="s">
        <v>46</v>
      </c>
      <c r="C22" s="38" t="s">
        <v>117</v>
      </c>
      <c r="D22" s="38" t="s">
        <v>36</v>
      </c>
      <c r="E22" s="69">
        <f>10*LOG((($D$6/(E10*10^9))/(4*PI()*E21*1000))^2,10)</f>
        <v>-165.01753401581362</v>
      </c>
      <c r="F22" s="69">
        <f t="shared" ref="F22:H22" si="3">10*LOG((($D$6/(F10*10^9))/(4*PI()*F21*1000))^2,10)</f>
        <v>-141.17975442349061</v>
      </c>
      <c r="G22" s="69">
        <f t="shared" si="3"/>
        <v>-141.22198999026887</v>
      </c>
      <c r="H22" s="69">
        <f t="shared" si="3"/>
        <v>-156.18111929080672</v>
      </c>
      <c r="I22" s="182"/>
      <c r="J22" s="9" t="s">
        <v>311</v>
      </c>
      <c r="K22" s="48" t="s">
        <v>80</v>
      </c>
      <c r="L22" s="47" t="s">
        <v>38</v>
      </c>
      <c r="M22" s="60">
        <f>70*((D6/(M19*10^9))/M17)</f>
        <v>133.2410924444444</v>
      </c>
      <c r="O22" s="36" t="s">
        <v>78</v>
      </c>
      <c r="P22" s="37" t="s">
        <v>79</v>
      </c>
      <c r="Q22" s="38"/>
      <c r="R22" s="66">
        <f>15*R18*R17/R20</f>
        <v>46.23198359446387</v>
      </c>
    </row>
    <row r="23" spans="2:39" ht="15.75" x14ac:dyDescent="0.3">
      <c r="B23" s="36" t="s">
        <v>47</v>
      </c>
      <c r="C23" s="38" t="s">
        <v>118</v>
      </c>
      <c r="D23" s="38" t="s">
        <v>36</v>
      </c>
      <c r="E23" s="67">
        <v>-0.1</v>
      </c>
      <c r="F23" s="67">
        <v>-0.15</v>
      </c>
      <c r="G23" s="67">
        <v>-0.15</v>
      </c>
      <c r="H23" s="52">
        <v>-0.15</v>
      </c>
      <c r="K23"/>
      <c r="O23" s="36" t="s">
        <v>78</v>
      </c>
      <c r="P23" s="37" t="s">
        <v>79</v>
      </c>
      <c r="Q23" s="38" t="s">
        <v>36</v>
      </c>
      <c r="R23" s="59">
        <f>10*LOG(R22)</f>
        <v>16.649425273478606</v>
      </c>
    </row>
    <row r="24" spans="2:39" ht="16.5" thickBot="1" x14ac:dyDescent="0.35">
      <c r="B24" s="36" t="s">
        <v>48</v>
      </c>
      <c r="C24" s="38" t="s">
        <v>119</v>
      </c>
      <c r="D24" s="38" t="s">
        <v>36</v>
      </c>
      <c r="E24" s="67">
        <v>-3</v>
      </c>
      <c r="F24" s="67">
        <v>0</v>
      </c>
      <c r="G24" s="67">
        <v>0</v>
      </c>
      <c r="H24" s="52">
        <v>0</v>
      </c>
      <c r="K24"/>
      <c r="O24" s="9" t="s">
        <v>311</v>
      </c>
      <c r="P24" s="48" t="s">
        <v>80</v>
      </c>
      <c r="Q24" s="47" t="s">
        <v>38</v>
      </c>
      <c r="R24" s="60">
        <f>52*SQRT(R20/R17)</f>
        <v>24.781450883736213</v>
      </c>
    </row>
    <row r="25" spans="2:39" ht="13.5" thickBot="1" x14ac:dyDescent="0.25">
      <c r="B25" s="36" t="s">
        <v>49</v>
      </c>
      <c r="C25" s="38" t="s">
        <v>50</v>
      </c>
      <c r="D25" s="38" t="s">
        <v>36</v>
      </c>
      <c r="E25" s="69">
        <f>SUM(E22:E24)</f>
        <v>-168.11753401581362</v>
      </c>
      <c r="F25" s="69">
        <f t="shared" ref="F25:H25" si="4">SUM(F22:F24)</f>
        <v>-141.32975442349061</v>
      </c>
      <c r="G25" s="69">
        <f t="shared" si="4"/>
        <v>-141.37198999026887</v>
      </c>
      <c r="H25" s="69">
        <f t="shared" si="4"/>
        <v>-156.33111929080673</v>
      </c>
    </row>
    <row r="26" spans="2:39" ht="13.5" thickBot="1" x14ac:dyDescent="0.25">
      <c r="B26" s="54" t="s">
        <v>113</v>
      </c>
      <c r="C26" s="42"/>
      <c r="D26" s="42"/>
      <c r="E26" s="42"/>
      <c r="F26" s="42"/>
      <c r="G26" s="42"/>
      <c r="H26" s="55"/>
      <c r="J26" s="63" t="s">
        <v>81</v>
      </c>
      <c r="K26" s="50"/>
      <c r="L26" s="64"/>
      <c r="M26" s="65"/>
      <c r="O26" s="63" t="s">
        <v>152</v>
      </c>
      <c r="P26" s="50"/>
      <c r="Q26" s="50"/>
      <c r="R26" s="51"/>
      <c r="T26" s="63" t="s">
        <v>371</v>
      </c>
      <c r="U26" s="50"/>
      <c r="V26" s="50"/>
      <c r="W26" s="51"/>
      <c r="Y26" s="63" t="s">
        <v>351</v>
      </c>
      <c r="Z26" s="50"/>
      <c r="AA26" s="50"/>
      <c r="AB26" s="51"/>
      <c r="AD26" s="63" t="s">
        <v>352</v>
      </c>
      <c r="AE26" s="50"/>
      <c r="AF26" s="50"/>
      <c r="AG26" s="51"/>
      <c r="AI26" s="63" t="s">
        <v>353</v>
      </c>
      <c r="AJ26" s="50"/>
      <c r="AK26" s="50"/>
      <c r="AL26" s="51"/>
    </row>
    <row r="27" spans="2:39" ht="15.75" x14ac:dyDescent="0.3">
      <c r="B27" s="36" t="s">
        <v>35</v>
      </c>
      <c r="C27" s="38" t="s">
        <v>121</v>
      </c>
      <c r="D27" s="38" t="s">
        <v>36</v>
      </c>
      <c r="E27" s="70">
        <v>25.384170578196809</v>
      </c>
      <c r="F27" s="70">
        <v>45.694111489130044</v>
      </c>
      <c r="G27" s="70">
        <v>46.140659071093005</v>
      </c>
      <c r="H27" s="57">
        <v>1445.4288665342958</v>
      </c>
      <c r="J27" s="49" t="s">
        <v>28</v>
      </c>
      <c r="K27" s="50" t="s">
        <v>10</v>
      </c>
      <c r="L27" s="50" t="s">
        <v>3</v>
      </c>
      <c r="M27" s="51" t="s">
        <v>18</v>
      </c>
      <c r="O27" s="49" t="s">
        <v>28</v>
      </c>
      <c r="P27" s="50" t="s">
        <v>10</v>
      </c>
      <c r="Q27" s="50" t="s">
        <v>3</v>
      </c>
      <c r="R27" s="51" t="s">
        <v>18</v>
      </c>
      <c r="AI27" t="s">
        <v>326</v>
      </c>
      <c r="AL27">
        <v>13</v>
      </c>
      <c r="AM27" t="s">
        <v>36</v>
      </c>
    </row>
    <row r="28" spans="2:39" ht="15.75" x14ac:dyDescent="0.3">
      <c r="B28" s="36" t="s">
        <v>51</v>
      </c>
      <c r="C28" s="38" t="s">
        <v>122</v>
      </c>
      <c r="D28" s="38" t="s">
        <v>36</v>
      </c>
      <c r="E28" s="67">
        <v>-0.5</v>
      </c>
      <c r="F28" s="67">
        <v>-0.5</v>
      </c>
      <c r="G28" s="67">
        <v>-0.5</v>
      </c>
      <c r="H28" s="52">
        <v>-0.5</v>
      </c>
      <c r="J28" s="36" t="s">
        <v>74</v>
      </c>
      <c r="K28" s="37" t="s">
        <v>75</v>
      </c>
      <c r="L28" s="38" t="s">
        <v>0</v>
      </c>
      <c r="M28" s="52">
        <v>2</v>
      </c>
      <c r="O28" s="87" t="s">
        <v>153</v>
      </c>
      <c r="P28" s="37" t="s">
        <v>50</v>
      </c>
      <c r="Q28" s="38" t="s">
        <v>0</v>
      </c>
      <c r="R28" s="52">
        <v>1</v>
      </c>
      <c r="AI28" s="128" t="s">
        <v>354</v>
      </c>
      <c r="AK28">
        <v>2</v>
      </c>
      <c r="AL28">
        <f>AL27+3</f>
        <v>16</v>
      </c>
      <c r="AM28" t="s">
        <v>36</v>
      </c>
    </row>
    <row r="29" spans="2:39" ht="15.75" x14ac:dyDescent="0.3">
      <c r="B29" s="36" t="s">
        <v>311</v>
      </c>
      <c r="C29" s="53" t="s">
        <v>123</v>
      </c>
      <c r="D29" s="38" t="s">
        <v>38</v>
      </c>
      <c r="E29" s="70">
        <v>9.545454545454545</v>
      </c>
      <c r="F29" s="70">
        <v>26.23</v>
      </c>
      <c r="G29" s="70">
        <v>26.1</v>
      </c>
      <c r="H29" s="57">
        <v>4.66</v>
      </c>
      <c r="J29" s="36" t="s">
        <v>76</v>
      </c>
      <c r="K29" s="72" t="s">
        <v>107</v>
      </c>
      <c r="L29" s="38"/>
      <c r="M29" s="52">
        <v>0.65</v>
      </c>
      <c r="O29" s="36" t="s">
        <v>76</v>
      </c>
      <c r="P29" s="72" t="s">
        <v>107</v>
      </c>
      <c r="Q29" s="38"/>
      <c r="R29" s="52">
        <v>0.7</v>
      </c>
      <c r="AK29">
        <f>AK28*2</f>
        <v>4</v>
      </c>
      <c r="AL29">
        <f t="shared" ref="AL29:AL35" si="5">AL28+3</f>
        <v>19</v>
      </c>
      <c r="AM29" t="s">
        <v>36</v>
      </c>
    </row>
    <row r="30" spans="2:39" ht="15.75" x14ac:dyDescent="0.3">
      <c r="B30" s="36" t="s">
        <v>39</v>
      </c>
      <c r="C30" s="53" t="s">
        <v>124</v>
      </c>
      <c r="D30" s="38" t="s">
        <v>38</v>
      </c>
      <c r="E30" s="67">
        <v>2</v>
      </c>
      <c r="F30" s="67">
        <v>0.5</v>
      </c>
      <c r="G30" s="67">
        <v>0.5</v>
      </c>
      <c r="H30" s="52">
        <v>0.5</v>
      </c>
      <c r="J30" s="36" t="s">
        <v>77</v>
      </c>
      <c r="K30" s="37" t="s">
        <v>30</v>
      </c>
      <c r="L30" s="38" t="s">
        <v>31</v>
      </c>
      <c r="M30" s="229">
        <v>0.40005000000000002</v>
      </c>
      <c r="O30" s="87" t="s">
        <v>149</v>
      </c>
      <c r="P30" s="37" t="s">
        <v>30</v>
      </c>
      <c r="Q30" s="38" t="s">
        <v>31</v>
      </c>
      <c r="R30" s="52">
        <v>2.2000000000000002</v>
      </c>
      <c r="AK30">
        <f t="shared" ref="AK30:AK35" si="6">AK29*2</f>
        <v>8</v>
      </c>
      <c r="AL30">
        <f t="shared" si="5"/>
        <v>22</v>
      </c>
      <c r="AM30" t="s">
        <v>36</v>
      </c>
    </row>
    <row r="31" spans="2:39" ht="15.75" x14ac:dyDescent="0.3">
      <c r="B31" s="36" t="s">
        <v>40</v>
      </c>
      <c r="C31" s="38" t="s">
        <v>125</v>
      </c>
      <c r="D31" s="38" t="s">
        <v>36</v>
      </c>
      <c r="E31" s="69">
        <f>-12*(E30/E29)^2</f>
        <v>-0.5268027210884354</v>
      </c>
      <c r="F31" s="69">
        <f t="shared" ref="F31:H31" si="7">-12*(F30/F29)^2</f>
        <v>-4.3603833590910874E-3</v>
      </c>
      <c r="G31" s="69">
        <f t="shared" si="7"/>
        <v>-4.4039283040472089E-3</v>
      </c>
      <c r="H31" s="69">
        <f t="shared" si="7"/>
        <v>-0.13814953305457828</v>
      </c>
      <c r="J31" s="36" t="s">
        <v>78</v>
      </c>
      <c r="K31" s="37" t="s">
        <v>79</v>
      </c>
      <c r="L31" s="38"/>
      <c r="M31" s="66">
        <f>M29*((PI()*M28)/(D6/(M19*10^9)))^2</f>
        <v>1445.4288665342958</v>
      </c>
      <c r="O31" s="87" t="s">
        <v>150</v>
      </c>
      <c r="P31" s="72" t="s">
        <v>151</v>
      </c>
      <c r="Q31" s="74" t="s">
        <v>0</v>
      </c>
      <c r="R31" s="59">
        <f>$D$6/(R30*1000000000)</f>
        <v>0.1362692990909091</v>
      </c>
      <c r="AK31">
        <f t="shared" si="6"/>
        <v>16</v>
      </c>
      <c r="AL31">
        <f t="shared" si="5"/>
        <v>25</v>
      </c>
      <c r="AM31" t="s">
        <v>36</v>
      </c>
    </row>
    <row r="32" spans="2:39" x14ac:dyDescent="0.2">
      <c r="B32" s="36" t="s">
        <v>52</v>
      </c>
      <c r="C32" s="38" t="s">
        <v>53</v>
      </c>
      <c r="D32" s="38" t="s">
        <v>36</v>
      </c>
      <c r="E32" s="69">
        <f>SUM(E27,E28,E31)</f>
        <v>24.357367857108372</v>
      </c>
      <c r="F32" s="69">
        <f t="shared" ref="F32:H32" si="8">SUM(F27,F28,F31)</f>
        <v>45.189751105770952</v>
      </c>
      <c r="G32" s="69">
        <f t="shared" si="8"/>
        <v>45.636255142788954</v>
      </c>
      <c r="H32" s="69">
        <f t="shared" si="8"/>
        <v>1444.7907170012413</v>
      </c>
      <c r="J32" s="36" t="s">
        <v>78</v>
      </c>
      <c r="K32" s="37" t="s">
        <v>79</v>
      </c>
      <c r="L32" s="38" t="s">
        <v>36</v>
      </c>
      <c r="M32" s="59">
        <f>10*LOG(M31,10)</f>
        <v>31.599967237259552</v>
      </c>
      <c r="O32" s="36" t="s">
        <v>74</v>
      </c>
      <c r="P32" s="37" t="s">
        <v>75</v>
      </c>
      <c r="Q32" s="38" t="s">
        <v>0</v>
      </c>
      <c r="R32" s="59">
        <f>R31/PI()</f>
        <v>4.3375865083972204E-2</v>
      </c>
      <c r="Y32" s="182"/>
      <c r="AK32">
        <f t="shared" si="6"/>
        <v>32</v>
      </c>
      <c r="AL32">
        <f t="shared" si="5"/>
        <v>28</v>
      </c>
      <c r="AM32" t="s">
        <v>36</v>
      </c>
    </row>
    <row r="33" spans="2:39" ht="16.5" thickBot="1" x14ac:dyDescent="0.35">
      <c r="B33" s="36" t="s">
        <v>54</v>
      </c>
      <c r="C33" s="38" t="s">
        <v>128</v>
      </c>
      <c r="D33" s="38" t="s">
        <v>55</v>
      </c>
      <c r="E33" s="67">
        <v>10</v>
      </c>
      <c r="F33" s="67">
        <v>60</v>
      </c>
      <c r="G33" s="67">
        <v>60</v>
      </c>
      <c r="H33" s="52">
        <v>60</v>
      </c>
      <c r="J33" s="9" t="s">
        <v>311</v>
      </c>
      <c r="K33" s="48" t="s">
        <v>80</v>
      </c>
      <c r="L33" s="47" t="s">
        <v>38</v>
      </c>
      <c r="M33" s="60">
        <f>70*((D6/(M19*10^9))/M28)</f>
        <v>4.6634382355555548</v>
      </c>
      <c r="O33" s="36" t="s">
        <v>78</v>
      </c>
      <c r="P33" s="37" t="s">
        <v>79</v>
      </c>
      <c r="Q33" s="38"/>
      <c r="R33" s="66">
        <f>15*R29*R28/R31</f>
        <v>77.053305990773126</v>
      </c>
      <c r="AK33">
        <f t="shared" si="6"/>
        <v>64</v>
      </c>
      <c r="AL33">
        <f t="shared" si="5"/>
        <v>31</v>
      </c>
      <c r="AM33" t="s">
        <v>36</v>
      </c>
    </row>
    <row r="34" spans="2:39" ht="16.5" thickBot="1" x14ac:dyDescent="0.35">
      <c r="B34" s="36" t="s">
        <v>56</v>
      </c>
      <c r="C34" s="38" t="s">
        <v>129</v>
      </c>
      <c r="D34" s="38" t="s">
        <v>55</v>
      </c>
      <c r="E34" s="68">
        <v>15</v>
      </c>
      <c r="F34" s="68">
        <v>120</v>
      </c>
      <c r="G34" s="68">
        <v>120</v>
      </c>
      <c r="H34" s="56">
        <v>120</v>
      </c>
      <c r="O34" s="36" t="s">
        <v>78</v>
      </c>
      <c r="P34" s="37" t="s">
        <v>79</v>
      </c>
      <c r="Q34" s="38" t="s">
        <v>36</v>
      </c>
      <c r="R34" s="59">
        <f>10*LOG(R33)</f>
        <v>18.867912769642167</v>
      </c>
      <c r="AK34">
        <f t="shared" si="6"/>
        <v>128</v>
      </c>
      <c r="AL34">
        <f t="shared" si="5"/>
        <v>34</v>
      </c>
      <c r="AM34" t="s">
        <v>36</v>
      </c>
    </row>
    <row r="35" spans="2:39" ht="16.5" thickBot="1" x14ac:dyDescent="0.35">
      <c r="B35" s="36" t="s">
        <v>57</v>
      </c>
      <c r="C35" s="74" t="s">
        <v>140</v>
      </c>
      <c r="D35" s="38" t="s">
        <v>55</v>
      </c>
      <c r="E35" s="69">
        <f>SUM(E33:E34)</f>
        <v>25</v>
      </c>
      <c r="F35" s="69">
        <f t="shared" ref="F35:H35" si="9">SUM(F33:F34)</f>
        <v>180</v>
      </c>
      <c r="G35" s="69">
        <f t="shared" si="9"/>
        <v>180</v>
      </c>
      <c r="H35" s="69">
        <f t="shared" si="9"/>
        <v>180</v>
      </c>
      <c r="J35" s="22" t="s">
        <v>137</v>
      </c>
      <c r="K35" s="50" t="s">
        <v>72</v>
      </c>
      <c r="L35" s="24" t="s">
        <v>3</v>
      </c>
      <c r="O35" s="9" t="s">
        <v>311</v>
      </c>
      <c r="P35" s="48" t="s">
        <v>80</v>
      </c>
      <c r="Q35" s="47" t="s">
        <v>38</v>
      </c>
      <c r="R35" s="60">
        <f>52*SQRT(R31/R28)</f>
        <v>19.195629313513486</v>
      </c>
      <c r="AK35">
        <f t="shared" si="6"/>
        <v>256</v>
      </c>
      <c r="AL35">
        <f t="shared" si="5"/>
        <v>37</v>
      </c>
      <c r="AM35" t="s">
        <v>36</v>
      </c>
    </row>
    <row r="36" spans="2:39" x14ac:dyDescent="0.2">
      <c r="B36" s="36" t="s">
        <v>58</v>
      </c>
      <c r="C36" s="38" t="s">
        <v>59</v>
      </c>
      <c r="D36" s="38" t="s">
        <v>60</v>
      </c>
      <c r="E36" s="69">
        <f>E32-10*LOG(E35,10)</f>
        <v>10.377967770387997</v>
      </c>
      <c r="F36" s="69">
        <f t="shared" ref="F36:H36" si="10">F32-10*LOG(F35,10)</f>
        <v>22.637026054737891</v>
      </c>
      <c r="G36" s="69">
        <f t="shared" si="10"/>
        <v>23.083530091755893</v>
      </c>
      <c r="H36" s="69">
        <f t="shared" si="10"/>
        <v>1422.2379919502082</v>
      </c>
      <c r="J36" s="87" t="s">
        <v>287</v>
      </c>
      <c r="K36" s="37">
        <v>9</v>
      </c>
      <c r="L36" s="39" t="s">
        <v>36</v>
      </c>
      <c r="M36" s="44"/>
    </row>
    <row r="37" spans="2:39" x14ac:dyDescent="0.2">
      <c r="B37" s="54" t="s">
        <v>114</v>
      </c>
      <c r="C37" s="42"/>
      <c r="D37" s="42"/>
      <c r="E37" s="42"/>
      <c r="F37" s="42"/>
      <c r="G37" s="42"/>
      <c r="H37" s="55"/>
      <c r="J37" s="87" t="s">
        <v>288</v>
      </c>
      <c r="K37" s="37">
        <v>6</v>
      </c>
      <c r="L37" s="39" t="s">
        <v>36</v>
      </c>
      <c r="M37" s="44"/>
    </row>
    <row r="38" spans="2:39" ht="14.25" x14ac:dyDescent="0.2">
      <c r="B38" s="36" t="s">
        <v>61</v>
      </c>
      <c r="C38" s="53" t="s">
        <v>30</v>
      </c>
      <c r="D38" s="74" t="s">
        <v>293</v>
      </c>
      <c r="E38" s="69">
        <f>E19-10*LOG((4*PI()*(E21*1000)^2),10)</f>
        <v>-134.56391870507002</v>
      </c>
      <c r="F38" s="69">
        <f t="shared" ref="F38:H38" si="11">F19-10*LOG((4*PI()*(F21*1000)^2),10)</f>
        <v>-121.14903173282698</v>
      </c>
      <c r="G38" s="69">
        <f t="shared" si="11"/>
        <v>-134.15891095652131</v>
      </c>
      <c r="H38" s="69">
        <f t="shared" si="11"/>
        <v>-132.84051450707611</v>
      </c>
      <c r="J38" s="87" t="s">
        <v>289</v>
      </c>
      <c r="K38" s="37">
        <v>3</v>
      </c>
      <c r="L38" s="39" t="s">
        <v>36</v>
      </c>
      <c r="M38" s="44"/>
    </row>
    <row r="39" spans="2:39" ht="15.75" thickBot="1" x14ac:dyDescent="0.3">
      <c r="B39" s="36" t="s">
        <v>312</v>
      </c>
      <c r="C39" s="53" t="s">
        <v>294</v>
      </c>
      <c r="D39" s="74" t="s">
        <v>295</v>
      </c>
      <c r="E39" s="69">
        <f>E38-10*LOG(E45/1000,10)</f>
        <v>-164.56391870507002</v>
      </c>
      <c r="F39" s="69">
        <f t="shared" ref="F39:H39" si="12">F38-10*LOG(F45/1000,10)</f>
        <v>-121.94084419330323</v>
      </c>
      <c r="G39" s="69">
        <f t="shared" si="12"/>
        <v>-134.95072341699756</v>
      </c>
      <c r="H39" s="69">
        <f t="shared" si="12"/>
        <v>-142.84051450707611</v>
      </c>
      <c r="J39" s="92" t="s">
        <v>290</v>
      </c>
      <c r="K39" s="48">
        <v>0</v>
      </c>
      <c r="L39" s="11" t="s">
        <v>36</v>
      </c>
      <c r="M39" s="44"/>
    </row>
    <row r="40" spans="2:39" ht="15.75" thickBot="1" x14ac:dyDescent="0.3">
      <c r="B40" s="87" t="s">
        <v>299</v>
      </c>
      <c r="C40" s="53" t="s">
        <v>294</v>
      </c>
      <c r="D40" s="74" t="s">
        <v>295</v>
      </c>
      <c r="E40" s="186">
        <v>0</v>
      </c>
      <c r="F40" s="186">
        <v>-158.02000000000001</v>
      </c>
      <c r="G40" s="186">
        <v>-158.02059991327963</v>
      </c>
      <c r="H40" s="206">
        <v>-158.02059991327963</v>
      </c>
    </row>
    <row r="41" spans="2:39" ht="15.75" x14ac:dyDescent="0.3">
      <c r="B41" s="36" t="s">
        <v>62</v>
      </c>
      <c r="C41" s="74" t="s">
        <v>141</v>
      </c>
      <c r="D41" s="38" t="s">
        <v>34</v>
      </c>
      <c r="E41" s="69">
        <f>E12+E14+E25+E32+E18+E15</f>
        <v>-141.61068904606816</v>
      </c>
      <c r="F41" s="69">
        <f t="shared" ref="F41:H41" si="13">F12+F14+F25+F32+F18+F15</f>
        <v>-89.607250703629603</v>
      </c>
      <c r="G41" s="69">
        <f t="shared" si="13"/>
        <v>-102.21286145708417</v>
      </c>
      <c r="H41" s="69">
        <f t="shared" si="13"/>
        <v>1283.3008675502756</v>
      </c>
      <c r="J41" s="22" t="s">
        <v>138</v>
      </c>
      <c r="K41" s="50" t="s">
        <v>279</v>
      </c>
      <c r="L41" s="24" t="s">
        <v>120</v>
      </c>
      <c r="O41" s="63" t="s">
        <v>348</v>
      </c>
      <c r="P41" s="64"/>
      <c r="Q41" s="64"/>
      <c r="R41" s="65"/>
    </row>
    <row r="42" spans="2:39" ht="15.75" x14ac:dyDescent="0.3">
      <c r="B42" s="36" t="s">
        <v>63</v>
      </c>
      <c r="C42" s="38" t="s">
        <v>130</v>
      </c>
      <c r="D42" s="38" t="s">
        <v>64</v>
      </c>
      <c r="E42" s="69">
        <f>10*LOG($D$7,10)+10*LOG(E35,10)</f>
        <v>-214.6197387763504</v>
      </c>
      <c r="F42" s="69">
        <f t="shared" ref="F42:H42" si="14">10*LOG($D$7,10)+10*LOG(F35,10)</f>
        <v>-206.04641381203771</v>
      </c>
      <c r="G42" s="69">
        <f t="shared" si="14"/>
        <v>-206.04641381203771</v>
      </c>
      <c r="H42" s="69">
        <f t="shared" si="14"/>
        <v>-206.04641381203771</v>
      </c>
      <c r="J42" s="86" t="s">
        <v>147</v>
      </c>
      <c r="K42" s="84"/>
      <c r="L42" s="85"/>
      <c r="O42" s="97"/>
      <c r="P42" s="98" t="s">
        <v>10</v>
      </c>
      <c r="Q42" s="98" t="s">
        <v>3</v>
      </c>
      <c r="R42" s="99" t="s">
        <v>18</v>
      </c>
    </row>
    <row r="43" spans="2:39" ht="15.75" x14ac:dyDescent="0.3">
      <c r="B43" s="36" t="s">
        <v>65</v>
      </c>
      <c r="C43" s="74" t="s">
        <v>142</v>
      </c>
      <c r="D43" s="38" t="s">
        <v>66</v>
      </c>
      <c r="E43" s="69">
        <f>E41-E42</f>
        <v>73.009049730282243</v>
      </c>
      <c r="F43" s="69">
        <f t="shared" ref="F43:H43" si="15">F41-F42</f>
        <v>116.43916310840811</v>
      </c>
      <c r="G43" s="69">
        <f t="shared" si="15"/>
        <v>103.83355235495354</v>
      </c>
      <c r="H43" s="69">
        <f t="shared" si="15"/>
        <v>1489.3472813623134</v>
      </c>
      <c r="J43" s="87" t="s">
        <v>280</v>
      </c>
      <c r="K43" s="37">
        <v>13.3</v>
      </c>
      <c r="L43" s="75" t="s">
        <v>145</v>
      </c>
      <c r="O43" s="87" t="s">
        <v>120</v>
      </c>
      <c r="P43" s="35" t="s">
        <v>346</v>
      </c>
      <c r="Q43" s="37" t="s">
        <v>211</v>
      </c>
      <c r="R43" s="226">
        <v>1000000</v>
      </c>
    </row>
    <row r="44" spans="2:39" ht="15.75" x14ac:dyDescent="0.3">
      <c r="B44" s="54" t="s">
        <v>115</v>
      </c>
      <c r="C44" s="42"/>
      <c r="D44" s="42"/>
      <c r="E44" s="42"/>
      <c r="F44" s="42"/>
      <c r="G44" s="42"/>
      <c r="H44" s="55"/>
      <c r="J44" s="87" t="s">
        <v>281</v>
      </c>
      <c r="K44" s="37"/>
      <c r="L44" s="75"/>
      <c r="O44" s="87" t="s">
        <v>347</v>
      </c>
      <c r="P44" s="37" t="s">
        <v>131</v>
      </c>
      <c r="Q44" s="37" t="s">
        <v>36</v>
      </c>
      <c r="R44" s="80">
        <v>14.43</v>
      </c>
    </row>
    <row r="45" spans="2:39" ht="15.75" x14ac:dyDescent="0.3">
      <c r="B45" s="36" t="s">
        <v>67</v>
      </c>
      <c r="C45" s="38" t="s">
        <v>68</v>
      </c>
      <c r="D45" s="38" t="s">
        <v>69</v>
      </c>
      <c r="E45" s="89">
        <v>1000000</v>
      </c>
      <c r="F45" s="89">
        <v>1200</v>
      </c>
      <c r="G45" s="89">
        <v>1200</v>
      </c>
      <c r="H45" s="88">
        <v>10000</v>
      </c>
      <c r="J45" s="87" t="s">
        <v>282</v>
      </c>
      <c r="K45" s="37">
        <v>9.1999999999999993</v>
      </c>
      <c r="L45" s="75" t="s">
        <v>144</v>
      </c>
      <c r="O45" s="87" t="s">
        <v>347</v>
      </c>
      <c r="P45" s="37" t="s">
        <v>131</v>
      </c>
      <c r="Q45" s="37" t="s">
        <v>273</v>
      </c>
      <c r="R45" s="59">
        <f>10^(R44/10)</f>
        <v>27.733201046518417</v>
      </c>
    </row>
    <row r="46" spans="2:39" ht="16.5" thickBot="1" x14ac:dyDescent="0.35">
      <c r="B46" s="36" t="s">
        <v>70</v>
      </c>
      <c r="C46" s="38" t="s">
        <v>131</v>
      </c>
      <c r="D46" s="38" t="s">
        <v>36</v>
      </c>
      <c r="E46" s="69">
        <f>E41-(E42+10*LOG(E45,10))</f>
        <v>13.009049730282243</v>
      </c>
      <c r="F46" s="69">
        <f t="shared" ref="F46:H46" si="16">F41-(F42+10*LOG(F45,10))</f>
        <v>85.647350647931859</v>
      </c>
      <c r="G46" s="69">
        <f t="shared" si="16"/>
        <v>73.041739894477288</v>
      </c>
      <c r="H46" s="69">
        <f t="shared" si="16"/>
        <v>1449.3472813623134</v>
      </c>
      <c r="J46" s="87" t="s">
        <v>283</v>
      </c>
      <c r="K46" s="37">
        <v>9.6</v>
      </c>
      <c r="L46" s="75" t="s">
        <v>68</v>
      </c>
      <c r="O46" s="92" t="s">
        <v>349</v>
      </c>
      <c r="P46" s="10" t="s">
        <v>350</v>
      </c>
      <c r="Q46" s="10" t="s">
        <v>211</v>
      </c>
      <c r="R46" s="227">
        <f>R43*LOG(1+R45,2)</f>
        <v>4844646.8213702133</v>
      </c>
    </row>
    <row r="47" spans="2:39" ht="15.75" x14ac:dyDescent="0.3">
      <c r="B47" s="36" t="s">
        <v>71</v>
      </c>
      <c r="C47" s="38" t="s">
        <v>131</v>
      </c>
      <c r="D47" s="38" t="s">
        <v>36</v>
      </c>
      <c r="E47" s="67">
        <v>9.6</v>
      </c>
      <c r="F47" s="67">
        <v>9.6</v>
      </c>
      <c r="G47" s="67">
        <v>9.6</v>
      </c>
      <c r="H47" s="52">
        <v>9.6</v>
      </c>
      <c r="J47" s="87" t="s">
        <v>284</v>
      </c>
      <c r="K47" s="37">
        <v>10.3</v>
      </c>
      <c r="L47" s="75" t="s">
        <v>68</v>
      </c>
    </row>
    <row r="48" spans="2:39" x14ac:dyDescent="0.2">
      <c r="B48" s="36" t="s">
        <v>116</v>
      </c>
      <c r="C48" s="38"/>
      <c r="D48" s="38" t="s">
        <v>36</v>
      </c>
      <c r="E48" s="67">
        <v>3</v>
      </c>
      <c r="F48" s="67">
        <v>3</v>
      </c>
      <c r="G48" s="67">
        <v>3</v>
      </c>
      <c r="H48" s="52">
        <v>3</v>
      </c>
      <c r="J48" s="87" t="s">
        <v>285</v>
      </c>
      <c r="K48" s="37">
        <v>9.6</v>
      </c>
      <c r="L48" s="75" t="s">
        <v>143</v>
      </c>
    </row>
    <row r="49" spans="2:13" ht="13.5" thickBot="1" x14ac:dyDescent="0.25">
      <c r="B49" s="9" t="s">
        <v>72</v>
      </c>
      <c r="C49" s="47"/>
      <c r="D49" s="47" t="s">
        <v>36</v>
      </c>
      <c r="E49" s="71">
        <f>E46-E47-E48</f>
        <v>0.40904973028224312</v>
      </c>
      <c r="F49" s="71">
        <f t="shared" ref="F49:H49" si="17">F46-F47-F48</f>
        <v>73.047350647931864</v>
      </c>
      <c r="G49" s="71">
        <f t="shared" si="17"/>
        <v>60.441739894477287</v>
      </c>
      <c r="H49" s="71">
        <f t="shared" si="17"/>
        <v>1436.7472813623135</v>
      </c>
      <c r="I49" s="128"/>
      <c r="J49" s="92" t="s">
        <v>286</v>
      </c>
      <c r="K49" s="48">
        <v>4.4000000000000004</v>
      </c>
      <c r="L49" s="181"/>
    </row>
    <row r="50" spans="2:13" x14ac:dyDescent="0.2">
      <c r="G50" s="129"/>
      <c r="H50" s="133"/>
    </row>
    <row r="51" spans="2:13" x14ac:dyDescent="0.2">
      <c r="G51" s="183"/>
      <c r="H51" s="2"/>
    </row>
    <row r="52" spans="2:13" ht="13.5" thickBot="1" x14ac:dyDescent="0.25">
      <c r="G52" s="2"/>
      <c r="H52" s="2"/>
    </row>
    <row r="53" spans="2:13" ht="13.5" thickBot="1" x14ac:dyDescent="0.25">
      <c r="B53" s="49" t="s">
        <v>28</v>
      </c>
      <c r="C53" s="50" t="s">
        <v>10</v>
      </c>
      <c r="D53" s="50" t="s">
        <v>3</v>
      </c>
      <c r="E53" s="51" t="s">
        <v>18</v>
      </c>
      <c r="G53" s="2"/>
      <c r="H53" s="2"/>
    </row>
    <row r="54" spans="2:13" x14ac:dyDescent="0.2">
      <c r="B54" s="83" t="s">
        <v>146</v>
      </c>
      <c r="C54" s="81"/>
      <c r="D54" s="90"/>
      <c r="E54" s="82"/>
      <c r="G54" s="2"/>
      <c r="H54" s="2"/>
    </row>
    <row r="55" spans="2:13" ht="15.75" x14ac:dyDescent="0.3">
      <c r="B55" s="36" t="s">
        <v>82</v>
      </c>
      <c r="C55" s="35" t="s">
        <v>154</v>
      </c>
      <c r="D55" s="37" t="s">
        <v>36</v>
      </c>
      <c r="E55" s="80">
        <v>-1.8</v>
      </c>
      <c r="G55" s="2"/>
      <c r="H55" s="2"/>
    </row>
    <row r="56" spans="2:13" ht="15.75" x14ac:dyDescent="0.3">
      <c r="B56" s="36" t="s">
        <v>82</v>
      </c>
      <c r="C56" s="35" t="s">
        <v>154</v>
      </c>
      <c r="D56" s="37"/>
      <c r="E56" s="59">
        <f>10^(E55/10)</f>
        <v>0.660693448007596</v>
      </c>
      <c r="F56" s="182"/>
      <c r="G56" s="2"/>
      <c r="H56" s="2"/>
    </row>
    <row r="57" spans="2:13" x14ac:dyDescent="0.2">
      <c r="B57" s="36" t="s">
        <v>83</v>
      </c>
      <c r="C57" s="72" t="s">
        <v>159</v>
      </c>
      <c r="D57" s="37" t="s">
        <v>55</v>
      </c>
      <c r="E57" s="80">
        <v>290</v>
      </c>
      <c r="G57" s="2"/>
      <c r="H57" s="2"/>
    </row>
    <row r="58" spans="2:13" ht="15.75" x14ac:dyDescent="0.3">
      <c r="B58" s="36" t="s">
        <v>84</v>
      </c>
      <c r="C58" s="35" t="s">
        <v>160</v>
      </c>
      <c r="D58" s="37" t="s">
        <v>55</v>
      </c>
      <c r="E58" s="59">
        <f>E57*((1/E56)-1)</f>
        <v>148.93276204650039</v>
      </c>
      <c r="F58" s="182"/>
      <c r="G58" s="2"/>
      <c r="H58" s="2"/>
    </row>
    <row r="59" spans="2:13" ht="15.75" x14ac:dyDescent="0.3">
      <c r="B59" s="36" t="s">
        <v>85</v>
      </c>
      <c r="C59" s="35" t="s">
        <v>165</v>
      </c>
      <c r="D59" s="37" t="s">
        <v>55</v>
      </c>
      <c r="E59" s="93">
        <f>E57*((1/E56)-1)</f>
        <v>148.93276204650039</v>
      </c>
      <c r="F59" s="248"/>
      <c r="G59" s="2"/>
      <c r="H59" s="2"/>
    </row>
    <row r="60" spans="2:13" ht="16.5" thickBot="1" x14ac:dyDescent="0.35">
      <c r="B60" s="36" t="s">
        <v>86</v>
      </c>
      <c r="C60" s="35" t="s">
        <v>166</v>
      </c>
      <c r="D60" s="37"/>
      <c r="E60" s="59">
        <f>E56</f>
        <v>0.660693448007596</v>
      </c>
      <c r="F60" s="182"/>
      <c r="G60" s="2"/>
      <c r="H60" s="2"/>
    </row>
    <row r="61" spans="2:13" x14ac:dyDescent="0.2">
      <c r="B61" s="78" t="s">
        <v>87</v>
      </c>
      <c r="C61" s="77"/>
      <c r="D61" s="91"/>
      <c r="E61" s="79"/>
      <c r="G61" s="2"/>
      <c r="H61" s="2"/>
      <c r="J61" s="63" t="s">
        <v>176</v>
      </c>
      <c r="K61" s="64"/>
      <c r="L61" s="64"/>
      <c r="M61" s="65"/>
    </row>
    <row r="62" spans="2:13" ht="15.75" x14ac:dyDescent="0.3">
      <c r="B62" s="36" t="s">
        <v>88</v>
      </c>
      <c r="C62" s="35" t="s">
        <v>155</v>
      </c>
      <c r="D62" s="37" t="s">
        <v>36</v>
      </c>
      <c r="E62" s="80">
        <v>30</v>
      </c>
      <c r="G62" s="2"/>
      <c r="H62" s="2"/>
      <c r="J62" s="97"/>
      <c r="K62" s="98" t="s">
        <v>10</v>
      </c>
      <c r="L62" s="98" t="s">
        <v>3</v>
      </c>
      <c r="M62" s="99" t="s">
        <v>18</v>
      </c>
    </row>
    <row r="63" spans="2:13" ht="15.75" x14ac:dyDescent="0.3">
      <c r="B63" s="36" t="s">
        <v>88</v>
      </c>
      <c r="C63" s="35" t="s">
        <v>155</v>
      </c>
      <c r="D63" s="37"/>
      <c r="E63" s="59">
        <f>10^(E62/10)</f>
        <v>1000</v>
      </c>
      <c r="F63" s="182"/>
      <c r="G63" s="2"/>
      <c r="H63" s="2"/>
      <c r="J63" s="87" t="s">
        <v>170</v>
      </c>
      <c r="K63" s="35" t="s">
        <v>159</v>
      </c>
      <c r="L63" s="37" t="s">
        <v>55</v>
      </c>
      <c r="M63" s="80">
        <v>20</v>
      </c>
    </row>
    <row r="64" spans="2:13" ht="15.75" x14ac:dyDescent="0.3">
      <c r="B64" s="36" t="s">
        <v>89</v>
      </c>
      <c r="C64" s="35" t="s">
        <v>161</v>
      </c>
      <c r="D64" s="37" t="s">
        <v>55</v>
      </c>
      <c r="E64" s="80">
        <v>60</v>
      </c>
      <c r="G64" s="2"/>
      <c r="H64" s="2"/>
      <c r="J64" s="87" t="s">
        <v>173</v>
      </c>
      <c r="K64" s="35"/>
      <c r="L64" s="37" t="s">
        <v>55</v>
      </c>
      <c r="M64" s="80">
        <v>290</v>
      </c>
    </row>
    <row r="65" spans="2:15" ht="16.5" thickBot="1" x14ac:dyDescent="0.35">
      <c r="B65" s="36" t="s">
        <v>85</v>
      </c>
      <c r="C65" s="35" t="s">
        <v>165</v>
      </c>
      <c r="D65" s="37" t="s">
        <v>55</v>
      </c>
      <c r="E65" s="94">
        <f>E58+E64/E56</f>
        <v>239.74643695267287</v>
      </c>
      <c r="F65" s="249"/>
      <c r="G65" s="2"/>
      <c r="H65" s="2"/>
      <c r="J65" s="87" t="s">
        <v>171</v>
      </c>
      <c r="K65" s="35" t="s">
        <v>172</v>
      </c>
      <c r="L65" s="37"/>
      <c r="M65" s="61">
        <f>(M63/M64)+1</f>
        <v>1.0689655172413792</v>
      </c>
      <c r="O65" s="250"/>
    </row>
    <row r="66" spans="2:15" ht="15.75" x14ac:dyDescent="0.3">
      <c r="B66" s="36" t="s">
        <v>86</v>
      </c>
      <c r="C66" s="35" t="s">
        <v>166</v>
      </c>
      <c r="D66" s="37"/>
      <c r="E66" s="94">
        <f>E60*E63</f>
        <v>660.69344800759598</v>
      </c>
      <c r="F66" s="249"/>
      <c r="G66" s="2"/>
      <c r="H66" s="2"/>
      <c r="J66" s="63" t="s">
        <v>174</v>
      </c>
      <c r="K66" s="64"/>
      <c r="L66" s="64"/>
      <c r="M66" s="65"/>
    </row>
    <row r="67" spans="2:15" x14ac:dyDescent="0.2">
      <c r="B67" s="78" t="s">
        <v>90</v>
      </c>
      <c r="C67" s="77"/>
      <c r="D67" s="91"/>
      <c r="E67" s="79"/>
      <c r="G67" s="2"/>
      <c r="H67" s="2"/>
      <c r="J67" s="97"/>
      <c r="K67" s="98" t="s">
        <v>10</v>
      </c>
      <c r="L67" s="98" t="s">
        <v>3</v>
      </c>
      <c r="M67" s="99" t="s">
        <v>18</v>
      </c>
    </row>
    <row r="68" spans="2:15" ht="15.75" x14ac:dyDescent="0.3">
      <c r="B68" s="36" t="s">
        <v>91</v>
      </c>
      <c r="C68" s="35" t="s">
        <v>156</v>
      </c>
      <c r="D68" s="37" t="s">
        <v>36</v>
      </c>
      <c r="E68" s="80">
        <v>-0.5</v>
      </c>
      <c r="G68" s="2"/>
      <c r="H68" s="2"/>
      <c r="J68" s="87" t="s">
        <v>171</v>
      </c>
      <c r="K68" s="35" t="s">
        <v>159</v>
      </c>
      <c r="L68" s="37" t="s">
        <v>55</v>
      </c>
      <c r="M68" s="80">
        <v>1.069</v>
      </c>
    </row>
    <row r="69" spans="2:15" ht="15.75" x14ac:dyDescent="0.3">
      <c r="B69" s="36" t="s">
        <v>91</v>
      </c>
      <c r="C69" s="35" t="s">
        <v>156</v>
      </c>
      <c r="D69" s="37"/>
      <c r="E69" s="59">
        <f>10^(E68/10)</f>
        <v>0.89125093813374545</v>
      </c>
      <c r="F69" s="182"/>
      <c r="G69" s="2"/>
      <c r="H69" s="2"/>
      <c r="J69" s="87" t="s">
        <v>173</v>
      </c>
      <c r="K69" s="35"/>
      <c r="L69" s="37" t="s">
        <v>55</v>
      </c>
      <c r="M69" s="80">
        <v>290</v>
      </c>
    </row>
    <row r="70" spans="2:15" ht="13.5" thickBot="1" x14ac:dyDescent="0.25">
      <c r="B70" s="36" t="s">
        <v>92</v>
      </c>
      <c r="C70" s="72" t="s">
        <v>159</v>
      </c>
      <c r="D70" s="37" t="s">
        <v>55</v>
      </c>
      <c r="E70" s="80">
        <v>290</v>
      </c>
      <c r="G70" s="2"/>
      <c r="H70" s="2"/>
      <c r="J70" s="92" t="s">
        <v>170</v>
      </c>
      <c r="K70" s="10" t="s">
        <v>172</v>
      </c>
      <c r="L70" s="48"/>
      <c r="M70" s="60">
        <f>(M68-1)*M69</f>
        <v>20.009999999999984</v>
      </c>
      <c r="O70" s="182"/>
    </row>
    <row r="71" spans="2:15" ht="15.75" x14ac:dyDescent="0.3">
      <c r="B71" s="36" t="s">
        <v>93</v>
      </c>
      <c r="C71" s="35" t="s">
        <v>162</v>
      </c>
      <c r="D71" s="37" t="s">
        <v>55</v>
      </c>
      <c r="E71" s="59">
        <f>E70*((1/E69)-1)</f>
        <v>35.38535174756943</v>
      </c>
      <c r="F71" s="182"/>
      <c r="G71" s="2"/>
      <c r="H71" s="2"/>
    </row>
    <row r="72" spans="2:15" ht="15.75" x14ac:dyDescent="0.3">
      <c r="B72" s="36" t="s">
        <v>85</v>
      </c>
      <c r="C72" s="35" t="s">
        <v>165</v>
      </c>
      <c r="D72" s="37" t="s">
        <v>55</v>
      </c>
      <c r="E72" s="94">
        <f>E65+(E71/(E56*E63))</f>
        <v>239.79999484984026</v>
      </c>
      <c r="F72" s="249"/>
      <c r="G72" s="2"/>
      <c r="H72" s="199"/>
    </row>
    <row r="73" spans="2:15" ht="15.75" x14ac:dyDescent="0.3">
      <c r="B73" s="36" t="s">
        <v>86</v>
      </c>
      <c r="C73" s="35" t="s">
        <v>166</v>
      </c>
      <c r="D73" s="37"/>
      <c r="E73" s="94">
        <f>E66*E69</f>
        <v>588.84365535558891</v>
      </c>
      <c r="F73" s="249"/>
      <c r="G73" s="2"/>
      <c r="H73" s="199"/>
    </row>
    <row r="74" spans="2:15" x14ac:dyDescent="0.2">
      <c r="B74" s="78" t="s">
        <v>94</v>
      </c>
      <c r="C74" s="77"/>
      <c r="D74" s="91"/>
      <c r="E74" s="79"/>
      <c r="G74" s="2"/>
      <c r="H74" s="199"/>
    </row>
    <row r="75" spans="2:15" ht="15.75" x14ac:dyDescent="0.3">
      <c r="B75" s="36" t="s">
        <v>95</v>
      </c>
      <c r="C75" s="35" t="s">
        <v>157</v>
      </c>
      <c r="D75" s="37" t="s">
        <v>36</v>
      </c>
      <c r="E75" s="80">
        <v>3</v>
      </c>
      <c r="G75" s="2"/>
      <c r="H75" s="2"/>
    </row>
    <row r="76" spans="2:15" ht="15.75" x14ac:dyDescent="0.3">
      <c r="B76" s="36" t="s">
        <v>95</v>
      </c>
      <c r="C76" s="35" t="s">
        <v>157</v>
      </c>
      <c r="D76" s="37"/>
      <c r="E76" s="59">
        <f>10^(E75/10)</f>
        <v>1.9952623149688797</v>
      </c>
      <c r="F76" s="182"/>
      <c r="G76" s="2"/>
      <c r="H76" s="2"/>
    </row>
    <row r="77" spans="2:15" ht="15.75" x14ac:dyDescent="0.3">
      <c r="B77" s="36" t="s">
        <v>96</v>
      </c>
      <c r="C77" s="35" t="s">
        <v>163</v>
      </c>
      <c r="D77" s="37" t="s">
        <v>55</v>
      </c>
      <c r="E77" s="80">
        <v>300</v>
      </c>
      <c r="G77" s="2"/>
      <c r="H77" s="2"/>
    </row>
    <row r="78" spans="2:15" ht="15.75" x14ac:dyDescent="0.3">
      <c r="B78" s="36" t="s">
        <v>85</v>
      </c>
      <c r="C78" s="35" t="s">
        <v>165</v>
      </c>
      <c r="D78" s="37" t="s">
        <v>55</v>
      </c>
      <c r="E78" s="94">
        <f>E72+(E77/(E73))</f>
        <v>240.30946794557877</v>
      </c>
      <c r="F78" s="249"/>
      <c r="G78" s="2"/>
      <c r="H78" s="2"/>
    </row>
    <row r="79" spans="2:15" ht="15.75" x14ac:dyDescent="0.3">
      <c r="B79" s="36" t="s">
        <v>86</v>
      </c>
      <c r="C79" s="35" t="s">
        <v>166</v>
      </c>
      <c r="D79" s="37"/>
      <c r="E79" s="94">
        <f>E73*E76</f>
        <v>1174.8975549395295</v>
      </c>
      <c r="F79" s="249"/>
      <c r="G79" s="2"/>
      <c r="H79" s="2"/>
    </row>
    <row r="80" spans="2:15" x14ac:dyDescent="0.2">
      <c r="B80" s="78" t="s">
        <v>90</v>
      </c>
      <c r="C80" s="77"/>
      <c r="D80" s="91"/>
      <c r="E80" s="79"/>
      <c r="G80" s="2"/>
      <c r="H80" s="2"/>
    </row>
    <row r="81" spans="2:8" ht="15.75" x14ac:dyDescent="0.3">
      <c r="B81" s="36" t="s">
        <v>91</v>
      </c>
      <c r="C81" s="35" t="s">
        <v>158</v>
      </c>
      <c r="D81" s="37" t="s">
        <v>36</v>
      </c>
      <c r="E81" s="80">
        <v>-0.5</v>
      </c>
      <c r="G81" s="2"/>
      <c r="H81" s="2"/>
    </row>
    <row r="82" spans="2:8" ht="15.75" x14ac:dyDescent="0.3">
      <c r="B82" s="36" t="s">
        <v>91</v>
      </c>
      <c r="C82" s="35" t="s">
        <v>158</v>
      </c>
      <c r="D82" s="37"/>
      <c r="E82" s="59">
        <f>10^(E81/10)</f>
        <v>0.89125093813374545</v>
      </c>
      <c r="F82" s="182"/>
      <c r="G82" s="2"/>
      <c r="H82" s="2"/>
    </row>
    <row r="83" spans="2:8" x14ac:dyDescent="0.2">
      <c r="B83" s="36" t="s">
        <v>92</v>
      </c>
      <c r="C83" s="72" t="s">
        <v>159</v>
      </c>
      <c r="D83" s="37" t="s">
        <v>55</v>
      </c>
      <c r="E83" s="80">
        <v>290</v>
      </c>
      <c r="G83" s="2"/>
      <c r="H83" s="2"/>
    </row>
    <row r="84" spans="2:8" ht="15.75" x14ac:dyDescent="0.3">
      <c r="B84" s="36" t="s">
        <v>93</v>
      </c>
      <c r="C84" s="35" t="s">
        <v>164</v>
      </c>
      <c r="D84" s="37" t="s">
        <v>55</v>
      </c>
      <c r="E84" s="59">
        <f>E83*((1/E82)-1)</f>
        <v>35.38535174756943</v>
      </c>
      <c r="F84" s="182"/>
      <c r="G84" s="2"/>
      <c r="H84" s="2"/>
    </row>
    <row r="85" spans="2:8" ht="15.75" x14ac:dyDescent="0.3">
      <c r="B85" s="36" t="s">
        <v>85</v>
      </c>
      <c r="C85" s="35" t="s">
        <v>165</v>
      </c>
      <c r="D85" s="37" t="s">
        <v>55</v>
      </c>
      <c r="E85" s="94">
        <f>E78+(E84/E79)</f>
        <v>240.3395857644463</v>
      </c>
      <c r="F85" s="249"/>
      <c r="G85" s="2"/>
      <c r="H85" s="2"/>
    </row>
    <row r="86" spans="2:8" ht="15.75" x14ac:dyDescent="0.3">
      <c r="B86" s="36" t="s">
        <v>86</v>
      </c>
      <c r="C86" s="35" t="s">
        <v>166</v>
      </c>
      <c r="D86" s="37"/>
      <c r="E86" s="94">
        <f>E79*E82</f>
        <v>1047.1285480508993</v>
      </c>
      <c r="F86" s="249"/>
      <c r="G86" s="2"/>
      <c r="H86" s="2"/>
    </row>
    <row r="87" spans="2:8" x14ac:dyDescent="0.2">
      <c r="B87" s="78" t="s">
        <v>97</v>
      </c>
      <c r="C87" s="77"/>
      <c r="D87" s="91"/>
      <c r="E87" s="95"/>
      <c r="F87" s="249"/>
      <c r="G87" s="2"/>
      <c r="H87" s="2"/>
    </row>
    <row r="88" spans="2:8" ht="15.75" x14ac:dyDescent="0.3">
      <c r="B88" s="36" t="s">
        <v>98</v>
      </c>
      <c r="C88" s="35" t="s">
        <v>168</v>
      </c>
      <c r="D88" s="37" t="s">
        <v>36</v>
      </c>
      <c r="E88" s="80">
        <v>3</v>
      </c>
      <c r="G88" s="2"/>
      <c r="H88" s="2"/>
    </row>
    <row r="89" spans="2:8" ht="15.75" x14ac:dyDescent="0.3">
      <c r="B89" s="36" t="s">
        <v>98</v>
      </c>
      <c r="C89" s="35" t="s">
        <v>168</v>
      </c>
      <c r="D89" s="37"/>
      <c r="E89" s="59">
        <f>10^(E88/10)</f>
        <v>1.9952623149688797</v>
      </c>
      <c r="F89" s="182"/>
      <c r="G89" s="2"/>
      <c r="H89" s="2"/>
    </row>
    <row r="90" spans="2:8" ht="15.75" x14ac:dyDescent="0.3">
      <c r="B90" s="36" t="s">
        <v>99</v>
      </c>
      <c r="C90" s="35" t="s">
        <v>169</v>
      </c>
      <c r="D90" s="37" t="s">
        <v>55</v>
      </c>
      <c r="E90" s="80">
        <v>1420</v>
      </c>
      <c r="G90" s="2"/>
      <c r="H90" s="2"/>
    </row>
    <row r="91" spans="2:8" ht="15.75" x14ac:dyDescent="0.3">
      <c r="B91" s="36" t="s">
        <v>85</v>
      </c>
      <c r="C91" s="35" t="s">
        <v>165</v>
      </c>
      <c r="D91" s="37" t="s">
        <v>55</v>
      </c>
      <c r="E91" s="94">
        <f>E85+(E90/E86)</f>
        <v>241.69567523659674</v>
      </c>
      <c r="F91" s="249"/>
      <c r="G91" s="2"/>
      <c r="H91" s="2"/>
    </row>
    <row r="92" spans="2:8" ht="16.5" thickBot="1" x14ac:dyDescent="0.35">
      <c r="B92" s="9" t="s">
        <v>86</v>
      </c>
      <c r="C92" s="10" t="s">
        <v>166</v>
      </c>
      <c r="D92" s="48"/>
      <c r="E92" s="96">
        <f>E86*E89</f>
        <v>2089.2961308540393</v>
      </c>
      <c r="F92" s="249"/>
      <c r="G92" s="2"/>
      <c r="H92" s="2"/>
    </row>
    <row r="93" spans="2:8" x14ac:dyDescent="0.2">
      <c r="D93" s="73"/>
      <c r="G93" s="2"/>
      <c r="H93" s="2"/>
    </row>
    <row r="94" spans="2:8" x14ac:dyDescent="0.2">
      <c r="B94" s="78" t="s">
        <v>57</v>
      </c>
      <c r="C94" s="77"/>
      <c r="D94" s="91"/>
      <c r="E94" s="79"/>
      <c r="G94" s="2"/>
      <c r="H94" s="2"/>
    </row>
    <row r="95" spans="2:8" ht="15.75" x14ac:dyDescent="0.3">
      <c r="B95" s="87" t="s">
        <v>167</v>
      </c>
      <c r="C95" s="35" t="s">
        <v>128</v>
      </c>
      <c r="D95" s="37" t="s">
        <v>36</v>
      </c>
      <c r="E95" s="80">
        <v>12</v>
      </c>
      <c r="G95" s="2"/>
      <c r="H95" s="2"/>
    </row>
    <row r="96" spans="2:8" ht="15.75" x14ac:dyDescent="0.3">
      <c r="B96" s="87" t="s">
        <v>175</v>
      </c>
      <c r="C96" s="35" t="s">
        <v>165</v>
      </c>
      <c r="D96" s="37"/>
      <c r="E96" s="93">
        <f>E91</f>
        <v>241.69567523659674</v>
      </c>
      <c r="F96" s="248"/>
      <c r="G96" s="2"/>
      <c r="H96" s="2"/>
    </row>
    <row r="97" spans="2:6" ht="16.5" thickBot="1" x14ac:dyDescent="0.35">
      <c r="B97" s="92" t="s">
        <v>57</v>
      </c>
      <c r="C97" s="10" t="s">
        <v>140</v>
      </c>
      <c r="D97" s="48"/>
      <c r="E97" s="62">
        <f>E95+E96</f>
        <v>253.69567523659674</v>
      </c>
      <c r="F97" s="248"/>
    </row>
  </sheetData>
  <conditionalFormatting sqref="R28">
    <cfRule type="cellIs" dxfId="0" priority="1" stopIfTrue="1" operator="greaterThan">
      <formula>"7*$S$31"</formula>
    </cfRule>
  </conditionalFormatting>
  <pageMargins left="0.75" right="0.75" top="1" bottom="1" header="0.5" footer="0.5"/>
  <pageSetup orientation="portrait" horizontalDpi="355" verticalDpi="355"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G47:J49"/>
  <sheetViews>
    <sheetView zoomScale="70" zoomScaleNormal="70" workbookViewId="0">
      <selection activeCell="H82" sqref="H82"/>
    </sheetView>
  </sheetViews>
  <sheetFormatPr defaultRowHeight="12.75" x14ac:dyDescent="0.2"/>
  <sheetData>
    <row r="47" spans="7:9" x14ac:dyDescent="0.2">
      <c r="H47" s="130" t="s">
        <v>195</v>
      </c>
    </row>
    <row r="48" spans="7:9" ht="15.75" x14ac:dyDescent="0.3">
      <c r="G48" t="s">
        <v>227</v>
      </c>
      <c r="H48" s="128" t="s">
        <v>228</v>
      </c>
      <c r="I48" s="132">
        <v>1.2999999999999999E-2</v>
      </c>
    </row>
    <row r="49" spans="7:10" x14ac:dyDescent="0.2">
      <c r="G49" t="s">
        <v>229</v>
      </c>
      <c r="I49">
        <f>(I46*I47/I48)/1000</f>
        <v>0</v>
      </c>
      <c r="J49" s="128" t="s">
        <v>230</v>
      </c>
    </row>
  </sheetData>
  <phoneticPr fontId="3"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F93"/>
  <sheetViews>
    <sheetView tabSelected="1" topLeftCell="A19" zoomScale="85" zoomScaleNormal="85" workbookViewId="0">
      <selection activeCell="G49" sqref="G49"/>
    </sheetView>
  </sheetViews>
  <sheetFormatPr defaultRowHeight="12.75" x14ac:dyDescent="0.2"/>
  <cols>
    <col min="2" max="2" width="25.140625" customWidth="1"/>
    <col min="4" max="4" width="10.28515625" customWidth="1"/>
    <col min="6" max="6" width="8.42578125" customWidth="1"/>
    <col min="7" max="7" width="13.42578125" customWidth="1"/>
    <col min="8" max="8" width="6" customWidth="1"/>
    <col min="9" max="9" width="17.140625" customWidth="1"/>
    <col min="10" max="10" width="9.140625" customWidth="1"/>
    <col min="11" max="12" width="9" customWidth="1"/>
    <col min="13" max="13" width="3" customWidth="1"/>
    <col min="14" max="14" width="19.42578125" customWidth="1"/>
    <col min="15" max="17" width="9" customWidth="1"/>
    <col min="18" max="18" width="2.7109375" customWidth="1"/>
    <col min="19" max="19" width="17.28515625" customWidth="1"/>
    <col min="20" max="20" width="16.28515625" customWidth="1"/>
    <col min="21" max="21" width="15.28515625" customWidth="1"/>
    <col min="22" max="22" width="17.85546875" customWidth="1"/>
    <col min="23" max="25" width="9" customWidth="1"/>
    <col min="27" max="27" width="18.5703125" customWidth="1"/>
    <col min="28" max="28" width="8.140625" customWidth="1"/>
    <col min="29" max="29" width="7.140625" customWidth="1"/>
    <col min="30" max="30" width="7.42578125" customWidth="1"/>
    <col min="31" max="31" width="3.7109375" customWidth="1"/>
    <col min="32" max="35" width="18" customWidth="1"/>
  </cols>
  <sheetData>
    <row r="1" spans="1:32" ht="25.5" x14ac:dyDescent="0.35">
      <c r="B1" s="1" t="s">
        <v>296</v>
      </c>
    </row>
    <row r="2" spans="1:32" ht="13.5" thickBot="1" x14ac:dyDescent="0.25"/>
    <row r="3" spans="1:32" x14ac:dyDescent="0.2">
      <c r="B3" s="7" t="s">
        <v>11</v>
      </c>
      <c r="C3" s="6" t="s">
        <v>10</v>
      </c>
      <c r="D3" s="6" t="s">
        <v>2</v>
      </c>
      <c r="E3" s="8" t="s">
        <v>3</v>
      </c>
      <c r="F3" s="2"/>
      <c r="G3" s="14" t="s">
        <v>13</v>
      </c>
      <c r="H3" s="15"/>
    </row>
    <row r="4" spans="1:32" ht="15" thickBot="1" x14ac:dyDescent="0.25">
      <c r="B4" s="3" t="s">
        <v>4</v>
      </c>
      <c r="C4" s="34" t="s">
        <v>0</v>
      </c>
      <c r="D4" s="5">
        <v>398600.5</v>
      </c>
      <c r="E4" s="4" t="s">
        <v>179</v>
      </c>
      <c r="F4" s="2"/>
      <c r="G4" s="16" t="s">
        <v>14</v>
      </c>
      <c r="H4" s="17"/>
      <c r="AF4" s="128"/>
    </row>
    <row r="5" spans="1:32" ht="15.75" x14ac:dyDescent="0.3">
      <c r="B5" s="100" t="s">
        <v>5</v>
      </c>
      <c r="C5" s="101" t="s">
        <v>180</v>
      </c>
      <c r="D5" s="102">
        <v>6378</v>
      </c>
      <c r="E5" s="103" t="s">
        <v>1</v>
      </c>
      <c r="F5" s="2"/>
      <c r="G5" s="212" t="s">
        <v>15</v>
      </c>
      <c r="H5" s="212"/>
    </row>
    <row r="6" spans="1:32" ht="16.5" thickBot="1" x14ac:dyDescent="0.35">
      <c r="B6" s="9" t="s">
        <v>248</v>
      </c>
      <c r="C6" s="10" t="s">
        <v>249</v>
      </c>
      <c r="D6" s="141">
        <v>31557600</v>
      </c>
      <c r="E6" s="140" t="s">
        <v>250</v>
      </c>
      <c r="F6" s="2"/>
      <c r="G6" s="20" t="s">
        <v>16</v>
      </c>
      <c r="H6" s="21"/>
    </row>
    <row r="7" spans="1:32" ht="13.5" thickBot="1" x14ac:dyDescent="0.25">
      <c r="B7" s="173"/>
      <c r="C7" s="73"/>
      <c r="D7" s="2"/>
      <c r="E7" s="2"/>
      <c r="F7" s="2"/>
      <c r="G7" s="2"/>
      <c r="H7" s="2"/>
    </row>
    <row r="8" spans="1:32" ht="21" thickBot="1" x14ac:dyDescent="0.35">
      <c r="A8" s="175"/>
      <c r="B8" s="202" t="s">
        <v>238</v>
      </c>
      <c r="C8" s="203"/>
      <c r="D8" s="180"/>
      <c r="E8" s="180"/>
      <c r="F8" s="180"/>
      <c r="G8" s="180"/>
      <c r="H8" s="2"/>
      <c r="I8" s="104" t="s">
        <v>181</v>
      </c>
      <c r="J8" s="73"/>
      <c r="N8" s="184" t="s">
        <v>301</v>
      </c>
      <c r="O8" s="185"/>
      <c r="P8" s="173"/>
      <c r="Q8" s="174"/>
      <c r="S8" s="184" t="s">
        <v>365</v>
      </c>
      <c r="T8" s="185"/>
      <c r="U8" s="173"/>
      <c r="V8" s="174"/>
    </row>
    <row r="9" spans="1:32" ht="14.25" customHeight="1" x14ac:dyDescent="0.2">
      <c r="B9" s="49" t="s">
        <v>239</v>
      </c>
      <c r="C9" s="50" t="s">
        <v>240</v>
      </c>
      <c r="D9" s="50" t="s">
        <v>310</v>
      </c>
      <c r="E9" s="50" t="s">
        <v>316</v>
      </c>
      <c r="F9" s="246" t="s">
        <v>246</v>
      </c>
      <c r="G9" s="247"/>
      <c r="H9" s="2"/>
      <c r="I9" s="7" t="s">
        <v>18</v>
      </c>
      <c r="J9" s="6" t="s">
        <v>10</v>
      </c>
      <c r="K9" s="6" t="s">
        <v>2</v>
      </c>
      <c r="L9" s="8" t="s">
        <v>3</v>
      </c>
      <c r="N9" s="49" t="s">
        <v>304</v>
      </c>
      <c r="O9" s="50" t="s">
        <v>10</v>
      </c>
      <c r="P9" s="50" t="s">
        <v>18</v>
      </c>
      <c r="Q9" s="51" t="s">
        <v>3</v>
      </c>
      <c r="S9" s="49" t="s">
        <v>305</v>
      </c>
      <c r="T9" s="50" t="s">
        <v>303</v>
      </c>
      <c r="U9" s="50" t="s">
        <v>308</v>
      </c>
      <c r="V9" s="51" t="s">
        <v>178</v>
      </c>
    </row>
    <row r="10" spans="1:32" ht="14.25" customHeight="1" thickBot="1" x14ac:dyDescent="0.35">
      <c r="B10" s="137" t="s">
        <v>241</v>
      </c>
      <c r="C10" s="138" t="s">
        <v>211</v>
      </c>
      <c r="D10" s="138" t="s">
        <v>212</v>
      </c>
      <c r="E10" s="138" t="s">
        <v>213</v>
      </c>
      <c r="F10" s="138" t="s">
        <v>324</v>
      </c>
      <c r="G10" s="139" t="s">
        <v>251</v>
      </c>
      <c r="H10" s="2"/>
      <c r="I10" s="100" t="s">
        <v>182</v>
      </c>
      <c r="J10" s="101" t="s">
        <v>183</v>
      </c>
      <c r="K10" s="105">
        <v>500</v>
      </c>
      <c r="L10" s="103" t="s">
        <v>184</v>
      </c>
      <c r="N10" s="87" t="s">
        <v>309</v>
      </c>
      <c r="O10" s="72" t="s">
        <v>195</v>
      </c>
      <c r="P10" s="187">
        <v>1.05</v>
      </c>
      <c r="Q10" s="122" t="s">
        <v>273</v>
      </c>
      <c r="S10" s="188" t="s">
        <v>230</v>
      </c>
      <c r="T10" s="189" t="s">
        <v>230</v>
      </c>
      <c r="U10" s="189" t="s">
        <v>211</v>
      </c>
      <c r="V10" s="190" t="s">
        <v>0</v>
      </c>
    </row>
    <row r="11" spans="1:32" ht="14.25" customHeight="1" x14ac:dyDescent="0.3">
      <c r="B11" s="87" t="s">
        <v>327</v>
      </c>
      <c r="C11" s="67">
        <v>80</v>
      </c>
      <c r="D11" s="142">
        <v>16</v>
      </c>
      <c r="E11" s="164">
        <f>D11*C11</f>
        <v>1280</v>
      </c>
      <c r="F11" s="201">
        <f t="shared" ref="F11:F18" si="0">IF(C11=0,"-",$K$17*60*C11)</f>
        <v>454144.64018329268</v>
      </c>
      <c r="G11" s="143">
        <f t="shared" ref="G11:G28" si="1">IF(C11=0,"-",$K$18/C11)</f>
        <v>9.5158556809873021E-2</v>
      </c>
      <c r="H11" s="2"/>
      <c r="I11" s="106" t="s">
        <v>185</v>
      </c>
      <c r="J11" s="27" t="s">
        <v>186</v>
      </c>
      <c r="K11" s="107">
        <v>500</v>
      </c>
      <c r="L11" s="108" t="s">
        <v>1</v>
      </c>
      <c r="N11" s="87" t="s">
        <v>298</v>
      </c>
      <c r="O11" s="72" t="s">
        <v>297</v>
      </c>
      <c r="P11" s="131">
        <v>2.4799999999999999E-2</v>
      </c>
      <c r="Q11" s="122" t="s">
        <v>273</v>
      </c>
      <c r="S11" s="193">
        <v>1.2</v>
      </c>
      <c r="T11" s="194">
        <f t="shared" ref="T11:T17" si="2">$P$11*S11/$P$10 * (1-$P$12)</f>
        <v>2.6925714285714279E-2</v>
      </c>
      <c r="U11" s="194">
        <f t="shared" ref="U11:U17" si="3">T11*1000/$P$14</f>
        <v>1.6828571428571424</v>
      </c>
      <c r="V11" s="195">
        <f t="shared" ref="V11:V17" si="4">$P$13*1000/U11</f>
        <v>4456.7062818336171</v>
      </c>
    </row>
    <row r="12" spans="1:32" ht="14.25" customHeight="1" x14ac:dyDescent="0.2">
      <c r="B12" s="87" t="s">
        <v>328</v>
      </c>
      <c r="C12" s="67">
        <f t="shared" ref="C12:C17" si="5">C11</f>
        <v>80</v>
      </c>
      <c r="D12" s="142">
        <v>16</v>
      </c>
      <c r="E12" s="164">
        <f t="shared" ref="E12:E28" si="6">D12*C12</f>
        <v>1280</v>
      </c>
      <c r="F12" s="201">
        <f t="shared" si="0"/>
        <v>454144.64018329268</v>
      </c>
      <c r="G12" s="143">
        <f t="shared" si="1"/>
        <v>9.5158556809873021E-2</v>
      </c>
      <c r="H12" s="2"/>
      <c r="I12" s="106" t="s">
        <v>187</v>
      </c>
      <c r="J12" s="27" t="s">
        <v>188</v>
      </c>
      <c r="K12" s="107">
        <v>45</v>
      </c>
      <c r="L12" s="108" t="s">
        <v>189</v>
      </c>
      <c r="N12" s="87" t="s">
        <v>302</v>
      </c>
      <c r="O12" s="35"/>
      <c r="P12" s="191">
        <v>0.05</v>
      </c>
      <c r="Q12" s="122" t="s">
        <v>273</v>
      </c>
      <c r="S12" s="193">
        <v>9.6</v>
      </c>
      <c r="T12" s="194">
        <f t="shared" si="2"/>
        <v>0.21540571428571423</v>
      </c>
      <c r="U12" s="194">
        <f t="shared" si="3"/>
        <v>13.462857142857139</v>
      </c>
      <c r="V12" s="195">
        <f t="shared" si="4"/>
        <v>557.08828522920214</v>
      </c>
    </row>
    <row r="13" spans="1:32" ht="14.25" customHeight="1" x14ac:dyDescent="0.3">
      <c r="B13" s="87" t="s">
        <v>329</v>
      </c>
      <c r="C13" s="67">
        <f t="shared" si="5"/>
        <v>80</v>
      </c>
      <c r="D13" s="142">
        <v>16</v>
      </c>
      <c r="E13" s="164">
        <f>D13*C13</f>
        <v>1280</v>
      </c>
      <c r="F13" s="201">
        <f>IF(C13=0,"-",$K$17*60*C13)</f>
        <v>454144.64018329268</v>
      </c>
      <c r="G13" s="143">
        <f>IF(C13=0,"-",$K$18/C13)</f>
        <v>9.5158556809873021E-2</v>
      </c>
      <c r="H13" s="2"/>
      <c r="I13" s="106" t="s">
        <v>190</v>
      </c>
      <c r="J13" s="27" t="s">
        <v>191</v>
      </c>
      <c r="K13" s="109">
        <f>D5+K10</f>
        <v>6878</v>
      </c>
      <c r="L13" s="108" t="s">
        <v>1</v>
      </c>
      <c r="N13" s="87" t="s">
        <v>366</v>
      </c>
      <c r="O13" s="35"/>
      <c r="P13" s="187">
        <v>7.5</v>
      </c>
      <c r="Q13" s="122" t="s">
        <v>202</v>
      </c>
      <c r="S13" s="193">
        <v>115.2</v>
      </c>
      <c r="T13" s="194">
        <f t="shared" si="2"/>
        <v>2.5848685714285713</v>
      </c>
      <c r="U13" s="194">
        <f t="shared" si="3"/>
        <v>161.5542857142857</v>
      </c>
      <c r="V13" s="195">
        <f t="shared" si="4"/>
        <v>46.424023769100174</v>
      </c>
    </row>
    <row r="14" spans="1:32" ht="14.25" customHeight="1" thickBot="1" x14ac:dyDescent="0.35">
      <c r="B14" s="87" t="s">
        <v>330</v>
      </c>
      <c r="C14" s="67">
        <f t="shared" si="5"/>
        <v>80</v>
      </c>
      <c r="D14" s="142">
        <v>16</v>
      </c>
      <c r="E14" s="164">
        <f>D14*C14</f>
        <v>1280</v>
      </c>
      <c r="F14" s="201">
        <f>IF(C14=0,"-",$K$17*60*C14)</f>
        <v>454144.64018329268</v>
      </c>
      <c r="G14" s="143">
        <f>IF(C14=0,"-",$K$18/C14)</f>
        <v>9.5158556809873021E-2</v>
      </c>
      <c r="H14" s="2"/>
      <c r="I14" s="106" t="s">
        <v>192</v>
      </c>
      <c r="J14" s="27" t="s">
        <v>193</v>
      </c>
      <c r="K14" s="109">
        <f>D5+K11</f>
        <v>6878</v>
      </c>
      <c r="L14" s="108" t="s">
        <v>1</v>
      </c>
      <c r="N14" s="92" t="s">
        <v>310</v>
      </c>
      <c r="O14" s="48"/>
      <c r="P14" s="192">
        <v>16</v>
      </c>
      <c r="Q14" s="140" t="s">
        <v>212</v>
      </c>
      <c r="S14" s="193">
        <v>256</v>
      </c>
      <c r="T14" s="194">
        <f t="shared" si="2"/>
        <v>5.7441523809523796</v>
      </c>
      <c r="U14" s="194">
        <f t="shared" si="3"/>
        <v>359.00952380952373</v>
      </c>
      <c r="V14" s="195">
        <f t="shared" si="4"/>
        <v>20.89081069609508</v>
      </c>
    </row>
    <row r="15" spans="1:32" ht="14.25" customHeight="1" x14ac:dyDescent="0.2">
      <c r="B15" s="87" t="s">
        <v>242</v>
      </c>
      <c r="C15" s="67">
        <f t="shared" si="5"/>
        <v>80</v>
      </c>
      <c r="D15" s="142">
        <v>18</v>
      </c>
      <c r="E15" s="164">
        <f t="shared" si="6"/>
        <v>1440</v>
      </c>
      <c r="F15" s="201">
        <f t="shared" si="0"/>
        <v>454144.64018329268</v>
      </c>
      <c r="G15" s="143">
        <f t="shared" si="1"/>
        <v>9.5158556809873021E-2</v>
      </c>
      <c r="H15" s="2"/>
      <c r="I15" s="110" t="s">
        <v>194</v>
      </c>
      <c r="J15" s="111" t="s">
        <v>195</v>
      </c>
      <c r="K15" s="112">
        <f>(K13+K14)/2</f>
        <v>6878</v>
      </c>
      <c r="L15" s="113" t="s">
        <v>1</v>
      </c>
      <c r="R15" s="128"/>
      <c r="S15" s="193">
        <v>1000</v>
      </c>
      <c r="T15" s="194">
        <f t="shared" si="2"/>
        <v>22.43809523809524</v>
      </c>
      <c r="U15" s="194">
        <f t="shared" si="3"/>
        <v>1402.3809523809525</v>
      </c>
      <c r="V15" s="195">
        <f t="shared" si="4"/>
        <v>5.3480475382003387</v>
      </c>
    </row>
    <row r="16" spans="1:32" ht="14.25" customHeight="1" x14ac:dyDescent="0.2">
      <c r="B16" s="87" t="s">
        <v>243</v>
      </c>
      <c r="C16" s="67">
        <f t="shared" si="5"/>
        <v>80</v>
      </c>
      <c r="D16" s="142">
        <v>18</v>
      </c>
      <c r="E16" s="164">
        <f t="shared" si="6"/>
        <v>1440</v>
      </c>
      <c r="F16" s="201">
        <f t="shared" si="0"/>
        <v>454144.64018329268</v>
      </c>
      <c r="G16" s="143">
        <f t="shared" si="1"/>
        <v>9.5158556809873021E-2</v>
      </c>
      <c r="H16" s="2"/>
      <c r="I16" s="110" t="s">
        <v>196</v>
      </c>
      <c r="J16" s="111" t="s">
        <v>109</v>
      </c>
      <c r="K16" s="114">
        <f>(K14-K13)/(K14+K13)</f>
        <v>0</v>
      </c>
      <c r="L16" s="113"/>
      <c r="S16" s="193">
        <v>2000</v>
      </c>
      <c r="T16" s="194">
        <f t="shared" si="2"/>
        <v>44.87619047619048</v>
      </c>
      <c r="U16" s="194">
        <f t="shared" si="3"/>
        <v>2804.761904761905</v>
      </c>
      <c r="V16" s="195">
        <f t="shared" si="4"/>
        <v>2.6740237691001694</v>
      </c>
    </row>
    <row r="17" spans="2:22" ht="14.25" customHeight="1" thickBot="1" x14ac:dyDescent="0.35">
      <c r="B17" s="87" t="s">
        <v>244</v>
      </c>
      <c r="C17" s="67">
        <f t="shared" si="5"/>
        <v>80</v>
      </c>
      <c r="D17" s="142">
        <v>18</v>
      </c>
      <c r="E17" s="164">
        <f t="shared" si="6"/>
        <v>1440</v>
      </c>
      <c r="F17" s="201">
        <f t="shared" si="0"/>
        <v>454144.64018329268</v>
      </c>
      <c r="G17" s="143">
        <f t="shared" si="1"/>
        <v>9.5158556809873021E-2</v>
      </c>
      <c r="I17" s="110" t="s">
        <v>197</v>
      </c>
      <c r="J17" s="115" t="s">
        <v>198</v>
      </c>
      <c r="K17" s="116">
        <f>2*PI()*SQRT(K15^3/D4)/60</f>
        <v>94.613466704852641</v>
      </c>
      <c r="L17" s="113" t="s">
        <v>199</v>
      </c>
      <c r="S17" s="196">
        <v>10000</v>
      </c>
      <c r="T17" s="197">
        <f t="shared" si="2"/>
        <v>224.38095238095235</v>
      </c>
      <c r="U17" s="197">
        <f t="shared" si="3"/>
        <v>14023.809523809521</v>
      </c>
      <c r="V17" s="198">
        <f t="shared" si="4"/>
        <v>0.53480475382003401</v>
      </c>
    </row>
    <row r="18" spans="2:22" ht="14.25" customHeight="1" x14ac:dyDescent="0.3">
      <c r="B18" s="87" t="s">
        <v>245</v>
      </c>
      <c r="C18" s="67">
        <f>60/($K$17*60)</f>
        <v>1.056931993750432E-2</v>
      </c>
      <c r="D18" s="67">
        <f>512*8</f>
        <v>4096</v>
      </c>
      <c r="E18" s="69">
        <f t="shared" si="6"/>
        <v>43.291934464017693</v>
      </c>
      <c r="F18" s="201">
        <f t="shared" si="0"/>
        <v>60.000000000000007</v>
      </c>
      <c r="G18" s="143">
        <f t="shared" si="1"/>
        <v>720.26247571301985</v>
      </c>
      <c r="I18" s="106" t="s">
        <v>200</v>
      </c>
      <c r="J18" s="27" t="s">
        <v>201</v>
      </c>
      <c r="K18" s="117">
        <f>SQRT(D4*((2/K13)-(1/K15)))</f>
        <v>7.6126845447898415</v>
      </c>
      <c r="L18" s="108" t="s">
        <v>202</v>
      </c>
    </row>
    <row r="19" spans="2:22" ht="14.25" customHeight="1" x14ac:dyDescent="0.3">
      <c r="B19" s="87" t="s">
        <v>247</v>
      </c>
      <c r="C19" s="68">
        <v>1</v>
      </c>
      <c r="D19" s="67">
        <f>16</f>
        <v>16</v>
      </c>
      <c r="E19" s="69">
        <f t="shared" si="6"/>
        <v>16</v>
      </c>
      <c r="F19" s="201">
        <f t="shared" ref="F19:F28" si="7">IF(C19=0,"-",$K$17*60/C19)</f>
        <v>5676.8080022911581</v>
      </c>
      <c r="G19" s="143">
        <f t="shared" si="1"/>
        <v>7.6126845447898415</v>
      </c>
      <c r="I19" s="106" t="s">
        <v>203</v>
      </c>
      <c r="J19" s="27" t="s">
        <v>204</v>
      </c>
      <c r="K19" s="117">
        <f>SQRT(D4*((2/K14)-(1/K15)))</f>
        <v>7.6126845447898415</v>
      </c>
      <c r="L19" s="108" t="s">
        <v>202</v>
      </c>
    </row>
    <row r="20" spans="2:22" ht="14.25" customHeight="1" x14ac:dyDescent="0.2">
      <c r="B20" s="87" t="s">
        <v>252</v>
      </c>
      <c r="C20" s="68">
        <v>1</v>
      </c>
      <c r="D20" s="67">
        <v>48</v>
      </c>
      <c r="E20" s="69">
        <f t="shared" si="6"/>
        <v>48</v>
      </c>
      <c r="F20" s="201">
        <f t="shared" si="7"/>
        <v>5676.8080022911581</v>
      </c>
      <c r="G20" s="143">
        <f t="shared" si="1"/>
        <v>7.6126845447898415</v>
      </c>
      <c r="I20" s="106" t="s">
        <v>205</v>
      </c>
      <c r="J20" s="27" t="s">
        <v>206</v>
      </c>
      <c r="K20" s="117">
        <f>K15*(1-K16^2)</f>
        <v>6878</v>
      </c>
      <c r="L20" s="108" t="s">
        <v>1</v>
      </c>
    </row>
    <row r="21" spans="2:22" ht="14.25" customHeight="1" x14ac:dyDescent="0.2">
      <c r="B21" s="87" t="s">
        <v>253</v>
      </c>
      <c r="C21" s="68">
        <v>0.1</v>
      </c>
      <c r="D21" s="67">
        <f>16*3</f>
        <v>48</v>
      </c>
      <c r="E21" s="69">
        <f t="shared" si="6"/>
        <v>4.8000000000000007</v>
      </c>
      <c r="F21" s="201">
        <f t="shared" si="7"/>
        <v>56768.080022911578</v>
      </c>
      <c r="G21" s="143">
        <f t="shared" si="1"/>
        <v>76.126845447898404</v>
      </c>
      <c r="I21" s="106" t="s">
        <v>207</v>
      </c>
      <c r="J21" s="27" t="s">
        <v>208</v>
      </c>
      <c r="K21" s="117">
        <f>(60*60*24)*SQRT(D4/K15^3)</f>
        <v>95.628953863018651</v>
      </c>
      <c r="L21" s="108" t="s">
        <v>209</v>
      </c>
    </row>
    <row r="22" spans="2:22" ht="14.25" customHeight="1" thickBot="1" x14ac:dyDescent="0.25">
      <c r="B22" s="87" t="s">
        <v>254</v>
      </c>
      <c r="C22" s="211">
        <v>3.3333333333333333E-2</v>
      </c>
      <c r="D22" s="67">
        <v>8</v>
      </c>
      <c r="E22" s="69">
        <f t="shared" si="6"/>
        <v>0.26666666666666666</v>
      </c>
      <c r="F22" s="201">
        <f t="shared" si="7"/>
        <v>170304.24006873474</v>
      </c>
      <c r="G22" s="143">
        <f t="shared" si="1"/>
        <v>228.38053634369524</v>
      </c>
      <c r="I22" s="118" t="s">
        <v>207</v>
      </c>
      <c r="J22" s="119" t="s">
        <v>208</v>
      </c>
      <c r="K22" s="120">
        <f>K21/(2*PI())</f>
        <v>15.219820710006219</v>
      </c>
      <c r="L22" s="121" t="s">
        <v>210</v>
      </c>
    </row>
    <row r="23" spans="2:22" x14ac:dyDescent="0.2">
      <c r="B23" s="87" t="s">
        <v>255</v>
      </c>
      <c r="C23" s="68">
        <f>C22</f>
        <v>3.3333333333333333E-2</v>
      </c>
      <c r="D23" s="67">
        <v>8</v>
      </c>
      <c r="E23" s="69">
        <f t="shared" si="6"/>
        <v>0.26666666666666666</v>
      </c>
      <c r="F23" s="201">
        <f t="shared" si="7"/>
        <v>170304.24006873474</v>
      </c>
      <c r="G23" s="143">
        <f t="shared" si="1"/>
        <v>228.38053634369524</v>
      </c>
    </row>
    <row r="24" spans="2:22" x14ac:dyDescent="0.2">
      <c r="B24" s="87" t="s">
        <v>256</v>
      </c>
      <c r="C24" s="68">
        <f>C23</f>
        <v>3.3333333333333333E-2</v>
      </c>
      <c r="D24" s="67">
        <v>8</v>
      </c>
      <c r="E24" s="69">
        <f t="shared" si="6"/>
        <v>0.26666666666666666</v>
      </c>
      <c r="F24" s="201">
        <f t="shared" si="7"/>
        <v>170304.24006873474</v>
      </c>
      <c r="G24" s="143">
        <f t="shared" si="1"/>
        <v>228.38053634369524</v>
      </c>
    </row>
    <row r="25" spans="2:22" ht="14.25" customHeight="1" x14ac:dyDescent="0.2">
      <c r="B25" s="87" t="s">
        <v>257</v>
      </c>
      <c r="C25" s="68">
        <f>C24</f>
        <v>3.3333333333333333E-2</v>
      </c>
      <c r="D25" s="67">
        <v>8</v>
      </c>
      <c r="E25" s="69">
        <f t="shared" si="6"/>
        <v>0.26666666666666666</v>
      </c>
      <c r="F25" s="201">
        <f t="shared" si="7"/>
        <v>170304.24006873474</v>
      </c>
      <c r="G25" s="143">
        <f t="shared" si="1"/>
        <v>228.38053634369524</v>
      </c>
    </row>
    <row r="26" spans="2:22" ht="14.25" customHeight="1" x14ac:dyDescent="0.2">
      <c r="B26" s="87" t="s">
        <v>331</v>
      </c>
      <c r="C26" s="68">
        <f>C25</f>
        <v>3.3333333333333333E-2</v>
      </c>
      <c r="D26" s="67">
        <v>8</v>
      </c>
      <c r="E26" s="69">
        <f>D26*C26</f>
        <v>0.26666666666666666</v>
      </c>
      <c r="F26" s="201">
        <f>IF(C26=0,"-",$K$17*60/C26)</f>
        <v>170304.24006873474</v>
      </c>
      <c r="G26" s="143">
        <f>IF(C26=0,"-",$K$18/C26)</f>
        <v>228.38053634369524</v>
      </c>
    </row>
    <row r="27" spans="2:22" ht="14.25" customHeight="1" x14ac:dyDescent="0.2">
      <c r="B27" s="87" t="s">
        <v>332</v>
      </c>
      <c r="C27" s="68">
        <v>1</v>
      </c>
      <c r="D27" s="67">
        <v>48</v>
      </c>
      <c r="E27" s="69">
        <f>D27*C27</f>
        <v>48</v>
      </c>
      <c r="F27" s="201">
        <f>IF(C27=0,"-",$K$17*60/C27)</f>
        <v>5676.8080022911581</v>
      </c>
      <c r="G27" s="143">
        <f>IF(C27=0,"-",$K$18/C27)</f>
        <v>7.6126845447898415</v>
      </c>
    </row>
    <row r="28" spans="2:22" ht="14.25" customHeight="1" x14ac:dyDescent="0.2">
      <c r="B28" s="87" t="s">
        <v>258</v>
      </c>
      <c r="C28" s="68">
        <v>1</v>
      </c>
      <c r="D28" s="67">
        <f>16*8</f>
        <v>128</v>
      </c>
      <c r="E28" s="69">
        <f t="shared" si="6"/>
        <v>128</v>
      </c>
      <c r="F28" s="201">
        <f t="shared" si="7"/>
        <v>5676.8080022911581</v>
      </c>
      <c r="G28" s="143">
        <f t="shared" si="1"/>
        <v>7.6126845447898415</v>
      </c>
    </row>
    <row r="29" spans="2:22" ht="15.6" customHeight="1" thickBot="1" x14ac:dyDescent="0.25">
      <c r="B29" s="87" t="s">
        <v>373</v>
      </c>
      <c r="C29" s="68"/>
      <c r="D29" s="67"/>
      <c r="E29" s="69">
        <v>269.61</v>
      </c>
      <c r="F29" s="201" t="str">
        <f>IF(C29=0,"-",$K$17*60/C29)</f>
        <v>-</v>
      </c>
      <c r="G29" s="143" t="str">
        <f>IF(C29=0,"-",$K$18/C29)</f>
        <v>-</v>
      </c>
    </row>
    <row r="30" spans="2:22" ht="13.9" customHeight="1" thickBot="1" x14ac:dyDescent="0.25">
      <c r="B30" s="144" t="s">
        <v>317</v>
      </c>
      <c r="C30" s="145"/>
      <c r="D30" s="145" t="s">
        <v>232</v>
      </c>
      <c r="E30" s="200">
        <f>SUM(E11:E29)</f>
        <v>9999.0352677973497</v>
      </c>
      <c r="F30" s="145" t="s">
        <v>213</v>
      </c>
      <c r="G30" s="146"/>
    </row>
    <row r="31" spans="2:22" ht="24.6" customHeight="1" x14ac:dyDescent="0.2">
      <c r="E31" s="182"/>
    </row>
    <row r="32" spans="2:22" ht="19.149999999999999" customHeight="1" thickBot="1" x14ac:dyDescent="0.35">
      <c r="B32" s="204" t="s">
        <v>300</v>
      </c>
      <c r="C32" s="43"/>
      <c r="D32" s="175"/>
      <c r="E32" s="175"/>
    </row>
    <row r="33" spans="2:8" ht="14.45" customHeight="1" x14ac:dyDescent="0.2">
      <c r="B33" s="49" t="s">
        <v>28</v>
      </c>
      <c r="C33" s="50" t="s">
        <v>10</v>
      </c>
      <c r="D33" s="50" t="s">
        <v>18</v>
      </c>
      <c r="E33" s="51" t="s">
        <v>3</v>
      </c>
    </row>
    <row r="34" spans="2:8" ht="14.45" customHeight="1" x14ac:dyDescent="0.3">
      <c r="B34" s="87" t="s">
        <v>317</v>
      </c>
      <c r="C34" s="35" t="s">
        <v>319</v>
      </c>
      <c r="D34" s="76">
        <f>E30</f>
        <v>9999.0352677973497</v>
      </c>
      <c r="E34" s="122" t="s">
        <v>213</v>
      </c>
    </row>
    <row r="35" spans="2:8" ht="14.45" customHeight="1" x14ac:dyDescent="0.3">
      <c r="B35" s="87" t="s">
        <v>320</v>
      </c>
      <c r="C35" s="35" t="s">
        <v>318</v>
      </c>
      <c r="D35" s="207">
        <v>2000000</v>
      </c>
      <c r="E35" s="122" t="s">
        <v>213</v>
      </c>
    </row>
    <row r="36" spans="2:8" ht="14.45" customHeight="1" x14ac:dyDescent="0.2">
      <c r="B36" s="87" t="s">
        <v>321</v>
      </c>
      <c r="C36" s="72"/>
      <c r="D36" s="205">
        <v>0.05</v>
      </c>
      <c r="E36" s="122" t="s">
        <v>273</v>
      </c>
    </row>
    <row r="37" spans="2:8" ht="14.45" customHeight="1" x14ac:dyDescent="0.2">
      <c r="B37" s="87" t="s">
        <v>322</v>
      </c>
      <c r="C37" s="72"/>
      <c r="D37" s="165">
        <f>(1-D36)*D35</f>
        <v>1900000</v>
      </c>
      <c r="E37" s="122" t="s">
        <v>265</v>
      </c>
    </row>
    <row r="38" spans="2:8" ht="14.45" customHeight="1" x14ac:dyDescent="0.2">
      <c r="B38" s="87" t="s">
        <v>309</v>
      </c>
      <c r="C38" s="72" t="s">
        <v>195</v>
      </c>
      <c r="D38" s="67">
        <v>1.05</v>
      </c>
      <c r="E38" s="122" t="s">
        <v>273</v>
      </c>
    </row>
    <row r="39" spans="2:8" ht="14.45" customHeight="1" x14ac:dyDescent="0.3">
      <c r="B39" s="87" t="s">
        <v>298</v>
      </c>
      <c r="C39" s="35" t="s">
        <v>323</v>
      </c>
      <c r="D39" s="131">
        <v>2.7E-2</v>
      </c>
      <c r="E39" s="122" t="s">
        <v>273</v>
      </c>
    </row>
    <row r="40" spans="2:8" ht="14.45" customHeight="1" x14ac:dyDescent="0.3">
      <c r="B40" s="87" t="s">
        <v>229</v>
      </c>
      <c r="C40" s="35" t="s">
        <v>263</v>
      </c>
      <c r="D40" s="164">
        <f>(D34*D38/D39)</f>
        <v>388851.37152545253</v>
      </c>
      <c r="E40" s="122" t="s">
        <v>213</v>
      </c>
    </row>
    <row r="41" spans="2:8" ht="13.5" thickBot="1" x14ac:dyDescent="0.25">
      <c r="B41" s="92" t="s">
        <v>266</v>
      </c>
      <c r="C41" s="10"/>
      <c r="D41" s="166">
        <f>(D37-D40)/D37</f>
        <v>0.79534138340765659</v>
      </c>
      <c r="E41" s="140" t="s">
        <v>273</v>
      </c>
    </row>
    <row r="43" spans="2:8" ht="21" thickBot="1" x14ac:dyDescent="0.35">
      <c r="B43" s="202" t="s">
        <v>325</v>
      </c>
      <c r="C43" s="43"/>
      <c r="D43" s="175"/>
    </row>
    <row r="44" spans="2:8" x14ac:dyDescent="0.2">
      <c r="B44" s="168" t="s">
        <v>272</v>
      </c>
      <c r="C44" s="169"/>
      <c r="D44" s="170">
        <f>(24*60*60*D34)/(8*1024*1024) *D38</f>
        <v>108.13623422319598</v>
      </c>
      <c r="E44" s="171" t="s">
        <v>262</v>
      </c>
    </row>
    <row r="45" spans="2:8" x14ac:dyDescent="0.2">
      <c r="B45" s="87" t="s">
        <v>277</v>
      </c>
      <c r="C45" s="35"/>
      <c r="D45" s="167">
        <f>(24*60*60*D34)/(8*1024*1024)</f>
        <v>102.98688973637712</v>
      </c>
      <c r="E45" s="122" t="s">
        <v>262</v>
      </c>
      <c r="H45" s="175"/>
    </row>
    <row r="46" spans="2:8" x14ac:dyDescent="0.2">
      <c r="B46" s="87" t="s">
        <v>274</v>
      </c>
      <c r="C46" s="35"/>
      <c r="D46" s="167">
        <f>24*60*60*D39</f>
        <v>2332.8000000000002</v>
      </c>
      <c r="E46" s="122" t="s">
        <v>250</v>
      </c>
    </row>
    <row r="47" spans="2:8" x14ac:dyDescent="0.2">
      <c r="B47" s="87" t="s">
        <v>275</v>
      </c>
      <c r="C47" s="35"/>
      <c r="D47" s="67">
        <v>5.65</v>
      </c>
      <c r="E47" s="122"/>
    </row>
    <row r="48" spans="2:8" x14ac:dyDescent="0.2">
      <c r="B48" s="87" t="s">
        <v>276</v>
      </c>
      <c r="C48" s="35"/>
      <c r="D48" s="167">
        <f>D46/D47</f>
        <v>412.88495575221242</v>
      </c>
      <c r="E48" s="122" t="s">
        <v>250</v>
      </c>
      <c r="F48" s="175"/>
    </row>
    <row r="49" spans="1:8" x14ac:dyDescent="0.2">
      <c r="B49" s="87" t="s">
        <v>276</v>
      </c>
      <c r="C49" s="35"/>
      <c r="D49" s="167">
        <f>D48/60</f>
        <v>6.8814159292035404</v>
      </c>
      <c r="E49" s="122" t="s">
        <v>199</v>
      </c>
      <c r="F49" s="175"/>
    </row>
    <row r="50" spans="1:8" ht="13.5" thickBot="1" x14ac:dyDescent="0.25">
      <c r="B50" s="92" t="s">
        <v>313</v>
      </c>
      <c r="C50" s="10"/>
      <c r="D50" s="172">
        <f>D48*D40/(8*1024*1024)</f>
        <v>19.139156499680709</v>
      </c>
      <c r="E50" s="140" t="s">
        <v>262</v>
      </c>
      <c r="F50" s="175"/>
    </row>
    <row r="51" spans="1:8" x14ac:dyDescent="0.2">
      <c r="F51" s="175"/>
    </row>
    <row r="52" spans="1:8" ht="21" thickBot="1" x14ac:dyDescent="0.35">
      <c r="B52" s="202" t="s">
        <v>314</v>
      </c>
      <c r="C52" s="43"/>
      <c r="D52" s="175"/>
      <c r="E52" s="175"/>
      <c r="F52" s="175"/>
    </row>
    <row r="53" spans="1:8" x14ac:dyDescent="0.2">
      <c r="B53" s="49" t="s">
        <v>28</v>
      </c>
      <c r="C53" s="50" t="s">
        <v>10</v>
      </c>
      <c r="D53" s="50" t="s">
        <v>18</v>
      </c>
      <c r="E53" s="51" t="s">
        <v>3</v>
      </c>
      <c r="F53" s="175"/>
    </row>
    <row r="54" spans="1:8" ht="15.75" x14ac:dyDescent="0.3">
      <c r="B54" s="87" t="s">
        <v>226</v>
      </c>
      <c r="C54" s="35" t="s">
        <v>264</v>
      </c>
      <c r="D54" s="69">
        <f>E30</f>
        <v>9999.0352677973497</v>
      </c>
      <c r="E54" s="122" t="s">
        <v>213</v>
      </c>
      <c r="F54" s="175"/>
      <c r="G54" s="175"/>
    </row>
    <row r="55" spans="1:8" x14ac:dyDescent="0.2">
      <c r="B55" s="87" t="s">
        <v>309</v>
      </c>
      <c r="C55" s="72" t="s">
        <v>195</v>
      </c>
      <c r="D55" s="67">
        <v>2</v>
      </c>
      <c r="E55" s="122"/>
      <c r="F55" s="175"/>
      <c r="G55" s="175"/>
      <c r="H55" s="175"/>
    </row>
    <row r="56" spans="1:8" ht="15.75" x14ac:dyDescent="0.3">
      <c r="A56" s="175"/>
      <c r="B56" s="87" t="s">
        <v>260</v>
      </c>
      <c r="C56" s="35" t="s">
        <v>323</v>
      </c>
      <c r="D56" s="176">
        <v>60746</v>
      </c>
      <c r="E56" s="122" t="s">
        <v>250</v>
      </c>
      <c r="F56" s="175"/>
      <c r="G56" s="175"/>
      <c r="H56" s="175"/>
    </row>
    <row r="57" spans="1:8" x14ac:dyDescent="0.2">
      <c r="B57" s="87" t="s">
        <v>314</v>
      </c>
      <c r="C57" s="35"/>
      <c r="D57" s="208">
        <f>D56*D55*D54</f>
        <v>1214802792.7552357</v>
      </c>
      <c r="E57" s="122" t="s">
        <v>261</v>
      </c>
      <c r="F57" s="175"/>
      <c r="G57" s="175"/>
      <c r="H57" s="175"/>
    </row>
    <row r="58" spans="1:8" x14ac:dyDescent="0.2">
      <c r="B58" s="87" t="s">
        <v>314</v>
      </c>
      <c r="C58" s="35"/>
      <c r="D58" s="178">
        <f>D57/(8*1024*1024)</f>
        <v>144.8157778686566</v>
      </c>
      <c r="E58" s="122" t="s">
        <v>262</v>
      </c>
      <c r="F58" s="175"/>
      <c r="G58" s="175"/>
      <c r="H58" s="175"/>
    </row>
    <row r="59" spans="1:8" ht="13.5" thickBot="1" x14ac:dyDescent="0.25">
      <c r="B59" s="92" t="s">
        <v>314</v>
      </c>
      <c r="C59" s="48"/>
      <c r="D59" s="71">
        <f>8*D58</f>
        <v>1158.5262229492528</v>
      </c>
      <c r="E59" s="11" t="s">
        <v>278</v>
      </c>
      <c r="F59" s="175"/>
      <c r="G59" s="175"/>
      <c r="H59" s="175"/>
    </row>
    <row r="60" spans="1:8" x14ac:dyDescent="0.2">
      <c r="B60" s="173"/>
      <c r="C60" s="175"/>
      <c r="D60" s="175"/>
      <c r="E60" s="175"/>
      <c r="F60" s="175"/>
      <c r="G60" s="175"/>
      <c r="H60" s="175"/>
    </row>
    <row r="61" spans="1:8" ht="21" thickBot="1" x14ac:dyDescent="0.35">
      <c r="B61" s="202" t="s">
        <v>267</v>
      </c>
      <c r="C61" s="43"/>
      <c r="D61" s="175"/>
      <c r="E61" s="175"/>
      <c r="F61" s="175"/>
      <c r="G61" s="175"/>
      <c r="H61" s="175"/>
    </row>
    <row r="62" spans="1:8" x14ac:dyDescent="0.2">
      <c r="B62" s="49" t="s">
        <v>28</v>
      </c>
      <c r="C62" s="50" t="s">
        <v>10</v>
      </c>
      <c r="D62" s="50" t="s">
        <v>18</v>
      </c>
      <c r="E62" s="51" t="s">
        <v>3</v>
      </c>
      <c r="F62" s="175"/>
      <c r="G62" s="175"/>
      <c r="H62" s="175"/>
    </row>
    <row r="63" spans="1:8" x14ac:dyDescent="0.2">
      <c r="B63" s="87" t="s">
        <v>269</v>
      </c>
      <c r="C63" s="35"/>
      <c r="D63" s="142">
        <v>1</v>
      </c>
      <c r="E63" s="122" t="s">
        <v>33</v>
      </c>
      <c r="F63" s="175"/>
      <c r="G63" s="175"/>
      <c r="H63" s="175"/>
    </row>
    <row r="64" spans="1:8" x14ac:dyDescent="0.2">
      <c r="A64" s="175"/>
      <c r="B64" s="87" t="s">
        <v>315</v>
      </c>
      <c r="C64" s="72"/>
      <c r="D64" s="179">
        <v>0.25</v>
      </c>
      <c r="E64" s="122"/>
      <c r="F64" s="175"/>
      <c r="G64" s="175"/>
      <c r="H64" s="175"/>
    </row>
    <row r="65" spans="1:8" x14ac:dyDescent="0.2">
      <c r="A65" s="175"/>
      <c r="B65" s="87" t="s">
        <v>32</v>
      </c>
      <c r="C65" s="35"/>
      <c r="D65" s="178">
        <f>D63/D64</f>
        <v>4</v>
      </c>
      <c r="E65" s="122" t="s">
        <v>33</v>
      </c>
      <c r="F65" s="175"/>
      <c r="G65" s="175"/>
      <c r="H65" s="175"/>
    </row>
    <row r="66" spans="1:8" x14ac:dyDescent="0.2">
      <c r="B66" s="87" t="s">
        <v>268</v>
      </c>
      <c r="C66" s="35"/>
      <c r="D66" s="178">
        <f>D39*K17*60</f>
        <v>153.27381606186128</v>
      </c>
      <c r="E66" s="122" t="s">
        <v>44</v>
      </c>
      <c r="F66" s="175"/>
      <c r="G66" s="175"/>
      <c r="H66" s="175"/>
    </row>
    <row r="67" spans="1:8" x14ac:dyDescent="0.2">
      <c r="B67" s="87" t="s">
        <v>270</v>
      </c>
      <c r="C67" s="35"/>
      <c r="D67" s="178">
        <f>D65*D39*1000</f>
        <v>108</v>
      </c>
      <c r="E67" s="122" t="s">
        <v>271</v>
      </c>
      <c r="F67" s="175"/>
      <c r="G67" s="175"/>
      <c r="H67" s="175"/>
    </row>
    <row r="68" spans="1:8" ht="13.5" thickBot="1" x14ac:dyDescent="0.25">
      <c r="B68" s="9"/>
      <c r="C68" s="48"/>
      <c r="D68" s="71"/>
      <c r="E68" s="11"/>
      <c r="F68" s="175"/>
      <c r="G68" s="175"/>
      <c r="H68" s="175"/>
    </row>
    <row r="69" spans="1:8" x14ac:dyDescent="0.2">
      <c r="F69" s="175"/>
      <c r="G69" s="175"/>
      <c r="H69" s="175"/>
    </row>
    <row r="70" spans="1:8" ht="21" thickBot="1" x14ac:dyDescent="0.35">
      <c r="B70" s="202" t="s">
        <v>338</v>
      </c>
      <c r="C70" s="43"/>
      <c r="D70" s="175"/>
      <c r="E70" s="175"/>
      <c r="F70" s="175"/>
      <c r="G70" s="175"/>
      <c r="H70" s="175"/>
    </row>
    <row r="71" spans="1:8" x14ac:dyDescent="0.2">
      <c r="B71" s="49" t="s">
        <v>28</v>
      </c>
      <c r="C71" s="50" t="s">
        <v>10</v>
      </c>
      <c r="D71" s="50" t="s">
        <v>18</v>
      </c>
      <c r="E71" s="51" t="s">
        <v>3</v>
      </c>
      <c r="F71" s="175"/>
      <c r="G71" s="175"/>
      <c r="H71" s="175"/>
    </row>
    <row r="72" spans="1:8" x14ac:dyDescent="0.2">
      <c r="B72" s="87" t="s">
        <v>337</v>
      </c>
      <c r="C72" s="35"/>
      <c r="D72" s="187">
        <v>10</v>
      </c>
      <c r="E72" s="122" t="s">
        <v>334</v>
      </c>
      <c r="F72" s="175"/>
      <c r="G72" s="175"/>
      <c r="H72" s="175"/>
    </row>
    <row r="73" spans="1:8" x14ac:dyDescent="0.2">
      <c r="B73" s="87" t="s">
        <v>333</v>
      </c>
      <c r="C73" s="72"/>
      <c r="D73" s="209">
        <v>8</v>
      </c>
      <c r="E73" s="122" t="s">
        <v>212</v>
      </c>
      <c r="F73" s="175"/>
      <c r="G73" s="175"/>
      <c r="H73" s="175"/>
    </row>
    <row r="74" spans="1:8" x14ac:dyDescent="0.2">
      <c r="A74" s="175"/>
      <c r="B74" s="87" t="s">
        <v>339</v>
      </c>
      <c r="C74" s="35"/>
      <c r="D74" s="210">
        <f>4*D72</f>
        <v>40</v>
      </c>
      <c r="E74" s="122" t="s">
        <v>334</v>
      </c>
      <c r="F74" s="175"/>
      <c r="G74" s="175"/>
      <c r="H74" s="175"/>
    </row>
    <row r="75" spans="1:8" x14ac:dyDescent="0.2">
      <c r="B75" s="87" t="s">
        <v>340</v>
      </c>
      <c r="C75" s="35"/>
      <c r="D75" s="177">
        <f>D73*D74</f>
        <v>320</v>
      </c>
      <c r="E75" s="122" t="s">
        <v>335</v>
      </c>
      <c r="F75" s="175"/>
      <c r="G75" s="175"/>
      <c r="H75" s="175"/>
    </row>
    <row r="76" spans="1:8" x14ac:dyDescent="0.2">
      <c r="B76" s="87" t="s">
        <v>341</v>
      </c>
      <c r="C76" s="35"/>
      <c r="D76" s="177">
        <f>D75*D48</f>
        <v>132123.18584070797</v>
      </c>
      <c r="E76" s="122" t="s">
        <v>335</v>
      </c>
      <c r="F76" s="175"/>
      <c r="G76" s="175"/>
      <c r="H76" s="175"/>
    </row>
    <row r="77" spans="1:8" ht="13.5" thickBot="1" x14ac:dyDescent="0.25">
      <c r="B77" s="92" t="s">
        <v>342</v>
      </c>
      <c r="C77" s="48"/>
      <c r="D77" s="71">
        <f>D76/8/1024</f>
        <v>16.128318584070797</v>
      </c>
      <c r="E77" s="140" t="s">
        <v>336</v>
      </c>
      <c r="F77" s="175"/>
      <c r="G77" s="175"/>
      <c r="H77" s="175"/>
    </row>
    <row r="78" spans="1:8" x14ac:dyDescent="0.2">
      <c r="F78" s="175"/>
      <c r="G78" s="175"/>
      <c r="H78" s="175"/>
    </row>
    <row r="79" spans="1:8" x14ac:dyDescent="0.2">
      <c r="F79" s="175"/>
      <c r="G79" s="175"/>
      <c r="H79" s="175"/>
    </row>
    <row r="80" spans="1:8" x14ac:dyDescent="0.2">
      <c r="F80" s="175"/>
      <c r="G80" s="175"/>
      <c r="H80" s="175"/>
    </row>
    <row r="81" spans="6:8" x14ac:dyDescent="0.2">
      <c r="F81" s="175"/>
      <c r="G81" s="175"/>
      <c r="H81" s="175"/>
    </row>
    <row r="82" spans="6:8" x14ac:dyDescent="0.2">
      <c r="F82" s="175"/>
      <c r="G82" s="175"/>
      <c r="H82" s="175"/>
    </row>
    <row r="83" spans="6:8" x14ac:dyDescent="0.2">
      <c r="F83" s="175"/>
      <c r="G83" s="175"/>
      <c r="H83" s="175"/>
    </row>
    <row r="84" spans="6:8" x14ac:dyDescent="0.2">
      <c r="F84" s="175"/>
      <c r="G84" s="175"/>
      <c r="H84" s="175"/>
    </row>
    <row r="85" spans="6:8" x14ac:dyDescent="0.2">
      <c r="F85" s="175"/>
      <c r="G85" s="175"/>
      <c r="H85" s="175"/>
    </row>
    <row r="86" spans="6:8" x14ac:dyDescent="0.2">
      <c r="H86" s="175"/>
    </row>
    <row r="87" spans="6:8" x14ac:dyDescent="0.2">
      <c r="H87" s="175"/>
    </row>
    <row r="88" spans="6:8" x14ac:dyDescent="0.2">
      <c r="H88" s="175"/>
    </row>
    <row r="89" spans="6:8" x14ac:dyDescent="0.2">
      <c r="H89" s="175"/>
    </row>
    <row r="90" spans="6:8" x14ac:dyDescent="0.2">
      <c r="H90" s="175"/>
    </row>
    <row r="91" spans="6:8" x14ac:dyDescent="0.2">
      <c r="H91" s="175"/>
    </row>
    <row r="92" spans="6:8" x14ac:dyDescent="0.2">
      <c r="H92" s="175"/>
    </row>
    <row r="93" spans="6:8" x14ac:dyDescent="0.2">
      <c r="H93" s="175"/>
    </row>
  </sheetData>
  <mergeCells count="1">
    <mergeCell ref="F9:G9"/>
  </mergeCells>
  <pageMargins left="0.7" right="0.7" top="0.75" bottom="0.75" header="0.3" footer="0.3"/>
  <pageSetup orientation="portrait" horizontalDpi="525" verticalDpi="525"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91"/>
  <sheetViews>
    <sheetView topLeftCell="A52" zoomScale="85" zoomScaleNormal="85" workbookViewId="0">
      <selection activeCell="E80" sqref="E80"/>
    </sheetView>
  </sheetViews>
  <sheetFormatPr defaultRowHeight="12.75" x14ac:dyDescent="0.2"/>
  <cols>
    <col min="2" max="2" width="23.7109375" customWidth="1"/>
    <col min="4" max="4" width="8.42578125" customWidth="1"/>
    <col min="7" max="7" width="10.28515625" customWidth="1"/>
    <col min="10" max="10" width="10.28515625" customWidth="1"/>
    <col min="13" max="13" width="10.28515625" customWidth="1"/>
    <col min="16" max="16" width="10.28515625" customWidth="1"/>
    <col min="19" max="19" width="10.28515625" customWidth="1"/>
    <col min="21" max="25" width="9" customWidth="1"/>
    <col min="27" max="27" width="18.5703125" customWidth="1"/>
    <col min="28" max="28" width="8.140625" customWidth="1"/>
    <col min="29" max="29" width="7.140625" customWidth="1"/>
    <col min="30" max="30" width="7.42578125" customWidth="1"/>
    <col min="31" max="31" width="3.7109375" customWidth="1"/>
    <col min="32" max="35" width="18" customWidth="1"/>
  </cols>
  <sheetData>
    <row r="1" spans="1:26" ht="25.5" x14ac:dyDescent="0.35">
      <c r="B1" s="1" t="s">
        <v>367</v>
      </c>
    </row>
    <row r="2" spans="1:26" ht="13.5" thickBot="1" x14ac:dyDescent="0.25"/>
    <row r="3" spans="1:26" x14ac:dyDescent="0.2">
      <c r="B3" s="7" t="s">
        <v>11</v>
      </c>
      <c r="C3" s="6" t="s">
        <v>10</v>
      </c>
      <c r="D3" s="6" t="s">
        <v>2</v>
      </c>
      <c r="E3" s="8" t="s">
        <v>3</v>
      </c>
      <c r="F3" s="2"/>
      <c r="G3" s="14" t="s">
        <v>13</v>
      </c>
      <c r="H3" s="15"/>
    </row>
    <row r="4" spans="1:26" ht="15" thickBot="1" x14ac:dyDescent="0.25">
      <c r="B4" s="3" t="s">
        <v>4</v>
      </c>
      <c r="C4" s="34" t="s">
        <v>0</v>
      </c>
      <c r="D4" s="5">
        <v>398600.5</v>
      </c>
      <c r="E4" s="4" t="s">
        <v>179</v>
      </c>
      <c r="F4" s="2"/>
      <c r="G4" s="16" t="s">
        <v>14</v>
      </c>
      <c r="H4" s="17"/>
    </row>
    <row r="5" spans="1:26" ht="15.75" x14ac:dyDescent="0.3">
      <c r="B5" s="100" t="s">
        <v>5</v>
      </c>
      <c r="C5" s="101" t="s">
        <v>180</v>
      </c>
      <c r="D5" s="102">
        <v>6378</v>
      </c>
      <c r="E5" s="103" t="s">
        <v>1</v>
      </c>
      <c r="F5" s="2"/>
      <c r="G5" s="212" t="s">
        <v>15</v>
      </c>
      <c r="H5" s="212"/>
    </row>
    <row r="6" spans="1:26" ht="16.5" thickBot="1" x14ac:dyDescent="0.35">
      <c r="B6" s="9" t="s">
        <v>248</v>
      </c>
      <c r="C6" s="10" t="s">
        <v>249</v>
      </c>
      <c r="D6" s="141">
        <v>31557600</v>
      </c>
      <c r="E6" s="140" t="s">
        <v>250</v>
      </c>
      <c r="F6" s="2"/>
      <c r="G6" s="20" t="s">
        <v>16</v>
      </c>
      <c r="H6" s="21"/>
    </row>
    <row r="7" spans="1:26" x14ac:dyDescent="0.2">
      <c r="B7" s="173"/>
      <c r="C7" s="73"/>
      <c r="D7" s="2"/>
      <c r="E7" s="2"/>
      <c r="F7" s="2"/>
      <c r="G7" s="2"/>
      <c r="H7" s="2"/>
    </row>
    <row r="8" spans="1:26" ht="21" thickBot="1" x14ac:dyDescent="0.35">
      <c r="A8" s="175"/>
      <c r="B8" s="202" t="s">
        <v>345</v>
      </c>
      <c r="H8" s="2"/>
    </row>
    <row r="9" spans="1:26" ht="14.25" customHeight="1" x14ac:dyDescent="0.2">
      <c r="B9" s="63" t="s">
        <v>234</v>
      </c>
      <c r="C9" s="64"/>
      <c r="D9" s="64"/>
      <c r="E9" s="64"/>
      <c r="F9" s="64"/>
      <c r="G9" s="64"/>
      <c r="H9" s="65"/>
    </row>
    <row r="10" spans="1:26" ht="14.25" customHeight="1" thickBot="1" x14ac:dyDescent="0.25">
      <c r="B10" s="134" t="s">
        <v>233</v>
      </c>
      <c r="C10" s="135"/>
      <c r="D10" s="135"/>
      <c r="E10" s="135"/>
      <c r="F10" s="135"/>
      <c r="G10" s="135">
        <f>60*60*24*365.25</f>
        <v>31557600</v>
      </c>
      <c r="H10" s="136" t="s">
        <v>216</v>
      </c>
    </row>
    <row r="11" spans="1:26" ht="14.25" customHeight="1" thickBot="1" x14ac:dyDescent="0.25">
      <c r="B11" s="63" t="s">
        <v>224</v>
      </c>
      <c r="C11" s="50"/>
      <c r="D11" s="50"/>
      <c r="E11" s="50"/>
      <c r="F11" s="50"/>
      <c r="G11" s="50"/>
      <c r="H11" s="50"/>
      <c r="I11" s="50"/>
      <c r="J11" s="50"/>
      <c r="K11" s="50"/>
      <c r="L11" s="50"/>
      <c r="M11" s="50"/>
      <c r="N11" s="145"/>
      <c r="O11" s="145"/>
      <c r="P11" s="50"/>
      <c r="Q11" s="50"/>
      <c r="R11" s="50"/>
      <c r="S11" s="50"/>
      <c r="T11" s="50"/>
      <c r="U11" s="50"/>
      <c r="V11" s="145"/>
      <c r="W11" s="50"/>
      <c r="X11" s="50"/>
      <c r="Y11" s="50"/>
      <c r="Z11" s="51"/>
    </row>
    <row r="12" spans="1:26" ht="14.25" customHeight="1" x14ac:dyDescent="0.2">
      <c r="B12" s="153"/>
      <c r="C12" s="127" t="s">
        <v>231</v>
      </c>
      <c r="D12" s="127"/>
      <c r="E12" s="6"/>
      <c r="F12" s="6"/>
      <c r="G12" s="127" t="s">
        <v>235</v>
      </c>
      <c r="H12" s="127"/>
      <c r="I12" s="6"/>
      <c r="J12" s="6"/>
      <c r="K12" s="6" t="s">
        <v>236</v>
      </c>
      <c r="L12" s="6"/>
      <c r="M12" s="6"/>
      <c r="N12" s="6"/>
      <c r="O12" s="98" t="s">
        <v>306</v>
      </c>
      <c r="P12" s="6"/>
      <c r="Q12" s="6"/>
      <c r="R12" s="6"/>
      <c r="S12" s="6" t="s">
        <v>307</v>
      </c>
      <c r="T12" s="6"/>
      <c r="U12" s="6"/>
      <c r="V12" s="6"/>
      <c r="W12" s="6" t="s">
        <v>343</v>
      </c>
      <c r="X12" s="6"/>
      <c r="Y12" s="6"/>
      <c r="Z12" s="8"/>
    </row>
    <row r="13" spans="1:26" ht="14.25" customHeight="1" x14ac:dyDescent="0.3">
      <c r="B13" s="148"/>
      <c r="C13" s="215" t="s">
        <v>221</v>
      </c>
      <c r="D13" s="230" t="s">
        <v>372</v>
      </c>
      <c r="E13" s="216" t="s">
        <v>228</v>
      </c>
      <c r="F13" s="217" t="s">
        <v>222</v>
      </c>
      <c r="G13" s="215" t="s">
        <v>221</v>
      </c>
      <c r="H13" s="230" t="s">
        <v>372</v>
      </c>
      <c r="I13" s="216" t="s">
        <v>228</v>
      </c>
      <c r="J13" s="217" t="s">
        <v>222</v>
      </c>
      <c r="K13" s="215" t="s">
        <v>221</v>
      </c>
      <c r="L13" s="230" t="s">
        <v>372</v>
      </c>
      <c r="M13" s="216" t="s">
        <v>228</v>
      </c>
      <c r="N13" s="218" t="s">
        <v>222</v>
      </c>
      <c r="O13" s="215" t="s">
        <v>221</v>
      </c>
      <c r="P13" s="230" t="s">
        <v>372</v>
      </c>
      <c r="Q13" s="216" t="s">
        <v>228</v>
      </c>
      <c r="R13" s="217" t="s">
        <v>222</v>
      </c>
      <c r="S13" s="215" t="s">
        <v>221</v>
      </c>
      <c r="T13" s="230" t="s">
        <v>372</v>
      </c>
      <c r="U13" s="216" t="s">
        <v>228</v>
      </c>
      <c r="V13" s="218" t="s">
        <v>222</v>
      </c>
      <c r="W13" s="215" t="s">
        <v>221</v>
      </c>
      <c r="X13" s="230" t="s">
        <v>372</v>
      </c>
      <c r="Y13" s="216" t="s">
        <v>228</v>
      </c>
      <c r="Z13" s="219" t="s">
        <v>222</v>
      </c>
    </row>
    <row r="14" spans="1:26" ht="14.25" customHeight="1" x14ac:dyDescent="0.2">
      <c r="B14" s="150" t="s">
        <v>187</v>
      </c>
      <c r="C14" s="220" t="s">
        <v>259</v>
      </c>
      <c r="D14" s="223" t="s">
        <v>232</v>
      </c>
      <c r="E14" s="221" t="s">
        <v>223</v>
      </c>
      <c r="F14" s="222" t="s">
        <v>225</v>
      </c>
      <c r="G14" s="220" t="s">
        <v>259</v>
      </c>
      <c r="H14" s="223" t="s">
        <v>232</v>
      </c>
      <c r="I14" s="221" t="s">
        <v>223</v>
      </c>
      <c r="J14" s="222" t="s">
        <v>225</v>
      </c>
      <c r="K14" s="220" t="s">
        <v>259</v>
      </c>
      <c r="L14" s="223" t="s">
        <v>232</v>
      </c>
      <c r="M14" s="221" t="s">
        <v>223</v>
      </c>
      <c r="N14" s="223" t="s">
        <v>225</v>
      </c>
      <c r="O14" s="220" t="s">
        <v>259</v>
      </c>
      <c r="P14" s="223" t="s">
        <v>232</v>
      </c>
      <c r="Q14" s="221" t="s">
        <v>223</v>
      </c>
      <c r="R14" s="222" t="s">
        <v>225</v>
      </c>
      <c r="S14" s="220" t="s">
        <v>259</v>
      </c>
      <c r="T14" s="223" t="s">
        <v>232</v>
      </c>
      <c r="U14" s="221" t="s">
        <v>223</v>
      </c>
      <c r="V14" s="223" t="s">
        <v>225</v>
      </c>
      <c r="W14" s="220" t="s">
        <v>259</v>
      </c>
      <c r="X14" s="223" t="s">
        <v>232</v>
      </c>
      <c r="Y14" s="221" t="s">
        <v>223</v>
      </c>
      <c r="Z14" s="224" t="s">
        <v>225</v>
      </c>
    </row>
    <row r="15" spans="1:26" ht="14.25" customHeight="1" x14ac:dyDescent="0.2">
      <c r="B15" s="150">
        <v>40</v>
      </c>
      <c r="C15" s="154">
        <v>524544.71499999997</v>
      </c>
      <c r="D15" s="176"/>
      <c r="E15" s="213">
        <f t="shared" ref="E15:E27" si="0">C15/$D$6</f>
        <v>1.6621818991304788E-2</v>
      </c>
      <c r="F15" s="156">
        <v>71056.771999999997</v>
      </c>
      <c r="G15" s="154">
        <v>160098.49</v>
      </c>
      <c r="H15" s="176"/>
      <c r="I15" s="160">
        <f>G15/$D$6</f>
        <v>5.0732150100134352E-3</v>
      </c>
      <c r="J15" s="156">
        <v>82831.831999999995</v>
      </c>
      <c r="K15" s="154">
        <v>506616.04700000002</v>
      </c>
      <c r="L15" s="176"/>
      <c r="M15" s="160">
        <f>K15/$D$6</f>
        <v>1.605369378533222E-2</v>
      </c>
      <c r="N15" s="176">
        <v>71070.712</v>
      </c>
      <c r="O15" s="154" t="s">
        <v>344</v>
      </c>
      <c r="P15" s="176"/>
      <c r="Q15" s="160" t="e">
        <f>O15/$D$6</f>
        <v>#VALUE!</v>
      </c>
      <c r="R15" s="156"/>
      <c r="S15" s="154">
        <v>632410.20299999998</v>
      </c>
      <c r="T15" s="176"/>
      <c r="U15" s="160">
        <f>S15/$D$6</f>
        <v>2.0039870047151874E-2</v>
      </c>
      <c r="V15" s="176">
        <v>65207.396999999997</v>
      </c>
      <c r="W15" s="154">
        <v>643351.78799999994</v>
      </c>
      <c r="X15" s="176"/>
      <c r="Y15" s="160">
        <f t="shared" ref="Y15:Y25" si="1">W15/$D$6</f>
        <v>2.0386587953456534E-2</v>
      </c>
      <c r="Z15" s="158">
        <v>65190.016000000003</v>
      </c>
    </row>
    <row r="16" spans="1:26" ht="14.25" customHeight="1" x14ac:dyDescent="0.2">
      <c r="B16" s="150">
        <v>45</v>
      </c>
      <c r="C16" s="154">
        <v>651205.67099999997</v>
      </c>
      <c r="D16" s="176"/>
      <c r="E16" s="213">
        <f t="shared" si="0"/>
        <v>2.0635462487641646E-2</v>
      </c>
      <c r="F16" s="156">
        <v>65281.828999999998</v>
      </c>
      <c r="G16" s="154">
        <v>409018.18800000002</v>
      </c>
      <c r="H16" s="176"/>
      <c r="I16" s="160">
        <f>G16/$D$6</f>
        <v>1.2961004258879003E-2</v>
      </c>
      <c r="J16" s="156">
        <v>71257.744000000006</v>
      </c>
      <c r="K16" s="154">
        <v>641425.71799999999</v>
      </c>
      <c r="L16" s="176"/>
      <c r="M16" s="160">
        <f>K16/$D$6</f>
        <v>2.0325554478160569E-2</v>
      </c>
      <c r="N16" s="176">
        <v>65297.735000000001</v>
      </c>
      <c r="O16" s="154" t="s">
        <v>344</v>
      </c>
      <c r="P16" s="176"/>
      <c r="Q16" s="160" t="e">
        <f>O16/$D$6</f>
        <v>#VALUE!</v>
      </c>
      <c r="R16" s="156"/>
      <c r="S16" s="154">
        <v>689305.21900000004</v>
      </c>
      <c r="T16" s="176"/>
      <c r="U16" s="160">
        <f>S16/$D$6</f>
        <v>2.1842764310340459E-2</v>
      </c>
      <c r="V16" s="176">
        <v>59520.767</v>
      </c>
      <c r="W16" s="154">
        <v>689571.87399999995</v>
      </c>
      <c r="X16" s="176"/>
      <c r="Y16" s="160">
        <f t="shared" si="1"/>
        <v>2.1851214097396505E-2</v>
      </c>
      <c r="Z16" s="158">
        <v>59487.451000000001</v>
      </c>
    </row>
    <row r="17" spans="2:26" ht="14.25" customHeight="1" x14ac:dyDescent="0.2">
      <c r="B17" s="150">
        <v>50</v>
      </c>
      <c r="C17" s="154">
        <v>687895.44499999995</v>
      </c>
      <c r="D17" s="176"/>
      <c r="E17" s="213">
        <f t="shared" si="0"/>
        <v>2.179809126803052E-2</v>
      </c>
      <c r="F17" s="156">
        <v>59586.328999999998</v>
      </c>
      <c r="G17" s="154">
        <v>589549.02399999998</v>
      </c>
      <c r="H17" s="176"/>
      <c r="I17" s="160">
        <f>G17/$D$6</f>
        <v>1.8681681243187059E-2</v>
      </c>
      <c r="J17" s="156">
        <v>65510.167999999998</v>
      </c>
      <c r="K17" s="154">
        <v>690264.69400000002</v>
      </c>
      <c r="L17" s="176"/>
      <c r="M17" s="160">
        <f>K17/$D$6</f>
        <v>2.1873168238395822E-2</v>
      </c>
      <c r="N17" s="176">
        <v>59614.529000000002</v>
      </c>
      <c r="O17" s="154" t="s">
        <v>344</v>
      </c>
      <c r="P17" s="176"/>
      <c r="Q17" s="160" t="e">
        <f>O17/$D$6</f>
        <v>#VALUE!</v>
      </c>
      <c r="R17" s="156"/>
      <c r="S17" s="154">
        <v>599450.12800000003</v>
      </c>
      <c r="T17" s="176"/>
      <c r="U17" s="160">
        <f>S17/$D$6</f>
        <v>1.8995428296194897E-2</v>
      </c>
      <c r="V17" s="176">
        <v>59447.396999999997</v>
      </c>
      <c r="W17" s="154">
        <v>560680.63399999996</v>
      </c>
      <c r="X17" s="176"/>
      <c r="Y17" s="160">
        <f t="shared" si="1"/>
        <v>1.7766897165817426E-2</v>
      </c>
      <c r="Z17" s="158">
        <v>59431.718000000001</v>
      </c>
    </row>
    <row r="18" spans="2:26" ht="14.25" customHeight="1" x14ac:dyDescent="0.2">
      <c r="B18" s="150">
        <v>55</v>
      </c>
      <c r="C18" s="154">
        <v>538100.71</v>
      </c>
      <c r="D18" s="176"/>
      <c r="E18" s="213">
        <f t="shared" si="0"/>
        <v>1.7051382551271324E-2</v>
      </c>
      <c r="F18" s="156">
        <v>59542.788999999997</v>
      </c>
      <c r="G18" s="154">
        <v>692468.05299999996</v>
      </c>
      <c r="H18" s="176"/>
      <c r="I18" s="160">
        <f>G18/$D$6</f>
        <v>2.1942988471873651E-2</v>
      </c>
      <c r="J18" s="156">
        <v>59897.739000000001</v>
      </c>
      <c r="K18" s="154">
        <v>561193.70499999996</v>
      </c>
      <c r="L18" s="176"/>
      <c r="M18" s="160">
        <f>K18/$D$6</f>
        <v>1.7783155404720256E-2</v>
      </c>
      <c r="N18" s="176">
        <v>59556.790999999997</v>
      </c>
      <c r="O18" s="154">
        <v>161835.56899999999</v>
      </c>
      <c r="P18" s="176"/>
      <c r="Q18" s="160">
        <f>O18/$D$6</f>
        <v>5.1282597219053407E-3</v>
      </c>
      <c r="R18" s="156">
        <v>82985.832999999999</v>
      </c>
      <c r="S18" s="154">
        <v>445787.408</v>
      </c>
      <c r="T18" s="176"/>
      <c r="U18" s="160">
        <f>S18/$D$6</f>
        <v>1.4126150531092351E-2</v>
      </c>
      <c r="V18" s="176">
        <v>59459.05</v>
      </c>
      <c r="W18" s="154">
        <v>436953.935</v>
      </c>
      <c r="X18" s="176"/>
      <c r="Y18" s="160">
        <f t="shared" si="1"/>
        <v>1.3846234662965497E-2</v>
      </c>
      <c r="Z18" s="158">
        <v>53857.112000000001</v>
      </c>
    </row>
    <row r="19" spans="2:26" ht="14.25" customHeight="1" x14ac:dyDescent="0.2">
      <c r="B19" s="150">
        <v>60</v>
      </c>
      <c r="C19" s="154">
        <v>434595.12900000002</v>
      </c>
      <c r="D19" s="176"/>
      <c r="E19" s="213">
        <f t="shared" si="0"/>
        <v>1.3771488611301241E-2</v>
      </c>
      <c r="F19" s="176">
        <v>53919.196000000004</v>
      </c>
      <c r="G19" s="154">
        <v>690519.20900000003</v>
      </c>
      <c r="H19" s="176"/>
      <c r="I19" s="160">
        <f>G19/$D$6</f>
        <v>2.1881233332065812E-2</v>
      </c>
      <c r="J19" s="176">
        <v>59756.381000000001</v>
      </c>
      <c r="K19" s="154">
        <v>443210.16100000002</v>
      </c>
      <c r="L19" s="176"/>
      <c r="M19" s="160">
        <f>K19/$D$6</f>
        <v>1.404448250183791E-2</v>
      </c>
      <c r="N19" s="176">
        <v>53947.277000000002</v>
      </c>
      <c r="O19" s="154">
        <v>451156.64799999999</v>
      </c>
      <c r="P19" s="176"/>
      <c r="Q19" s="160">
        <f>O19/$D$6</f>
        <v>1.4296291479706949E-2</v>
      </c>
      <c r="R19" s="176">
        <v>71530.686000000002</v>
      </c>
      <c r="S19" s="154">
        <v>386849.495</v>
      </c>
      <c r="T19" s="176"/>
      <c r="U19" s="160">
        <f>S19/$D$6</f>
        <v>1.2258520768372753E-2</v>
      </c>
      <c r="V19" s="176">
        <v>53770.497000000003</v>
      </c>
      <c r="W19" s="154">
        <v>380640.16600000003</v>
      </c>
      <c r="X19" s="176"/>
      <c r="Y19" s="160">
        <f t="shared" si="1"/>
        <v>1.2061759005754558E-2</v>
      </c>
      <c r="Z19" s="158">
        <v>53751.591999999997</v>
      </c>
    </row>
    <row r="20" spans="2:26" ht="14.25" customHeight="1" x14ac:dyDescent="0.2">
      <c r="B20" s="148">
        <v>65</v>
      </c>
      <c r="C20" s="154">
        <v>384254.52</v>
      </c>
      <c r="D20" s="176"/>
      <c r="E20" s="213">
        <f t="shared" si="0"/>
        <v>1.2176290972697543E-2</v>
      </c>
      <c r="F20" s="156">
        <v>53864.156000000003</v>
      </c>
      <c r="G20" s="154">
        <v>510388.234</v>
      </c>
      <c r="H20" s="176"/>
      <c r="I20" s="160">
        <f t="shared" ref="I20:I27" si="2">G20/$D$6</f>
        <v>1.6173227178239158E-2</v>
      </c>
      <c r="J20" s="156">
        <v>54146.277999999998</v>
      </c>
      <c r="K20" s="154">
        <v>390165.54700000002</v>
      </c>
      <c r="L20" s="176"/>
      <c r="M20" s="160">
        <f t="shared" ref="M20:M27" si="3">K20/$D$6</f>
        <v>1.2363600115344641E-2</v>
      </c>
      <c r="N20" s="176">
        <v>53879.985999999997</v>
      </c>
      <c r="O20" s="154">
        <v>675000.69099999999</v>
      </c>
      <c r="P20" s="176"/>
      <c r="Q20" s="160">
        <f t="shared" ref="Q20:Q27" si="4">O20/$D$6</f>
        <v>2.138948117093822E-2</v>
      </c>
      <c r="R20" s="156">
        <v>65826.087</v>
      </c>
      <c r="S20" s="154">
        <v>351192.34499999997</v>
      </c>
      <c r="T20" s="176"/>
      <c r="U20" s="160">
        <f t="shared" ref="U20:U27" si="5">S20/$D$6</f>
        <v>1.112861386797475E-2</v>
      </c>
      <c r="V20" s="176">
        <v>53757.741999999998</v>
      </c>
      <c r="W20" s="154">
        <v>346501.36300000001</v>
      </c>
      <c r="X20" s="176"/>
      <c r="Y20" s="160">
        <f t="shared" si="1"/>
        <v>1.0979965618424722E-2</v>
      </c>
      <c r="Z20" s="158">
        <v>53743.673000000003</v>
      </c>
    </row>
    <row r="21" spans="2:26" ht="14.25" customHeight="1" x14ac:dyDescent="0.2">
      <c r="B21" s="148">
        <v>70</v>
      </c>
      <c r="C21" s="154">
        <v>353553.52799999999</v>
      </c>
      <c r="D21" s="176"/>
      <c r="E21" s="160">
        <f t="shared" si="0"/>
        <v>1.1203435242223742E-2</v>
      </c>
      <c r="F21" s="156">
        <v>53872.216999999997</v>
      </c>
      <c r="G21" s="154">
        <v>439326.85399999999</v>
      </c>
      <c r="H21" s="176"/>
      <c r="I21" s="160">
        <f t="shared" si="2"/>
        <v>1.3921427928613075E-2</v>
      </c>
      <c r="J21" s="156">
        <v>54085.661999999997</v>
      </c>
      <c r="K21" s="154">
        <v>357562.473</v>
      </c>
      <c r="L21" s="176"/>
      <c r="M21" s="160">
        <f t="shared" si="3"/>
        <v>1.1330471043425355E-2</v>
      </c>
      <c r="N21" s="176">
        <v>53885.021000000001</v>
      </c>
      <c r="O21" s="154">
        <v>820177.12300000002</v>
      </c>
      <c r="P21" s="176"/>
      <c r="Q21" s="160">
        <f t="shared" si="4"/>
        <v>2.5989844696681624E-2</v>
      </c>
      <c r="R21" s="156">
        <v>60162.637000000002</v>
      </c>
      <c r="S21" s="154">
        <v>327102.59399999998</v>
      </c>
      <c r="T21" s="176"/>
      <c r="U21" s="160">
        <f t="shared" si="5"/>
        <v>1.0365255722868659E-2</v>
      </c>
      <c r="V21" s="176">
        <v>48252.11</v>
      </c>
      <c r="W21" s="154">
        <v>324115.54300000001</v>
      </c>
      <c r="X21" s="176"/>
      <c r="Y21" s="160">
        <f t="shared" si="1"/>
        <v>1.0270601788475676E-2</v>
      </c>
      <c r="Z21" s="158">
        <v>48222.285000000003</v>
      </c>
    </row>
    <row r="22" spans="2:26" ht="14.25" customHeight="1" x14ac:dyDescent="0.2">
      <c r="B22" s="148">
        <v>75</v>
      </c>
      <c r="C22" s="154">
        <v>333915.09999999998</v>
      </c>
      <c r="D22" s="176"/>
      <c r="E22" s="160">
        <f t="shared" si="0"/>
        <v>1.0581131011230257E-2</v>
      </c>
      <c r="F22" s="156">
        <v>48259.697999999997</v>
      </c>
      <c r="G22" s="154">
        <v>401204.07199999999</v>
      </c>
      <c r="H22" s="176"/>
      <c r="I22" s="160">
        <f t="shared" si="2"/>
        <v>1.2713389864881993E-2</v>
      </c>
      <c r="J22" s="156">
        <v>48525.885999999999</v>
      </c>
      <c r="K22" s="154">
        <v>337465.96299999999</v>
      </c>
      <c r="L22" s="176"/>
      <c r="M22" s="160">
        <f t="shared" si="3"/>
        <v>1.0693651069789844E-2</v>
      </c>
      <c r="N22" s="176">
        <v>48276.481</v>
      </c>
      <c r="O22" s="154">
        <v>852981.80799999996</v>
      </c>
      <c r="P22" s="176"/>
      <c r="Q22" s="160">
        <f t="shared" si="4"/>
        <v>2.7029362435673179E-2</v>
      </c>
      <c r="R22" s="156">
        <v>54530.211000000003</v>
      </c>
      <c r="S22" s="154">
        <v>311294.092</v>
      </c>
      <c r="T22" s="176"/>
      <c r="U22" s="160">
        <f t="shared" si="5"/>
        <v>9.8643145232844079E-3</v>
      </c>
      <c r="V22" s="176">
        <v>48142.2</v>
      </c>
      <c r="W22" s="154">
        <v>308636.13900000002</v>
      </c>
      <c r="X22" s="176"/>
      <c r="Y22" s="160">
        <f t="shared" si="1"/>
        <v>9.7800890752148453E-3</v>
      </c>
      <c r="Z22" s="158">
        <v>48125.561000000002</v>
      </c>
    </row>
    <row r="23" spans="2:26" x14ac:dyDescent="0.2">
      <c r="B23" s="148">
        <v>80</v>
      </c>
      <c r="C23" s="154">
        <v>320840.065</v>
      </c>
      <c r="D23" s="176"/>
      <c r="E23" s="160">
        <f t="shared" si="0"/>
        <v>1.0166808153978756E-2</v>
      </c>
      <c r="F23" s="156">
        <v>48224.902999999998</v>
      </c>
      <c r="G23" s="154">
        <v>379493.06800000003</v>
      </c>
      <c r="H23" s="176"/>
      <c r="I23" s="160">
        <f t="shared" si="2"/>
        <v>1.2025409663599261E-2</v>
      </c>
      <c r="J23" s="156">
        <v>48459.504999999997</v>
      </c>
      <c r="K23" s="154">
        <v>324237.01500000001</v>
      </c>
      <c r="L23" s="176"/>
      <c r="M23" s="160">
        <f t="shared" si="3"/>
        <v>1.0274451003878622E-2</v>
      </c>
      <c r="N23" s="176">
        <v>48240.37</v>
      </c>
      <c r="O23" s="154">
        <v>666775.96400000004</v>
      </c>
      <c r="P23" s="176"/>
      <c r="Q23" s="160">
        <f t="shared" si="4"/>
        <v>2.1128855299515806E-2</v>
      </c>
      <c r="R23" s="156">
        <v>48928.728000000003</v>
      </c>
      <c r="S23" s="154">
        <v>300846.31400000001</v>
      </c>
      <c r="T23" s="176"/>
      <c r="U23" s="160">
        <f t="shared" si="5"/>
        <v>9.5332444165589277E-3</v>
      </c>
      <c r="V23" s="176">
        <v>48117.423999999999</v>
      </c>
      <c r="W23" s="154">
        <v>298238.02799999999</v>
      </c>
      <c r="X23" s="176"/>
      <c r="Y23" s="160">
        <f t="shared" si="1"/>
        <v>9.4505928207468254E-3</v>
      </c>
      <c r="Z23" s="158">
        <v>48101.811999999998</v>
      </c>
    </row>
    <row r="24" spans="2:26" x14ac:dyDescent="0.2">
      <c r="B24" s="148">
        <v>85</v>
      </c>
      <c r="C24" s="154">
        <v>314164.55499999999</v>
      </c>
      <c r="D24" s="176"/>
      <c r="E24" s="160">
        <f t="shared" si="0"/>
        <v>9.9552740068953281E-3</v>
      </c>
      <c r="F24" s="156">
        <v>42781.659</v>
      </c>
      <c r="G24" s="154">
        <v>367897.614</v>
      </c>
      <c r="H24" s="176"/>
      <c r="I24" s="160">
        <f t="shared" si="2"/>
        <v>1.1657971899003727E-2</v>
      </c>
      <c r="J24" s="156">
        <v>42953.114999999998</v>
      </c>
      <c r="K24" s="154">
        <v>317109.06900000002</v>
      </c>
      <c r="L24" s="176"/>
      <c r="M24" s="160">
        <f t="shared" si="3"/>
        <v>1.0048580025096966E-2</v>
      </c>
      <c r="N24" s="176">
        <v>42790.593999999997</v>
      </c>
      <c r="O24" s="154">
        <v>599400.04599999997</v>
      </c>
      <c r="P24" s="176"/>
      <c r="Q24" s="160">
        <f t="shared" si="4"/>
        <v>1.8993841293380991E-2</v>
      </c>
      <c r="R24" s="156">
        <v>43358.873</v>
      </c>
      <c r="S24" s="154">
        <v>294831.717</v>
      </c>
      <c r="T24" s="176"/>
      <c r="U24" s="160">
        <f t="shared" si="5"/>
        <v>9.3426533386569317E-3</v>
      </c>
      <c r="V24" s="176">
        <v>48130.654000000002</v>
      </c>
      <c r="W24" s="154">
        <v>292763.43900000001</v>
      </c>
      <c r="X24" s="176"/>
      <c r="Y24" s="160">
        <f t="shared" si="1"/>
        <v>9.2771135637691078E-3</v>
      </c>
      <c r="Z24" s="158">
        <v>48115.142999999996</v>
      </c>
    </row>
    <row r="25" spans="2:26" ht="14.25" customHeight="1" x14ac:dyDescent="0.2">
      <c r="B25" s="148">
        <v>90</v>
      </c>
      <c r="C25" s="154">
        <v>310663.72700000001</v>
      </c>
      <c r="D25" s="176"/>
      <c r="E25" s="160">
        <f t="shared" si="0"/>
        <v>9.8443394618095165E-3</v>
      </c>
      <c r="F25" s="156">
        <v>45623.546999999999</v>
      </c>
      <c r="G25" s="154">
        <v>364012.79999999999</v>
      </c>
      <c r="H25" s="176"/>
      <c r="I25" s="160">
        <f t="shared" si="2"/>
        <v>1.1534869571830557E-2</v>
      </c>
      <c r="J25" s="156">
        <v>42874.205000000002</v>
      </c>
      <c r="K25" s="154">
        <v>315053.06900000002</v>
      </c>
      <c r="L25" s="176"/>
      <c r="M25" s="160">
        <f t="shared" si="3"/>
        <v>9.9834293165513219E-3</v>
      </c>
      <c r="N25" s="176">
        <v>45606.220999999998</v>
      </c>
      <c r="O25" s="154">
        <v>581974.804</v>
      </c>
      <c r="P25" s="176"/>
      <c r="Q25" s="160">
        <f t="shared" si="4"/>
        <v>1.8441668694704288E-2</v>
      </c>
      <c r="R25" s="156">
        <v>37817.466999999997</v>
      </c>
      <c r="S25" s="154">
        <v>291000.06199999998</v>
      </c>
      <c r="T25" s="176"/>
      <c r="U25" s="160">
        <f t="shared" si="5"/>
        <v>9.2212355185438688E-3</v>
      </c>
      <c r="V25" s="176">
        <v>45747.404999999999</v>
      </c>
      <c r="W25" s="154">
        <v>288689.63199999998</v>
      </c>
      <c r="X25" s="176"/>
      <c r="Y25" s="160">
        <f t="shared" si="1"/>
        <v>9.1480224098157009E-3</v>
      </c>
      <c r="Z25" s="158">
        <v>45765.311999999998</v>
      </c>
    </row>
    <row r="26" spans="2:26" ht="14.25" customHeight="1" x14ac:dyDescent="0.2">
      <c r="B26" s="148">
        <v>95</v>
      </c>
      <c r="C26" s="154">
        <v>313494.62</v>
      </c>
      <c r="D26" s="176"/>
      <c r="E26" s="160">
        <f t="shared" si="0"/>
        <v>9.9340450477856355E-3</v>
      </c>
      <c r="F26" s="156">
        <v>45613.337</v>
      </c>
      <c r="G26" s="154">
        <v>368275.94</v>
      </c>
      <c r="H26" s="176"/>
      <c r="I26" s="160">
        <f t="shared" si="2"/>
        <v>1.1669960326514057E-2</v>
      </c>
      <c r="J26" s="156">
        <v>45359.294999999998</v>
      </c>
      <c r="K26" s="154">
        <v>317026.71000000002</v>
      </c>
      <c r="L26" s="176"/>
      <c r="M26" s="160">
        <f t="shared" si="3"/>
        <v>1.004597022587269E-2</v>
      </c>
      <c r="N26" s="176">
        <v>45596.294999999998</v>
      </c>
      <c r="O26" s="154">
        <v>599332.50699999998</v>
      </c>
      <c r="P26" s="176"/>
      <c r="Q26" s="160">
        <f t="shared" si="4"/>
        <v>1.8991701111618121E-2</v>
      </c>
      <c r="R26" s="156">
        <v>39482.974999999999</v>
      </c>
      <c r="S26" s="154">
        <v>294756.78499999997</v>
      </c>
      <c r="T26" s="176"/>
      <c r="U26" s="160">
        <f t="shared" si="5"/>
        <v>9.3402788868608509E-3</v>
      </c>
      <c r="V26" s="176">
        <v>45734.567000000003</v>
      </c>
      <c r="W26" s="154">
        <v>292708.97499999998</v>
      </c>
      <c r="X26" s="176"/>
      <c r="Y26" s="160">
        <f>W26/$D$6</f>
        <v>9.2753877037544032E-3</v>
      </c>
      <c r="Z26" s="158">
        <v>45752.082999999999</v>
      </c>
    </row>
    <row r="27" spans="2:26" ht="14.25" customHeight="1" thickBot="1" x14ac:dyDescent="0.25">
      <c r="B27" s="152">
        <v>100</v>
      </c>
      <c r="C27" s="155">
        <v>321724.98599999998</v>
      </c>
      <c r="D27" s="214"/>
      <c r="E27" s="161">
        <f t="shared" si="0"/>
        <v>1.0194849608335234E-2</v>
      </c>
      <c r="F27" s="157">
        <v>45670.705000000002</v>
      </c>
      <c r="G27" s="155">
        <v>379586.36200000002</v>
      </c>
      <c r="H27" s="214"/>
      <c r="I27" s="161">
        <f t="shared" si="2"/>
        <v>1.2028365972063783E-2</v>
      </c>
      <c r="J27" s="157">
        <v>45447.542000000001</v>
      </c>
      <c r="K27" s="155">
        <v>324685.147</v>
      </c>
      <c r="L27" s="214"/>
      <c r="M27" s="161">
        <f t="shared" si="3"/>
        <v>1.0288651450046898E-2</v>
      </c>
      <c r="N27" s="214">
        <v>45657.436000000002</v>
      </c>
      <c r="O27" s="155">
        <v>666279.728</v>
      </c>
      <c r="P27" s="214"/>
      <c r="Q27" s="161">
        <f t="shared" si="4"/>
        <v>2.1113130529571325E-2</v>
      </c>
      <c r="R27" s="157">
        <v>45008.807999999997</v>
      </c>
      <c r="S27" s="155">
        <v>301810.88199999998</v>
      </c>
      <c r="T27" s="214"/>
      <c r="U27" s="161">
        <f t="shared" si="5"/>
        <v>9.5638097320455296E-3</v>
      </c>
      <c r="V27" s="214">
        <v>45776.779000000002</v>
      </c>
      <c r="W27" s="155">
        <v>321724.98599999998</v>
      </c>
      <c r="X27" s="214"/>
      <c r="Y27" s="161">
        <f>W27/$D$6</f>
        <v>1.0194849608335234E-2</v>
      </c>
      <c r="Z27" s="159">
        <v>45670.705000000002</v>
      </c>
    </row>
    <row r="28" spans="2:26" ht="14.25" customHeight="1" x14ac:dyDescent="0.2"/>
    <row r="29" spans="2:26" ht="15.6" customHeight="1" thickBot="1" x14ac:dyDescent="0.25"/>
    <row r="30" spans="2:26" ht="13.9" customHeight="1" x14ac:dyDescent="0.2">
      <c r="B30" s="63" t="s">
        <v>237</v>
      </c>
      <c r="C30" s="64"/>
      <c r="D30" s="64"/>
      <c r="E30" s="64"/>
      <c r="F30" s="64"/>
      <c r="G30" s="64"/>
      <c r="H30" s="65"/>
    </row>
    <row r="31" spans="2:26" ht="24.6" customHeight="1" thickBot="1" x14ac:dyDescent="0.25">
      <c r="B31" s="134" t="s">
        <v>233</v>
      </c>
      <c r="C31" s="135"/>
      <c r="D31" s="135"/>
      <c r="E31" s="135"/>
      <c r="F31" s="135"/>
      <c r="G31" s="135">
        <f>60*60*24*365.25</f>
        <v>31557600</v>
      </c>
      <c r="H31" s="136" t="s">
        <v>216</v>
      </c>
    </row>
    <row r="32" spans="2:26" ht="19.149999999999999" customHeight="1" thickBot="1" x14ac:dyDescent="0.25">
      <c r="B32" s="63" t="s">
        <v>224</v>
      </c>
      <c r="C32" s="50"/>
      <c r="D32" s="50"/>
      <c r="E32" s="50"/>
      <c r="F32" s="50"/>
      <c r="G32" s="50"/>
      <c r="H32" s="50"/>
      <c r="I32" s="50"/>
      <c r="J32" s="50"/>
      <c r="K32" s="50"/>
      <c r="L32" s="50"/>
      <c r="M32" s="50"/>
      <c r="N32" s="145"/>
      <c r="O32" s="50"/>
      <c r="P32" s="50"/>
      <c r="Q32" s="50"/>
      <c r="R32" s="50"/>
      <c r="S32" s="50"/>
      <c r="T32" s="50"/>
      <c r="U32" s="50"/>
      <c r="V32" s="145"/>
      <c r="W32" s="50"/>
      <c r="X32" s="50"/>
      <c r="Y32" s="50"/>
      <c r="Z32" s="51"/>
    </row>
    <row r="33" spans="2:26" ht="14.25" customHeight="1" x14ac:dyDescent="0.2">
      <c r="B33" s="153"/>
      <c r="C33" s="127" t="s">
        <v>231</v>
      </c>
      <c r="D33" s="127"/>
      <c r="E33" s="6"/>
      <c r="F33" s="6"/>
      <c r="G33" s="127" t="s">
        <v>235</v>
      </c>
      <c r="H33" s="127"/>
      <c r="I33" s="6"/>
      <c r="J33" s="6"/>
      <c r="K33" s="6" t="s">
        <v>236</v>
      </c>
      <c r="L33" s="6"/>
      <c r="M33" s="6"/>
      <c r="N33" s="6"/>
      <c r="O33" s="127" t="s">
        <v>306</v>
      </c>
      <c r="P33" s="127"/>
      <c r="Q33" s="6"/>
      <c r="R33" s="6"/>
      <c r="S33" s="6" t="s">
        <v>307</v>
      </c>
      <c r="T33" s="6"/>
      <c r="U33" s="6"/>
      <c r="V33" s="6"/>
      <c r="W33" s="6" t="s">
        <v>343</v>
      </c>
      <c r="X33" s="6"/>
      <c r="Y33" s="6"/>
      <c r="Z33" s="8"/>
    </row>
    <row r="34" spans="2:26" ht="14.25" customHeight="1" x14ac:dyDescent="0.3">
      <c r="B34" s="148"/>
      <c r="C34" s="215" t="s">
        <v>221</v>
      </c>
      <c r="D34" s="230" t="s">
        <v>372</v>
      </c>
      <c r="E34" s="225" t="s">
        <v>323</v>
      </c>
      <c r="F34" s="217" t="s">
        <v>222</v>
      </c>
      <c r="G34" s="215" t="s">
        <v>221</v>
      </c>
      <c r="H34" s="230" t="s">
        <v>372</v>
      </c>
      <c r="I34" s="216" t="s">
        <v>228</v>
      </c>
      <c r="J34" s="217" t="s">
        <v>222</v>
      </c>
      <c r="K34" s="215" t="s">
        <v>221</v>
      </c>
      <c r="L34" s="230" t="s">
        <v>372</v>
      </c>
      <c r="M34" s="216" t="s">
        <v>228</v>
      </c>
      <c r="N34" s="218" t="s">
        <v>222</v>
      </c>
      <c r="O34" s="215" t="s">
        <v>221</v>
      </c>
      <c r="P34" s="230" t="s">
        <v>372</v>
      </c>
      <c r="Q34" s="216" t="s">
        <v>228</v>
      </c>
      <c r="R34" s="217" t="s">
        <v>222</v>
      </c>
      <c r="S34" s="215" t="s">
        <v>221</v>
      </c>
      <c r="T34" s="230" t="s">
        <v>372</v>
      </c>
      <c r="U34" s="216" t="s">
        <v>228</v>
      </c>
      <c r="V34" s="217" t="s">
        <v>222</v>
      </c>
      <c r="W34" s="215" t="s">
        <v>221</v>
      </c>
      <c r="X34" s="230" t="s">
        <v>372</v>
      </c>
      <c r="Y34" s="216" t="s">
        <v>228</v>
      </c>
      <c r="Z34" s="219" t="s">
        <v>222</v>
      </c>
    </row>
    <row r="35" spans="2:26" ht="14.25" customHeight="1" x14ac:dyDescent="0.2">
      <c r="B35" s="150" t="s">
        <v>187</v>
      </c>
      <c r="C35" s="220" t="s">
        <v>259</v>
      </c>
      <c r="D35" s="223" t="s">
        <v>232</v>
      </c>
      <c r="E35" s="221" t="s">
        <v>223</v>
      </c>
      <c r="F35" s="222" t="s">
        <v>225</v>
      </c>
      <c r="G35" s="220" t="s">
        <v>259</v>
      </c>
      <c r="H35" s="223" t="s">
        <v>232</v>
      </c>
      <c r="I35" s="221" t="s">
        <v>223</v>
      </c>
      <c r="J35" s="222" t="s">
        <v>225</v>
      </c>
      <c r="K35" s="220" t="s">
        <v>259</v>
      </c>
      <c r="L35" s="223" t="s">
        <v>232</v>
      </c>
      <c r="M35" s="221" t="s">
        <v>223</v>
      </c>
      <c r="N35" s="223" t="s">
        <v>225</v>
      </c>
      <c r="O35" s="220" t="s">
        <v>259</v>
      </c>
      <c r="P35" s="223" t="s">
        <v>232</v>
      </c>
      <c r="Q35" s="221" t="s">
        <v>223</v>
      </c>
      <c r="R35" s="222" t="s">
        <v>225</v>
      </c>
      <c r="S35" s="220" t="s">
        <v>259</v>
      </c>
      <c r="T35" s="223" t="s">
        <v>232</v>
      </c>
      <c r="U35" s="221" t="s">
        <v>223</v>
      </c>
      <c r="V35" s="222" t="s">
        <v>225</v>
      </c>
      <c r="W35" s="220" t="s">
        <v>259</v>
      </c>
      <c r="X35" s="223" t="s">
        <v>232</v>
      </c>
      <c r="Y35" s="221" t="s">
        <v>223</v>
      </c>
      <c r="Z35" s="224" t="s">
        <v>225</v>
      </c>
    </row>
    <row r="36" spans="2:26" ht="14.25" customHeight="1" x14ac:dyDescent="0.2">
      <c r="B36" s="148">
        <v>40</v>
      </c>
      <c r="C36" s="154">
        <v>378854.223</v>
      </c>
      <c r="D36" s="176"/>
      <c r="E36" s="160">
        <f>C36/$D$6</f>
        <v>1.2005165887139707E-2</v>
      </c>
      <c r="F36" s="156">
        <v>69542.607000000004</v>
      </c>
      <c r="G36" s="154">
        <v>25558.093000000001</v>
      </c>
      <c r="H36" s="176"/>
      <c r="I36" s="160">
        <f>G36/$D$6</f>
        <v>8.0988709534311862E-4</v>
      </c>
      <c r="J36" s="156">
        <v>167893.24</v>
      </c>
      <c r="K36" s="154">
        <v>361203.64199999999</v>
      </c>
      <c r="L36" s="176"/>
      <c r="M36" s="160">
        <f>K36/$D$6</f>
        <v>1.1445852726443075E-2</v>
      </c>
      <c r="N36" s="176">
        <v>69577.555999999997</v>
      </c>
      <c r="O36" s="154" t="s">
        <v>344</v>
      </c>
      <c r="P36" s="176"/>
      <c r="Q36" s="160" t="e">
        <f>O36/$D$6</f>
        <v>#VALUE!</v>
      </c>
      <c r="R36" s="156"/>
      <c r="S36" s="154">
        <v>475991.98</v>
      </c>
      <c r="T36" s="176"/>
      <c r="U36" s="160">
        <f>S36/$D$6</f>
        <v>1.5083275661013511E-2</v>
      </c>
      <c r="V36" s="176">
        <v>69417.298999999999</v>
      </c>
      <c r="W36" s="154">
        <v>486454.56</v>
      </c>
      <c r="X36" s="176"/>
      <c r="Y36" s="160">
        <f t="shared" ref="Y36:Y48" si="6">W36/$D$6</f>
        <v>1.5414814814814815E-2</v>
      </c>
      <c r="Z36" s="158">
        <v>63860.521000000001</v>
      </c>
    </row>
    <row r="37" spans="2:26" ht="14.25" customHeight="1" x14ac:dyDescent="0.2">
      <c r="B37" s="148">
        <v>45</v>
      </c>
      <c r="C37" s="154">
        <v>492333.821</v>
      </c>
      <c r="D37" s="176"/>
      <c r="E37" s="160">
        <f>C37/$D$6</f>
        <v>1.560111735366441E-2</v>
      </c>
      <c r="F37" s="156">
        <v>63956.945</v>
      </c>
      <c r="G37" s="154">
        <v>269199.15500000003</v>
      </c>
      <c r="H37" s="176"/>
      <c r="I37" s="160">
        <f>G37/$D$6</f>
        <v>8.5304064631023923E-3</v>
      </c>
      <c r="J37" s="156">
        <v>75304.337</v>
      </c>
      <c r="K37" s="154">
        <v>484547.43</v>
      </c>
      <c r="L37" s="176"/>
      <c r="M37" s="160">
        <f>K37/$D$6</f>
        <v>1.5354381511902045E-2</v>
      </c>
      <c r="N37" s="176">
        <v>69497.021999999997</v>
      </c>
      <c r="O37" s="154" t="s">
        <v>344</v>
      </c>
      <c r="P37" s="176"/>
      <c r="Q37" s="160" t="e">
        <f>O37/$D$6</f>
        <v>#VALUE!</v>
      </c>
      <c r="R37" s="156"/>
      <c r="S37" s="154">
        <v>510279.65</v>
      </c>
      <c r="T37" s="176"/>
      <c r="U37" s="160">
        <f>S37/$D$6</f>
        <v>1.6169786358911958E-2</v>
      </c>
      <c r="V37" s="176">
        <v>63777.896000000001</v>
      </c>
      <c r="W37" s="154">
        <v>505588.30499999999</v>
      </c>
      <c r="X37" s="176"/>
      <c r="Y37" s="160">
        <f t="shared" si="6"/>
        <v>1.6021126606586052E-2</v>
      </c>
      <c r="Z37" s="158">
        <v>63763.493999999999</v>
      </c>
    </row>
    <row r="38" spans="2:26" ht="14.25" customHeight="1" x14ac:dyDescent="0.2">
      <c r="B38" s="148">
        <v>50</v>
      </c>
      <c r="C38" s="154">
        <v>498677.62699999998</v>
      </c>
      <c r="D38" s="176"/>
      <c r="E38" s="160">
        <f>C38/$D$6</f>
        <v>1.5802140435267575E-2</v>
      </c>
      <c r="F38" s="156">
        <v>63860.690999999999</v>
      </c>
      <c r="G38" s="154">
        <v>438526.91600000003</v>
      </c>
      <c r="H38" s="176"/>
      <c r="I38" s="160">
        <f>G38/$D$6</f>
        <v>1.3896079423023297E-2</v>
      </c>
      <c r="J38" s="156">
        <v>69652.615000000005</v>
      </c>
      <c r="K38" s="154">
        <v>506555.83299999998</v>
      </c>
      <c r="L38" s="176"/>
      <c r="M38" s="160">
        <f>K38/$D$6</f>
        <v>1.6051785718812585E-2</v>
      </c>
      <c r="N38" s="176">
        <v>63873.279000000002</v>
      </c>
      <c r="O38" s="154" t="s">
        <v>344</v>
      </c>
      <c r="P38" s="176"/>
      <c r="Q38" s="160" t="e">
        <f>O38/$D$6</f>
        <v>#VALUE!</v>
      </c>
      <c r="R38" s="156"/>
      <c r="S38" s="154">
        <v>365244.84100000001</v>
      </c>
      <c r="T38" s="176"/>
      <c r="U38" s="160">
        <f>S38/$D$6</f>
        <v>1.1573910595229041E-2</v>
      </c>
      <c r="V38" s="176">
        <v>58249.703000000001</v>
      </c>
      <c r="W38" s="154">
        <v>353765.57900000003</v>
      </c>
      <c r="X38" s="176"/>
      <c r="Y38" s="160">
        <f t="shared" si="6"/>
        <v>1.1210154732932796E-2</v>
      </c>
      <c r="Z38" s="158">
        <v>58214.303</v>
      </c>
    </row>
    <row r="39" spans="2:26" ht="14.25" customHeight="1" x14ac:dyDescent="0.2">
      <c r="B39" s="148">
        <v>55</v>
      </c>
      <c r="C39" s="154">
        <v>345950.29100000003</v>
      </c>
      <c r="D39" s="176"/>
      <c r="E39" s="160">
        <f>C39/$D$6</f>
        <v>1.0962503200496869E-2</v>
      </c>
      <c r="F39" s="156">
        <v>58308.112999999998</v>
      </c>
      <c r="G39" s="154">
        <v>523397.17599999998</v>
      </c>
      <c r="H39" s="176"/>
      <c r="I39" s="160">
        <f>G39/$D$6</f>
        <v>1.6585455674702765E-2</v>
      </c>
      <c r="J39" s="156">
        <v>64060.71</v>
      </c>
      <c r="K39" s="154">
        <v>355746.10200000001</v>
      </c>
      <c r="L39" s="176"/>
      <c r="M39" s="160">
        <f>K39/$D$6</f>
        <v>1.12729137196745E-2</v>
      </c>
      <c r="N39" s="176">
        <v>58330.597000000002</v>
      </c>
      <c r="O39" s="154">
        <v>14455.276</v>
      </c>
      <c r="P39" s="176"/>
      <c r="Q39" s="160">
        <f>O39/$D$6</f>
        <v>4.5806005526402517E-4</v>
      </c>
      <c r="R39" s="156">
        <v>255092.70699999999</v>
      </c>
      <c r="S39" s="154">
        <v>294219.70500000002</v>
      </c>
      <c r="T39" s="176"/>
      <c r="U39" s="160">
        <f>S39/$D$6</f>
        <v>9.3232598486576931E-3</v>
      </c>
      <c r="V39" s="176">
        <v>58183.510999999999</v>
      </c>
      <c r="W39" s="154">
        <v>288879.17700000003</v>
      </c>
      <c r="X39" s="176"/>
      <c r="Y39" s="160">
        <f t="shared" si="6"/>
        <v>9.1540287284204123E-3</v>
      </c>
      <c r="Z39" s="158">
        <v>58168.77</v>
      </c>
    </row>
    <row r="40" spans="2:26" ht="21" customHeight="1" x14ac:dyDescent="0.2">
      <c r="B40" s="148">
        <v>60</v>
      </c>
      <c r="C40" s="154">
        <v>288632.00199999998</v>
      </c>
      <c r="D40" s="176"/>
      <c r="E40" s="160">
        <f>C40/$D$6</f>
        <v>9.146196225314979E-3</v>
      </c>
      <c r="F40" s="156">
        <v>58280.529000000002</v>
      </c>
      <c r="G40" s="154">
        <v>445683.59700000001</v>
      </c>
      <c r="H40" s="176"/>
      <c r="I40" s="160">
        <f>G40/$D$6</f>
        <v>1.412286095900829E-2</v>
      </c>
      <c r="J40" s="156">
        <v>58556.553</v>
      </c>
      <c r="K40" s="154">
        <v>293918.33</v>
      </c>
      <c r="L40" s="176"/>
      <c r="M40" s="160">
        <f>K40/$D$6</f>
        <v>9.3137098511927394E-3</v>
      </c>
      <c r="N40" s="176">
        <v>58293.199000000001</v>
      </c>
      <c r="O40" s="154">
        <v>293806.89</v>
      </c>
      <c r="P40" s="176"/>
      <c r="Q40" s="160">
        <f>O40/$D$6</f>
        <v>9.3101785306867451E-3</v>
      </c>
      <c r="R40" s="156">
        <v>75538.775999999998</v>
      </c>
      <c r="S40" s="154">
        <v>257953.861</v>
      </c>
      <c r="T40" s="176"/>
      <c r="U40" s="160">
        <f>S40/$D$6</f>
        <v>8.1740645993358171E-3</v>
      </c>
      <c r="V40" s="176">
        <v>58209.074000000001</v>
      </c>
      <c r="W40" s="154">
        <v>254304.41099999999</v>
      </c>
      <c r="X40" s="176"/>
      <c r="Y40" s="160">
        <f t="shared" si="6"/>
        <v>8.0584205072629089E-3</v>
      </c>
      <c r="Z40" s="158">
        <v>58201.303999999996</v>
      </c>
    </row>
    <row r="41" spans="2:26" x14ac:dyDescent="0.2">
      <c r="B41" s="148">
        <v>65</v>
      </c>
      <c r="C41" s="154">
        <v>257224.10399999999</v>
      </c>
      <c r="D41" s="176"/>
      <c r="E41" s="160">
        <f t="shared" ref="E41:E48" si="7">C41/$D$6</f>
        <v>8.1509399954369146E-3</v>
      </c>
      <c r="F41" s="156">
        <v>52801.705999999998</v>
      </c>
      <c r="G41" s="154">
        <v>335755.46600000001</v>
      </c>
      <c r="H41" s="176"/>
      <c r="I41" s="160">
        <f t="shared" ref="I41:I48" si="8">G41/$D$6</f>
        <v>1.0639448690648211E-2</v>
      </c>
      <c r="J41" s="156">
        <v>58482.035000000003</v>
      </c>
      <c r="K41" s="154">
        <v>260824.538</v>
      </c>
      <c r="L41" s="176"/>
      <c r="M41" s="160">
        <f t="shared" ref="M41:M48" si="9">K41/$D$6</f>
        <v>8.2650308641975308E-3</v>
      </c>
      <c r="N41" s="176">
        <v>52828.499000000003</v>
      </c>
      <c r="O41" s="154">
        <v>501974.46</v>
      </c>
      <c r="P41" s="176"/>
      <c r="Q41" s="160">
        <f t="shared" ref="Q41:Q48" si="10">O41/$D$6</f>
        <v>1.5906610768879764E-2</v>
      </c>
      <c r="R41" s="156">
        <v>64469.856</v>
      </c>
      <c r="S41" s="154">
        <v>234947.636</v>
      </c>
      <c r="T41" s="176"/>
      <c r="U41" s="160">
        <f t="shared" ref="U41:U48" si="11">S41/$D$6</f>
        <v>7.4450413212665094E-3</v>
      </c>
      <c r="V41" s="176">
        <v>52662.163999999997</v>
      </c>
      <c r="W41" s="154">
        <v>232131.935</v>
      </c>
      <c r="X41" s="176"/>
      <c r="Y41" s="160">
        <f t="shared" si="6"/>
        <v>7.3558171407204602E-3</v>
      </c>
      <c r="Z41" s="158">
        <v>52644.421000000002</v>
      </c>
    </row>
    <row r="42" spans="2:26" x14ac:dyDescent="0.2">
      <c r="B42" s="148">
        <v>70</v>
      </c>
      <c r="C42" s="154">
        <v>237116.49900000001</v>
      </c>
      <c r="D42" s="176"/>
      <c r="E42" s="160">
        <f t="shared" si="7"/>
        <v>7.5137684424671078E-3</v>
      </c>
      <c r="F42" s="156">
        <v>52745.135999999999</v>
      </c>
      <c r="G42" s="154">
        <v>293539.38500000001</v>
      </c>
      <c r="H42" s="176"/>
      <c r="I42" s="160">
        <f t="shared" si="8"/>
        <v>9.3017018087560525E-3</v>
      </c>
      <c r="J42" s="156">
        <v>52995.974000000002</v>
      </c>
      <c r="K42" s="154">
        <v>239864.24299999999</v>
      </c>
      <c r="L42" s="176"/>
      <c r="M42" s="160">
        <f t="shared" si="9"/>
        <v>7.6008391956295784E-3</v>
      </c>
      <c r="N42" s="176">
        <v>52760.353999999999</v>
      </c>
      <c r="O42" s="154">
        <v>621974.09100000001</v>
      </c>
      <c r="P42" s="176"/>
      <c r="Q42" s="160">
        <f t="shared" si="10"/>
        <v>1.9709169613658834E-2</v>
      </c>
      <c r="R42" s="156">
        <v>58924.355000000003</v>
      </c>
      <c r="S42" s="154">
        <v>219283.92</v>
      </c>
      <c r="T42" s="176"/>
      <c r="U42" s="160">
        <f t="shared" si="11"/>
        <v>6.9486881131644992E-3</v>
      </c>
      <c r="V42" s="176">
        <v>52648.061999999998</v>
      </c>
      <c r="W42" s="154">
        <v>216930.658</v>
      </c>
      <c r="X42" s="176"/>
      <c r="Y42" s="160">
        <f t="shared" si="6"/>
        <v>6.8741177402590814E-3</v>
      </c>
      <c r="Z42" s="158">
        <v>52636.004999999997</v>
      </c>
    </row>
    <row r="43" spans="2:26" x14ac:dyDescent="0.2">
      <c r="B43" s="148">
        <v>75</v>
      </c>
      <c r="C43" s="154">
        <v>224480.52100000001</v>
      </c>
      <c r="D43" s="176"/>
      <c r="E43" s="160">
        <f t="shared" si="7"/>
        <v>7.1133584619869697E-3</v>
      </c>
      <c r="F43" s="156">
        <v>52763.447</v>
      </c>
      <c r="G43" s="154">
        <v>269903.20699999999</v>
      </c>
      <c r="H43" s="176"/>
      <c r="I43" s="160">
        <f t="shared" si="8"/>
        <v>8.5527165247040338E-3</v>
      </c>
      <c r="J43" s="156">
        <v>52954.987000000001</v>
      </c>
      <c r="K43" s="154">
        <v>226462.82800000001</v>
      </c>
      <c r="L43" s="176"/>
      <c r="M43" s="160">
        <f t="shared" si="9"/>
        <v>7.1761739802773342E-3</v>
      </c>
      <c r="N43" s="176">
        <v>52775.063000000002</v>
      </c>
      <c r="O43" s="154">
        <v>585234.549</v>
      </c>
      <c r="P43" s="176"/>
      <c r="Q43" s="160">
        <f t="shared" si="10"/>
        <v>1.8544963780515629E-2</v>
      </c>
      <c r="R43" s="156">
        <v>53426.523000000001</v>
      </c>
      <c r="S43" s="154">
        <v>208421.139</v>
      </c>
      <c r="T43" s="176"/>
      <c r="U43" s="160">
        <f t="shared" si="11"/>
        <v>6.6044673549319338E-3</v>
      </c>
      <c r="V43" s="176">
        <v>52687.332000000002</v>
      </c>
      <c r="W43" s="154">
        <v>207289.39</v>
      </c>
      <c r="X43" s="176"/>
      <c r="Y43" s="160">
        <f t="shared" si="6"/>
        <v>6.568604393236495E-3</v>
      </c>
      <c r="Z43" s="158">
        <v>52676.67</v>
      </c>
    </row>
    <row r="44" spans="2:26" x14ac:dyDescent="0.2">
      <c r="B44" s="148">
        <v>80</v>
      </c>
      <c r="C44" s="154">
        <v>215870.47899999999</v>
      </c>
      <c r="D44" s="176"/>
      <c r="E44" s="160">
        <f t="shared" si="7"/>
        <v>6.8405226950084925E-3</v>
      </c>
      <c r="F44" s="156">
        <v>47278.47</v>
      </c>
      <c r="G44" s="154">
        <v>255545.429</v>
      </c>
      <c r="H44" s="176"/>
      <c r="I44" s="160">
        <f t="shared" si="8"/>
        <v>8.0977459946257012E-3</v>
      </c>
      <c r="J44" s="156">
        <v>47505.283000000003</v>
      </c>
      <c r="K44" s="154">
        <v>218338.43299999999</v>
      </c>
      <c r="L44" s="176"/>
      <c r="M44" s="160">
        <f t="shared" si="9"/>
        <v>6.918727438081476E-3</v>
      </c>
      <c r="N44" s="176">
        <v>47293.402999999998</v>
      </c>
      <c r="O44" s="154">
        <v>440557.64799999999</v>
      </c>
      <c r="P44" s="176"/>
      <c r="Q44" s="160">
        <f t="shared" si="10"/>
        <v>1.3960429436966055E-2</v>
      </c>
      <c r="R44" s="156">
        <v>47962.659</v>
      </c>
      <c r="S44" s="154">
        <v>202135.092</v>
      </c>
      <c r="T44" s="176"/>
      <c r="U44" s="160">
        <f t="shared" si="11"/>
        <v>6.4052745455928208E-3</v>
      </c>
      <c r="V44" s="176">
        <v>47176.692999999999</v>
      </c>
      <c r="W44" s="154">
        <v>200287.55799999999</v>
      </c>
      <c r="X44" s="176"/>
      <c r="Y44" s="160">
        <f t="shared" si="6"/>
        <v>6.3467297259614166E-3</v>
      </c>
      <c r="Z44" s="158">
        <v>47162.690999999999</v>
      </c>
    </row>
    <row r="45" spans="2:26" x14ac:dyDescent="0.2">
      <c r="B45" s="148">
        <v>85</v>
      </c>
      <c r="C45" s="154">
        <v>211095.58100000001</v>
      </c>
      <c r="D45" s="176"/>
      <c r="E45" s="160">
        <f t="shared" si="7"/>
        <v>6.6892153078814617E-3</v>
      </c>
      <c r="F45" s="156">
        <v>47243.055</v>
      </c>
      <c r="G45" s="154">
        <v>248106.73199999999</v>
      </c>
      <c r="H45" s="176"/>
      <c r="I45" s="160">
        <f t="shared" si="8"/>
        <v>7.8620279108677464E-3</v>
      </c>
      <c r="J45" s="156">
        <v>47459.038999999997</v>
      </c>
      <c r="K45" s="154">
        <v>213450.49900000001</v>
      </c>
      <c r="L45" s="176"/>
      <c r="M45" s="160">
        <f t="shared" si="9"/>
        <v>6.7638381562602993E-3</v>
      </c>
      <c r="N45" s="176">
        <v>47257.258000000002</v>
      </c>
      <c r="O45" s="154">
        <v>402444.74099999998</v>
      </c>
      <c r="P45" s="176"/>
      <c r="Q45" s="160">
        <f t="shared" si="10"/>
        <v>1.2752704293102136E-2</v>
      </c>
      <c r="R45" s="156">
        <v>42534.832000000002</v>
      </c>
      <c r="S45" s="154">
        <v>198301.34599999999</v>
      </c>
      <c r="T45" s="176"/>
      <c r="U45" s="160">
        <f t="shared" si="11"/>
        <v>6.2837904656881383E-3</v>
      </c>
      <c r="V45" s="176">
        <v>47146.046000000002</v>
      </c>
      <c r="W45" s="154">
        <v>196900.82</v>
      </c>
      <c r="X45" s="176"/>
      <c r="Y45" s="160">
        <f t="shared" si="6"/>
        <v>6.2394104748143085E-3</v>
      </c>
      <c r="Z45" s="158">
        <v>47132.402000000002</v>
      </c>
    </row>
    <row r="46" spans="2:26" x14ac:dyDescent="0.2">
      <c r="B46" s="148">
        <v>90</v>
      </c>
      <c r="C46" s="154">
        <v>209714.652</v>
      </c>
      <c r="D46" s="176"/>
      <c r="E46" s="160">
        <f t="shared" si="7"/>
        <v>6.6454563084645223E-3</v>
      </c>
      <c r="F46" s="156">
        <v>44700.982000000004</v>
      </c>
      <c r="G46" s="154">
        <v>245450.965</v>
      </c>
      <c r="H46" s="176"/>
      <c r="I46" s="160">
        <f t="shared" si="8"/>
        <v>7.777871732958146E-3</v>
      </c>
      <c r="J46" s="156">
        <v>44435.703000000001</v>
      </c>
      <c r="K46" s="154">
        <v>211704.05799999999</v>
      </c>
      <c r="L46" s="176"/>
      <c r="M46" s="160">
        <f t="shared" si="9"/>
        <v>6.7084967804902779E-3</v>
      </c>
      <c r="N46" s="176">
        <v>44683.561999999998</v>
      </c>
      <c r="O46" s="154">
        <v>391886.74200000003</v>
      </c>
      <c r="P46" s="176"/>
      <c r="Q46" s="160">
        <f t="shared" si="10"/>
        <v>1.2418141493649709E-2</v>
      </c>
      <c r="R46" s="156">
        <v>38543.375</v>
      </c>
      <c r="S46" s="154">
        <v>196832.24600000001</v>
      </c>
      <c r="T46" s="176"/>
      <c r="U46" s="160">
        <f t="shared" si="11"/>
        <v>6.2372374958805489E-3</v>
      </c>
      <c r="V46" s="176">
        <v>47162.482000000004</v>
      </c>
      <c r="W46" s="154">
        <v>195179.614</v>
      </c>
      <c r="X46" s="176"/>
      <c r="Y46" s="160">
        <f t="shared" si="6"/>
        <v>6.1848687479402744E-3</v>
      </c>
      <c r="Z46" s="158">
        <v>47147.552000000003</v>
      </c>
    </row>
    <row r="47" spans="2:26" x14ac:dyDescent="0.2">
      <c r="B47" s="148">
        <v>95</v>
      </c>
      <c r="C47" s="154">
        <v>211456.26199999999</v>
      </c>
      <c r="D47" s="176"/>
      <c r="E47" s="160">
        <f t="shared" si="7"/>
        <v>6.7006445990823128E-3</v>
      </c>
      <c r="F47" s="156">
        <v>44747.436000000002</v>
      </c>
      <c r="G47" s="154">
        <v>248055.97500000001</v>
      </c>
      <c r="H47" s="176"/>
      <c r="I47" s="160">
        <f t="shared" si="8"/>
        <v>7.8604195185945705E-3</v>
      </c>
      <c r="J47" s="156">
        <v>44484.923000000003</v>
      </c>
      <c r="K47" s="154">
        <v>213066.731</v>
      </c>
      <c r="L47" s="176"/>
      <c r="M47" s="160">
        <f t="shared" si="9"/>
        <v>6.7516772821760848E-3</v>
      </c>
      <c r="N47" s="176">
        <v>44729.014999999999</v>
      </c>
      <c r="O47" s="154">
        <v>402406.53200000001</v>
      </c>
      <c r="P47" s="176"/>
      <c r="Q47" s="160">
        <f t="shared" si="10"/>
        <v>1.275149352295485E-2</v>
      </c>
      <c r="R47" s="156">
        <v>43990.658000000003</v>
      </c>
      <c r="S47" s="154">
        <v>197939.223</v>
      </c>
      <c r="T47" s="176"/>
      <c r="U47" s="160">
        <f t="shared" si="11"/>
        <v>6.2723154802646584E-3</v>
      </c>
      <c r="V47" s="176">
        <v>44873.048000000003</v>
      </c>
      <c r="W47" s="154">
        <v>196772.90900000001</v>
      </c>
      <c r="X47" s="176"/>
      <c r="Y47" s="160">
        <f t="shared" si="6"/>
        <v>6.2353572198139279E-3</v>
      </c>
      <c r="Z47" s="158">
        <v>44888.802000000003</v>
      </c>
    </row>
    <row r="48" spans="2:26" ht="13.5" thickBot="1" x14ac:dyDescent="0.25">
      <c r="B48" s="152">
        <v>100</v>
      </c>
      <c r="C48" s="155">
        <v>216659.25399999999</v>
      </c>
      <c r="D48" s="214"/>
      <c r="E48" s="161">
        <f t="shared" si="7"/>
        <v>6.8655174664740025E-3</v>
      </c>
      <c r="F48" s="157">
        <v>50073.275999999998</v>
      </c>
      <c r="G48" s="155">
        <v>255798.44099999999</v>
      </c>
      <c r="H48" s="214"/>
      <c r="I48" s="161">
        <f t="shared" si="8"/>
        <v>8.1057634610997038E-3</v>
      </c>
      <c r="J48" s="157">
        <v>49822.766000000003</v>
      </c>
      <c r="K48" s="155">
        <v>218178.65299999999</v>
      </c>
      <c r="L48" s="214"/>
      <c r="M48" s="161">
        <f t="shared" si="9"/>
        <v>6.9136643154105509E-3</v>
      </c>
      <c r="N48" s="214">
        <v>50056.627</v>
      </c>
      <c r="O48" s="155">
        <v>440286.02899999998</v>
      </c>
      <c r="P48" s="214"/>
      <c r="Q48" s="161">
        <f t="shared" si="10"/>
        <v>1.3951822350242097E-2</v>
      </c>
      <c r="R48" s="157">
        <v>49399.349000000002</v>
      </c>
      <c r="S48" s="155">
        <v>201509.30100000001</v>
      </c>
      <c r="T48" s="214"/>
      <c r="U48" s="161">
        <f t="shared" si="11"/>
        <v>6.3854444254315924E-3</v>
      </c>
      <c r="V48" s="214">
        <v>50202.661999999997</v>
      </c>
      <c r="W48" s="155">
        <v>198654.92</v>
      </c>
      <c r="X48" s="214"/>
      <c r="Y48" s="161">
        <f t="shared" si="6"/>
        <v>6.2949945496488966E-3</v>
      </c>
      <c r="Z48" s="159">
        <v>50221.461000000003</v>
      </c>
    </row>
    <row r="50" spans="1:11" ht="13.5" thickBot="1" x14ac:dyDescent="0.25"/>
    <row r="51" spans="1:11" x14ac:dyDescent="0.2">
      <c r="B51" s="63" t="s">
        <v>214</v>
      </c>
      <c r="C51" s="64"/>
      <c r="D51" s="64"/>
      <c r="E51" s="65"/>
    </row>
    <row r="52" spans="1:11" ht="13.5" thickBot="1" x14ac:dyDescent="0.25">
      <c r="B52" s="134" t="s">
        <v>215</v>
      </c>
      <c r="C52" s="135"/>
      <c r="D52" s="135">
        <f>60*60*24*365.25</f>
        <v>31557600</v>
      </c>
      <c r="E52" s="136" t="s">
        <v>216</v>
      </c>
    </row>
    <row r="53" spans="1:11" ht="13.5" thickBot="1" x14ac:dyDescent="0.25">
      <c r="B53" s="147" t="s">
        <v>217</v>
      </c>
      <c r="C53" s="6"/>
      <c r="D53" s="6"/>
      <c r="E53" s="6"/>
      <c r="F53" s="6"/>
      <c r="G53" s="6"/>
      <c r="H53" s="6"/>
      <c r="I53" s="6"/>
      <c r="J53" s="6"/>
      <c r="K53" s="8"/>
    </row>
    <row r="54" spans="1:11" x14ac:dyDescent="0.2">
      <c r="B54" s="148"/>
      <c r="C54" s="6" t="s">
        <v>218</v>
      </c>
      <c r="D54" s="6"/>
      <c r="E54" s="6"/>
      <c r="F54" s="6" t="s">
        <v>219</v>
      </c>
      <c r="G54" s="6"/>
      <c r="H54" s="6"/>
      <c r="I54" s="6" t="s">
        <v>220</v>
      </c>
      <c r="J54" s="6"/>
      <c r="K54" s="8"/>
    </row>
    <row r="55" spans="1:11" ht="15.75" x14ac:dyDescent="0.3">
      <c r="B55" s="148"/>
      <c r="C55" s="123" t="s">
        <v>221</v>
      </c>
      <c r="D55" s="163" t="s">
        <v>228</v>
      </c>
      <c r="E55" s="124" t="s">
        <v>222</v>
      </c>
      <c r="F55" s="123" t="s">
        <v>221</v>
      </c>
      <c r="G55" s="163" t="s">
        <v>228</v>
      </c>
      <c r="H55" s="124" t="s">
        <v>222</v>
      </c>
      <c r="I55" s="123" t="s">
        <v>221</v>
      </c>
      <c r="J55" s="163" t="s">
        <v>228</v>
      </c>
      <c r="K55" s="149" t="s">
        <v>222</v>
      </c>
    </row>
    <row r="56" spans="1:11" x14ac:dyDescent="0.2">
      <c r="A56" s="175"/>
      <c r="B56" s="150" t="s">
        <v>187</v>
      </c>
      <c r="C56" s="125" t="s">
        <v>259</v>
      </c>
      <c r="D56" s="162" t="s">
        <v>223</v>
      </c>
      <c r="E56" s="126" t="s">
        <v>225</v>
      </c>
      <c r="F56" s="125" t="s">
        <v>259</v>
      </c>
      <c r="G56" s="162" t="s">
        <v>223</v>
      </c>
      <c r="H56" s="126" t="s">
        <v>225</v>
      </c>
      <c r="I56" s="125" t="s">
        <v>259</v>
      </c>
      <c r="J56" s="162" t="s">
        <v>223</v>
      </c>
      <c r="K56" s="151" t="s">
        <v>225</v>
      </c>
    </row>
    <row r="57" spans="1:11" x14ac:dyDescent="0.2">
      <c r="B57" s="148">
        <v>65</v>
      </c>
      <c r="C57" s="154"/>
      <c r="D57" s="160">
        <f>C57/$D$52</f>
        <v>0</v>
      </c>
      <c r="E57" s="156">
        <v>474629.88699999999</v>
      </c>
      <c r="F57" s="154"/>
      <c r="G57" s="160">
        <f>F57/$D$52</f>
        <v>0</v>
      </c>
      <c r="H57" s="156">
        <v>225609.9</v>
      </c>
      <c r="I57" s="154"/>
      <c r="J57" s="160">
        <f>I57/$D$52</f>
        <v>0</v>
      </c>
      <c r="K57" s="158">
        <v>73391.301000000007</v>
      </c>
    </row>
    <row r="58" spans="1:11" x14ac:dyDescent="0.2">
      <c r="B58" s="148">
        <v>70</v>
      </c>
      <c r="C58" s="154">
        <v>37638</v>
      </c>
      <c r="D58" s="160">
        <f>C58/$D$52</f>
        <v>1.1926762491444216E-3</v>
      </c>
      <c r="E58" s="156">
        <v>559941.08600000001</v>
      </c>
      <c r="F58" s="154">
        <v>47806</v>
      </c>
      <c r="G58" s="160">
        <f>F58/$D$52</f>
        <v>1.5148807260374679E-3</v>
      </c>
      <c r="H58" s="156">
        <v>736915.19799999997</v>
      </c>
      <c r="I58" s="154">
        <v>170107</v>
      </c>
      <c r="J58" s="160">
        <f>I58/$D$52</f>
        <v>5.390365553781023E-3</v>
      </c>
      <c r="K58" s="158">
        <v>67556.062000000005</v>
      </c>
    </row>
    <row r="59" spans="1:11" x14ac:dyDescent="0.2">
      <c r="B59" s="148">
        <v>75</v>
      </c>
      <c r="C59" s="154"/>
      <c r="D59" s="160">
        <f>C59/$D$52</f>
        <v>0</v>
      </c>
      <c r="E59" s="156">
        <v>560056.25300000003</v>
      </c>
      <c r="F59" s="154"/>
      <c r="G59" s="160">
        <f>F59/$D$52</f>
        <v>0</v>
      </c>
      <c r="H59" s="156">
        <v>382350.00599999999</v>
      </c>
      <c r="I59" s="154"/>
      <c r="J59" s="160">
        <f>I59/$D$52</f>
        <v>0</v>
      </c>
      <c r="K59" s="158">
        <v>61779.118999999999</v>
      </c>
    </row>
    <row r="60" spans="1:11" x14ac:dyDescent="0.2">
      <c r="B60" s="148">
        <v>28</v>
      </c>
      <c r="C60" s="154">
        <v>82040</v>
      </c>
      <c r="D60" s="160">
        <f>C60/$D$52</f>
        <v>2.5996907242629352E-3</v>
      </c>
      <c r="E60" s="156">
        <v>84857.876000000004</v>
      </c>
      <c r="F60" s="154">
        <v>0</v>
      </c>
      <c r="G60" s="160">
        <f>F60/$D$52</f>
        <v>0</v>
      </c>
      <c r="H60" s="156"/>
      <c r="I60" s="154">
        <v>0</v>
      </c>
      <c r="J60" s="160">
        <f>I60/$D$52</f>
        <v>0</v>
      </c>
      <c r="K60" s="158"/>
    </row>
    <row r="61" spans="1:11" ht="13.5" thickBot="1" x14ac:dyDescent="0.25">
      <c r="B61" s="148">
        <v>9</v>
      </c>
      <c r="C61" s="155"/>
      <c r="D61" s="161">
        <f>C61/$D$52</f>
        <v>0</v>
      </c>
      <c r="E61" s="157">
        <v>78673.11</v>
      </c>
      <c r="F61" s="155">
        <v>0</v>
      </c>
      <c r="G61" s="161">
        <f>F61/$D$52</f>
        <v>0</v>
      </c>
      <c r="H61" s="157"/>
      <c r="I61" s="155">
        <v>0</v>
      </c>
      <c r="J61" s="161">
        <f>I61/$D$52</f>
        <v>0</v>
      </c>
      <c r="K61" s="159"/>
    </row>
    <row r="62" spans="1:11" ht="13.5" thickBot="1" x14ac:dyDescent="0.25">
      <c r="B62" s="147" t="s">
        <v>224</v>
      </c>
      <c r="C62" s="6"/>
      <c r="D62" s="6"/>
      <c r="E62" s="6"/>
      <c r="F62" s="6"/>
      <c r="G62" s="6"/>
      <c r="H62" s="6"/>
      <c r="I62" s="6"/>
      <c r="J62" s="6"/>
      <c r="K62" s="8"/>
    </row>
    <row r="63" spans="1:11" x14ac:dyDescent="0.2">
      <c r="B63" s="148"/>
      <c r="C63" s="6" t="s">
        <v>218</v>
      </c>
      <c r="D63" s="6"/>
      <c r="E63" s="6"/>
      <c r="F63" s="6" t="s">
        <v>219</v>
      </c>
      <c r="G63" s="6"/>
      <c r="H63" s="6"/>
      <c r="I63" s="6" t="s">
        <v>220</v>
      </c>
      <c r="J63" s="6"/>
      <c r="K63" s="8"/>
    </row>
    <row r="64" spans="1:11" ht="15.75" x14ac:dyDescent="0.3">
      <c r="A64" s="175"/>
      <c r="B64" s="148"/>
      <c r="C64" s="123" t="s">
        <v>221</v>
      </c>
      <c r="D64" s="163" t="s">
        <v>228</v>
      </c>
      <c r="E64" s="124" t="s">
        <v>222</v>
      </c>
      <c r="F64" s="123" t="s">
        <v>221</v>
      </c>
      <c r="G64" s="163" t="s">
        <v>228</v>
      </c>
      <c r="H64" s="124" t="s">
        <v>222</v>
      </c>
      <c r="I64" s="123" t="s">
        <v>221</v>
      </c>
      <c r="J64" s="163" t="s">
        <v>228</v>
      </c>
      <c r="K64" s="149" t="s">
        <v>222</v>
      </c>
    </row>
    <row r="65" spans="1:11" x14ac:dyDescent="0.2">
      <c r="A65" s="175"/>
      <c r="B65" s="150" t="s">
        <v>187</v>
      </c>
      <c r="C65" s="125" t="s">
        <v>259</v>
      </c>
      <c r="D65" s="162" t="s">
        <v>223</v>
      </c>
      <c r="E65" s="126" t="s">
        <v>225</v>
      </c>
      <c r="F65" s="125" t="s">
        <v>259</v>
      </c>
      <c r="G65" s="162" t="s">
        <v>223</v>
      </c>
      <c r="H65" s="126" t="s">
        <v>225</v>
      </c>
      <c r="I65" s="125" t="s">
        <v>259</v>
      </c>
      <c r="J65" s="162" t="s">
        <v>223</v>
      </c>
      <c r="K65" s="151" t="s">
        <v>225</v>
      </c>
    </row>
    <row r="66" spans="1:11" x14ac:dyDescent="0.2">
      <c r="B66" s="148">
        <v>65</v>
      </c>
      <c r="C66" s="154"/>
      <c r="D66" s="160">
        <f>C66/$D$52</f>
        <v>0</v>
      </c>
      <c r="E66" s="156"/>
      <c r="F66" s="154"/>
      <c r="G66" s="160">
        <f>F66/$D$52</f>
        <v>0</v>
      </c>
      <c r="H66" s="156"/>
      <c r="I66" s="154"/>
      <c r="J66" s="160">
        <f>I66/$D$52</f>
        <v>0</v>
      </c>
      <c r="K66" s="158"/>
    </row>
    <row r="67" spans="1:11" x14ac:dyDescent="0.2">
      <c r="B67" s="148">
        <v>70</v>
      </c>
      <c r="C67" s="154">
        <v>331168</v>
      </c>
      <c r="D67" s="160">
        <f>C67/$D$52</f>
        <v>1.049408066519634E-2</v>
      </c>
      <c r="E67" s="156">
        <v>48388</v>
      </c>
      <c r="F67" s="154">
        <v>418113</v>
      </c>
      <c r="G67" s="160">
        <f>F67/$D$52</f>
        <v>1.3249201460187087E-2</v>
      </c>
      <c r="H67" s="156">
        <v>49056</v>
      </c>
      <c r="I67" s="154">
        <v>1005868</v>
      </c>
      <c r="J67" s="160">
        <f>I67/$D$52</f>
        <v>3.1874033513321673E-2</v>
      </c>
      <c r="K67" s="158"/>
    </row>
    <row r="68" spans="1:11" x14ac:dyDescent="0.2">
      <c r="B68" s="148">
        <v>75</v>
      </c>
      <c r="C68" s="154"/>
      <c r="D68" s="160">
        <f>C68/$D$52</f>
        <v>0</v>
      </c>
      <c r="E68" s="156">
        <v>48401</v>
      </c>
      <c r="F68" s="154"/>
      <c r="G68" s="160">
        <f>F68/$D$52</f>
        <v>0</v>
      </c>
      <c r="H68" s="156">
        <v>49043</v>
      </c>
      <c r="I68" s="154"/>
      <c r="J68" s="160">
        <f>I68/$D$52</f>
        <v>0</v>
      </c>
      <c r="K68" s="158">
        <v>50005</v>
      </c>
    </row>
    <row r="69" spans="1:11" x14ac:dyDescent="0.2">
      <c r="B69" s="148">
        <v>28</v>
      </c>
      <c r="C69" s="154">
        <v>785584</v>
      </c>
      <c r="D69" s="160">
        <f>C69/$D$52</f>
        <v>2.4893654777296118E-2</v>
      </c>
      <c r="E69" s="156"/>
      <c r="F69" s="154">
        <v>0</v>
      </c>
      <c r="G69" s="160">
        <f>F69/$D$52</f>
        <v>0</v>
      </c>
      <c r="H69" s="156"/>
      <c r="I69" s="154">
        <v>0</v>
      </c>
      <c r="J69" s="160">
        <f>I69/$D$52</f>
        <v>0</v>
      </c>
      <c r="K69" s="158"/>
    </row>
    <row r="70" spans="1:11" ht="13.5" thickBot="1" x14ac:dyDescent="0.25">
      <c r="B70" s="152">
        <v>9</v>
      </c>
      <c r="C70" s="155">
        <v>1139057</v>
      </c>
      <c r="D70" s="161">
        <f>C70/$D$52</f>
        <v>3.6094538241184373E-2</v>
      </c>
      <c r="E70" s="157"/>
      <c r="F70" s="155">
        <v>0</v>
      </c>
      <c r="G70" s="161">
        <f>F70/$D$52</f>
        <v>0</v>
      </c>
      <c r="H70" s="157"/>
      <c r="I70" s="155">
        <v>0</v>
      </c>
      <c r="J70" s="161">
        <f>I70/$D$52</f>
        <v>0</v>
      </c>
      <c r="K70" s="159"/>
    </row>
    <row r="73" spans="1:11" x14ac:dyDescent="0.2">
      <c r="B73" s="231" t="s">
        <v>374</v>
      </c>
      <c r="C73" s="232"/>
      <c r="D73" s="232"/>
      <c r="E73" s="232"/>
      <c r="F73" s="233"/>
    </row>
    <row r="74" spans="1:11" ht="13.5" thickBot="1" x14ac:dyDescent="0.25">
      <c r="A74" s="175"/>
      <c r="B74" s="234" t="s">
        <v>233</v>
      </c>
      <c r="C74" s="135"/>
      <c r="D74" s="135"/>
      <c r="E74" s="135"/>
      <c r="F74" s="235"/>
    </row>
    <row r="75" spans="1:11" ht="13.5" thickBot="1" x14ac:dyDescent="0.25">
      <c r="B75" s="236" t="s">
        <v>224</v>
      </c>
      <c r="C75" s="50"/>
      <c r="D75" s="50"/>
      <c r="E75" s="50"/>
      <c r="F75" s="237"/>
    </row>
    <row r="76" spans="1:11" x14ac:dyDescent="0.2">
      <c r="B76" s="238"/>
      <c r="C76" s="127" t="s">
        <v>307</v>
      </c>
      <c r="D76" s="127"/>
      <c r="E76" s="6"/>
      <c r="F76" s="239"/>
    </row>
    <row r="77" spans="1:11" ht="15.75" x14ac:dyDescent="0.3">
      <c r="B77" s="123"/>
      <c r="C77" s="215" t="s">
        <v>221</v>
      </c>
      <c r="D77" s="230" t="s">
        <v>372</v>
      </c>
      <c r="E77" s="216" t="s">
        <v>228</v>
      </c>
      <c r="F77" s="217" t="s">
        <v>222</v>
      </c>
    </row>
    <row r="78" spans="1:11" x14ac:dyDescent="0.2">
      <c r="B78" s="240" t="s">
        <v>187</v>
      </c>
      <c r="C78" s="220" t="s">
        <v>259</v>
      </c>
      <c r="D78" s="223" t="s">
        <v>232</v>
      </c>
      <c r="E78" s="221" t="s">
        <v>223</v>
      </c>
      <c r="F78" s="222" t="s">
        <v>225</v>
      </c>
    </row>
    <row r="79" spans="1:11" x14ac:dyDescent="0.2">
      <c r="B79" s="240">
        <v>40</v>
      </c>
      <c r="C79" s="154">
        <v>783341</v>
      </c>
      <c r="D79" s="176">
        <v>1878</v>
      </c>
      <c r="E79" s="213">
        <f t="shared" ref="E79:E91" si="12">C79/$D$6</f>
        <v>2.4822578396329252E-2</v>
      </c>
      <c r="F79" s="156">
        <v>60847</v>
      </c>
    </row>
    <row r="80" spans="1:11" x14ac:dyDescent="0.2">
      <c r="B80" s="240">
        <v>45</v>
      </c>
      <c r="C80" s="154">
        <v>852991</v>
      </c>
      <c r="D80" s="176">
        <v>2067</v>
      </c>
      <c r="E80" s="213">
        <f t="shared" si="12"/>
        <v>2.7029653712576367E-2</v>
      </c>
      <c r="F80" s="156">
        <v>60746</v>
      </c>
    </row>
    <row r="81" spans="2:6" x14ac:dyDescent="0.2">
      <c r="B81" s="240">
        <v>50</v>
      </c>
      <c r="C81" s="154">
        <v>821105</v>
      </c>
      <c r="D81" s="176">
        <v>2241</v>
      </c>
      <c r="E81" s="213">
        <f t="shared" si="12"/>
        <v>2.6019247344538241E-2</v>
      </c>
      <c r="F81" s="156">
        <v>55025</v>
      </c>
    </row>
    <row r="82" spans="2:6" x14ac:dyDescent="0.2">
      <c r="B82" s="240">
        <v>55</v>
      </c>
      <c r="C82" s="154">
        <v>597605</v>
      </c>
      <c r="D82" s="176">
        <v>1551</v>
      </c>
      <c r="E82" s="213">
        <f t="shared" si="12"/>
        <v>1.8936959718102771E-2</v>
      </c>
      <c r="F82" s="156">
        <v>54914</v>
      </c>
    </row>
    <row r="83" spans="2:6" x14ac:dyDescent="0.2">
      <c r="B83" s="240">
        <v>60</v>
      </c>
      <c r="C83" s="154">
        <v>523931</v>
      </c>
      <c r="D83" s="176">
        <v>1456</v>
      </c>
      <c r="E83" s="213">
        <f t="shared" si="12"/>
        <v>1.6602371536492001E-2</v>
      </c>
      <c r="F83" s="156">
        <v>54899</v>
      </c>
    </row>
    <row r="84" spans="2:6" x14ac:dyDescent="0.2">
      <c r="B84" s="123">
        <v>65</v>
      </c>
      <c r="C84" s="154">
        <v>473556</v>
      </c>
      <c r="D84" s="176">
        <v>1313</v>
      </c>
      <c r="E84" s="213">
        <f t="shared" si="12"/>
        <v>1.5006084112860293E-2</v>
      </c>
      <c r="F84" s="156">
        <v>49221</v>
      </c>
    </row>
    <row r="85" spans="2:6" x14ac:dyDescent="0.2">
      <c r="B85" s="123">
        <v>70</v>
      </c>
      <c r="C85" s="154">
        <v>441672</v>
      </c>
      <c r="D85" s="176">
        <v>1225</v>
      </c>
      <c r="E85" s="160">
        <f t="shared" si="12"/>
        <v>1.3995741120997794E-2</v>
      </c>
      <c r="F85" s="156">
        <v>49138</v>
      </c>
    </row>
    <row r="86" spans="2:6" x14ac:dyDescent="0.2">
      <c r="B86" s="123">
        <v>75</v>
      </c>
      <c r="C86" s="154">
        <v>419434</v>
      </c>
      <c r="D86" s="176">
        <v>1172</v>
      </c>
      <c r="E86" s="160">
        <f t="shared" si="12"/>
        <v>1.329106142418942E-2</v>
      </c>
      <c r="F86" s="156">
        <v>49120</v>
      </c>
    </row>
    <row r="87" spans="2:6" x14ac:dyDescent="0.2">
      <c r="B87" s="123">
        <v>80</v>
      </c>
      <c r="C87" s="154">
        <v>405735</v>
      </c>
      <c r="D87" s="176">
        <v>1145</v>
      </c>
      <c r="E87" s="160">
        <f t="shared" si="12"/>
        <v>1.2856966309225035E-2</v>
      </c>
      <c r="F87" s="156">
        <v>43558</v>
      </c>
    </row>
    <row r="88" spans="2:6" x14ac:dyDescent="0.2">
      <c r="B88" s="123">
        <v>85</v>
      </c>
      <c r="C88" s="154">
        <v>397300</v>
      </c>
      <c r="D88" s="176">
        <v>1119</v>
      </c>
      <c r="E88" s="160">
        <f t="shared" si="12"/>
        <v>1.2589677288513701E-2</v>
      </c>
      <c r="F88" s="156">
        <v>43441</v>
      </c>
    </row>
    <row r="89" spans="2:6" x14ac:dyDescent="0.2">
      <c r="B89" s="123">
        <v>90</v>
      </c>
      <c r="C89" s="154">
        <v>394572</v>
      </c>
      <c r="D89" s="176">
        <v>1121</v>
      </c>
      <c r="E89" s="160">
        <f t="shared" si="12"/>
        <v>1.250323218495703E-2</v>
      </c>
      <c r="F89" s="156">
        <v>43396</v>
      </c>
    </row>
    <row r="90" spans="2:6" x14ac:dyDescent="0.2">
      <c r="B90" s="123">
        <v>95</v>
      </c>
      <c r="C90" s="154">
        <v>397568</v>
      </c>
      <c r="D90" s="176">
        <v>1135</v>
      </c>
      <c r="E90" s="160">
        <f t="shared" si="12"/>
        <v>1.2598169696047861E-2</v>
      </c>
      <c r="F90" s="156">
        <v>46668</v>
      </c>
    </row>
    <row r="91" spans="2:6" x14ac:dyDescent="0.2">
      <c r="B91" s="241">
        <v>100</v>
      </c>
      <c r="C91" s="242">
        <v>406050</v>
      </c>
      <c r="D91" s="243">
        <v>1167</v>
      </c>
      <c r="E91" s="244">
        <f t="shared" si="12"/>
        <v>1.2866948056886455E-2</v>
      </c>
      <c r="F91" s="245">
        <v>46666</v>
      </c>
    </row>
  </sheetData>
  <pageMargins left="0.7" right="0.7" top="0.75" bottom="0.75" header="0.3" footer="0.3"/>
  <pageSetup orientation="portrait" horizontalDpi="525" verticalDpi="525"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Link Analysis Example</vt:lpstr>
      <vt:lpstr>Link Analysis Blank</vt:lpstr>
      <vt:lpstr>Link Figures</vt:lpstr>
      <vt:lpstr>Telemetry </vt:lpstr>
      <vt:lpstr>Access</vt:lpstr>
    </vt:vector>
  </TitlesOfParts>
  <Company>USU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chucks</dc:creator>
  <cp:lastModifiedBy>CSE</cp:lastModifiedBy>
  <cp:lastPrinted>2009-10-06T15:58:52Z</cp:lastPrinted>
  <dcterms:created xsi:type="dcterms:W3CDTF">2005-09-09T04:12:15Z</dcterms:created>
  <dcterms:modified xsi:type="dcterms:W3CDTF">2017-12-05T00:31:21Z</dcterms:modified>
</cp:coreProperties>
</file>